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20\SGTO INSTRUMENTOS 2020\SGTO PDD SEP 2020\"/>
    </mc:Choice>
  </mc:AlternateContent>
  <bookViews>
    <workbookView xWindow="0" yWindow="0" windowWidth="24000" windowHeight="9435"/>
  </bookViews>
  <sheets>
    <sheet name="F-PLA 07 SGTO PA ADMINISTRATIVA" sheetId="9" r:id="rId1"/>
    <sheet name="F-PLA 07 SGTO PA PLANEACIÓN" sheetId="7" r:id="rId2"/>
    <sheet name="F-PLA 07 SGTO PA HACIENDA" sheetId="13" r:id="rId3"/>
    <sheet name="F-PLA 07 SGTO PA AGUAS E INFRA" sheetId="16" r:id="rId4"/>
    <sheet name="F-PLA 07 SGTO PA INTERIOR" sheetId="17" r:id="rId5"/>
    <sheet name="F-PLA 07 SGTO PA CULTURA" sheetId="21" r:id="rId6"/>
    <sheet name="F-PLA 07 SGTO PA TURISMO" sheetId="3" r:id="rId7"/>
    <sheet name="F-PLA 07 SGTO PA AGRICULTURA" sheetId="8" r:id="rId8"/>
    <sheet name="F-PLA 07 SGTO PA PRIVADA" sheetId="18" r:id="rId9"/>
    <sheet name="F-PLA 07 SGTO PA EDUCACION" sheetId="12" r:id="rId10"/>
    <sheet name="F-PLA 07 SGTO PA FAMILIA" sheetId="20" r:id="rId11"/>
    <sheet name="PA F-PLA-07 SGTO PA SALUD" sheetId="22" r:id="rId12"/>
    <sheet name="F-PLA 07 SGTO PA TIC" sheetId="19" r:id="rId13"/>
    <sheet name="F-PLA 07 INDEPORTES" sheetId="24" r:id="rId14"/>
    <sheet name="P.A F-PLA 07 PROMOTORA" sheetId="23" r:id="rId15"/>
    <sheet name="F-PLA 07 SGTO PA IDTQ" sheetId="15" r:id="rId16"/>
  </sheets>
  <externalReferences>
    <externalReference r:id="rId17"/>
    <externalReference r:id="rId18"/>
    <externalReference r:id="rId19"/>
  </externalReferences>
  <definedNames>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4">#REF!</definedName>
    <definedName name="_1._Apoyo_con_equipos_para_la_seguridad_vial_Licenciamiento_de_software_para_comunicaciones">#REF!</definedName>
    <definedName name="_xlnm._FilterDatabase" localSheetId="3" hidden="1">'F-PLA 07 SGTO PA AGUAS E INFRA'!$A$9:$CJ$82</definedName>
    <definedName name="_xlnm.Print_Area" localSheetId="1">'F-PLA 07 SGTO PA PLANEACIÓN'!$A$1:$BP$74</definedName>
    <definedName name="CODIGO_DIVIPOLA" localSheetId="8">#REF!</definedName>
    <definedName name="CODIGO_DIVIPOLA" localSheetId="14">#REF!</definedName>
    <definedName name="CODIGO_DIVIPOLA">#REF!</definedName>
    <definedName name="DboREGISTRO_LEY_617" localSheetId="8">#REF!</definedName>
    <definedName name="DboREGISTRO_LEY_617" localSheetId="14">#REF!</definedName>
    <definedName name="DboREGISTRO_LEY_617">#REF!</definedName>
    <definedName name="ññ" localSheetId="8">#REF!</definedName>
    <definedName name="ññ" localSheetId="14">#REF!</definedName>
    <definedName name="ññ">#REF!</definedName>
    <definedName name="_xlnm.Print_Titles" localSheetId="1">'F-PLA 07 SGTO PA PLANEACIÓN'!$1:$8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0" i="24" l="1"/>
  <c r="V70" i="24"/>
  <c r="U70" i="24"/>
  <c r="BG69" i="24"/>
  <c r="BH65" i="24"/>
  <c r="BI65" i="24" s="1"/>
  <c r="BG65" i="24"/>
  <c r="BE65" i="24"/>
  <c r="Q65" i="24"/>
  <c r="W61" i="24"/>
  <c r="BH59" i="24"/>
  <c r="BI59" i="24" s="1"/>
  <c r="BG59" i="24"/>
  <c r="BE59" i="24"/>
  <c r="BD59" i="24"/>
  <c r="Q59" i="24"/>
  <c r="BI35" i="24"/>
  <c r="BH35" i="24"/>
  <c r="BG35" i="24"/>
  <c r="BE35" i="24"/>
  <c r="Q35" i="24"/>
  <c r="P56" i="24" s="1"/>
  <c r="BH30" i="24"/>
  <c r="BG30" i="24"/>
  <c r="BI30" i="24" s="1"/>
  <c r="BE30" i="24"/>
  <c r="BD30" i="24"/>
  <c r="Q30" i="24"/>
  <c r="P29" i="24"/>
  <c r="BH28" i="24"/>
  <c r="BI28" i="24" s="1"/>
  <c r="BG28" i="24"/>
  <c r="BE28" i="24"/>
  <c r="BD28" i="24"/>
  <c r="Q28" i="24"/>
  <c r="P28" i="24"/>
  <c r="P27" i="24"/>
  <c r="BI21" i="24"/>
  <c r="BH21" i="24"/>
  <c r="BG21" i="24"/>
  <c r="BE21" i="24"/>
  <c r="Q21" i="24"/>
  <c r="P21" i="24" s="1"/>
  <c r="BH18" i="24"/>
  <c r="BI18" i="24" s="1"/>
  <c r="BG18" i="24"/>
  <c r="Q18" i="24"/>
  <c r="BI12" i="24"/>
  <c r="BH12" i="24"/>
  <c r="BG12" i="24"/>
  <c r="BE12" i="24"/>
  <c r="Q12" i="24"/>
  <c r="P12" i="24" s="1"/>
  <c r="Q70" i="24" l="1"/>
  <c r="P52" i="24"/>
  <c r="P14" i="24"/>
  <c r="P49" i="24"/>
  <c r="P35" i="24"/>
  <c r="S26" i="23" l="1"/>
  <c r="R26" i="23"/>
  <c r="S23" i="23"/>
  <c r="R23" i="23"/>
  <c r="S22" i="23"/>
  <c r="S21" i="23"/>
  <c r="R21" i="23"/>
  <c r="S20" i="23"/>
  <c r="R20" i="23"/>
  <c r="S18" i="23"/>
  <c r="R18" i="23"/>
  <c r="S15" i="23"/>
  <c r="R15" i="23"/>
  <c r="S14" i="23"/>
  <c r="S12" i="23"/>
  <c r="S27" i="23" s="1"/>
  <c r="R12" i="23"/>
  <c r="R27" i="23" s="1"/>
  <c r="W325" i="22" l="1"/>
  <c r="V325" i="22"/>
  <c r="U324" i="22"/>
  <c r="BI318" i="22"/>
  <c r="BH318" i="22"/>
  <c r="BG318" i="22"/>
  <c r="BE318" i="22"/>
  <c r="BC318" i="22"/>
  <c r="BA318" i="22"/>
  <c r="AY318" i="22"/>
  <c r="AW318" i="22"/>
  <c r="AU318" i="22"/>
  <c r="AS318" i="22"/>
  <c r="AQ318" i="22"/>
  <c r="AO318" i="22"/>
  <c r="AM318" i="22"/>
  <c r="AK318" i="22"/>
  <c r="AI318" i="22"/>
  <c r="AG318" i="22"/>
  <c r="AE318" i="22"/>
  <c r="AC318" i="22"/>
  <c r="AA318" i="22"/>
  <c r="Q318" i="22"/>
  <c r="U317" i="22"/>
  <c r="U315" i="22"/>
  <c r="U308" i="22"/>
  <c r="U306" i="22"/>
  <c r="U305" i="22"/>
  <c r="U303" i="22"/>
  <c r="BH302" i="22"/>
  <c r="BG302" i="22"/>
  <c r="BE302" i="22"/>
  <c r="BC302" i="22"/>
  <c r="BA302" i="22"/>
  <c r="AY302" i="22"/>
  <c r="AW302" i="22"/>
  <c r="AU302" i="22"/>
  <c r="AS302" i="22"/>
  <c r="AQ302" i="22"/>
  <c r="AO302" i="22"/>
  <c r="AM302" i="22"/>
  <c r="AK302" i="22"/>
  <c r="AI302" i="22"/>
  <c r="AG302" i="22"/>
  <c r="AE302" i="22"/>
  <c r="AC302" i="22"/>
  <c r="AA302" i="22"/>
  <c r="U302" i="22"/>
  <c r="Q302" i="22"/>
  <c r="P302" i="22" s="1"/>
  <c r="U299" i="22"/>
  <c r="Q298" i="22" s="1"/>
  <c r="BH298" i="22"/>
  <c r="BG298" i="22"/>
  <c r="BE298" i="22"/>
  <c r="BC298" i="22"/>
  <c r="BA298" i="22"/>
  <c r="AY298" i="22"/>
  <c r="AW298" i="22"/>
  <c r="AU298" i="22"/>
  <c r="AS298" i="22"/>
  <c r="AQ298" i="22"/>
  <c r="AO298" i="22"/>
  <c r="AM298" i="22"/>
  <c r="AK298" i="22"/>
  <c r="AI298" i="22"/>
  <c r="AG298" i="22"/>
  <c r="AE298" i="22"/>
  <c r="AC298" i="22"/>
  <c r="AA298" i="22"/>
  <c r="U296" i="22"/>
  <c r="BH289" i="22"/>
  <c r="BG289" i="22"/>
  <c r="BI289" i="22" s="1"/>
  <c r="BE289" i="22"/>
  <c r="BC289" i="22"/>
  <c r="BA289" i="22"/>
  <c r="AY289" i="22"/>
  <c r="AW289" i="22"/>
  <c r="AU289" i="22"/>
  <c r="AS289" i="22"/>
  <c r="AQ289" i="22"/>
  <c r="AO289" i="22"/>
  <c r="AM289" i="22"/>
  <c r="AK289" i="22"/>
  <c r="AI289" i="22"/>
  <c r="AG289" i="22"/>
  <c r="AE289" i="22"/>
  <c r="AC289" i="22"/>
  <c r="AA289" i="22"/>
  <c r="Q289" i="22"/>
  <c r="P289" i="22"/>
  <c r="BH279" i="22"/>
  <c r="BG279" i="22"/>
  <c r="BE279" i="22"/>
  <c r="BC279" i="22"/>
  <c r="BA279" i="22"/>
  <c r="AY279" i="22"/>
  <c r="AW279" i="22"/>
  <c r="AU279" i="22"/>
  <c r="AS279" i="22"/>
  <c r="AQ279" i="22"/>
  <c r="AO279" i="22"/>
  <c r="AM279" i="22"/>
  <c r="AK279" i="22"/>
  <c r="AI279" i="22"/>
  <c r="AG279" i="22"/>
  <c r="AE279" i="22"/>
  <c r="AC279" i="22"/>
  <c r="AA279" i="22"/>
  <c r="U279" i="22"/>
  <c r="Q279" i="22" s="1"/>
  <c r="U278" i="22"/>
  <c r="U277" i="22"/>
  <c r="BH276" i="22"/>
  <c r="BG276" i="22"/>
  <c r="BE276" i="22"/>
  <c r="BC276" i="22"/>
  <c r="BA276" i="22"/>
  <c r="AY276" i="22"/>
  <c r="AW276" i="22"/>
  <c r="AU276" i="22"/>
  <c r="AS276" i="22"/>
  <c r="AQ276" i="22"/>
  <c r="AO276" i="22"/>
  <c r="AM276" i="22"/>
  <c r="AK276" i="22"/>
  <c r="AI276" i="22"/>
  <c r="AG276" i="22"/>
  <c r="AE276" i="22"/>
  <c r="AC276" i="22"/>
  <c r="AA276" i="22"/>
  <c r="U276" i="22"/>
  <c r="Q276" i="22" s="1"/>
  <c r="BI276" i="22" s="1"/>
  <c r="BH264" i="22"/>
  <c r="BG264" i="22"/>
  <c r="BI264" i="22" s="1"/>
  <c r="BE264" i="22"/>
  <c r="BC264" i="22"/>
  <c r="BA264" i="22"/>
  <c r="AY264" i="22"/>
  <c r="AW264" i="22"/>
  <c r="AU264" i="22"/>
  <c r="AS264" i="22"/>
  <c r="AQ264" i="22"/>
  <c r="AO264" i="22"/>
  <c r="AM264" i="22"/>
  <c r="AK264" i="22"/>
  <c r="AI264" i="22"/>
  <c r="AG264" i="22"/>
  <c r="AE264" i="22"/>
  <c r="AC264" i="22"/>
  <c r="AA264" i="22"/>
  <c r="P264" i="22"/>
  <c r="BH262" i="22"/>
  <c r="BG262" i="22"/>
  <c r="BI262" i="22" s="1"/>
  <c r="BE262" i="22"/>
  <c r="BC262" i="22"/>
  <c r="BA262" i="22"/>
  <c r="AY262" i="22"/>
  <c r="AW262" i="22"/>
  <c r="AU262" i="22"/>
  <c r="AS262" i="22"/>
  <c r="AQ262" i="22"/>
  <c r="AO262" i="22"/>
  <c r="AM262" i="22"/>
  <c r="AK262" i="22"/>
  <c r="AI262" i="22"/>
  <c r="AG262" i="22"/>
  <c r="AE262" i="22"/>
  <c r="AC262" i="22"/>
  <c r="AA262" i="22"/>
  <c r="Q262" i="22"/>
  <c r="P263" i="22" s="1"/>
  <c r="P262" i="22"/>
  <c r="BH254" i="22"/>
  <c r="BG254" i="22"/>
  <c r="BC254" i="22"/>
  <c r="BA254" i="22"/>
  <c r="AY254" i="22"/>
  <c r="AW254" i="22"/>
  <c r="AU254" i="22"/>
  <c r="AS254" i="22"/>
  <c r="AQ254" i="22"/>
  <c r="BD254" i="22" s="1"/>
  <c r="BE254" i="22" s="1"/>
  <c r="AO254" i="22"/>
  <c r="AM254" i="22"/>
  <c r="AK254" i="22"/>
  <c r="AI254" i="22"/>
  <c r="AG254" i="22"/>
  <c r="AE254" i="22"/>
  <c r="AC254" i="22"/>
  <c r="AA254" i="22"/>
  <c r="Q254" i="22"/>
  <c r="BI254" i="22" s="1"/>
  <c r="P254" i="22"/>
  <c r="U236" i="22"/>
  <c r="U235" i="22"/>
  <c r="BH234" i="22"/>
  <c r="BG234" i="22"/>
  <c r="BE234" i="22"/>
  <c r="BC234" i="22"/>
  <c r="BA234" i="22"/>
  <c r="AY234" i="22"/>
  <c r="AW234" i="22"/>
  <c r="AU234" i="22"/>
  <c r="AS234" i="22"/>
  <c r="AQ234" i="22"/>
  <c r="AO234" i="22"/>
  <c r="AM234" i="22"/>
  <c r="AK234" i="22"/>
  <c r="AI234" i="22"/>
  <c r="AG234" i="22"/>
  <c r="AE234" i="22"/>
  <c r="AC234" i="22"/>
  <c r="AA234" i="22"/>
  <c r="U234" i="22"/>
  <c r="Q234" i="22"/>
  <c r="P234" i="22" s="1"/>
  <c r="U230" i="22"/>
  <c r="U227" i="22"/>
  <c r="U223" i="22"/>
  <c r="U222" i="22"/>
  <c r="U221" i="22"/>
  <c r="U218" i="22"/>
  <c r="Q216" i="22" s="1"/>
  <c r="U217" i="22"/>
  <c r="BH216" i="22"/>
  <c r="BG216" i="22"/>
  <c r="BE216" i="22"/>
  <c r="BC216" i="22"/>
  <c r="BA216" i="22"/>
  <c r="AY216" i="22"/>
  <c r="AW216" i="22"/>
  <c r="AU216" i="22"/>
  <c r="AS216" i="22"/>
  <c r="AQ216" i="22"/>
  <c r="AO216" i="22"/>
  <c r="AM216" i="22"/>
  <c r="AK216" i="22"/>
  <c r="AI216" i="22"/>
  <c r="AG216" i="22"/>
  <c r="AE216" i="22"/>
  <c r="AC216" i="22"/>
  <c r="AA216" i="22"/>
  <c r="U216" i="22"/>
  <c r="U207" i="22"/>
  <c r="U206" i="22"/>
  <c r="U203" i="22"/>
  <c r="U202" i="22"/>
  <c r="U201" i="22"/>
  <c r="U200" i="22"/>
  <c r="Q194" i="22" s="1"/>
  <c r="BH194" i="22"/>
  <c r="BG194" i="22"/>
  <c r="BE194" i="22"/>
  <c r="BC194" i="22"/>
  <c r="BA194" i="22"/>
  <c r="AY194" i="22"/>
  <c r="AW194" i="22"/>
  <c r="AU194" i="22"/>
  <c r="AS194" i="22"/>
  <c r="AQ194" i="22"/>
  <c r="AO194" i="22"/>
  <c r="AM194" i="22"/>
  <c r="AK194" i="22"/>
  <c r="AI194" i="22"/>
  <c r="AG194" i="22"/>
  <c r="AE194" i="22"/>
  <c r="AC194" i="22"/>
  <c r="AA194" i="22"/>
  <c r="U193" i="22"/>
  <c r="U187" i="22"/>
  <c r="U185" i="22"/>
  <c r="U184" i="22"/>
  <c r="BH183" i="22"/>
  <c r="BG183" i="22"/>
  <c r="BE183" i="22"/>
  <c r="BC183" i="22"/>
  <c r="BA183" i="22"/>
  <c r="AY183" i="22"/>
  <c r="AW183" i="22"/>
  <c r="AU183" i="22"/>
  <c r="AS183" i="22"/>
  <c r="AQ183" i="22"/>
  <c r="AO183" i="22"/>
  <c r="AM183" i="22"/>
  <c r="AK183" i="22"/>
  <c r="AI183" i="22"/>
  <c r="AG183" i="22"/>
  <c r="AE183" i="22"/>
  <c r="AC183" i="22"/>
  <c r="AA183" i="22"/>
  <c r="U183" i="22"/>
  <c r="Q183" i="22"/>
  <c r="P188" i="22" s="1"/>
  <c r="P176" i="22"/>
  <c r="BH167" i="22"/>
  <c r="BG167" i="22"/>
  <c r="BI167" i="22" s="1"/>
  <c r="BE167" i="22"/>
  <c r="BC167" i="22"/>
  <c r="BA167" i="22"/>
  <c r="AY167" i="22"/>
  <c r="AW167" i="22"/>
  <c r="AU167" i="22"/>
  <c r="AS167" i="22"/>
  <c r="AQ167" i="22"/>
  <c r="AO167" i="22"/>
  <c r="AM167" i="22"/>
  <c r="AK167" i="22"/>
  <c r="AI167" i="22"/>
  <c r="AG167" i="22"/>
  <c r="AE167" i="22"/>
  <c r="AC167" i="22"/>
  <c r="AA167" i="22"/>
  <c r="Q167" i="22"/>
  <c r="P171" i="22" s="1"/>
  <c r="P167" i="22"/>
  <c r="U161" i="22"/>
  <c r="U160" i="22"/>
  <c r="U156" i="22"/>
  <c r="U153" i="22"/>
  <c r="U152" i="22"/>
  <c r="U151" i="22"/>
  <c r="U150" i="22"/>
  <c r="U149" i="22"/>
  <c r="U148" i="22"/>
  <c r="U147" i="22"/>
  <c r="U146" i="22"/>
  <c r="BH144" i="22"/>
  <c r="BG144" i="22"/>
  <c r="BI144" i="22" s="1"/>
  <c r="BE144" i="22"/>
  <c r="BC144" i="22"/>
  <c r="BA144" i="22"/>
  <c r="AY144" i="22"/>
  <c r="AW144" i="22"/>
  <c r="AU144" i="22"/>
  <c r="AS144" i="22"/>
  <c r="AQ144" i="22"/>
  <c r="AO144" i="22"/>
  <c r="AM144" i="22"/>
  <c r="AK144" i="22"/>
  <c r="AI144" i="22"/>
  <c r="AG144" i="22"/>
  <c r="AE144" i="22"/>
  <c r="AC144" i="22"/>
  <c r="AA144" i="22"/>
  <c r="Q144" i="22"/>
  <c r="P157" i="22" s="1"/>
  <c r="U143" i="22"/>
  <c r="U142" i="22"/>
  <c r="U140" i="22"/>
  <c r="U139" i="22"/>
  <c r="U135" i="22"/>
  <c r="U134" i="22"/>
  <c r="U133" i="22"/>
  <c r="U129" i="22"/>
  <c r="U127" i="22"/>
  <c r="BH126" i="22"/>
  <c r="BG126" i="22"/>
  <c r="BI126" i="22" s="1"/>
  <c r="BE126" i="22"/>
  <c r="BC126" i="22"/>
  <c r="BA126" i="22"/>
  <c r="AY126" i="22"/>
  <c r="AU126" i="22"/>
  <c r="AS126" i="22"/>
  <c r="AQ126" i="22"/>
  <c r="AO126" i="22"/>
  <c r="AM126" i="22"/>
  <c r="AK126" i="22"/>
  <c r="AI126" i="22"/>
  <c r="AG126" i="22"/>
  <c r="AE126" i="22"/>
  <c r="AC126" i="22"/>
  <c r="AA126" i="22"/>
  <c r="U126" i="22"/>
  <c r="Q126" i="22"/>
  <c r="P139" i="22" s="1"/>
  <c r="BH114" i="22"/>
  <c r="BG114" i="22"/>
  <c r="AE114" i="22"/>
  <c r="Q114" i="22"/>
  <c r="BI114" i="22" s="1"/>
  <c r="U112" i="22"/>
  <c r="U111" i="22"/>
  <c r="U110" i="22"/>
  <c r="U109" i="22"/>
  <c r="BH108" i="22"/>
  <c r="BG108" i="22"/>
  <c r="BE108" i="22"/>
  <c r="BC108" i="22"/>
  <c r="BA108" i="22"/>
  <c r="AY108" i="22"/>
  <c r="AS108" i="22"/>
  <c r="AQ108" i="22"/>
  <c r="AO108" i="22"/>
  <c r="AM108" i="22"/>
  <c r="AK108" i="22"/>
  <c r="AI108" i="22"/>
  <c r="AG108" i="22"/>
  <c r="AE108" i="22"/>
  <c r="AC108" i="22"/>
  <c r="AA108" i="22"/>
  <c r="U108" i="22"/>
  <c r="Q108" i="22" s="1"/>
  <c r="P107" i="22"/>
  <c r="U106" i="22"/>
  <c r="P105" i="22" s="1"/>
  <c r="U102" i="22"/>
  <c r="U100" i="22"/>
  <c r="U98" i="22"/>
  <c r="BH95" i="22"/>
  <c r="BG95" i="22"/>
  <c r="BE95" i="22"/>
  <c r="BC95" i="22"/>
  <c r="BA95" i="22"/>
  <c r="AY95" i="22"/>
  <c r="AS95" i="22"/>
  <c r="AQ95" i="22"/>
  <c r="AO95" i="22"/>
  <c r="AM95" i="22"/>
  <c r="AK95" i="22"/>
  <c r="AI95" i="22"/>
  <c r="AG95" i="22"/>
  <c r="AE95" i="22"/>
  <c r="AC95" i="22"/>
  <c r="AA95" i="22"/>
  <c r="Q95" i="22"/>
  <c r="BI95" i="22" s="1"/>
  <c r="BH89" i="22"/>
  <c r="BG89" i="22"/>
  <c r="BI89" i="22" s="1"/>
  <c r="BE89" i="22"/>
  <c r="BC89" i="22"/>
  <c r="BA89" i="22"/>
  <c r="AY89" i="22"/>
  <c r="AS89" i="22"/>
  <c r="AQ89" i="22"/>
  <c r="AO89" i="22"/>
  <c r="AM89" i="22"/>
  <c r="AK89" i="22"/>
  <c r="AI89" i="22"/>
  <c r="AG89" i="22"/>
  <c r="AE89" i="22"/>
  <c r="AC89" i="22"/>
  <c r="AA89" i="22"/>
  <c r="Q89" i="22"/>
  <c r="P89" i="22"/>
  <c r="U85" i="22"/>
  <c r="U83" i="22"/>
  <c r="U82" i="22"/>
  <c r="U81" i="22"/>
  <c r="U80" i="22"/>
  <c r="U78" i="22"/>
  <c r="BH77" i="22"/>
  <c r="BG77" i="22"/>
  <c r="BE77" i="22"/>
  <c r="BC77" i="22"/>
  <c r="BA77" i="22"/>
  <c r="AY77" i="22"/>
  <c r="AS77" i="22"/>
  <c r="AQ77" i="22"/>
  <c r="AO77" i="22"/>
  <c r="AM77" i="22"/>
  <c r="AK77" i="22"/>
  <c r="AI77" i="22"/>
  <c r="AG77" i="22"/>
  <c r="AE77" i="22"/>
  <c r="AC77" i="22"/>
  <c r="AA77" i="22"/>
  <c r="U77" i="22"/>
  <c r="Q77" i="22" s="1"/>
  <c r="U71" i="22"/>
  <c r="U69" i="22"/>
  <c r="U67" i="22"/>
  <c r="U66" i="22"/>
  <c r="BH63" i="22"/>
  <c r="BG63" i="22"/>
  <c r="BE63" i="22"/>
  <c r="BC63" i="22"/>
  <c r="BA63" i="22"/>
  <c r="AY63" i="22"/>
  <c r="AW63" i="22"/>
  <c r="AU63" i="22"/>
  <c r="AS63" i="22"/>
  <c r="AQ63" i="22"/>
  <c r="AO63" i="22"/>
  <c r="AM63" i="22"/>
  <c r="AK63" i="22"/>
  <c r="AI63" i="22"/>
  <c r="AG63" i="22"/>
  <c r="AE63" i="22"/>
  <c r="AC63" i="22"/>
  <c r="AA63" i="22"/>
  <c r="U63" i="22"/>
  <c r="Q63" i="22" s="1"/>
  <c r="U59" i="22"/>
  <c r="U56" i="22"/>
  <c r="U55" i="22"/>
  <c r="U54" i="22"/>
  <c r="U53" i="22"/>
  <c r="U52" i="22"/>
  <c r="Q42" i="22" s="1"/>
  <c r="U49" i="22"/>
  <c r="U48" i="22"/>
  <c r="BH42" i="22"/>
  <c r="BG42" i="22"/>
  <c r="BG325" i="22" s="1"/>
  <c r="BE42" i="22"/>
  <c r="BC42" i="22"/>
  <c r="BA42" i="22"/>
  <c r="AY42" i="22"/>
  <c r="AW42" i="22"/>
  <c r="AU42" i="22"/>
  <c r="AS42" i="22"/>
  <c r="AQ42" i="22"/>
  <c r="AO42" i="22"/>
  <c r="AM42" i="22"/>
  <c r="AK42" i="22"/>
  <c r="AI42" i="22"/>
  <c r="AG42" i="22"/>
  <c r="AE42" i="22"/>
  <c r="AC42" i="22"/>
  <c r="AA42" i="22"/>
  <c r="U38" i="22"/>
  <c r="U37" i="22"/>
  <c r="U36" i="22"/>
  <c r="U35" i="22"/>
  <c r="U34" i="22"/>
  <c r="U33" i="22"/>
  <c r="U32" i="22"/>
  <c r="U26" i="22"/>
  <c r="U23" i="22"/>
  <c r="U22" i="22"/>
  <c r="U21" i="22"/>
  <c r="U20" i="22"/>
  <c r="U19" i="22"/>
  <c r="U18" i="22"/>
  <c r="BH17" i="22"/>
  <c r="BH325" i="22" s="1"/>
  <c r="BG17" i="22"/>
  <c r="BI17" i="22" s="1"/>
  <c r="BE17" i="22"/>
  <c r="BC17" i="22"/>
  <c r="BA17" i="22"/>
  <c r="AY17" i="22"/>
  <c r="AW17" i="22"/>
  <c r="AU17" i="22"/>
  <c r="AS17" i="22"/>
  <c r="AQ17" i="22"/>
  <c r="AO17" i="22"/>
  <c r="AM17" i="22"/>
  <c r="AK17" i="22"/>
  <c r="AI17" i="22"/>
  <c r="AG17" i="22"/>
  <c r="AE17" i="22"/>
  <c r="AC17" i="22"/>
  <c r="AA17" i="22"/>
  <c r="Q17" i="22"/>
  <c r="P27" i="22" s="1"/>
  <c r="U15" i="22"/>
  <c r="U14" i="22"/>
  <c r="U13" i="22"/>
  <c r="U12" i="22"/>
  <c r="U325" i="22" s="1"/>
  <c r="BI42" i="22" l="1"/>
  <c r="P42" i="22"/>
  <c r="P49" i="22"/>
  <c r="P111" i="22"/>
  <c r="BI108" i="22"/>
  <c r="P110" i="22"/>
  <c r="P108" i="22"/>
  <c r="P216" i="22"/>
  <c r="P225" i="22"/>
  <c r="BI77" i="22"/>
  <c r="P276" i="22"/>
  <c r="P77" i="22"/>
  <c r="BI216" i="22"/>
  <c r="P305" i="22"/>
  <c r="P299" i="22"/>
  <c r="BI298" i="22"/>
  <c r="P298" i="22"/>
  <c r="P75" i="22"/>
  <c r="P71" i="22"/>
  <c r="P63" i="22"/>
  <c r="P205" i="22"/>
  <c r="P199" i="22"/>
  <c r="BI194" i="22"/>
  <c r="P194" i="22"/>
  <c r="BI63" i="22"/>
  <c r="BI279" i="22"/>
  <c r="P279" i="22"/>
  <c r="P20" i="22"/>
  <c r="P23" i="22"/>
  <c r="P35" i="22"/>
  <c r="P97" i="22"/>
  <c r="P129" i="22"/>
  <c r="BI234" i="22"/>
  <c r="BI302" i="22"/>
  <c r="P17" i="22"/>
  <c r="P39" i="22"/>
  <c r="P95" i="22"/>
  <c r="P98" i="22"/>
  <c r="P126" i="22"/>
  <c r="P144" i="22"/>
  <c r="P183" i="22"/>
  <c r="P235" i="22"/>
  <c r="P307" i="22"/>
  <c r="P34" i="22"/>
  <c r="P127" i="22"/>
  <c r="P131" i="22"/>
  <c r="P136" i="22"/>
  <c r="P142" i="22"/>
  <c r="BI183" i="22"/>
  <c r="Q12" i="22"/>
  <c r="BH44" i="21"/>
  <c r="BG44" i="21"/>
  <c r="T42" i="21"/>
  <c r="S42" i="21"/>
  <c r="R42" i="21"/>
  <c r="U41" i="21"/>
  <c r="W38" i="21"/>
  <c r="V38" i="21"/>
  <c r="U38" i="21"/>
  <c r="BI37" i="21"/>
  <c r="W37" i="21"/>
  <c r="W42" i="21" s="1"/>
  <c r="V37" i="21"/>
  <c r="U37" i="21"/>
  <c r="Q37" i="21" s="1"/>
  <c r="Q34" i="21"/>
  <c r="P34" i="21"/>
  <c r="BD33" i="21"/>
  <c r="Q33" i="21"/>
  <c r="P33" i="21"/>
  <c r="P31" i="21"/>
  <c r="BD28" i="21"/>
  <c r="U28" i="21"/>
  <c r="Q28" i="21"/>
  <c r="P28" i="21"/>
  <c r="U23" i="21"/>
  <c r="U21" i="21"/>
  <c r="U20" i="21"/>
  <c r="V19" i="21"/>
  <c r="V42" i="21" s="1"/>
  <c r="U19" i="21"/>
  <c r="U18" i="21"/>
  <c r="U15" i="21"/>
  <c r="U42" i="21" s="1"/>
  <c r="BH12" i="21"/>
  <c r="Q12" i="21"/>
  <c r="P12" i="21" s="1"/>
  <c r="Q325" i="22" l="1"/>
  <c r="BI325" i="22" s="1"/>
  <c r="P114" i="22"/>
  <c r="P12" i="22"/>
  <c r="BI12" i="22"/>
  <c r="P121" i="22"/>
  <c r="P40" i="21"/>
  <c r="P37" i="21"/>
  <c r="BH42" i="21"/>
  <c r="BG12" i="21"/>
  <c r="BG42" i="21" s="1"/>
  <c r="Q42" i="21"/>
  <c r="P17" i="21"/>
  <c r="U187" i="20"/>
  <c r="BH186" i="20"/>
  <c r="BG186" i="20"/>
  <c r="BI186" i="20" s="1"/>
  <c r="P186" i="20"/>
  <c r="BH180" i="20"/>
  <c r="BG180" i="20"/>
  <c r="BI180" i="20" s="1"/>
  <c r="P180" i="20"/>
  <c r="BH174" i="20"/>
  <c r="BG174" i="20"/>
  <c r="BI174" i="20" s="1"/>
  <c r="BH172" i="20"/>
  <c r="BG172" i="20"/>
  <c r="BI172" i="20" s="1"/>
  <c r="P172" i="20"/>
  <c r="BH153" i="20"/>
  <c r="BG153" i="20"/>
  <c r="BI153" i="20" s="1"/>
  <c r="BE153" i="20"/>
  <c r="BA153" i="20"/>
  <c r="AK153" i="20"/>
  <c r="AI153" i="20"/>
  <c r="AA153" i="20"/>
  <c r="W151" i="20"/>
  <c r="W149" i="20"/>
  <c r="W142" i="20"/>
  <c r="V142" i="20"/>
  <c r="V139" i="20"/>
  <c r="W139" i="20" s="1"/>
  <c r="W137" i="20"/>
  <c r="V137" i="20"/>
  <c r="V136" i="20"/>
  <c r="W136" i="20" s="1"/>
  <c r="W135" i="20"/>
  <c r="V135" i="20"/>
  <c r="BG132" i="20" s="1"/>
  <c r="BI132" i="20" s="1"/>
  <c r="V134" i="20"/>
  <c r="W134" i="20" s="1"/>
  <c r="BE132" i="20"/>
  <c r="W131" i="20"/>
  <c r="V131" i="20"/>
  <c r="W129" i="20"/>
  <c r="V129" i="20"/>
  <c r="V128" i="20"/>
  <c r="W126" i="20"/>
  <c r="V126" i="20"/>
  <c r="V123" i="20"/>
  <c r="W123" i="20" s="1"/>
  <c r="BH121" i="20" s="1"/>
  <c r="V122" i="20"/>
  <c r="BG121" i="20"/>
  <c r="BI121" i="20" s="1"/>
  <c r="W120" i="20"/>
  <c r="V120" i="20"/>
  <c r="V119" i="20"/>
  <c r="W119" i="20" s="1"/>
  <c r="V118" i="20"/>
  <c r="BG112" i="20" s="1"/>
  <c r="BI112" i="20" s="1"/>
  <c r="V113" i="20"/>
  <c r="W113" i="20" s="1"/>
  <c r="BH112" i="20" s="1"/>
  <c r="BH110" i="20"/>
  <c r="BG110" i="20"/>
  <c r="BI110" i="20" s="1"/>
  <c r="V110" i="20"/>
  <c r="BH106" i="20"/>
  <c r="BG106" i="20"/>
  <c r="BI106" i="20" s="1"/>
  <c r="P106" i="20"/>
  <c r="BH102" i="20"/>
  <c r="BG102" i="20"/>
  <c r="BI102" i="20" s="1"/>
  <c r="BH97" i="20"/>
  <c r="BG97" i="20"/>
  <c r="BI97" i="20" s="1"/>
  <c r="BI94" i="20"/>
  <c r="BH94" i="20"/>
  <c r="BG94" i="20"/>
  <c r="P94" i="20"/>
  <c r="BI92" i="20"/>
  <c r="BH92" i="20"/>
  <c r="BG92" i="20"/>
  <c r="P92" i="20"/>
  <c r="W89" i="20"/>
  <c r="BH88" i="20" s="1"/>
  <c r="BG88" i="20"/>
  <c r="BI88" i="20" s="1"/>
  <c r="BI87" i="20"/>
  <c r="BH87" i="20"/>
  <c r="BG87" i="20"/>
  <c r="P87" i="20"/>
  <c r="BI82" i="20"/>
  <c r="BH82" i="20"/>
  <c r="BG82" i="20"/>
  <c r="BI76" i="20"/>
  <c r="BH76" i="20"/>
  <c r="BG76" i="20"/>
  <c r="P76" i="20"/>
  <c r="BI73" i="20"/>
  <c r="BH73" i="20"/>
  <c r="BG73" i="20"/>
  <c r="P73" i="20"/>
  <c r="BI62" i="20"/>
  <c r="BH62" i="20"/>
  <c r="BG62" i="20"/>
  <c r="W61" i="20"/>
  <c r="W60" i="20"/>
  <c r="W59" i="20"/>
  <c r="W58" i="20"/>
  <c r="W57" i="20"/>
  <c r="BH48" i="20" s="1"/>
  <c r="W56" i="20"/>
  <c r="W55" i="20"/>
  <c r="W54" i="20"/>
  <c r="V53" i="20"/>
  <c r="V187" i="20" s="1"/>
  <c r="W51" i="20"/>
  <c r="W49" i="20"/>
  <c r="V49" i="20"/>
  <c r="BG48" i="20" s="1"/>
  <c r="BI48" i="20" s="1"/>
  <c r="V42" i="20"/>
  <c r="W41" i="20"/>
  <c r="BH39" i="20" s="1"/>
  <c r="BI39" i="20"/>
  <c r="BG39" i="20"/>
  <c r="BI29" i="20"/>
  <c r="BH29" i="20"/>
  <c r="BG29" i="20"/>
  <c r="BH22" i="20"/>
  <c r="BG22" i="20"/>
  <c r="BI22" i="20" s="1"/>
  <c r="BE22" i="20"/>
  <c r="Q22" i="20"/>
  <c r="P62" i="20" s="1"/>
  <c r="P22" i="20"/>
  <c r="BI12" i="20"/>
  <c r="BH12" i="20"/>
  <c r="BG12" i="20"/>
  <c r="BG187" i="20" s="1"/>
  <c r="Q12" i="20"/>
  <c r="Q187" i="20" s="1"/>
  <c r="BI12" i="21" l="1"/>
  <c r="BI42" i="21"/>
  <c r="BH187" i="20"/>
  <c r="BH132" i="20"/>
  <c r="W187" i="20"/>
  <c r="W31" i="19"/>
  <c r="U31" i="19"/>
  <c r="Q31" i="19"/>
  <c r="P30" i="19"/>
  <c r="W29" i="19"/>
  <c r="V29" i="19"/>
  <c r="V31" i="19" s="1"/>
  <c r="BH27" i="19"/>
  <c r="BF27" i="19"/>
  <c r="BE27" i="19"/>
  <c r="BD27" i="19"/>
  <c r="Q27" i="19"/>
  <c r="P27" i="19"/>
  <c r="BH24" i="19"/>
  <c r="BG24" i="19"/>
  <c r="Q24" i="19"/>
  <c r="P24" i="19"/>
  <c r="BH22" i="19"/>
  <c r="BG22" i="19"/>
  <c r="Q22" i="19"/>
  <c r="P22" i="19"/>
  <c r="BH19" i="19"/>
  <c r="BG19" i="19"/>
  <c r="Q19" i="19"/>
  <c r="P19" i="19"/>
  <c r="P17" i="19"/>
  <c r="BH12" i="19"/>
  <c r="BH31" i="19" s="1"/>
  <c r="BG12" i="19"/>
  <c r="Q12" i="19"/>
  <c r="P12" i="19"/>
  <c r="BG27" i="19" l="1"/>
  <c r="BI27" i="19" s="1"/>
  <c r="BH25" i="18"/>
  <c r="BI25" i="18" s="1"/>
  <c r="BG25" i="18"/>
  <c r="W25" i="18"/>
  <c r="V25" i="18"/>
  <c r="U25" i="18"/>
  <c r="P24" i="18"/>
  <c r="U19" i="18"/>
  <c r="BI18" i="18"/>
  <c r="Q18" i="18"/>
  <c r="P18" i="18"/>
  <c r="U14" i="18"/>
  <c r="BI12" i="18"/>
  <c r="Q12" i="18"/>
  <c r="Q25" i="18" s="1"/>
  <c r="P12" i="18"/>
  <c r="BG31" i="19" l="1"/>
  <c r="BH168" i="17"/>
  <c r="BE168" i="17"/>
  <c r="BD168" i="17"/>
  <c r="V168" i="17"/>
  <c r="BG168" i="17" s="1"/>
  <c r="Q168" i="17"/>
  <c r="P168" i="17"/>
  <c r="V167" i="17"/>
  <c r="BH161" i="17"/>
  <c r="BI161" i="17" s="1"/>
  <c r="BG161" i="17"/>
  <c r="BE161" i="17"/>
  <c r="BD161" i="17"/>
  <c r="Q161" i="17"/>
  <c r="P161" i="17" s="1"/>
  <c r="V157" i="17"/>
  <c r="U157" i="17"/>
  <c r="V156" i="17"/>
  <c r="U153" i="17"/>
  <c r="Q145" i="17" s="1"/>
  <c r="BH145" i="17"/>
  <c r="BE145" i="17"/>
  <c r="BD145" i="17"/>
  <c r="V145" i="17"/>
  <c r="BG145" i="17" s="1"/>
  <c r="U142" i="17"/>
  <c r="BH140" i="17"/>
  <c r="BG140" i="17"/>
  <c r="BI140" i="17" s="1"/>
  <c r="BE140" i="17"/>
  <c r="BD140" i="17"/>
  <c r="V140" i="17"/>
  <c r="U140" i="17"/>
  <c r="Q140" i="17" s="1"/>
  <c r="P140" i="17" s="1"/>
  <c r="U139" i="17"/>
  <c r="U138" i="17"/>
  <c r="U137" i="17"/>
  <c r="U136" i="17"/>
  <c r="V135" i="17"/>
  <c r="U135" i="17"/>
  <c r="U133" i="17"/>
  <c r="V131" i="17"/>
  <c r="U131" i="17"/>
  <c r="U129" i="17"/>
  <c r="U128" i="17"/>
  <c r="V127" i="17"/>
  <c r="U127" i="17"/>
  <c r="V126" i="17"/>
  <c r="U126" i="17"/>
  <c r="V125" i="17"/>
  <c r="U125" i="17"/>
  <c r="BH124" i="17"/>
  <c r="BG124" i="17"/>
  <c r="BI124" i="17" s="1"/>
  <c r="BD124" i="17"/>
  <c r="AI124" i="17"/>
  <c r="AC124" i="17"/>
  <c r="AA124" i="17"/>
  <c r="BE124" i="17" s="1"/>
  <c r="U121" i="17"/>
  <c r="BH119" i="17"/>
  <c r="BG119" i="17"/>
  <c r="BI119" i="17" s="1"/>
  <c r="BE119" i="17"/>
  <c r="BD119" i="17"/>
  <c r="U119" i="17"/>
  <c r="Q119" i="17"/>
  <c r="P119" i="17" s="1"/>
  <c r="V117" i="17"/>
  <c r="BH116" i="17"/>
  <c r="BG116" i="17"/>
  <c r="BI116" i="17" s="1"/>
  <c r="BE116" i="17"/>
  <c r="BD116" i="17"/>
  <c r="V116" i="17"/>
  <c r="U116" i="17"/>
  <c r="Q116" i="17" s="1"/>
  <c r="BH110" i="17"/>
  <c r="BE110" i="17"/>
  <c r="BD110" i="17"/>
  <c r="V110" i="17"/>
  <c r="BG110" i="17" s="1"/>
  <c r="Q110" i="17"/>
  <c r="P110" i="17"/>
  <c r="BI109" i="17"/>
  <c r="U108" i="17"/>
  <c r="BI107" i="17"/>
  <c r="BI106" i="17"/>
  <c r="BI104" i="17"/>
  <c r="U104" i="17"/>
  <c r="BI103" i="17"/>
  <c r="V102" i="17"/>
  <c r="BI101" i="17"/>
  <c r="U101" i="17"/>
  <c r="Q98" i="17" s="1"/>
  <c r="P98" i="17" s="1"/>
  <c r="BI100" i="17"/>
  <c r="V100" i="17"/>
  <c r="BG98" i="17" s="1"/>
  <c r="BH98" i="17"/>
  <c r="BE98" i="17"/>
  <c r="BI97" i="17"/>
  <c r="BI95" i="17"/>
  <c r="BI94" i="17"/>
  <c r="BI92" i="17"/>
  <c r="BI91" i="17"/>
  <c r="BI89" i="17"/>
  <c r="BI88" i="17"/>
  <c r="U87" i="17"/>
  <c r="BI86" i="17"/>
  <c r="U86" i="17"/>
  <c r="BI85" i="17"/>
  <c r="BH83" i="17"/>
  <c r="BG83" i="17"/>
  <c r="BI83" i="17" s="1"/>
  <c r="BE83" i="17"/>
  <c r="BD83" i="17"/>
  <c r="V83" i="17"/>
  <c r="U83" i="17"/>
  <c r="Q83" i="17" s="1"/>
  <c r="P83" i="17" s="1"/>
  <c r="BI81" i="17"/>
  <c r="BH79" i="17"/>
  <c r="BD79" i="17"/>
  <c r="V79" i="17"/>
  <c r="BG79" i="17" s="1"/>
  <c r="BI79" i="17" s="1"/>
  <c r="Q79" i="17"/>
  <c r="P79" i="17"/>
  <c r="BI77" i="17"/>
  <c r="BI75" i="17"/>
  <c r="BI73" i="17"/>
  <c r="BI71" i="17"/>
  <c r="BI70" i="17"/>
  <c r="BI68" i="17"/>
  <c r="BI67" i="17"/>
  <c r="BI65" i="17"/>
  <c r="BI64" i="17"/>
  <c r="V64" i="17"/>
  <c r="BI62" i="17"/>
  <c r="BI61" i="17"/>
  <c r="V60" i="17"/>
  <c r="BI59" i="17"/>
  <c r="BI58" i="17"/>
  <c r="V57" i="17"/>
  <c r="BI56" i="17"/>
  <c r="BI55" i="17"/>
  <c r="U54" i="17"/>
  <c r="BI53" i="17"/>
  <c r="BI52" i="17"/>
  <c r="BI50" i="17"/>
  <c r="BI49" i="17"/>
  <c r="BI47" i="17"/>
  <c r="BI46" i="17"/>
  <c r="W46" i="17"/>
  <c r="BH32" i="17" s="1"/>
  <c r="V46" i="17"/>
  <c r="BI44" i="17"/>
  <c r="BI43" i="17"/>
  <c r="BI41" i="17"/>
  <c r="BI40" i="17"/>
  <c r="V39" i="17"/>
  <c r="U39" i="17"/>
  <c r="BI38" i="17"/>
  <c r="V38" i="17"/>
  <c r="BI37" i="17"/>
  <c r="V37" i="17"/>
  <c r="U37" i="17"/>
  <c r="Q32" i="17" s="1"/>
  <c r="W36" i="17"/>
  <c r="W174" i="17" s="1"/>
  <c r="V36" i="17"/>
  <c r="BI35" i="17"/>
  <c r="V35" i="17"/>
  <c r="U35" i="17"/>
  <c r="BI34" i="17"/>
  <c r="V34" i="17"/>
  <c r="BD32" i="17"/>
  <c r="V32" i="17"/>
  <c r="BG32" i="17" s="1"/>
  <c r="BI30" i="17"/>
  <c r="U29" i="17"/>
  <c r="BH28" i="17"/>
  <c r="BE28" i="17"/>
  <c r="BD28" i="17"/>
  <c r="V28" i="17"/>
  <c r="BG28" i="17" s="1"/>
  <c r="U28" i="17"/>
  <c r="Q28" i="17"/>
  <c r="P28" i="17" s="1"/>
  <c r="BI25" i="17"/>
  <c r="BH23" i="17"/>
  <c r="BI23" i="17" s="1"/>
  <c r="BG23" i="17"/>
  <c r="BE23" i="17"/>
  <c r="BD23" i="17"/>
  <c r="Q23" i="17"/>
  <c r="P23" i="17" s="1"/>
  <c r="BH20" i="17"/>
  <c r="BG20" i="17"/>
  <c r="BI20" i="17" s="1"/>
  <c r="BE20" i="17"/>
  <c r="BD20" i="17"/>
  <c r="V20" i="17"/>
  <c r="U20" i="17"/>
  <c r="Q20" i="17" s="1"/>
  <c r="P20" i="17" s="1"/>
  <c r="V18" i="17"/>
  <c r="V17" i="17"/>
  <c r="V174" i="17" s="1"/>
  <c r="U17" i="17"/>
  <c r="U174" i="17" s="1"/>
  <c r="BH12" i="17"/>
  <c r="BH174" i="17" s="1"/>
  <c r="BG12" i="17"/>
  <c r="BE12" i="17"/>
  <c r="BD12" i="17"/>
  <c r="V12" i="17"/>
  <c r="Q12" i="17"/>
  <c r="P12" i="17" s="1"/>
  <c r="P117" i="17" l="1"/>
  <c r="P116" i="17"/>
  <c r="P156" i="17"/>
  <c r="P145" i="17"/>
  <c r="BG174" i="17"/>
  <c r="BI28" i="17"/>
  <c r="P66" i="17"/>
  <c r="P69" i="17"/>
  <c r="P58" i="17"/>
  <c r="P53" i="17"/>
  <c r="P32" i="17"/>
  <c r="BI32" i="17"/>
  <c r="BI98" i="17"/>
  <c r="BI110" i="17"/>
  <c r="BI145" i="17"/>
  <c r="BI168" i="17"/>
  <c r="BI12" i="17"/>
  <c r="P124" i="17"/>
  <c r="P167" i="17"/>
  <c r="Q174" i="17"/>
  <c r="W106" i="16" l="1"/>
  <c r="V106" i="16"/>
  <c r="BD103" i="16"/>
  <c r="Q103" i="16"/>
  <c r="BI100" i="16"/>
  <c r="BD100" i="16"/>
  <c r="Q100" i="16"/>
  <c r="P96" i="16"/>
  <c r="P92" i="16"/>
  <c r="Q90" i="16"/>
  <c r="P97" i="16" s="1"/>
  <c r="P90" i="16"/>
  <c r="U88" i="16"/>
  <c r="U86" i="16"/>
  <c r="BD85" i="16"/>
  <c r="U85" i="16"/>
  <c r="Q85" i="16" s="1"/>
  <c r="BD83" i="16"/>
  <c r="Q83" i="16"/>
  <c r="P83" i="16" s="1"/>
  <c r="Q81" i="16"/>
  <c r="BD79" i="16"/>
  <c r="BH65" i="16"/>
  <c r="BI65" i="16" s="1"/>
  <c r="BG65" i="16"/>
  <c r="BD65" i="16"/>
  <c r="Q65" i="16"/>
  <c r="P65" i="16"/>
  <c r="Q62" i="16"/>
  <c r="P62" i="16"/>
  <c r="Q60" i="16"/>
  <c r="P81" i="16" s="1"/>
  <c r="P60" i="16"/>
  <c r="U57" i="16"/>
  <c r="U56" i="16"/>
  <c r="U54" i="16"/>
  <c r="U53" i="16"/>
  <c r="U52" i="16"/>
  <c r="BD51" i="16"/>
  <c r="U51" i="16"/>
  <c r="Q51" i="16"/>
  <c r="U38" i="16"/>
  <c r="Q37" i="16" s="1"/>
  <c r="BH37" i="16"/>
  <c r="BI37" i="16" s="1"/>
  <c r="BG37" i="16"/>
  <c r="BD37" i="16"/>
  <c r="BG33" i="16"/>
  <c r="BI33" i="16" s="1"/>
  <c r="BD33" i="16"/>
  <c r="Q33" i="16"/>
  <c r="U26" i="16"/>
  <c r="W23" i="16"/>
  <c r="U17" i="16"/>
  <c r="Q16" i="16" s="1"/>
  <c r="BH16" i="16"/>
  <c r="BI16" i="16" s="1"/>
  <c r="BG16" i="16"/>
  <c r="BG106" i="16" s="1"/>
  <c r="BD16" i="16"/>
  <c r="Q14" i="16"/>
  <c r="P14" i="16"/>
  <c r="Q12" i="16"/>
  <c r="Q106" i="16" s="1"/>
  <c r="P12" i="16"/>
  <c r="P103" i="16" l="1"/>
  <c r="P100" i="16"/>
  <c r="P16" i="16"/>
  <c r="P51" i="16"/>
  <c r="P33" i="16"/>
  <c r="P37" i="16"/>
  <c r="P85" i="16"/>
  <c r="U106" i="16"/>
  <c r="BH106" i="16"/>
  <c r="BI106" i="16" s="1"/>
  <c r="P93" i="16"/>
  <c r="V15" i="15" l="1"/>
  <c r="U15" i="15"/>
  <c r="O15" i="15"/>
  <c r="V14" i="15"/>
  <c r="U14" i="15"/>
  <c r="O14" i="15"/>
  <c r="V13" i="15"/>
  <c r="U13" i="15"/>
  <c r="O13" i="15"/>
  <c r="V12" i="15"/>
  <c r="V16" i="15" s="1"/>
  <c r="U12" i="15"/>
  <c r="O12" i="15"/>
  <c r="U16" i="15" l="1"/>
  <c r="BF12" i="15" s="1"/>
  <c r="W19" i="15"/>
  <c r="BG12" i="15"/>
  <c r="BH12" i="15" l="1"/>
  <c r="BB12" i="15"/>
  <c r="AX12" i="15"/>
  <c r="AN12" i="15"/>
  <c r="AJ12" i="15"/>
  <c r="AF12" i="15"/>
  <c r="AB12" i="15"/>
  <c r="BD12" i="15"/>
  <c r="AP12" i="15"/>
  <c r="AL12" i="15"/>
  <c r="AH12" i="15"/>
  <c r="Z12" i="15"/>
  <c r="AZ12" i="15"/>
  <c r="AD12" i="15"/>
  <c r="BH21" i="13" l="1"/>
  <c r="BG21" i="13"/>
  <c r="W21" i="13"/>
  <c r="V21" i="13"/>
  <c r="BI18" i="13"/>
  <c r="BE18" i="13"/>
  <c r="BD18" i="13"/>
  <c r="Q18" i="13"/>
  <c r="P18" i="13" s="1"/>
  <c r="U13" i="13"/>
  <c r="U21" i="13" s="1"/>
  <c r="BI12" i="13"/>
  <c r="BE12" i="13"/>
  <c r="BD12" i="13"/>
  <c r="Q12" i="13"/>
  <c r="P12" i="13" s="1"/>
  <c r="Q21" i="13" l="1"/>
  <c r="BH64" i="12" l="1"/>
  <c r="BE64" i="12"/>
  <c r="V64" i="12"/>
  <c r="BG64" i="12" s="1"/>
  <c r="Q64" i="12"/>
  <c r="P64" i="12" s="1"/>
  <c r="BH62" i="12"/>
  <c r="BG62" i="12"/>
  <c r="BE62" i="12"/>
  <c r="Q62" i="12"/>
  <c r="P62" i="12" s="1"/>
  <c r="BH60" i="12"/>
  <c r="BI60" i="12" s="1"/>
  <c r="BG60" i="12"/>
  <c r="BE60" i="12"/>
  <c r="BD60" i="12"/>
  <c r="Q60" i="12"/>
  <c r="P60" i="12" s="1"/>
  <c r="BI57" i="12"/>
  <c r="BH57" i="12"/>
  <c r="BG57" i="12"/>
  <c r="BE57" i="12"/>
  <c r="BD57" i="12"/>
  <c r="Q57" i="12"/>
  <c r="P59" i="12" s="1"/>
  <c r="P57" i="12"/>
  <c r="BH55" i="12"/>
  <c r="BG55" i="12"/>
  <c r="BE55" i="12"/>
  <c r="BD55" i="12"/>
  <c r="Q55" i="12"/>
  <c r="P55" i="12" s="1"/>
  <c r="BH52" i="12"/>
  <c r="BE52" i="12"/>
  <c r="BD52" i="12"/>
  <c r="U52" i="12"/>
  <c r="V52" i="12" s="1"/>
  <c r="BG52" i="12" s="1"/>
  <c r="BH50" i="12"/>
  <c r="BE50" i="12"/>
  <c r="U50" i="12"/>
  <c r="V50" i="12" s="1"/>
  <c r="BG50" i="12" s="1"/>
  <c r="BE48" i="12"/>
  <c r="BD48" i="12"/>
  <c r="U48" i="12"/>
  <c r="V48" i="12" s="1"/>
  <c r="U41" i="12"/>
  <c r="V41" i="12" s="1"/>
  <c r="W41" i="12" s="1"/>
  <c r="BE36" i="12"/>
  <c r="BD36" i="12"/>
  <c r="U36" i="12"/>
  <c r="V36" i="12" s="1"/>
  <c r="U34" i="12"/>
  <c r="U33" i="12"/>
  <c r="U32" i="12"/>
  <c r="BH31" i="12"/>
  <c r="BG31" i="12"/>
  <c r="BE31" i="12"/>
  <c r="BD31" i="12"/>
  <c r="U31" i="12"/>
  <c r="Q31" i="12"/>
  <c r="P31" i="12" s="1"/>
  <c r="W28" i="12"/>
  <c r="V28" i="12"/>
  <c r="U28" i="12"/>
  <c r="BE27" i="12"/>
  <c r="BD27" i="12"/>
  <c r="W27" i="12"/>
  <c r="BH27" i="12" s="1"/>
  <c r="V27" i="12"/>
  <c r="U27" i="12"/>
  <c r="Q27" i="12" s="1"/>
  <c r="P27" i="12" s="1"/>
  <c r="U26" i="12"/>
  <c r="BH25" i="12"/>
  <c r="BG25" i="12"/>
  <c r="BE25" i="12"/>
  <c r="BD25" i="12"/>
  <c r="Q25" i="12"/>
  <c r="P25" i="12" s="1"/>
  <c r="W11" i="12"/>
  <c r="BH10" i="12" s="1"/>
  <c r="BG10" i="12"/>
  <c r="BE10" i="12"/>
  <c r="BD10" i="12"/>
  <c r="U9" i="12"/>
  <c r="T9" i="12"/>
  <c r="BI25" i="12" l="1"/>
  <c r="U67" i="12"/>
  <c r="BG27" i="12"/>
  <c r="BI55" i="12"/>
  <c r="BI64" i="12"/>
  <c r="BI27" i="12"/>
  <c r="BG36" i="12"/>
  <c r="BG67" i="12" s="1"/>
  <c r="V67" i="12"/>
  <c r="W36" i="12"/>
  <c r="BH36" i="12" s="1"/>
  <c r="BI36" i="12" s="1"/>
  <c r="BG48" i="12"/>
  <c r="W48" i="12"/>
  <c r="BH48" i="12" s="1"/>
  <c r="P26" i="12"/>
  <c r="BI31" i="12"/>
  <c r="BI62" i="12"/>
  <c r="Q10" i="12"/>
  <c r="Q36" i="12"/>
  <c r="Q48" i="12"/>
  <c r="P48" i="12" s="1"/>
  <c r="Q50" i="12"/>
  <c r="P50" i="12" s="1"/>
  <c r="Q52" i="12"/>
  <c r="BI50" i="12" l="1"/>
  <c r="BI52" i="12"/>
  <c r="P52" i="12"/>
  <c r="Q67" i="12"/>
  <c r="P14" i="12"/>
  <c r="BI10" i="12"/>
  <c r="P10" i="12"/>
  <c r="BI48" i="12"/>
  <c r="W67" i="12"/>
  <c r="P44" i="12"/>
  <c r="P41" i="12"/>
  <c r="P39" i="12"/>
  <c r="P40" i="12"/>
  <c r="P38" i="12"/>
  <c r="P36" i="12"/>
  <c r="BH67" i="12"/>
  <c r="W20" i="9" l="1"/>
  <c r="V20" i="9"/>
  <c r="U20" i="9"/>
  <c r="BI19" i="9"/>
  <c r="Q19" i="9"/>
  <c r="P19" i="9" s="1"/>
  <c r="BH15" i="9"/>
  <c r="BG15" i="9"/>
  <c r="BI15" i="9" s="1"/>
  <c r="BD15" i="9"/>
  <c r="Q15" i="9"/>
  <c r="P15" i="9" s="1"/>
  <c r="BH12" i="9"/>
  <c r="BH20" i="9" s="1"/>
  <c r="BG12" i="9"/>
  <c r="BG20" i="9" s="1"/>
  <c r="BE12" i="9"/>
  <c r="BD12" i="9"/>
  <c r="Q12" i="9"/>
  <c r="P12" i="9"/>
  <c r="BI12" i="9" l="1"/>
  <c r="Q20" i="9"/>
  <c r="P48" i="8"/>
  <c r="P47" i="8"/>
  <c r="BH90" i="8" l="1"/>
  <c r="BG90" i="8"/>
  <c r="W90" i="8"/>
  <c r="V90" i="8"/>
  <c r="U90" i="8"/>
  <c r="Q90" i="8"/>
  <c r="P89" i="8"/>
  <c r="BI85" i="8"/>
  <c r="P85" i="8"/>
  <c r="BI82" i="8"/>
  <c r="P82" i="8"/>
  <c r="BI78" i="8"/>
  <c r="P78" i="8"/>
  <c r="BI76" i="8"/>
  <c r="P76" i="8"/>
  <c r="P71" i="8"/>
  <c r="BI69" i="8"/>
  <c r="P69" i="8"/>
  <c r="BI63" i="8"/>
  <c r="P63" i="8"/>
  <c r="P60" i="8"/>
  <c r="P57" i="8"/>
  <c r="BI54" i="8"/>
  <c r="P54" i="8"/>
  <c r="P51" i="8"/>
  <c r="P50" i="8"/>
  <c r="BI43" i="8"/>
  <c r="P43" i="8"/>
  <c r="BI39" i="8"/>
  <c r="P39" i="8"/>
  <c r="P37" i="8"/>
  <c r="P36" i="8"/>
  <c r="P34" i="8"/>
  <c r="BI31" i="8"/>
  <c r="P31" i="8"/>
  <c r="P30" i="8"/>
  <c r="P29" i="8"/>
  <c r="P28" i="8"/>
  <c r="P27" i="8"/>
  <c r="BI26" i="8"/>
  <c r="P26" i="8"/>
  <c r="P23" i="8"/>
  <c r="BI20" i="8"/>
  <c r="P20" i="8"/>
  <c r="BI15" i="8"/>
  <c r="BI12" i="8"/>
  <c r="Q12" i="7" l="1"/>
  <c r="P12" i="7" s="1"/>
  <c r="BG12" i="7"/>
  <c r="BH12" i="7"/>
  <c r="BI12" i="7" s="1"/>
  <c r="P25" i="7"/>
  <c r="Q25" i="7"/>
  <c r="BG25" i="7"/>
  <c r="BG107" i="7" s="1"/>
  <c r="BH25" i="7"/>
  <c r="BI25" i="7"/>
  <c r="Q37" i="7"/>
  <c r="P37" i="7" s="1"/>
  <c r="BG37" i="7"/>
  <c r="BH37" i="7"/>
  <c r="BI37" i="7" s="1"/>
  <c r="P45" i="7"/>
  <c r="Q45" i="7"/>
  <c r="BG45" i="7"/>
  <c r="BH45" i="7"/>
  <c r="BI45" i="7"/>
  <c r="Q53" i="7"/>
  <c r="P53" i="7" s="1"/>
  <c r="BG53" i="7"/>
  <c r="BH53" i="7"/>
  <c r="BI53" i="7" s="1"/>
  <c r="P70" i="7"/>
  <c r="Q70" i="7"/>
  <c r="BG70" i="7"/>
  <c r="BH70" i="7"/>
  <c r="BI70" i="7"/>
  <c r="P73" i="7"/>
  <c r="P74" i="7"/>
  <c r="P75" i="7"/>
  <c r="P77" i="7"/>
  <c r="P78" i="7"/>
  <c r="P79" i="7"/>
  <c r="Q79" i="7"/>
  <c r="BG79" i="7"/>
  <c r="BH79" i="7"/>
  <c r="BI79" i="7"/>
  <c r="U107" i="7"/>
  <c r="V107" i="7"/>
  <c r="W107" i="7"/>
  <c r="BH107" i="7"/>
  <c r="Q107" i="7" l="1"/>
  <c r="V47" i="3" l="1"/>
  <c r="P45" i="3"/>
  <c r="W40" i="3"/>
  <c r="BH37" i="3" s="1"/>
  <c r="BI37" i="3" s="1"/>
  <c r="BG37" i="3"/>
  <c r="BE37" i="3"/>
  <c r="BD37" i="3"/>
  <c r="Q37" i="3"/>
  <c r="P42" i="3" s="1"/>
  <c r="P37" i="3"/>
  <c r="BH28" i="3"/>
  <c r="BI28" i="3" s="1"/>
  <c r="BG28" i="3"/>
  <c r="BE28" i="3"/>
  <c r="BD28" i="3"/>
  <c r="Q28" i="3"/>
  <c r="P28" i="3" s="1"/>
  <c r="U24" i="3"/>
  <c r="U23" i="3"/>
  <c r="U22" i="3"/>
  <c r="P21" i="3" s="1"/>
  <c r="BG21" i="3"/>
  <c r="BE21" i="3"/>
  <c r="BD21" i="3"/>
  <c r="W21" i="3"/>
  <c r="W47" i="3" s="1"/>
  <c r="U21" i="3"/>
  <c r="U47" i="3" s="1"/>
  <c r="Q21" i="3"/>
  <c r="P27" i="3" s="1"/>
  <c r="BH17" i="3"/>
  <c r="BI17" i="3" s="1"/>
  <c r="BG17" i="3"/>
  <c r="BE17" i="3"/>
  <c r="BD17" i="3"/>
  <c r="Q17" i="3"/>
  <c r="P20" i="3" s="1"/>
  <c r="P14" i="3"/>
  <c r="BH12" i="3"/>
  <c r="BG12" i="3"/>
  <c r="BG47" i="3" s="1"/>
  <c r="BD12" i="3"/>
  <c r="Q12" i="3"/>
  <c r="Q47" i="3" s="1"/>
  <c r="P12" i="3"/>
  <c r="BI12" i="3" l="1"/>
  <c r="P17" i="3"/>
  <c r="P25" i="3"/>
  <c r="P40" i="3"/>
  <c r="BH21" i="3"/>
  <c r="BI21" i="3" s="1"/>
  <c r="BH47" i="3" l="1"/>
</calcChain>
</file>

<file path=xl/comments1.xml><?xml version="1.0" encoding="utf-8"?>
<comments xmlns="http://schemas.openxmlformats.org/spreadsheetml/2006/main">
  <authors>
    <author>AUXPLANEACION55</author>
  </authors>
  <commentList>
    <comment ref="U26" authorId="0" shapeId="0">
      <text>
        <r>
          <rPr>
            <b/>
            <sz val="9"/>
            <color indexed="81"/>
            <rFont val="Tahoma"/>
            <family val="2"/>
          </rPr>
          <t>AUXPLANEACION55:</t>
        </r>
        <r>
          <rPr>
            <sz val="9"/>
            <color indexed="81"/>
            <rFont val="Tahoma"/>
            <family val="2"/>
          </rPr>
          <t xml:space="preserve">
ajuste decimal</t>
        </r>
      </text>
    </comment>
    <comment ref="U29" authorId="0" shapeId="0">
      <text>
        <r>
          <rPr>
            <b/>
            <sz val="9"/>
            <color indexed="81"/>
            <rFont val="Tahoma"/>
            <family val="2"/>
          </rPr>
          <t>AUXPLANEACION55:</t>
        </r>
        <r>
          <rPr>
            <sz val="9"/>
            <color indexed="81"/>
            <rFont val="Tahoma"/>
            <family val="2"/>
          </rPr>
          <t xml:space="preserve">
ajuste decimal</t>
        </r>
      </text>
    </comment>
  </commentList>
</comments>
</file>

<file path=xl/sharedStrings.xml><?xml version="1.0" encoding="utf-8"?>
<sst xmlns="http://schemas.openxmlformats.org/spreadsheetml/2006/main" count="6128" uniqueCount="2519">
  <si>
    <t>Apoyo al mejoramiento de la competitividad a iniciativas  productivas en el  Departamento del Quindío</t>
  </si>
  <si>
    <t>27.1</t>
  </si>
  <si>
    <t>Servicio de apoyo y consolidación de las Comisiones Regionales de Competitividad - CRC</t>
  </si>
  <si>
    <t xml:space="preserve">Planes de trabajo concertados con las CRC para su consolidación </t>
  </si>
  <si>
    <t>Superávit Recurso Ordinario</t>
  </si>
  <si>
    <t>27.2</t>
  </si>
  <si>
    <t>Clústeres asistidos en la implementación de los planes de acción</t>
  </si>
  <si>
    <t>Recurso Ordinario</t>
  </si>
  <si>
    <t>27.4</t>
  </si>
  <si>
    <t>Servicio de asistencia técnica a las Mipymes para el acceso a nuevos mercados</t>
  </si>
  <si>
    <t>Empresas asistidas técnicamente</t>
  </si>
  <si>
    <t>27.7</t>
  </si>
  <si>
    <t>Documentos de planeación</t>
  </si>
  <si>
    <t>Documentos de planeación elaborados</t>
  </si>
  <si>
    <t>27.5</t>
  </si>
  <si>
    <t>Servicio de asistencia técnica a los entes territoriales para el desarrollo turístico</t>
  </si>
  <si>
    <t>Entidades territoriales asistidas técnicamente</t>
  </si>
  <si>
    <t>Proyectos de infraestructura turística apoyados</t>
  </si>
  <si>
    <t>27.6</t>
  </si>
  <si>
    <t>Servicio de promoción turística</t>
  </si>
  <si>
    <t>Campañas realizadas</t>
  </si>
  <si>
    <t>28.1</t>
  </si>
  <si>
    <t>Planes de negocio financiados</t>
  </si>
  <si>
    <t>28.4</t>
  </si>
  <si>
    <t>Emprendimientos fortalecidos</t>
  </si>
  <si>
    <t>28.2</t>
  </si>
  <si>
    <t>Talleres de oferta institucional realizados</t>
  </si>
  <si>
    <t>28.3</t>
  </si>
  <si>
    <t>Reportes realizados</t>
  </si>
  <si>
    <t xml:space="preserve">CODIGO:  </t>
  </si>
  <si>
    <t xml:space="preserve">VERSIÓN: </t>
  </si>
  <si>
    <t>O6</t>
  </si>
  <si>
    <t xml:space="preserve">FECHA: </t>
  </si>
  <si>
    <t>Nov. 22 de 2017</t>
  </si>
  <si>
    <t>PÁGINA:</t>
  </si>
  <si>
    <t xml:space="preserve"> 1 de 1</t>
  </si>
  <si>
    <t>PLAN DE DESARROLLO DEPARTAMENTAL:  "TÚ Y YO SOMOS QUINDÍO"</t>
  </si>
  <si>
    <t xml:space="preserve">PROYECTO </t>
  </si>
  <si>
    <t>POBLACIÓN</t>
  </si>
  <si>
    <t>CODIGO</t>
  </si>
  <si>
    <t xml:space="preserve">ESTRATEGIA </t>
  </si>
  <si>
    <t xml:space="preserve">PROGRAMA </t>
  </si>
  <si>
    <t>CODIGO INTERNO DE LA META</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</si>
  <si>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</si>
  <si>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</si>
  <si>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</si>
  <si>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</si>
  <si>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</si>
  <si>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</si>
  <si>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</si>
  <si>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</si>
  <si>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</si>
  <si>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</si>
  <si>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</si>
  <si>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</si>
  <si>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</si>
  <si>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</si>
  <si>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</si>
  <si>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</si>
  <si>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</si>
  <si>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</si>
  <si>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</si>
  <si>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PRESUPUESTADO</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</si>
  <si>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</si>
  <si>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</si>
  <si>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</si>
  <si>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</si>
  <si>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</si>
  <si>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</si>
  <si>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</si>
  <si>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</si>
  <si>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</si>
  <si>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</si>
  <si>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</si>
  <si>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</si>
  <si>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</si>
  <si>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</si>
  <si>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</si>
  <si>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PRODUCTIVIDAD Y COMPETITIVIDAD</t>
  </si>
  <si>
    <t xml:space="preserve">Productividad y competitividad de las empresas colombianas. "Tú y yo con empresas competitivas" </t>
  </si>
  <si>
    <t xml:space="preserve">0311 - 5 - 1 2 13 27 51 - 20
0311 - 5 - 1 2 13 27 51 - 88
</t>
  </si>
  <si>
    <t>201663000-0051</t>
  </si>
  <si>
    <t>Mejoramiento de  los  niveles de competitividad e innovación en  las empresas, a través de fortalecimiento de los clúster y  rutas competitivas  en el Departamento del Quindío.</t>
  </si>
  <si>
    <t>Incremento de las empresas competitivas en el departamento.</t>
  </si>
  <si>
    <t>Apoyo para la ejecuciòn  del Plan de Acciòn de la Comisiòn Regional de Competitividad.</t>
  </si>
  <si>
    <t xml:space="preserve">
88</t>
  </si>
  <si>
    <t>Superávit recurso ordinario</t>
  </si>
  <si>
    <t xml:space="preserve">Secretaría de Turismo, Industria y Comercio </t>
  </si>
  <si>
    <t>Servicio de asistencia tècnica para el desarrollo de iniciativas Clùsters</t>
  </si>
  <si>
    <t>Aunar esfuerzos  para desarrollar proyecctos que incremente la competitiviad, la invonaciòn y la productividad de los clùster en el departamento</t>
  </si>
  <si>
    <t>Apoyo para la implementaciòn  y ejecuciòn de los planes de acciòn de los clùsters</t>
  </si>
  <si>
    <t>0311 - 5 - 1 2 13 27 56 - 20
0311 - 5 - 1 2 13 27 56 - 88
0311 - 5 - 3 1 2 2 10 13 56 - 20</t>
  </si>
  <si>
    <t>201663000-0056</t>
  </si>
  <si>
    <t xml:space="preserve">Fortalecimiento del sector empresarial  hacia mercados globales en el Departamento del Quindio .   </t>
  </si>
  <si>
    <t xml:space="preserve">Mejoramiento del potencial exportador de empresas con capacidad para su conexión a mercados globales 
</t>
  </si>
  <si>
    <t xml:space="preserve">Mejoramiento en la generación de competencias y habilidades en las empresas del departamento del Quindío.
Fortalecimiento de mecanismos de inversión y de herramientas tecnológicas de servicios logísticos en el sector empresarial para su
conexión a mercados global
</t>
  </si>
  <si>
    <t>Fortalecimiento a doce empresas en actividades de apertura de mercados internos y/o externos</t>
  </si>
  <si>
    <t>Apoyo a procesos y actividades direccionadas a promover el acceso a nuevos mercados  para las Mypymes del departamento</t>
  </si>
  <si>
    <t>Aunar esfuerzos para desarrolar proyectos  y/o actividades dirrecionadas a promover el acceso a nuevos mercados  para las Mypymes del departamento</t>
  </si>
  <si>
    <t>Elaboraciòn de estudios, diagnòticos y/o investigaciòn para la formulaciòn del Plan de Internacionalizaciòn del departamento del Quindìo.</t>
  </si>
  <si>
    <t>0311 - 5 - 1 2 13 27 59 - 20
0311 - 5 - 1 2 13 27 59 - 88
0311 - 5 - 3 1 2 3 11 13 59 - 20</t>
  </si>
  <si>
    <t>201663000-0059</t>
  </si>
  <si>
    <t>Fortalecimiento de la oferta de prestadores de servicios, productos y atractivos turísticos en el Departamento del Quindío.</t>
  </si>
  <si>
    <t xml:space="preserve">Mejoramiento del posicionamiento del departamento del Quindío como destino turistico en Colombia. </t>
  </si>
  <si>
    <t>Fortalecimiento de los factores que hacen competitivo el turismo.</t>
  </si>
  <si>
    <t>Apoyo a los diferentes procesos que permitan fortalecer la oferta turìstica del destino del deparamento del Quindìo</t>
  </si>
  <si>
    <t>Logistica, impresión material y /o refrigerios para adelantar las diferentes campañas truísticas del Departamento</t>
  </si>
  <si>
    <t>Ejecución del Plan de Calidad Turistica</t>
  </si>
  <si>
    <t>Aunar esfuerzos y coordinar entre municipios y empresarios el apoyo en asistencia tècnica para certificaciones en protocolos de bioseguridad.</t>
  </si>
  <si>
    <t>Estudios y/o diseños para proyectos de infraestructura turística.</t>
  </si>
  <si>
    <t xml:space="preserve">20
</t>
  </si>
  <si>
    <t>Apoyar los procesos de planificaciòn turìstica.</t>
  </si>
  <si>
    <t xml:space="preserve">0311 - 5 - 1 2 13 27 62 - 52
0311 - 5 - 1 2 13 27 62 - 94
0311 - 5 - 3 1 2 3 13 13 62 - 52
0311 - 5 - 1 2 13 27 62 - 88
</t>
  </si>
  <si>
    <t>201663000-0062</t>
  </si>
  <si>
    <t>Apoyo a la promoción nacional e internacional como destino  turísmo del Departamento del Quindío.</t>
  </si>
  <si>
    <t>Mejoramiento del nivel de impacto de las acciones de "Promoción del destino turístico del departamento del Quindío"</t>
  </si>
  <si>
    <t>Eficiente identificación de los mercados prioritarios para productos turísticos</t>
  </si>
  <si>
    <t>Ejecucion del Plan de Mercadeo para la  Promoción del departamento como destino turística nivel nacional.</t>
  </si>
  <si>
    <t xml:space="preserve">
52
</t>
  </si>
  <si>
    <t xml:space="preserve">
Impuesto al Registro
</t>
  </si>
  <si>
    <t>Apoyo a camapañas de promociòn institucional a travès de  diferentes medios de comunicaciòn</t>
  </si>
  <si>
    <t xml:space="preserve">
Superávit  Impuesto al Registro
</t>
  </si>
  <si>
    <t>Apoyo a la promociòn nacional e internaciònal del departamento del Quindìo como destino turìstico</t>
  </si>
  <si>
    <t>Logìstica y transporte para realizar  labores institucionales</t>
  </si>
  <si>
    <t>Adquisiciòn de equipos tecnologicos para la promociòn turìstica</t>
  </si>
  <si>
    <t xml:space="preserve">impuesto al registro 
</t>
  </si>
  <si>
    <t>Generación y formalización del empleo. "Tú y yo con empleo de calidad"</t>
  </si>
  <si>
    <t>Servicios de apoyo financiero para la creaciòn de empresas</t>
  </si>
  <si>
    <t>0311 - 5 - 1 2 13 28 53 - 20
0311 - 5 - 1 2 13 28 53 - 88
0311 - 5 - 3 1 2 2 9 13 53 - 20</t>
  </si>
  <si>
    <t>201663000-0053</t>
  </si>
  <si>
    <t>Apoyo al emprendimiento, empresarismo, asociatividad y generación de empleo en el departamento del Quindío.</t>
  </si>
  <si>
    <t>Mejoramiento de los niveles de emprendimiento, empresarismo y asociatividad en el departamento del Quindío</t>
  </si>
  <si>
    <t>Eficiente estimulo con recursos financieros para el emprendimiento, empresarismo y asociatividad en el departamento del Quindío</t>
  </si>
  <si>
    <t>Apoyar  tres unidades de emprendimiento de jovenes emprendedores.</t>
  </si>
  <si>
    <t>Aunar esfuerzos para desarrolar proyectos direccionados al financiamiento de planes de negocio</t>
  </si>
  <si>
    <t>Servicio de asesorìa tècnica para el emprendimiento.</t>
  </si>
  <si>
    <t>Apoyo a procesos y actividades direccionadas a fortalecer las capacidades de los emprendedores del departamento</t>
  </si>
  <si>
    <t>Aunar esfuerzos para desarrolar proyectos  a travès delos cuales se fortalezcan las capacidades de los emprendedores del departamento</t>
  </si>
  <si>
    <t>Servicio de asìstencia tècnica para la gèneracion y formalizaciòn del empleo</t>
  </si>
  <si>
    <t>Apoyar tres unidades de emprendimiento de población con enfoque diferencial.</t>
  </si>
  <si>
    <t>Apoyo a procesos y actividades direccionadas a desarrollar talleres de oefrta institucional del sector trabajo.</t>
  </si>
  <si>
    <t>Logistica, impresiones maaterial  y refrigerios para adelantar los talleres de oferta institucional</t>
  </si>
  <si>
    <t>Servicio de informaciòn y monitoreo del mercado de trabajo</t>
  </si>
  <si>
    <t>Apoyo a procesos y actividades direccionadas a fortalecer el observatorio regional del mercado de trabajo ORMET</t>
  </si>
  <si>
    <t>Logistica, impresiones maaterial  y refrigerios para adelantar los procesos de monitoreo del mercado de tarabajo,</t>
  </si>
  <si>
    <t xml:space="preserve">MARIA TERESA RAMÍREZ LEÓN </t>
  </si>
  <si>
    <t>Secretaria de Turismo, Industria y Comercio</t>
  </si>
  <si>
    <t>SEGUIMIENTO PLAN DE ACCIÓN
SECRETARIA DE TURISMO INDUSTRIA Y COMERCIO
SEPTIEMBRE  30   DE   2020</t>
  </si>
  <si>
    <t xml:space="preserve">    F-PLA-07 </t>
  </si>
  <si>
    <t xml:space="preserve">Contratos </t>
  </si>
  <si>
    <t>E (COMPROMISOS)</t>
  </si>
  <si>
    <t>E (OBLIGACIONES)</t>
  </si>
  <si>
    <t xml:space="preserve">No. DE 
CONTRATOS </t>
  </si>
  <si>
    <t>VALOR COMPROMISOS</t>
  </si>
  <si>
    <t>VALOR DE LAS OBLIGACIONES</t>
  </si>
  <si>
    <t>% DE EJECUCION</t>
  </si>
  <si>
    <t>FUENTE DE LOS RECURSOS</t>
  </si>
  <si>
    <t>SUPERVISOR RESPONSABLE</t>
  </si>
  <si>
    <t>P</t>
  </si>
  <si>
    <t>E</t>
  </si>
  <si>
    <t>Hernando Alonso Garcia Arìas, Jefe de Promociòn,empleo,competitividad e innovaciòn</t>
  </si>
  <si>
    <t>20
88</t>
  </si>
  <si>
    <t>Hernando Alonso Garcia Arìas,  Jefe de Promociòn,empleo,competitividad e innovaciòn</t>
  </si>
  <si>
    <t>Monica Andrea Rodrìguez Gonzalez 
Jefe Promociòn y Calidad Turìstica</t>
  </si>
  <si>
    <t>52
94</t>
  </si>
  <si>
    <t>Maria Claudia Echeverri Bermudez 
Directora de Turìsmo,Clùster y Asociatividad</t>
  </si>
  <si>
    <t>Secretario de Planeación</t>
  </si>
  <si>
    <t>JOSÉ IGNACIO ROJAS SEPÚLVEDA</t>
  </si>
  <si>
    <t xml:space="preserve">
Superávit recurso ordinario</t>
  </si>
  <si>
    <t>Logitica proceso de socialización  y divulgación MIPG</t>
  </si>
  <si>
    <t>Realización procesos de autoevaluación MIPG</t>
  </si>
  <si>
    <t>Dimensiones y Politicas  del  MIPG</t>
  </si>
  <si>
    <t>7. DIMENSION DE CONTROL INTERNO / 7.1 POLITICA DE CONTROL INTERNO</t>
  </si>
  <si>
    <t>6. DIMENSION GESTIÓN DEL CONOCIMIENTO Y LA INNOVACIÓN / 6.1  POLÍTICA DE GESTIÓN DEL CONOCIMIENTO Y LA INNOVACIÓN</t>
  </si>
  <si>
    <t xml:space="preserve">5. DIMENSIÓN INFORMACIÓN Y COMUNICACIÓN / 5.2 POLITICA  GESTIÓN DE LA INFORMACION ESTADISTICA </t>
  </si>
  <si>
    <t xml:space="preserve">5. DIMENSIÓN INFORMACIÓN Y COMUNICACIÓN / 5.1  POLITICA GESTIÓN DOCUMENTAL </t>
  </si>
  <si>
    <t xml:space="preserve">4. DIMENSION GESTIÓN PARA RESULTADOS CON VALORES /4.1 POLITICA DE SEGUIMIENTO Y EVALUACIÓN DEL DESEMPEÑO INSTITUCIONAL </t>
  </si>
  <si>
    <t xml:space="preserve">3. DIMENSION GESTIÓN PARA RESULTADOS CON VALORES / 3.9 POLITICA MEJORA NORMATIVA </t>
  </si>
  <si>
    <t xml:space="preserve">3. DIMENSION GESTIÓN PARA RESULTADOS CON VALORES / 3.8 POLITICA PARTICIPACIÓN CIUDADANA EN LA GESTIÓN </t>
  </si>
  <si>
    <t xml:space="preserve">3. DIMENSION GESTIÓN PARA RESULTADOS CON VALORES /3.7 POLITICA DE RACIONALIZACION DE TRÁMITES </t>
  </si>
  <si>
    <t xml:space="preserve">3. DIMENSION GESTIÓN PARA RESULTADOS CON VALORES / 3.6 POLITICA SERVICIO AL CIUDADANO </t>
  </si>
  <si>
    <t>3. DIMENSION GESTIÓN PARA RESULTADOS CON VALORES / 3.5 POLITICA  TRANSPARENCIA, ACCESO A LA INFORMACIÓN Y LUCHA CONTRA LA CORRUPCIÓN</t>
  </si>
  <si>
    <t>3. DIMENSION GESTIÓN PARA RESULTADOS CON VALORES / 3.4 POLITICA DEFENSA JURIDICA</t>
  </si>
  <si>
    <t xml:space="preserve">3. DIMENSION GESTIÓN PARA RESULTADOS CON VALORES / 3.3  POLITICA DE SEGURIDAD DIGITAL </t>
  </si>
  <si>
    <t xml:space="preserve">3. DIMENSION GESTIÓN PARA RESULTADOS CON VALORES / 3.2 POLITICA DE GOBIERNO DIGITAL </t>
  </si>
  <si>
    <t xml:space="preserve">3. DIMENSION GESTIÓN PARA RESULTADOS CON VALORES / 3.1  POLITICA FORTALECIMIENTO ORGANIZACIONAL Y SIMPLIFICACION DE PROCESOS </t>
  </si>
  <si>
    <t>2. DIMENSION DIRECCIONAMIENTO ESTRATÉGICO / 2.2 POLITICA GESTIÓN PRESUPUESTAL Y EFICIENCIA DEL GASTO PUBLICO</t>
  </si>
  <si>
    <t xml:space="preserve">2. DIMENSION DIRECCIONAMIENTO ESTRATÉGICO / 2.1 PLANEACION INSTITUCIONAL </t>
  </si>
  <si>
    <t>1. DIMENSION DE TALENTO HUMANO / 1.2 POLITICA DE  INTEGRIDAD</t>
  </si>
  <si>
    <t xml:space="preserve">1. DIMENSION DE TALENTO HUMANO /  1.1 POLITICA DE TALENTO HUMANO </t>
  </si>
  <si>
    <t xml:space="preserve">7. DIMENSION DE CONTROL INTERNO </t>
  </si>
  <si>
    <t>6. DIMENSION GESTIÓN DEL CONOCIMIENTO Y LA INNOVACIÓN</t>
  </si>
  <si>
    <t>5. DIMENSIÓN INFORMACIÓN Y COMUNICACIÓN</t>
  </si>
  <si>
    <t>4. DIMENSION GESTIÓN PARA RESULTADOS CON VALORES</t>
  </si>
  <si>
    <t>3. DIMENSION GESTIÓN PARA RESULTADOS CON VALORES</t>
  </si>
  <si>
    <t>2. DIMENSION DIRECCIONAMIENTO ESTRATÉGICO</t>
  </si>
  <si>
    <t>Secretaría de Planeación</t>
  </si>
  <si>
    <t>Martha Elena Giraldo Ramirez
Directora Técnica</t>
  </si>
  <si>
    <t>Superavit Recurso Ordinario (88)</t>
  </si>
  <si>
    <t xml:space="preserve">1. DIMENSION DE TALENTO HUMANO </t>
  </si>
  <si>
    <t>Fortalecer la implementación de procesos y procedimientos que reglamentan la operación de las Dimensiones y Políticas del Modelo Integrado de Planeación y de Gestión MIPG en las diferentes áreas de la Administración Departamental.</t>
  </si>
  <si>
    <t>Mejorar el Indice de  gestión y el desempeño institucional de la administración departamental, con el propósito de dar cumplimiento a la visión y misión institucional con eficacia y eficiencia, en beneficio de la población del Departamento del Quindío</t>
  </si>
  <si>
    <t xml:space="preserve">Implementación  del Modelo Integrado de Planeación y de Gestión MIPG en la Administración Departamental del Quindio </t>
  </si>
  <si>
    <t>202000363-0006</t>
  </si>
  <si>
    <t>0305 - 5 - 1 4 17 45 6 - 88</t>
  </si>
  <si>
    <t>Número de Dimensiones y Políticas   de MIPG implementadas.</t>
  </si>
  <si>
    <t>Implementación de  las Dimensiones y Politicas  del Modelo Integrado de Planeación y de Gestión MIPG</t>
  </si>
  <si>
    <t>45.1</t>
  </si>
  <si>
    <t>DNP</t>
  </si>
  <si>
    <t>Capacitación , Asistencia técnica, seguimiento y/o evaluación Metodologia General Ajustada</t>
  </si>
  <si>
    <t>Entes Territoriales con procesos de asistencia técnica realizadas.</t>
  </si>
  <si>
    <t xml:space="preserve">Entes territoriales  con servicio de asistencia técnica en Banco de Programas y Proyectos de Inversión Nacional (BPIN).  </t>
  </si>
  <si>
    <t>45.14</t>
  </si>
  <si>
    <t xml:space="preserve">Capacitación , Asistencia técnica, seguimiento y/o evaluación Politicas Públicas  </t>
  </si>
  <si>
    <t>Entes territoriales con servicio de asistencia técnica en la formulación, preparación, seguimiento y evaluación de las políticas públicas.</t>
  </si>
  <si>
    <t>45.16</t>
  </si>
  <si>
    <t>Recurso ordinario</t>
  </si>
  <si>
    <t xml:space="preserve">Asistencia técnica en la operatividad del Sistema de Selección de Beneficiarios SISBEN III en los doce municipios del Departamento del Quindío:  </t>
  </si>
  <si>
    <t xml:space="preserve">Entes territoriales  con servicio de asistencia técnica  en el Sistema de Identificación de Potenciales Beneficiarios de Programas Sociales (SISBEN). </t>
  </si>
  <si>
    <t>45.15</t>
  </si>
  <si>
    <t>Asistencia técnica, seguimiento y/o evaluación  Ranking Integral de Desempeño Municipal.</t>
  </si>
  <si>
    <t>Entes territoriales  con servicio de asistencia técnica en la Medición del Desempeño Municipal.</t>
  </si>
  <si>
    <t>45.13</t>
  </si>
  <si>
    <t>Asistencia técnica a los Entes territoriales en el Modelo Integrado de Planeación y de Gestión MIPG</t>
  </si>
  <si>
    <t>Entes territoriales con servicio de asistencia  técnica del Modelo Integrado de Planeación y de Gestión MIPG</t>
  </si>
  <si>
    <t>45.12</t>
  </si>
  <si>
    <t>Capacitación , Asistencia técnica, seguimiento y evaluación  instrumentos de planificación a los doce municipios</t>
  </si>
  <si>
    <t xml:space="preserve">Asistencia técnica, seguimiento y/o evaluación Planes Básicos de Ordenamiento Territorial  </t>
  </si>
  <si>
    <t>José Ignacio Rojas Sepúlveda
Secretario Departamental de Planeación
Martha Elena Giraldo Ramirez
Directora Técnica
Sandra Patricia Díaz Ordoñez
Jefe de Proyectos y Cooperación
Juan Manuel Lozano Castro
Jefe Oficina Desarrollo Territorial</t>
  </si>
  <si>
    <t>Recurso Ordinario (20)
Superavit Recurso Ordinario (88)</t>
  </si>
  <si>
    <t xml:space="preserve">Asistencia técnica a los Municipios en el seguimiento y/o evaluación Planes Básicos de Ordenamiento Territorial  y la Gestión Territorial departamental. </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</si>
  <si>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</si>
  <si>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2020. </t>
  </si>
  <si>
    <t>Asistencia  técnica, seguimiento y evaluación  de la gestión  territorial en los  munipicios del Departamento del  Quindío.</t>
  </si>
  <si>
    <t>201663000-0014</t>
  </si>
  <si>
    <t>0305 - 5 - 1 4 17 45 14 - 88
0305 - 5 - 3 1 5 28 87 17 14 - 20</t>
  </si>
  <si>
    <t>Entes territoriales con procesos de asistencia técnica realizadas.</t>
  </si>
  <si>
    <t xml:space="preserve">Entes territoriales  con servicio de asistencia técnica de los Instrumentos de Planificación para  el Ordenamiento y la Gestión Territorial departamental. </t>
  </si>
  <si>
    <t>45.17</t>
  </si>
  <si>
    <t>2.9 Apoyo y asistencia tecnica en la formulación y estructuración de los proyectos de la secretaria de planeación departamental, de acuerdo al plan de desarrollo 2020-2023, apoyando la revisión y verificación del cumplimiento de requisitos generales y la actualización en la plataformas de la metodologia general ajustada -MGA WEB, SUIFP-TERRITORIO,SPI</t>
  </si>
  <si>
    <t>2.8 Capacitación y asistencia tecnica a las unidades ejecutoras de la administración departamental, en forulación, estructuración metodologica,teoria de proyectos, gestión presupuestal de la inversión publica, armonizacion de proyectos y herramientas informaticas que soporten el ciclo de la inversión: MGA, SUIFP Y SPI, de acuerdo al plan de desarrollo 2020-2023</t>
  </si>
  <si>
    <t>2.7.  Seguimiento, identificaciòn y sistematizaciòn de las iniciativas y proyectos susceptibles a ser financiados con recursos de cooperaciòn internacional, gestionados por los entes territoriales municipales ante las agencias de cooperaciòn y embajadas extranjeras en el pais.</t>
  </si>
  <si>
    <t xml:space="preserve">2.5. Apoyo a los procesos de revision, verificación de cumplimiento de requisitos generales y acompañamiento a los proyectos presentados  por formuladores ciudadanos u oficiales,  presentando los respectivos informes y actualización de la caracterización de  los proyectos e iniciativas  estratégicas  del departamento y sus municipios, susceptibles de ser financiados con recursos del orden departamental, regional, nacional e internacional. </t>
  </si>
  <si>
    <t xml:space="preserve">2.4.  Apoyo y acompañamiento técnico para la realización de modificaciones y/o  ajustes a los proyectos de Inversión vigencia 2020, de acuerdo a los formatos y directrices del Manual Operativo del Banco de Programas y Proyectos del Departamento y su actualización en las plataformas de  la Metodología General Ajustada —MGA WEB, SUIFP-TERRITORIO.  </t>
  </si>
  <si>
    <t>2.3. 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</si>
  <si>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 xml:space="preserve"> 2.2 Asistencia Técnica a las unidades ejecutoras en la formulación y estructuración de proyectos de acuerdo al Plan de Desarrollo 2020-2023, apoyando las mesas de trabajo, los procesos de revisión y verificación del cumplimiento de requisitos generales.</t>
  </si>
  <si>
    <t>2.1. Asistencia Técnica en la formulación y estructuración de  proyectos de carácter estrategico (del orden departamental, Regional, Nacional e Internacional), en  las Metodologías requeridas, apoyando la realizacion de mesas de trabajo con las unidades ejecutoras y entidades actoras, para la construccion de los documentos y anexos requeridos en los proyectos, la verifcacion de requisitos en los proyectos,  el diligenciamiento de la información en las plataformas requeridas y la socializacion de los proyectos formulados .</t>
  </si>
  <si>
    <t>Sandra Patricia Díaz Ordoñez
Jefe de Proyectos y Cooperación
Norma Consuelo Mantilla Quintero  
Profesional Universitario
Luis Alberto Rincon Quintero 
Asesor Despacho</t>
  </si>
  <si>
    <t>2.6.  Apoyo técnico  y acompañamiento a las unidades ejecutoras para el Seguimiento a los Proyectos de Inversión del Banco de Proyectos nivel departamental en el  SISTEMA DE SEGUIMIENTO A PROYECTOS DE INVERSIÓN -SPI-, teniendo en cuenta la Ejecución fisica, el seguimiento a actividades, el  Seguimiento de gestión y los anexos.</t>
  </si>
  <si>
    <t>Fortalecer la gestión de recursos, a través del SGR, departamentales, nacionales  e Internacional para el apoyo de alternativas regionales.
Fortalecer el Monitoreo, control y seguimiento de los proyectos de inversión en tiempo real
Brindar apoyo técnico integral o interdisciplinario a las Secretarias de la Gobernación del Quindío y a los entes territoriales en la identificación y formulación  de Proyectos en el marco de la Metodología General Ajustada, Marco Lógico y otras</t>
  </si>
  <si>
    <t xml:space="preserve">Aumentar la capacidad instalada en las secretarias sectoriales y entes territoriales para la formulación de proyectos conducentes a la gestión de recursos del orden departamental, nacional e internacional  </t>
  </si>
  <si>
    <t>Implementación Sistema de Cooperación Internacional y  de Gestión de proyectos  del Depratamento del Quindío - " Fabrica de Proyectos</t>
  </si>
  <si>
    <t>201663000-0012</t>
  </si>
  <si>
    <t>0305 - 5 - 1 4 17 45 12 - 88
0305 - 5 - 3 1 5 28 87 17 12 - 20</t>
  </si>
  <si>
    <t>Banco de Programas y Proyectos del Departamento fortalecido</t>
  </si>
  <si>
    <t>Banco de Programas y Proyectos del Departamento  con Procesos de fortalecimiento.</t>
  </si>
  <si>
    <t>45.3</t>
  </si>
  <si>
    <t>4.1.1. Apoyo en la asistencia y revisión de las Fichas Básicas Municipales</t>
  </si>
  <si>
    <t xml:space="preserve">3.1.2. Apoyo en la recolección y procesamiento de bases y datos estadísticos para la estructuración del sistema de información </t>
  </si>
  <si>
    <t>3.1.1. Apoyo en la implementación del sistema de consulta del Observatorio de Desarrollo Humano y fortalecimiento de su funcionamiento a partir de la compra de equipos informáticos, periféricos y licencias.</t>
  </si>
  <si>
    <t>2.2 Fortalecer el seguimiento a los problemas identificados en el departamento con relación a los ODS para la última vigencia de análisis.</t>
  </si>
  <si>
    <t xml:space="preserve">Recurso Ordinario </t>
  </si>
  <si>
    <t>2.1 Análisis de la información recolectada para la actualización y generación de los  boletines trimestrales (4), el informe anual del departamento (1) y los demás análisis requeridos correspondientes a la vigencia 2020 (1 Informe de Empleo)</t>
  </si>
  <si>
    <t>Juan Manuel Lozano Castro
Jefe Oficina Desarrollo Territorial</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</si>
  <si>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2020.</t>
  </si>
  <si>
    <t>Elaborar  diagnóstico y compilar las estadísticas existentes en el Departamento por series de tiempo  y estrategias ( Inclusión social, seguridad humana, desarrollo sostenible, buen gobierno y prosperidad con equidad), con el fin contar con información soporte  que permita la toma de decisiones y aumentar los índices de eficacia y eficiencia de la inversión social en el Departamento del Quindío, durante la vigencia 2020.
Elaborar los lineamientos metodológicos, tecnológicos y presupuestales para la implementación del Observatorio de Desarrollo Humano en Departamento del Quindío, con el fin  de contar con los soportes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Quindío, durante la vigencia 2020</t>
  </si>
  <si>
    <t xml:space="preserve">Aumentar los índices eficacia y eficiencia  de la inversión social en el Departamento del Quindío, a través  del diseño e implementación de la primera fase  del Observatorio de Desarrollo Humano en el Departamento del Quindío (Diagnóstico y compilación de la información estadística -Elaboración de los lineamientos metodológicos, tecnológicos y presupuestales),durante el periodo administrativo. </t>
  </si>
  <si>
    <t xml:space="preserve">Diseño    e implementación del Observatorio  de Desarrollo Humano en el Departamento del Quindio </t>
  </si>
  <si>
    <t>201663000-0010</t>
  </si>
  <si>
    <t>0305 - 5 - 1 4 17 45 10 - 88
0305 - 5 - 3 1 5 28 87 17 10 - 20</t>
  </si>
  <si>
    <t>Observatorio económico del Departamento del Quindío actualizado y dotado.</t>
  </si>
  <si>
    <t>Observatorio económico del Departamento, con procesos de fortalecimiento</t>
  </si>
  <si>
    <t>45.4</t>
  </si>
  <si>
    <t xml:space="preserve">Fortalecimiento de los procesos de ordenamiento territorial y  acompañamiento técnico en la implementacion de la cartografia estrategica para la formulación del OT de los municipios </t>
  </si>
  <si>
    <t>Mantenimiento y Actualizacion permanente de las bases de Datos del SIG</t>
  </si>
  <si>
    <t>fortalecimeinto de la Plataforma SIG INSTITUCIONAL licenciamiento software.</t>
  </si>
  <si>
    <t>socializacion de las directrices de ordenamiento territorial POD en los Municipios del Departamento</t>
  </si>
  <si>
    <t>Fortalecimiento  de los procesos de asociatividad y de integracion regional  desde los municpios del departamento</t>
  </si>
  <si>
    <t>Implementación y Seguimiento a las directrices del POD y seguimento al catastro multiproposito de los municpios del Quindio</t>
  </si>
  <si>
    <t xml:space="preserve">Diseñar e implementar el Plan de Ordenamiento del Departamento del Quindío( I- Fase)
Fortalecer el  Sistema de Información Geográfica del Departamento del Quindío </t>
  </si>
  <si>
    <t xml:space="preserve">Diseñar un sistema que garantice  la calidad en la información de los esquemas y planes básicos para la toma de decisiones  y organización del territorio  físico espacial en el departamento del Quindío
</t>
  </si>
  <si>
    <t>Diseño e implementación instrumentos de  planificación para el  ordenamiento  territorial, social y económico del  Departamento del Quindio</t>
  </si>
  <si>
    <t>201663000-0009</t>
  </si>
  <si>
    <t>0305 - 5 - 1 4 17 45 9 - 88 
0305 - 5 - 3 1 5 28 87 17 9 - 20</t>
  </si>
  <si>
    <t xml:space="preserve">Instrumentos de planificación de ordenamiento y gestión territorial departamental implementados. </t>
  </si>
  <si>
    <t>Instrumentos de planificación para  el  Ordenamiento y la Gestión Territorial Departamental (Plan de Desarrollo Departamental PDD, Politicas y Directrices de Ordenamiento Territorial, Sistema de Información Geográfica, Catastro Multiproposito  y mecanismos de integración)</t>
  </si>
  <si>
    <t>45.5</t>
  </si>
  <si>
    <t xml:space="preserve">Recurso Ordinario 
</t>
  </si>
  <si>
    <t>Refrigerios Mesas</t>
  </si>
  <si>
    <t>Socialización Plan de Desarrollo del Quindio entes territoriales, institucionalidad, academia y demás instancias.</t>
  </si>
  <si>
    <t>3.1 Formulación componente de seguimiento y evaluación del Plan de Desarrollo Departamental</t>
  </si>
  <si>
    <t xml:space="preserve">2.6 Asistencia técnica entes territoriales Municipales </t>
  </si>
  <si>
    <t>2.5 Socialización propuesta en los diferentes sectores e instancias de participación  ciudadana y ajuste anteproecto Plan de Desarrollo de conformidad con las recomendaciones</t>
  </si>
  <si>
    <t>2.4 Estructuración componente financiero Plan de Desarrollo (Marco Fiscal a mediano plazo, Plan Financiero y matriz Plurianual)</t>
  </si>
  <si>
    <t>2.3 Estructuración componente estratégico Plan de Desarrollo</t>
  </si>
  <si>
    <t xml:space="preserve">2.2 Mesas participativas formulación Plan de Desarrollo </t>
  </si>
  <si>
    <t>2.1 Construcción participativa visión PDD</t>
  </si>
  <si>
    <t xml:space="preserve">1.3 Estructuración componente Diagnóstico por sectores </t>
  </si>
  <si>
    <t>1.2 Realización mesas participativas construcción componente diagnóstico PDD (Identificacación de problemas, causas y consecuencias)</t>
  </si>
  <si>
    <t xml:space="preserve">
Secretaría de Planeación</t>
  </si>
  <si>
    <t>José Ignacio Rojas Sepúlveda
Secretario Departamental de Planeación</t>
  </si>
  <si>
    <t>Recurso Ordinario (20)</t>
  </si>
  <si>
    <t>1.1 Captura de Información situación actual de la entidad territorial y su entorno - Identificación y analisis de indicadores :económicos, sociales, financieros e institucionales</t>
  </si>
  <si>
    <t xml:space="preserve">Formular  e implementar  el Plan de Desarrollo Departamental  2020-2023 a través  de la  estructuración del componente estratégico, financiero, de seguimiento y evaluación,  con el fin de lograr la construcción de  un instrumento de planificación  acorde al programa de gobierno  y las necesidades de la comunidad,  durante la vigencia 2020 .
Realizar la socialización del Plan de Desarrollo del Departamento del Quindío  2020- 2023, a través de  estrategias de divulgación ( Talleres de capacitación y  cartilla informativa), con el fin de lograr  el empoderamiento y  el control ciudadano en  el proceso de ejecución del  Plan  </t>
  </si>
  <si>
    <t>Aumentar los índices eficacia y eficiencia  de la inversión social en el Departamento del Quindío, a través de la formulación del Plan de Desarrollo 2020- 2023 (Componentes: Estratégico-financiero- seguimiento y evaluación) con  procesos de participación y sensibilización conducentes a  lograr el empoderamiento  de los entes territoriales municipales,  sociedad  civil y organizada en la ejecución del Plan, durante el periodo administrativo</t>
  </si>
  <si>
    <t>Formulación  e implementación del  Plan de Desarrollo Departamental 2020-2023</t>
  </si>
  <si>
    <t>201900363-0002</t>
  </si>
  <si>
    <t>0305 - 5 - 3 1 5 28 87 17 2 - 20</t>
  </si>
  <si>
    <t>Fortalecimiento de la Gestión  y Desempeño Institucional. "Quindío con una administración al servicio de la ciudadanía "</t>
  </si>
  <si>
    <t>4.2. Diseñar y elaborar el contenido academico y programatico del Centro de Pensamiento/Escuela de Liderazgo</t>
  </si>
  <si>
    <t>4.1. Realización Capacitaciones/Talleres/Seminarios/ Ciclo de Conferencias sobre Desarrollo Territorial,etc</t>
  </si>
  <si>
    <t>3.3. Suministro de material litografico, papeleria, impresos y publicaciones, entre otros.</t>
  </si>
  <si>
    <t>3.2 Actualizaciòn y cargas permanente a la pagina Web y redes del Consejo Territorial</t>
  </si>
  <si>
    <t xml:space="preserve">3.1 Comunicaciones externas de interes público a traves de medios radiales, prensa y televisivos. </t>
  </si>
  <si>
    <t xml:space="preserve">2.2  Scaner, Camara fotografia, Grabadora, Microfonos Inalambricos. </t>
  </si>
  <si>
    <t>2.1 Adquisiciòn de Equipo de computo e inmuebles: Tablets</t>
  </si>
  <si>
    <t>2.4. 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</si>
  <si>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 xml:space="preserve">2.2. XIV Encuentro CTP, traslados de ida y vuelta desde su lugar de origen Plaza de Bolívar del Municipio de Armenia hasta el Municipio de "Montenegro”,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</si>
  <si>
    <t>2.1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</si>
  <si>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 xml:space="preserve">1.1  Talleres Participativos Sectoriales 
1.2  Sesiones de Recolección de Información con la Sociedad Civil
1.3  Cartografía Social Departamental
1.4  Emisión de documentos de trabajo  
1.5  Empleo de medios de comunicación social: radio, prensa, televisivos.
1.6  Intercambios RAP Eje Cafetero    
</t>
  </si>
  <si>
    <t xml:space="preserve">Apoyar la participación de los integrantes del consejo territorial a congresos y eventos nacionales regionales y departamentales, en el Departamento del Quindío, durante la vigencia 2020
Utilizar diversos medios e instrumentos para la difusión del accionar del consejo territorial a través de estrategias de comunicación e imagen institucional y adquisición de equipos digitales y de cómputo en el Departamento del Quindío, durante la vigencia 2020.
Aumentar los  espacios para capacitación orientados en planificación del territorio Quindiano a través de diplomado o Escuela de liderazgo en ordenamiento territorial en el Departamento del Quindío, durante la vigencia 2020.   </t>
  </si>
  <si>
    <t xml:space="preserve">Fortalecer competencias de planificación del consejo territorial del Departamento del Quindío,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2020.   </t>
  </si>
  <si>
    <t>Asistencia al Consejo Territorial de Planeación del Departamento del Quindío.</t>
  </si>
  <si>
    <t>201663000-0007</t>
  </si>
  <si>
    <t xml:space="preserve">0305 - 5 - 1 4 16 42 7 - 88
0305 - 5 - 3 1 5 27 85 16 7 - 20
</t>
  </si>
  <si>
    <t xml:space="preserve">Consejo Territorial de Planeación Departamental fortalecido.   </t>
  </si>
  <si>
    <t>Fortalecimiento técnico y logístico del  Consejo Territorial de Planeación Departamental, como representantes de la sociedad civil en la planeación  del desarrollo integral  de la entidad territorial</t>
  </si>
  <si>
    <t>42.2</t>
  </si>
  <si>
    <t>Participación ciudadana y política y respeto por los derechos humanos y diversidad de creencias. "Quindío integrado y participativo"</t>
  </si>
  <si>
    <t xml:space="preserve">LIDERAZGO, GOBERNABILIDAD Y TRANSPARENCIA.   </t>
  </si>
  <si>
    <t xml:space="preserve">P </t>
  </si>
  <si>
    <t>Edad Económicamente Activa (20-59 años)</t>
  </si>
  <si>
    <t>OBLIGACIONES</t>
  </si>
  <si>
    <t>COMPROMISOS</t>
  </si>
  <si>
    <t>CODIFICACIÓN INTERNA DE LA META</t>
  </si>
  <si>
    <t>CONTRATOS</t>
  </si>
  <si>
    <t>F-PLA-07</t>
  </si>
  <si>
    <t>SEGUIMIENTO PLAN DE ACCIÓN 
SECRETARÍA DE PLANEACIÓN
SEPTIEMBRE 30 DE 2020</t>
  </si>
  <si>
    <t>SEGUIMIENTO PLAN DE ACCIÓN
SECRETARIA DE AGRICULTURA DESARROLLO RURAL Y MEDIO AMBIENTE
SEPTIEMBRE  30   DE   2020</t>
  </si>
  <si>
    <t>01 de 1</t>
  </si>
  <si>
    <t xml:space="preserve">PLAN DE DESARROLLO DEPARTAMENTAL </t>
  </si>
  <si>
    <t>CODIGO DE META INTERNA</t>
  </si>
  <si>
    <t>Palenqueras</t>
  </si>
  <si>
    <t>Inclusión productiva de pequeños productores rurales. "Tú y yo con oportunidades para el pequeño campesino"</t>
  </si>
  <si>
    <t>4.3</t>
  </si>
  <si>
    <t>Servicio de asesoría para el fortalecimiento de la asociatividad</t>
  </si>
  <si>
    <t>Asociaciones fortalecidas</t>
  </si>
  <si>
    <t>0312 - 5 - 1 2 13 4 75 - 20
0312 - 5 - 1 2 13 4 75 - 88
0312 - 5 - 3 1 2 2 6 13 75 - 20</t>
  </si>
  <si>
    <t>201663000-0075</t>
  </si>
  <si>
    <t xml:space="preserve">Fomento al emprendimiento y  al empleo rural en el Departamento del Quindío  </t>
  </si>
  <si>
    <t>Aumentar crecimiento del PIB del departamento del Quindío a frente al PIB Nacional.</t>
  </si>
  <si>
    <t>Apoyar la formalización de empresas en los sectores productivos del departamento, a través de la identificación, análisis y priorización de los potenciales emprendimientos rurales, con el fin de contribuir a generar condiciones para aumentar   producto interno bruto el departamento durante la vigencia 2016. 
Realizar apalancamiento a las iniciativas productivas rurales, a través de procesos de acompañamiento a la consolidación de ideas de negocio e implementación de garantías complementarias para el facilitar el acceso a las diferentes fuentes financiación con el fin de contribuir a generar condiciones para aumentar   producto interno bruto el departamento   durante la vigencia 2016.
Capacitar a jóvenes y mujeres en actividades agrícolas y no agrícolas con procesos de seguimiento y evaluación en la generación de ideas y/o consolidación de negocios con el fin de contribuir a generar condiciones para aumentar producto interno bruto el departamento durante la vigencia 2016.</t>
  </si>
  <si>
    <t>Apoyo En La Formalización De Empresas En Los Sectores Productivos</t>
  </si>
  <si>
    <t>Recurso Ordinario
Superávit Recurso Ordinario</t>
  </si>
  <si>
    <t>JUAN CAMILO TABARES</t>
  </si>
  <si>
    <t>Secretaría de Agricultura, Desarrollo rural y Medio Ambiente</t>
  </si>
  <si>
    <t>Convenio de cofinanciación Alianzas productivas</t>
  </si>
  <si>
    <t xml:space="preserve">
Superávit Recurso Ordinario
</t>
  </si>
  <si>
    <t>4.1</t>
  </si>
  <si>
    <t>Servicio de apoyo financiero para proyectos productivos</t>
  </si>
  <si>
    <t>Proyectos productivos cofinanciados</t>
  </si>
  <si>
    <t>Adquisición y suministro de equipos, insumos agroindustriales</t>
  </si>
  <si>
    <t>4.5</t>
  </si>
  <si>
    <t>Servicio de apoyo para el fomento organizativo de la Agricultura Campesina, Familiar y Comunitaria</t>
  </si>
  <si>
    <t>Productores agropecuarios apoyados</t>
  </si>
  <si>
    <t>0312 - 5 - 1 2 8 4 79 - 20
0312 - 5 - 1 2 8 4 79 - 88
0312 - 5 - 3 1 3 11 34 8 79 - 20</t>
  </si>
  <si>
    <t>201663000-0079</t>
  </si>
  <si>
    <t>Fomento a la agricultura familiar , urbana y  mercados campesinos para la soberanía y  Seguridad alimentaria en el Departamento del Quindío.</t>
  </si>
  <si>
    <t>Aumentar la producción de frutas y verduras para el autoconsumo del departamento del Quindío a través de la implementación de un sistema de parcelas campesinas y comercio de excedentes.</t>
  </si>
  <si>
    <t>.Diseñar e implementar un (1) programa de agricultura familiar campesina.
.Apoyar la conformación de cuatro (4) alianzas para contratos de compra anticipada de productos de la agricultura familiar en el departamento del Quindío.
.Apoyar la conformación de cuatro (4) alianzas para contratos de compra anticipada de productos de la agricultura familiar en el departamento del Quindío.
.Beneficiar a 2400 familias urbanas y periurbanas con parcelas de agricultura familiar para autoconsumo y comercio de excedentes.
.Mejorar el estado nutricional de 1795 niños menor de 5 años y de 1531 niños de 6 a 18 años en riesgo de desnutrición en el departamento.</t>
  </si>
  <si>
    <t>Apoyo técnico en el fomento organizativo de la Agricultura Campesina, Familiar y Comunitaria</t>
  </si>
  <si>
    <t>LUIS ALBERTO GÓMEZ ROJAS</t>
  </si>
  <si>
    <t>Acompañamiento Y Asistencia Técnica A Productores Agropecuarios En La Productividad Primaria Y Alistamiento De La Oferta, Permitiendo Así El Aseguramiento De La Cadena Agroalimentaria En La Productividad Primaria</t>
  </si>
  <si>
    <t>4.10</t>
  </si>
  <si>
    <t>Servicio de apoyo a la comercialización</t>
  </si>
  <si>
    <t>Organizaciones de productores formales apoyadas</t>
  </si>
  <si>
    <t>0312 - 5 - 1 2 13 4 78 - 20
0312 - 5 - 1 2 13 4 78 - 88
0312 - 5 - 1 2 13 7 78 - 20
0312 - 5 - 1 2 13 7 78 - 88
0312 - 5 - 1 2 13 27 78 - 20
0312 - 5 - 1 2 13 27 78 - 88
0312 - 5 - 3 1 2 2 7 13 78 - 20</t>
  </si>
  <si>
    <t>201663000-0078</t>
  </si>
  <si>
    <t>Fortalecimiento a la competitividad productiva y empresarial del sector rural en el Departamento del Quindío</t>
  </si>
  <si>
    <t>Crecimiento del PIB del departamento del Quindío frente al PIB Nacional</t>
  </si>
  <si>
    <t>Conocimiento de métodos no tradicionales de comercialización. 
Aumentar la divulgación de eventos especializados para acceder a mercados internacionales.</t>
  </si>
  <si>
    <t xml:space="preserve">Apoyo en asesoría y asistencia técnica en la formulación, estructuración e implementación  de proyectos de comercialización y participación en mercados campesinos. </t>
  </si>
  <si>
    <t xml:space="preserve">
Superávit Recurso Ordinario</t>
  </si>
  <si>
    <t>Puesta en marcha de los instrumentos de planificación e información rural</t>
  </si>
  <si>
    <t>Ordinario</t>
  </si>
  <si>
    <t>Adquisición y suministro de equipos, insumos y logística.</t>
  </si>
  <si>
    <t>Productores apoyados para la participación en mercados campesinos</t>
  </si>
  <si>
    <t xml:space="preserve">Apoyo en asesoría y asistencia técnica en la formulación, estructuración e implementación de proyectos de comercialización a organizaciones de productores. </t>
  </si>
  <si>
    <t>Adquisición y suministro de equipos, insumos (software, hardware)</t>
  </si>
  <si>
    <t>4.7</t>
  </si>
  <si>
    <t>Planes de Desarrollo Agropecuario y Rural elaborados</t>
  </si>
  <si>
    <t>0312 - 5 - 1 2 8 4 113 - 20
0312 - 5 - 1 2 8 4 113 - 88
0312 - 5 - 1 2 8 8 113 - 20
0312 - 5 - 1 2 8 8 113 - 88</t>
  </si>
  <si>
    <t>202000363-00113</t>
  </si>
  <si>
    <t>Implementación de procesos de extensión agropecuaria e inocuidad (estatus sanitario, BPA, BPG) alimentaria; en el Departamento del Quindío</t>
  </si>
  <si>
    <t>Establecer los lineamientos para el fortalecimiento de habilidades y competencias técnicas y humanas, de capacidades financieras y estratégicas de los productores, para fortalecer la competitividad y sostenibilidad territorial del sector agropecuario.</t>
  </si>
  <si>
    <t>Formular e Implementar el Plan Departamental de Extensión Agropecuaria PDEA del departamento del Quindío.
Estructurar y ejecutar proyectos integrales agropecuarios, de asistencia técnica y extensión agropecuaria
municipales.
Implementar proyectos integrales agropecuarios sostenibles, de Coordinación interinstitucional en investigación, transferencia y adopción tecnológica.</t>
  </si>
  <si>
    <t xml:space="preserve">Apoyo en asesoría y asistencia técnica en la formulación, estructuración e implementación del PLAN DEPARTAMENTAL DE EXTENSION AGROPECUARIA PDEA. </t>
  </si>
  <si>
    <t>LUIS ALBERTO GOMEZ</t>
  </si>
  <si>
    <t>4.8</t>
  </si>
  <si>
    <t>Servicios de acompañamiento en la implementación de Planes de desarrollo agropecuario y rural</t>
  </si>
  <si>
    <t>Planes de Desarrollo Agropecuario y Rural acompañados</t>
  </si>
  <si>
    <t>Apoyo en asesoría y asistencia técnica en la formulación, estructuración e implementación del PLAN DEPARTAMENTAL DE EXTENSION AGROPECUARIA PDEA.(municipales)</t>
  </si>
  <si>
    <t>4.4</t>
  </si>
  <si>
    <t>Servicio de apoyo para el acceso a maquinaria y equipos</t>
  </si>
  <si>
    <t>Productores beneficiados con acceso a maquinaria y equipo</t>
  </si>
  <si>
    <t>0312 - 5 - 1 2 8 4 14 - 20
0312 - 5 - 1 2 8 4 14 - 88
0312 - 5 - 1 2 8 5 14 - 20
0312 - 5 - 1 2 8 5 14 - 88</t>
  </si>
  <si>
    <t>202000363-0014</t>
  </si>
  <si>
    <t>Implementación de procesos productivos agropecuarios familiares campesinos en busca de la soberanía y seguridad alimentaria en el Departamento del Quindío.</t>
  </si>
  <si>
    <t>Estructurar y ejecutar programas y proyectos integrales agropecuarios y de acompañamiento técnico a los productores en la producción primaria y Transferencia de Tecnológica</t>
  </si>
  <si>
    <t>Formular e implementar proyectos integrales de Desarrollo Tecnológico y/o agro industriales, de dotación de
maquinaria y equipo.
Estructurar y ejecutar proyectos integrales agropecuarios de seguridad y soberanía alimentaria de
transferencia de innovaciones tecnológicas y provisión de metodologías de extensión rural (PDEA y PGAT
municipal) a los productores.
Formular e implementar programas y proyectos integrales de agro industria de extensión y asistencia técnica
agropecuaria, así como el fomento al crédito, a la infraestructura productiva.
Estructurar y ejecutar proyectos integrales agropecuarios que promuevan el acceso a los servicios de
financiamiento y a la gestión de riesgos naturales y de mercado del sector agropecuario y rural.</t>
  </si>
  <si>
    <t xml:space="preserve"> Adquisición de bienes o servicios y/o Convenio de cofinanciación Alianzas productivas; para el Servicio de apoyo para el acceso a maquinaria y equipos</t>
  </si>
  <si>
    <t>4.6</t>
  </si>
  <si>
    <t>Servicio de acompañamiento productivo y empresarial</t>
  </si>
  <si>
    <t>Unidades productivas beneficiadas</t>
  </si>
  <si>
    <t>Prestación de servicios profesionales de apoyo a la gestión para el Acompañamiento productivo y empresarial</t>
  </si>
  <si>
    <t>4.9</t>
  </si>
  <si>
    <t>Servicio de apoyo en la formulación y estructuración de proyectos</t>
  </si>
  <si>
    <t>Proyectos estructurados</t>
  </si>
  <si>
    <t>0312 - 5 - 1 2 13 4 15 - 20
0312 - 5 - 1 2 13 4 15 - 88
0312 - 5 - 1 2 13 10 15 - 20
0312 - 5 - 1 2 13 10 15 - 88</t>
  </si>
  <si>
    <t>202000363-0015</t>
  </si>
  <si>
    <t xml:space="preserve">Implementación de procesos de agro industrialización con calidad e inocuidad en el Departamento del Quindío </t>
  </si>
  <si>
    <t>Formular e implementar programas y proyectos integrales de agroindustria, que permitan el incremento de la productividad y competitividad agropecuaria sostenible</t>
  </si>
  <si>
    <t>Apoyar procesos de Formulación y estructuración de proyectos.
Mejorar los centros logísticos agropecuarios.
Mejorar la Infraestructura de pos cosecha.
Fortalecer y adecuar trapiches paneleros.</t>
  </si>
  <si>
    <t xml:space="preserve">Apoyo en asesoría y asistencia técnica en la formulación, estructuración e implementación de proyectos de AGRO INDUSTRIALIZACIÓN CON CALIDAD E INOCUIDAD  </t>
  </si>
  <si>
    <t>Servicios financieros y gestión del riesgo para las actividades agropecuarias y rurales. "Tú y yo con un campo protegido"</t>
  </si>
  <si>
    <t>5.1</t>
  </si>
  <si>
    <t>Servicio de apoyo a la implementación de mecanismos y herramientas para el conocimiento, reducción y manejo de riesgos agropecuarios</t>
  </si>
  <si>
    <t>Personas beneficiadas</t>
  </si>
  <si>
    <t>Implementación de procesos productivos agropecuarios familiares campesinos en busca de la soberanía y seguridad alimentaria.</t>
  </si>
  <si>
    <t>Estructurar y ejecutar programas y proyectos integrales agropecuarios y de acompañamiento técnico a los productores en la producción primaria y Transferencia de Tecnológica.</t>
  </si>
  <si>
    <t>Prestación de servicios profesionales de apoyo a la gestión para el Acompañamiento productivo, empresarial y riesgos productivos</t>
  </si>
  <si>
    <t>Ordenamiento social y uso productivo del territorio rural. "Tú y yo con un campo planificado"</t>
  </si>
  <si>
    <t>6.1</t>
  </si>
  <si>
    <t>Documentos de lineamientos técnicos</t>
  </si>
  <si>
    <t>Documentos de lineamientos para el ordenamiento social y productivo elaborados</t>
  </si>
  <si>
    <t>0312 - 5 - 1 2 13 6 16 - 20
0312 - 5 - 1 2 13 6 16 - 88</t>
  </si>
  <si>
    <t>202000363-0016</t>
  </si>
  <si>
    <t>Implementación de procesos de ordenamiento productivo y social territorial</t>
  </si>
  <si>
    <t>Formular e implementar procesos agropecuarios integrales, sostenibles, de reconversión productiva acordes con la aptitud, vocación y formalización de la propiedad rural ajustados a los lineamientos del Plan de Ordenamiento Productivo y Social De La Propiedad Rural (POPSPR).</t>
  </si>
  <si>
    <t>Formular e implementar el Plan de Ordenamiento Productivo Y Social De La Propiedad Rural (POPSPR).
Formular e implementar programas y proyectos agropecuarios integrales, sostenibles, de reconversión
productiva.</t>
  </si>
  <si>
    <t xml:space="preserve">Apoyo coordinación puesta en marcha del plan de ordenamiento productivo y social de la propiedad rural </t>
  </si>
  <si>
    <t>6.2</t>
  </si>
  <si>
    <t>Servicio de apoyo para el fomento de la formalidad</t>
  </si>
  <si>
    <t xml:space="preserve">Personas sensibilizadas en la formalización </t>
  </si>
  <si>
    <t xml:space="preserve">Acompañamiento en el proceso de formalización de la propiedad rural </t>
  </si>
  <si>
    <t>Aprovechamiento de mercados externos. "Tú y yo a los mercados internacionales"</t>
  </si>
  <si>
    <t>7.1</t>
  </si>
  <si>
    <t>Servicio de apoyo financiero para la participación en Ferias nacionales e internacionales</t>
  </si>
  <si>
    <t>Participaciones en ferias nacionales e internacionales</t>
  </si>
  <si>
    <t>Sanidad agropecuaria e inocuidad agroalimentaria. "Tú y yo con un agro saludable"</t>
  </si>
  <si>
    <t>8.1</t>
  </si>
  <si>
    <t>Servicio de divulgación y socialización</t>
  </si>
  <si>
    <t>Eventos realizados</t>
  </si>
  <si>
    <t>Implementación de procesos de extensión agropecuaria e inocuidad (estatus sanitario, BPA, BPG) alimentaria.</t>
  </si>
  <si>
    <t xml:space="preserve">Apoyo en asesoría y asistencia técnica en la formulación, estructuración e implementación de proyectos de Sanidad agropecuaria e inocuidad agroalimentaria. </t>
  </si>
  <si>
    <t>Adquisición y suministro de bienes, servicios, equipos, insumos, logística.</t>
  </si>
  <si>
    <t>Ciencia, tecnología e innovación agropecuaria. "Tú y yo con un agro interconectado"</t>
  </si>
  <si>
    <t>9.1</t>
  </si>
  <si>
    <t>Documentos de lineamientos técnicos elaborados</t>
  </si>
  <si>
    <t>0312 - 5 - 1 2 13 9 17 - 20
0312 - 5 - 1 2 13 9 17 - 88</t>
  </si>
  <si>
    <t>202000363-0017</t>
  </si>
  <si>
    <t xml:space="preserve">Implementación de procesos de innovación, ciencia y tecnología agropecuario en el Departamento del Quindío </t>
  </si>
  <si>
    <t>Formular e implementar programas y proyectos integrales agropecuarios sostenibles, de Coordinación interinstitucional en investigación,
transferencia y adopción de tecnologías, que permitan proyectar la educación, la ciencia, la tecnología.</t>
  </si>
  <si>
    <t>Mejorar los procesos de planificación integrales de Desarrollo Tecnológico, agropecuarios y agroindustriales y
de desarrollo rural integral.
Elaborar documentos de lineamientos técnicos.
Apoyar la coordinación interinstitucional en investigación, transferencia y adopción de sistemas de información
tecnológica.</t>
  </si>
  <si>
    <t>Apoyo coordinación puesta en marcha de proyectos de CTI</t>
  </si>
  <si>
    <t>9.2</t>
  </si>
  <si>
    <t>Servicio de información actualizado</t>
  </si>
  <si>
    <t>Sistemas de información actualizados</t>
  </si>
  <si>
    <t xml:space="preserve">Apoyo coordinación puesta en marcha de proyecto de CTI en sistemas de información y comunicación </t>
  </si>
  <si>
    <t>Infraestructura productiva y comercialización. "Tú y yo con agro competitivo"</t>
  </si>
  <si>
    <t>10.1</t>
  </si>
  <si>
    <t>Centros logísticos agropecuarios adecuados</t>
  </si>
  <si>
    <t>Implementación de procesos de agro industrialización con calidad e inocuidad en el Departamento del Quindío.</t>
  </si>
  <si>
    <t>Adquisición y suministro de equipos, insumos y licencias agroindustriales.</t>
  </si>
  <si>
    <t>10.2</t>
  </si>
  <si>
    <t>Infraestructura de pos cosecha adecuada</t>
  </si>
  <si>
    <t xml:space="preserve"> Realización de acciones de diseño, acompañamiento para adecuación de infraestructura de pos cosecha</t>
  </si>
  <si>
    <t>Adquisición y suministro de equipos, insumos y logística agroindustriales de pos cosecha</t>
  </si>
  <si>
    <t>27.3</t>
  </si>
  <si>
    <t>Servicio de asistencia técnica para emprendedores y/o empresas en edad temprana</t>
  </si>
  <si>
    <t xml:space="preserve">Necesidades empresariales atendidas a partir de emprendimientos </t>
  </si>
  <si>
    <t>Impulsar la competitividad productiva y empresarial  mediante ruedas de negocio</t>
  </si>
  <si>
    <t>JUAN CAMILO  TABARES</t>
  </si>
  <si>
    <t xml:space="preserve">Apoyo en asesoría y asistencia técnica en la formulación, estructuración e implementación de proyectos de emprendedores y/o empresas en edad temprana. </t>
  </si>
  <si>
    <t>Servicio de asistencia técnica para el desarrollo de iniciativas clústeres</t>
  </si>
  <si>
    <t>Apoyo en asesoría y asistencia técnica en la formulación, estructuración e implementación de proyectos depara el desarrollo de iniciativas clústeres.</t>
  </si>
  <si>
    <t>TERRITORIO, AMBIENTE Y DESARROLLO SOSTENIBLE</t>
  </si>
  <si>
    <t>Fortalecimiento del desempeño ambiental de los sectores productivos. "Tú y yo guardianes de la biodiversidad".</t>
  </si>
  <si>
    <t>20.2</t>
  </si>
  <si>
    <t>Documentos de lineamientos técnicos para mejorar la calidad ambiental de las áreas urbanas</t>
  </si>
  <si>
    <t>Documentos de lineamientos técnicos para para mejorar la calidad ambiental de las áreas urbanas elaborados</t>
  </si>
  <si>
    <t>0312 - 5 - 1 3 10 20 18 - 88</t>
  </si>
  <si>
    <t>202000363-0018</t>
  </si>
  <si>
    <t xml:space="preserve">Fortalecimiento de los procesos de Gestión Ambiental Urbana y Rural para la protección del Paisaje y la Biodiversidad en el Departamento del Quindío </t>
  </si>
  <si>
    <t>Promover estrategias para garantizar la conservación, protección, recuperación y gestión sostenible de la estructura ecológica del Departamento, con énfasis en la conservación y uso del recurso hídrico y la biodiversidad.</t>
  </si>
  <si>
    <t>Elaborar lineamientos técnicos para el mejoramiento de la calidad ambiental en áreas urbanas.
Determinar lineamientos técnicos en calidad ambiental de las áreas urbanas.</t>
  </si>
  <si>
    <t xml:space="preserve"> Apoyo en asesoría y asistencia técnica en la formulación, estructuración e implementación de programas y proyectos de inducción, educación y capacitación</t>
  </si>
  <si>
    <t>Apoyo en asesoría y asistencia técnica en la formulación, estructuración e implementación de Documentos de lineamientos técnicos para para mejorar la calidad ambiental de las áreas urbanas elaborados</t>
  </si>
  <si>
    <t>Conservación de la biodiversidad y sus servicios ecosistémicos. "Tú y yo en territorios biodiversos"</t>
  </si>
  <si>
    <t>21.2</t>
  </si>
  <si>
    <t>Servicio apoyo financiero para la implementación de esquemas de pago por Servicio ambientales</t>
  </si>
  <si>
    <t xml:space="preserve">Esquemas de Pago por Servicio ambientales implementados </t>
  </si>
  <si>
    <t>0312 - 5 - 1 3 10 21 67 - 20
0312 - 5 - 1 3 10 21 67 - 88
0312 - 5 - 3 1 1 1 2 10 67 - 20</t>
  </si>
  <si>
    <t>201663000-0067</t>
  </si>
  <si>
    <t>Gestión integral de cuencas hidrográficas en el Departamento del Quindío.</t>
  </si>
  <si>
    <t>Mantener  de la oferta hídrica promedio anual  de las Unidades de Manejo de Cuenca (UMC) del departamento del Quindío.</t>
  </si>
  <si>
    <t>Realizar y coordinar acciones de  recuperación y mantenimiento del recursos hídrico.</t>
  </si>
  <si>
    <t xml:space="preserve">Apoyo en asesoría y asistencia profesional en la formulación, estructuración e implementación de proyectos para Esquemas de Pago por Servicio ambientales. </t>
  </si>
  <si>
    <t>MIGUEL ANGEL MEJIA D</t>
  </si>
  <si>
    <t xml:space="preserve">Consolidar el Fondo del Agua del departamento del Quindío  </t>
  </si>
  <si>
    <t>Adquisición y suministro de equipos, insumos y logística para Esquemas de Pago por Servicio ambientales.</t>
  </si>
  <si>
    <t xml:space="preserve">Apoyo en asesoría y asistencia técnica en la formulación, estructuración e implementación de proyectos para Esquemas de Pago por Servicio ambientales. </t>
  </si>
  <si>
    <t>21.4</t>
  </si>
  <si>
    <t>Servicio de recuperación de cuerpos de agua lénticos y lóticos</t>
  </si>
  <si>
    <t>Bosque ripario recuperado</t>
  </si>
  <si>
    <t>0312 - 5 - 1 3 10 21 68 - 20
0312 - 5 - 1 3 10 21 68 - 88
0312 - 5 - 3 1 1 1 3 10 68 - 20</t>
  </si>
  <si>
    <t>201663000-0068</t>
  </si>
  <si>
    <t>Aplicación de mecanismos de protección ambiental en el Departamento del Quindío.</t>
  </si>
  <si>
    <t xml:space="preserve">Mantener  de la oferta hídrica promedio anual  de las Unidades de Manejo de Cuenca (UMC) del departamento del Quindío 
</t>
  </si>
  <si>
    <t>Potencializar  el Sistema Departamental y municipal de áreas protegidas.</t>
  </si>
  <si>
    <t>Vigilancia, control y seguimiento a las áreas de protección</t>
  </si>
  <si>
    <t>MIGUEL ANGEL MEJIA</t>
  </si>
  <si>
    <t>21.7</t>
  </si>
  <si>
    <t>Adquisición, Mantenimiento y Administración de áreas de importancia estratégica para la conservación y regulación del recurso hídrico.</t>
  </si>
  <si>
    <t xml:space="preserve">Numero de Hectáreas intervenidas </t>
  </si>
  <si>
    <t>Apoyo en asesoría y asistencia técnica en la formulación, estructuración e implementación de proyectos Administración de áreas de importancia estratégica para la conservación y regulación del recurso hídrico.</t>
  </si>
  <si>
    <t>Apoyo en asesoría y asistencia técnica en la formulación, estructuración e implementación de proyectos jurídicos y administrativos de los procesos de gestión de áreas de importancia estratégica para la conservación y regulación del recurso hídrico.</t>
  </si>
  <si>
    <t>Apoyo en la operativización e implementación de proyectos de mantenimiento y administración de áreas de importancia estratégica para la conservación y regulación del recurso hídrico.</t>
  </si>
  <si>
    <t>21.5</t>
  </si>
  <si>
    <t xml:space="preserve">Estrategia  Departamental para la protección y bienestar de los animales domésticos y silvestres del Departamento </t>
  </si>
  <si>
    <t>Estrategia  para la protección y bienestar de los animales domésticos y silvestres adoptada</t>
  </si>
  <si>
    <t>0312 - 5 - 1 3 10 21 19 - 88</t>
  </si>
  <si>
    <t>202000363-0019</t>
  </si>
  <si>
    <t>Apoyo a la generación de entornos  amigables para nuestros animales en el departamento del Quindío.</t>
  </si>
  <si>
    <t>Implementar estrategias Departamentales para la protección y bienestar de los animales domésticos y silvestres</t>
  </si>
  <si>
    <t>Fortalecer el acompañamiento Departamental en Campañas para la fauna silvestre y Domestica.
Apoyar en asesoría y asistencia técnica en la formulación, estructuración e implementación de Estrategia para la protección y bienestar de los animales domésticos y silvestres.</t>
  </si>
  <si>
    <t>Apoyo en asesoría y asistencia técnica en la formulación, estructuración e implementación de Estrategia para la protección y bienestar de los animales domésticos y silvestres adoptada</t>
  </si>
  <si>
    <t>Apoyo en asesoría y asistencia técnica en la operativización de las campañas de fauna silvestre y domestica</t>
  </si>
  <si>
    <t>21.6</t>
  </si>
  <si>
    <t>Realizar  campaña  de sensibilización y apropiación del patrimonio ambiental en el departamento</t>
  </si>
  <si>
    <t>Campaña  de sensibilización y apropiación del patrimonio ambiental realizada</t>
  </si>
  <si>
    <t>0312 - 5 - 1 3 10 21 69 - 20
0312 - 5 - 1 3 10 21 69 - 88
0312 - 5 - 1 3 10 23 69 - 20
0312 - 5 - 1 3 10 23 69 - 88
0312 - 5 - 3 1 1 1 3 10 69 - 20</t>
  </si>
  <si>
    <t>201663000-0069</t>
  </si>
  <si>
    <t>Fortalecimiento  y potencialización de los servicios ecosistémicos en el Departamento del Quindío.</t>
  </si>
  <si>
    <t xml:space="preserve">Disminuir en la presión por cargas contaminantes, medida por el Índice de Alteración Potencial de la Calidad del Agua </t>
  </si>
  <si>
    <t xml:space="preserve">Mejorar en la calidad del agua en los sistemas hídricos  </t>
  </si>
  <si>
    <t>Desarrollar estrategias de educación ambiental para el desarrollo sostenible</t>
  </si>
  <si>
    <t>prestación de servicio de apoyo a la gestión para los procesos de educación y apropiación del patrimonio ambiental</t>
  </si>
  <si>
    <t>Adquisición de material para la difusión, educación y capacitación.</t>
  </si>
  <si>
    <t>Gestión de la información y el conocimiento ambiental. "Tú y yo conscientes con la naturaleza"</t>
  </si>
  <si>
    <t>22.1</t>
  </si>
  <si>
    <t>Servicio de apoyo financiero a emprendimientos</t>
  </si>
  <si>
    <t xml:space="preserve">Emprendimientos apoyados </t>
  </si>
  <si>
    <t>0312 - 5 - 1 3 10 22 20 - 88</t>
  </si>
  <si>
    <t>202000363-0020</t>
  </si>
  <si>
    <t xml:space="preserve">Apoyo a nuevos modelos de vida sostenibles, sustentables y eficientes en el suelo rural y urbano en el Departamento del Quindío. </t>
  </si>
  <si>
    <t>Apoyar competencias administrativas, organizacionales, mercados, extensión, planes de negocio, coordinación interinstitucional en proyectos con prácticas sostenibles asociadas a producción limpia, la agricultura orgánica y la ganadería sostenible.</t>
  </si>
  <si>
    <t xml:space="preserve">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
Formular e implementar Proyectos para el fomento de la cultura de asociatividad, que permitan consolidar procesos de autogestión, perspectiva de género, étnico y relevo generacional y sostenibilidad organizacional.
Gestionar y fortalecer una red de Estaciones meteorológicas que permita a las instituciones del departamento tener información en tiempo real sobre la variabilidad climática en el Quindío y generar una respuesta temprana a los eventos que se presente en las diferentes áreas vulnerables.
Gestionar la articulación de la red de Estaciones meteorológicas agroambientales del Quindío, que permita tener información sobre la variabilidad climática en el Quindío.
</t>
  </si>
  <si>
    <t>Apoyo en asesoría y asistencia técnica en la identificación, formulación e implementación de proyectos de Emprendimientos Verdes.</t>
  </si>
  <si>
    <t>Suministro de bienes y servicios para el Apoyo en la implementación de proyectos de Emprendimientos Verdes.</t>
  </si>
  <si>
    <t>Ordenamiento Ambiental Territorial. "Tú y yo planificamos con sentido ambiental"</t>
  </si>
  <si>
    <t>23.3</t>
  </si>
  <si>
    <t>Obras para estabilización de taludes</t>
  </si>
  <si>
    <t>Obras para estabilización de taludes realizadas</t>
  </si>
  <si>
    <t>Estructuración  de proyectos de Obras para estabilización de taludes.(bioingeniería)</t>
  </si>
  <si>
    <t>Gestión del cambio climático para un desarrollo bajo en carbono y resiliente al clima. "Tú y yo preparados para el cambio climático"</t>
  </si>
  <si>
    <t>24.2</t>
  </si>
  <si>
    <t>Servicio de producción de plántulas en viveros</t>
  </si>
  <si>
    <t>Plántulas producidas</t>
  </si>
  <si>
    <t>0312 - 5 - 1 3 10 24 21 - 88</t>
  </si>
  <si>
    <t>202000363-0021</t>
  </si>
  <si>
    <t>Implementación de acciones de Gestión del Cambio Climático en el marco del PIGCC.</t>
  </si>
  <si>
    <t>Promover y desarrollar estrategias que garanticen la conservación, protección, recuperación y gestión sostenible de la estructura ecológica
del Departamento, con énfasis en la conservación y uso del recurso hídrico y la biodiversidad</t>
  </si>
  <si>
    <t>Apoyar a las iniciativas de educación, restauración y recuperación ecológica en diferentes áreas del departamento.</t>
  </si>
  <si>
    <t>Adelantar los estudios y diseños necesarios para la instalación y puesta en
marcha de un vivero de especies nativas</t>
  </si>
  <si>
    <t>JULIO CÉSAR CORTÉS PULIDO</t>
  </si>
  <si>
    <t>Secretario de Agricultura, Desarrollo Rural y Medio Ambiente</t>
  </si>
  <si>
    <t>0312 - 5 - 1 2 13 10 15 - 88</t>
  </si>
  <si>
    <t>SEGUIMIENTO PLAN DE ACCIÓN
SECRETARIA ADMINISTRATIVA
SEPTIEMBRE  30   DE   2020</t>
  </si>
  <si>
    <t>CODIGO INTERNO
META</t>
  </si>
  <si>
    <t>GÉNERO</t>
  </si>
  <si>
    <t xml:space="preserve">PRESUPUESTADO </t>
  </si>
  <si>
    <t>E  (OBLIGACIONES)</t>
  </si>
  <si>
    <t>Implementación de  las Dimensiones y Políticas  del Modelo Integrado de Planeación y de Gestión MIPG</t>
  </si>
  <si>
    <t>0304 - 5 - 1 4 17 45 3 - 20
0304 - 5 - 1 4 17 45 3 - 88</t>
  </si>
  <si>
    <t>202000363-0003</t>
  </si>
  <si>
    <t>Implementación del  Modelo Integrado de Planeación y de Gestión MIPG  de la  Administración Departamental del Quindío (  Dimensiones  de Talento humano,  Información y Comunicación y Gestión del Conocimiento).</t>
  </si>
  <si>
    <t>Mejorar el Índice de  gestión y el desempeño institucional de la administración departamental, con el propósito de dar cumplimiento a la visión y misión institucional con eficacia y eficiencia, en beneficio de la población del Departamento del Quindío</t>
  </si>
  <si>
    <t>Implementar del  Modelo Integrado de Planeación y de Gestión MIPG ,  Dimensiones  de Talento humano,  Información y Comunicación y Gestión del Conocimiento  con el propósito de mejorar el índice de gestión y desempeño y el cumplimiento de las metas del Plan de Desarrollo 2020-2023</t>
  </si>
  <si>
    <t xml:space="preserve">Desarrollar un plan de trabajo para identificar los medios, mecanismos, procesos y procedimientos para capturar, clasificar y organizar el conocimiento de la Entidad.     </t>
  </si>
  <si>
    <t>Superávit recurso Ordinario</t>
  </si>
  <si>
    <t>MAURICIO GRAJALES OSORIO</t>
  </si>
  <si>
    <t>Secretaría Administrativa-Dirección Talento Humano</t>
  </si>
  <si>
    <t xml:space="preserve">Realizar el  diagnóstico  y el Plan de Acción de la  implementación del Código de Integridad.  </t>
  </si>
  <si>
    <t>Ejecutar las actividades establecidas en el Plan Institucional de Archivos PINAR.</t>
  </si>
  <si>
    <t>45.9</t>
  </si>
  <si>
    <t>Estrategias  de actualización, depuración, seguimiento y evaluación de las bases de datos  del Pasivo Pensional  de la Administración Departamental.</t>
  </si>
  <si>
    <t>Estrategias  de actualización, depuración, seguimiento y evaluación de las bases de datos  del Pasivo Pensional  de la Administración Departamental</t>
  </si>
  <si>
    <t>202000363-0004</t>
  </si>
  <si>
    <t>Actualización, depuración, seguimiento y evaluación   del  Pasivo Pensional  de la Administración Departamental del Quindío</t>
  </si>
  <si>
    <t xml:space="preserve">Implementar estrategias de actualización, depuración, seguimiento y evaluación de las bases de datos del pasivo pensional de la administración departamental, con el fin de contar con  información depurada y real, que permita el desarrollo de acciones administrativas a corto, mediano y largo plazo.  </t>
  </si>
  <si>
    <t>Diseñar y Establecer  los procedimientos que se van a implementar en el Fondo Territorial de Pensiones con el fin de contar con la información depurada  y real.</t>
  </si>
  <si>
    <t>PAOLA ARIAS CEBALLOS</t>
  </si>
  <si>
    <t>Secretaría Administrativa-Dirección Fondo Territorial de Pensiones</t>
  </si>
  <si>
    <t>Depurar los expedientes administrativos que reposan  en el Fondo Territorial de Pensiones.</t>
  </si>
  <si>
    <t>Adelantar acciones para determinar qué cuotas partes están a favor o cargo del Ente Territorial.</t>
  </si>
  <si>
    <t>42.3</t>
  </si>
  <si>
    <t>Implementación del Plan de Acción del Sistema Departamental de Servicio a la Ciudadanía SDSC</t>
  </si>
  <si>
    <t xml:space="preserve">Plan de Acción del Sistema Departamental de Servicio a la Ciudadanía SDSC implementado. </t>
  </si>
  <si>
    <t>202000363-0005</t>
  </si>
  <si>
    <t>Implementación del Sistema Departamental de Servicio a la Ciudadanía SDSC   en la Administración Departamental.</t>
  </si>
  <si>
    <r>
      <t>Fortalecer la democracia participativa, organización y participación de la sociedad civil y la garantía de los derechos y deberes electorales.</t>
    </r>
    <r>
      <rPr>
        <vertAlign val="superscript"/>
        <sz val="12"/>
        <color theme="1"/>
        <rFont val="Arial"/>
        <family val="2"/>
      </rPr>
      <t xml:space="preserve"> </t>
    </r>
  </si>
  <si>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</si>
  <si>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</si>
  <si>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 xml:space="preserve">MAURICIO GRAJALES OSORIO-
JOHN HAROLD VALENCIA RODRIGUEZ
</t>
  </si>
  <si>
    <t>JHON HAROLD VALENCIA RODRÍGUEZ</t>
  </si>
  <si>
    <t>Secretario Administrativo</t>
  </si>
  <si>
    <t>INCLUSIÓN SOCIAL Y EQUIDAD</t>
  </si>
  <si>
    <t>Promoción y acceso efectivo a procesos culturales y artísticos. "Tú y yo somos cultura Quindiana"</t>
  </si>
  <si>
    <t>Personas capacitadas</t>
  </si>
  <si>
    <t>Superavit recurso ordinario</t>
  </si>
  <si>
    <t>SEGUIMIENTO PLAN DE ACCIÓN
SECRETARIA DE EDUCACIÓN
SEPTIEMBRE  30   DE   2020</t>
  </si>
  <si>
    <t>Calidad, cobertura y fortalecimiento de la educación inicial, prescolar, básica y media." Tú y yo con educación y de calidad"</t>
  </si>
  <si>
    <t>Servicio de fomento para la permanencia en programas de educación formal</t>
  </si>
  <si>
    <t>Personas beneficiarias de estrategias de permanencia</t>
  </si>
  <si>
    <t>0314 - 5 - 1 1 1 15 84 - 134
 0314 - 5 - 1 1 1 15 84 - 20
0314 - 5 - 1 1 1 15 84 - 35
0314 - 5 - 1 1 1 15 84 - 88
 0314 - 5 - 1 1 1 15 84 - 91
 0314 - 5 - 3 1 3 5 16 1 84 - 20
  0314 - 5 - 3 1 3 5 16 1 84 - 35
 1404 - 5 - 1 1 1 15 84 - 137
 1404 - 5 - 1 1 1 15 84 - 25
 1404 - 5 - 1 1 1 15 84 - 81
 1404 - 5 - 3 1 3 5 16 1 84 - 137
 1404 - 5 - 3 1 3 5 16 1 84 - 81</t>
  </si>
  <si>
    <t>201663000-0084</t>
  </si>
  <si>
    <t xml:space="preserve">Fortalecimiento de las estrategias para el acceso,  permanencia y seguridad  de los niños, niñas y jóvenes en el  sistema educativo del Departamento del Quindío. </t>
  </si>
  <si>
    <t>Bajar  los índices de deserción escolar en el Departamento del Quindío</t>
  </si>
  <si>
    <t>Garantizar el adecuado mantenimiento en las Instituciones  y Sedes Educativas
Implementar un programa de alimentación escolar para las Instituciones educativas del departamento del Quindío, con el fin de  disminuir los índices de deserción escolar  durante la vigencia 2017
Garantizar el transporte escolar a los niños, niñas, jóvenes y adolescentes de la zona rural de los 11 municipios no certificados del Departamento del Quindío para disminuir las distancias de desplazamiento y garantizar el acceso al sistema educativo.</t>
  </si>
  <si>
    <t>Servicio de Aseo y Vigilancia para las IE Oficiales y sus Sedes Educativas del Departamento del Quindío.</t>
  </si>
  <si>
    <t>MONOPOLIO</t>
  </si>
  <si>
    <t>Monopolio</t>
  </si>
  <si>
    <t>Secretaría de Educación</t>
  </si>
  <si>
    <t>ORDINARIO</t>
  </si>
  <si>
    <t>Superávit Monopolio</t>
  </si>
  <si>
    <t xml:space="preserve">PAULA ANDREA CAMACHO </t>
  </si>
  <si>
    <t>SUPERAVIT ORDINARIO</t>
  </si>
  <si>
    <t>SUPERAVIT MONOPILO</t>
  </si>
  <si>
    <t>WILLLBER GRAJALES</t>
  </si>
  <si>
    <t>Servicio de apoyo a la permanencia con alimentación escolar</t>
  </si>
  <si>
    <t>Beneficiarios de la alimentación escolar</t>
  </si>
  <si>
    <t xml:space="preserve">Suministro de alimientación escolar para la jornada regular y unica par los niños, niñas, adolescentes  y jóvenes escolarizados con matricula oficial en las Instituciones Educativas </t>
  </si>
  <si>
    <t>TRANSFERENCIAS DE LA NACION POR ALIMENTACION PAE</t>
  </si>
  <si>
    <t>Rendimientos Financieros PAE</t>
  </si>
  <si>
    <t>SGP Educación</t>
  </si>
  <si>
    <t>ARTURO ANEDRES LONSDOÑO VELASQUUE</t>
  </si>
  <si>
    <t>Transferencias para alimentación escolar  ley 1450 de 2011 MEN vigencias anteriores</t>
  </si>
  <si>
    <t>Persomal de apoyo , para el acompañamiento, seguimiento y verificación y supervision de la ejecucion del PAE</t>
  </si>
  <si>
    <t xml:space="preserve">Implementación del Programa de Alimentación Escolar (PAE), para los niños, niñas, adolescentes y jóvenes matriculados  en las Instituciones Educativas Oficiales del Departamento del Quindío (ETC Quindío), dentro de las jornadas regular y única.  </t>
  </si>
  <si>
    <t>Extracción Material de Rio</t>
  </si>
  <si>
    <t>Transferencias de la nación alimentación PAE</t>
  </si>
  <si>
    <t>Cofinanciación Municipios PAE</t>
  </si>
  <si>
    <t>SGP</t>
  </si>
  <si>
    <t>EXTRACCION MATERIAL DE RIO MINAS Y OTROS</t>
  </si>
  <si>
    <t>15.22</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</si>
  <si>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</si>
  <si>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</si>
  <si>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1404 - 5 - 1 1 1 15 86 - 25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</si>
  <si>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</si>
  <si>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</si>
  <si>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</si>
  <si>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</si>
  <si>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Implementar un programa para brindarles una mejor atencion educativa a los menores y/o adultos con situaciones penales, iletrados, menores trabajadores.</t>
  </si>
  <si>
    <t>GLADYS GIRALDO</t>
  </si>
  <si>
    <t>15.11</t>
  </si>
  <si>
    <t>Servicio educación formal por modelos educativos flexibles</t>
  </si>
  <si>
    <t>Beneficiarios atendidos con modelos educativos flexibles</t>
  </si>
  <si>
    <t>Atencion de la poblacion con NNE y talentos Excepcionales.</t>
  </si>
  <si>
    <t>15.30</t>
  </si>
  <si>
    <t>Servicio educativo</t>
  </si>
  <si>
    <t>Establecimientos educativos en operación</t>
  </si>
  <si>
    <t xml:space="preserve">1401 - 5 - 1 1 1 15 87 1
1401 - 5 - 3 1 3 8 27 1
1402 - 5 - 1 1 1 15 87
1402 - 5 - 3 1 3 5 18 1
1403 - 5 - 1 1 1 15 87 1
1403 - 5 - 3 1 3 5 18 1
</t>
  </si>
  <si>
    <t>201663000-0087</t>
  </si>
  <si>
    <t>Aplicación funcionamiento y prestación del servicio educativo de las instituciones educativas.</t>
  </si>
  <si>
    <t>Gastos de personal de la Planta Docente, Directivos Docentes y  personal administrativo de las Instituciones Educativas Oficiales del Departamento.</t>
  </si>
  <si>
    <t>SGP-EDUCACION</t>
  </si>
  <si>
    <t>nomina</t>
  </si>
  <si>
    <t>ARTURO ANDRES LONDOÑO VELASQUEZ</t>
  </si>
  <si>
    <t>Superávit SGP Educación</t>
  </si>
  <si>
    <t xml:space="preserve">Mejorar los niveles de eficiencia y eficacia en los procesos administrativos para la 
presentación de los informes y/o reportes que garanticen la viabilidad ante el ministerio de educación nacional de la planta docente, directivos docentes y administrativos de las instituciones educativas oficiales del departamento del Quindío
</t>
  </si>
  <si>
    <t>Generar estrategias que garantice la sostenibilidad de la planta docente, directivos docentes y administrativos viabilizados por el ministerio de educación nacional vinculados a la secretaría de educación departamental</t>
  </si>
  <si>
    <t>Realizar el pago oportuno de los gastos de personal, transferencias de nómina, gastos generales  y todos aquellos afines a la operación de la prestación del servicio educativo dirigidos al personal administrativo de la planta central de la Secretaría de Educación Departamental, personal administrativo, docentes y directivos docentes de las instituciones educativas oficiales adscritas al departamento del Quindío.</t>
  </si>
  <si>
    <t>25-26</t>
  </si>
  <si>
    <t xml:space="preserve">S.G.P Educacion
Superavit  S.G.P. Educacion
</t>
  </si>
  <si>
    <t>Realizar el pago oportuno de los gastos  generales, transferencias  y todos aquellos afines a la operación de la prestación del servicio educativo dirigidos al personal administrativo de la planta central de la Secretaría de Educación Departamental, personal administrativo, docentes y directivos docentes de las instituciones educativas oficiales adscritas al departamento del Quindío.</t>
  </si>
  <si>
    <t>25-09</t>
  </si>
  <si>
    <t xml:space="preserve">1400 - 5 - 1 1 1 15 98 - 25	</t>
  </si>
  <si>
    <t>201663000-0098</t>
  </si>
  <si>
    <t>Funcionamiento y Prestación de Servicios del Sector Educativo del nivel Central en el Departamento del Quindío.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</si>
  <si>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</si>
  <si>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</si>
  <si>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Servicios personales asociados a la nomina</t>
  </si>
  <si>
    <t>25</t>
  </si>
  <si>
    <t>SGP EDUCACIÓN</t>
  </si>
  <si>
    <t>Servicios personales indirectos</t>
  </si>
  <si>
    <t xml:space="preserve"> Contribuciones inherentes a la nomina</t>
  </si>
  <si>
    <t>Adquisición de bienes</t>
  </si>
  <si>
    <t>Adquisicion de servicios</t>
  </si>
  <si>
    <t>15.2</t>
  </si>
  <si>
    <t>Servicio de asistencia técnica en educación inicial, preescolar, básica y media</t>
  </si>
  <si>
    <t>Entidades y organizaciones asistidas técnicamente</t>
  </si>
  <si>
    <t xml:space="preserve">0314 - 5 - 1 1 1 15 90 - 20  
0314 - 5 - 1 1 1 15 90 - 88   
0314 - 5 - 1 1 1 15 90 - 91 25
1404 - 5 - 3 1 3 6 20 1 90 - 21
1404 - 5 - 3 1 3 6 20 1 90 - 25
0314 - 5 - 3 1 3 6 20 1 90 - 20
0314 - 5 - 3 1 3 6 20 1 90 - 91
1404 - 5 - 1 1 1 15 90 - 21
1404 - 5 - 1 1 1 15 90 - </t>
  </si>
  <si>
    <t>201663000-0090</t>
  </si>
  <si>
    <t>Mejoramiento de ambientes escolares y  fortalecimiento de modelos educativos articuladores de la ciencia, los lenguajes, las artes y el deporte en el Departamento del Quindío.</t>
  </si>
  <si>
    <t>Apoyo para el fortalecimiento de los Comités de Convivencia Escolar</t>
  </si>
  <si>
    <t>ALVARO BETANCOURTH</t>
  </si>
  <si>
    <t xml:space="preserve">Mejorar las condiciones de Infraestructura y de elementos  pedagógicos para la implementación de la jornada única y ambientes escolares </t>
  </si>
  <si>
    <t>Fortalecer los comités de convivencia escolar en las 54 IE
Conformar y dotar grupos culturales artísticos en instituciones educativas
Implementar el proyecto PRAE en instituciones educativas del departamento
Conformar y dotar grupos culturales artísticos en instituciones educativas
Mejorar las condiciones de infraestructura y de elementos pedagógicos para la implementación de la jornada única y ambientes escolares para la Paz
Dotar Instituciones Educativas de material didáctico, mobiliario escolar y/o infraestructura tecnológica</t>
  </si>
  <si>
    <t>* Implementar un plan colectivo de asistencia técnica a los funcionarios docentes, directivos docentes y administrativos de la Secretaría de Educación Departamental, con el fin de fortalecer sus capacidades estratégicas, técnicas y personales.</t>
  </si>
  <si>
    <t>Rendimientos SGP Educación</t>
  </si>
  <si>
    <t>15.13</t>
  </si>
  <si>
    <t>* Diseño e Implementación de estrategias de acceso y permanencia de los niños, niñas, adolescentes, jóvenes y adultos del Departamento del Quindío en el sector educativo.</t>
  </si>
  <si>
    <t>RENDIMIENTOS FINANCIEROS SGP EDUCACIÓN</t>
  </si>
  <si>
    <t>15.28</t>
  </si>
  <si>
    <t>Servicio de gestión de riesgos y desastres en establecimientos educativos</t>
  </si>
  <si>
    <t>Establecimientos educativos con acciones de gestión del riesgo implementadas</t>
  </si>
  <si>
    <t>* Fortalecimiento e implementación de acciones en el marco de la  prevención de riesgos  y proyectos ambientales escolares -PRAE- en las instituciones educativas adscritas a la Secretaría de Educación del departamento.</t>
  </si>
  <si>
    <t>15.18</t>
  </si>
  <si>
    <t>Servicios de asistencia técnica en innovación educativa en la educación inicial, preescolar, básica y media</t>
  </si>
  <si>
    <t>Instituciones educativas asistidas técnicamente en innovación educativa</t>
  </si>
  <si>
    <t>* Fortalecimiento e implementación de estrategias  y practicas pedagógicas innovadoras  en las Instituciones Educativas adscritas a la Secretaría de Educación Departamental.</t>
  </si>
  <si>
    <t>15.32</t>
  </si>
  <si>
    <t xml:space="preserve">Infraestructura  de Instituciones Educativas  con procesos   constructivos ,  y/o mejorados, y/o ampliados, y/o mantenidos, Y/o  reforzados </t>
  </si>
  <si>
    <t xml:space="preserve">Infraestructura  de Instituciones Educativas   construída y/o Mejorada, y/o Ampliada, y/o Mantenida, Y/o  Reforzada </t>
  </si>
  <si>
    <t>Tranferencia de Recursos para Pequeñas Intervenciones en las Instituciones Educativas del Departamento.</t>
  </si>
  <si>
    <t>* Transferencia de recursos económicos a las Instituciones Educativas para pequeñas intervenciones en Infraestructura Educativa.</t>
  </si>
  <si>
    <t>15.8</t>
  </si>
  <si>
    <t>Servicio de acondicionamiento de ambientes de aprendizaje</t>
  </si>
  <si>
    <t>Ambientes de aprendizaje en funcionamiento</t>
  </si>
  <si>
    <t>* Fortalecimiento de la gestión educativa mediante la dotación de material pedagógico para las instituciones  educativas oficiales adscritas a la Secretaría de educación departamental.</t>
  </si>
  <si>
    <t>SUPERAVIT MONOPOLIO</t>
  </si>
  <si>
    <t>0314 - 5 - 1 1 1 15 93 - 20
0314 - 5 - 3 1 3 6 22 1 93 - 20</t>
  </si>
  <si>
    <t>201663000-0093</t>
  </si>
  <si>
    <t>Mejoramiento de estrategias que permitan una mayor eficiencia en la gestion de procesos y proyectos de las instituciones educativas del Departamento del Quindío.</t>
  </si>
  <si>
    <t>Acompañamiento y seguimiento en las acciones de mejora en aspectos contables financieros y presupuestales de las IE del departamento del Quindio</t>
  </si>
  <si>
    <t>Asistir técnicamente a las instituciones educativas del departamento para mejorar los procesos administrativos para el manejo de los fondos educativos.</t>
  </si>
  <si>
    <t>Debida ejecución de los recursos de los fondos educativos</t>
  </si>
  <si>
    <t>Implementar un plan colectivo de asistencia técnica a los funcionarios docentes, directivos docentes y administrativos de la Secretaría de Educación Departamental, con el fin de fortalecer sus capacidades estratégicas, técnicas y personales.</t>
  </si>
  <si>
    <t xml:space="preserve">Recurso Ordinario
</t>
  </si>
  <si>
    <t>0314 - 5 - 3 1 3 7 24 1 95 - 20
0314 - 5 - 1 1 1 15 95 - 88</t>
  </si>
  <si>
    <t>201663000-0095</t>
  </si>
  <si>
    <t xml:space="preserve">Fortalecimiento de los niveles de educación  básica y media para la articulación con la educación terciaria en el Departamento del Quindío </t>
  </si>
  <si>
    <t>Capacitación y Logistica, Talleres de Referentes, Planeación Curricular, Evaluación de los Aprendizajes</t>
  </si>
  <si>
    <t>0RDINARIO</t>
  </si>
  <si>
    <t>Mejorar los porcentajes de estudiantes con posibilidad de ingreso a la educación superior y etdh en el departamento del Quindío.</t>
  </si>
  <si>
    <t>Brindar a la población egresada de las instituciones educativas oficiales del departamento, mayores y mejores oportunidades para el ingreso a la educación terciaria</t>
  </si>
  <si>
    <t>Fortalecimiento e implementación de estrategias  y practicas pedagógicas innovadoras  en las Instituciones Educativas adscritas a la Secretaría de Educación Departamental.</t>
  </si>
  <si>
    <t>15.16</t>
  </si>
  <si>
    <t>Servicio de atención integral para la primera infancia</t>
  </si>
  <si>
    <t>Instituciones educativas oficiales que implementan el nivel preescolar en el marco de la atención integral</t>
  </si>
  <si>
    <t>0314 - 5 - 1 1 1 15 101 - 20
0314 - 5 - 1 1 1 15 101 - 88
0314 - 5 - 3 1 3 16 57 1 101 - 20</t>
  </si>
  <si>
    <t>201663000-0101</t>
  </si>
  <si>
    <t xml:space="preserve">Implementación del modelo de atención integral de la educación inicial en el Departamento del  Quindío. </t>
  </si>
  <si>
    <t>Apoyo para el programa de educación inicial en las instiuciones educativas oficiales del Departamento</t>
  </si>
  <si>
    <t xml:space="preserve">MARTHA YULIETH </t>
  </si>
  <si>
    <t>Aumentar la tasa de cobertura  de  niños y niñas en edad de transición en las instituciones  educativas del  departamento</t>
  </si>
  <si>
    <t>Implementar  un (1)  programa de educación integral  a la primera infancia</t>
  </si>
  <si>
    <t>Fortalecimiento e implementación de estrategias que permitan una atención integral en el nivel de preescolar de las instituciones educativas adscritas a la Secretaría de Educación Departamental</t>
  </si>
  <si>
    <t>15.20</t>
  </si>
  <si>
    <t>Servicio de accesibilidad a contenidos web para fines pedagógicos</t>
  </si>
  <si>
    <t>Establecimientos educativos conectados a internet</t>
  </si>
  <si>
    <t>1404 - 5 - 1 1 1 15 97 - 25</t>
  </si>
  <si>
    <t>201663000-0097</t>
  </si>
  <si>
    <t xml:space="preserve">Fortalecimiento de las herramientas tecnológicas en las Instituciones Educativas del Departamento del Quindío </t>
  </si>
  <si>
    <t>Ampliar la cobertura del servicio de conectividad en las sedes educativas oficiales del departamento del Quindío</t>
  </si>
  <si>
    <t>Optimizar los procesos administrativos y los recursos económicos con destinación al servicio de conectividad de las sedes educativas del departamento.</t>
  </si>
  <si>
    <t>Fortalecimiento de los servicios de conectividad de los establecimientos educativos oficiales adscritos a la Secretaría de Educación Departamental.</t>
  </si>
  <si>
    <t>S.G.P Educacion</t>
  </si>
  <si>
    <t>MARIA EUGENIA RIVERA</t>
  </si>
  <si>
    <t>Estudiantes con acceso a contenidos web en el establecimiento educativo</t>
  </si>
  <si>
    <t>15.14</t>
  </si>
  <si>
    <t>Servicios educativos de promoción del bilingüismo</t>
  </si>
  <si>
    <t>Estudiantes beneficiados con estrategias de promoción del bilingüismo</t>
  </si>
  <si>
    <t>0314 - 5 - 1 1 1 15 23 - 88</t>
  </si>
  <si>
    <t>202000363-0023</t>
  </si>
  <si>
    <t>Fortalecer las competencias comunicativas en lengua extranjera en estudiantes y docentes de las instituciones educativas oficiales del Departamento del Quindío.</t>
  </si>
  <si>
    <t>Mejorar el nivel de inglés de los niños, niñas y jóvenes que asisten a las Instituciones Educativas oficiales del Departamento del Quindío.</t>
  </si>
  <si>
    <t>* Fortalecer la formación de los docentes y estudiantes de preescolar, básica primaria, básica
secundaria y media en el idioma inglés y metodología para la enseñanza y el aprendizaje del
mismo. 
* Crear ambientes apropiados para el uso del idioma ingles en contexto bilingüe y
bicultural, en las instituciones educativas oficiales del departamento del Quindío. 
* Fortalecer los procesos de, evaluación, seguimiento monitoreo y control</t>
  </si>
  <si>
    <t>Servicio educativos de promoción del bilingüismo</t>
  </si>
  <si>
    <t>Superavit Recurso Ordinario</t>
  </si>
  <si>
    <t>LEONARDO MORALES</t>
  </si>
  <si>
    <t>Instituciones educativas fortalecidas en competencias comunicativas en un segundo idioma</t>
  </si>
  <si>
    <t>15.23</t>
  </si>
  <si>
    <t>Servicio educativo de promoción del bilingüismo para docentes</t>
  </si>
  <si>
    <t>Docentes beneficiados con estrategias de promoción del bilingüismo</t>
  </si>
  <si>
    <t>15.6</t>
  </si>
  <si>
    <t>Servicio de monitoreo y seguimiento a la gestión del sector educativo</t>
  </si>
  <si>
    <t>Entidades territoriales con seguimiento y evaluación a la gestión.</t>
  </si>
  <si>
    <t>0314 - 5 - 1 1 1 15 24 - 88</t>
  </si>
  <si>
    <t>202000363-0024</t>
  </si>
  <si>
    <t>Fortalecimiento territoral para una gestión educativa integral en la Secretaría de Educación Departamental del Quindío.</t>
  </si>
  <si>
    <t>Fortalecer y propiciar capacidades estratégicas, técnicas y personales en el personal docente, directivo docente y administrativo de la secretaría de educación departamental, con el fin de prestar un servicio educativo de calidad con inclusión y equidad a los niños, niñas, adolescentes, jóvenes y adultos del Departamento Quindío.</t>
  </si>
  <si>
    <t xml:space="preserve">* Articular acciones de apoyo, asesoría y acompañamiento técnico dirigido a docentes, directivos docentes y personal administrativo de las Instituciones Educativas y el Nivel central de la SED. 
* Mejorar las prácticas administrativas al interior de las Instituciones Educativas y el nivel central. 
*Contribuir al mejoramiento de la calidad de vida de los docentes, directivos docentes y administrativos, atendiendo las necesidades relacionadas con mejoramiento de ambientes laborales, desempeño laboral y calidad de vida. 
* Desarrollar las actividades, operaciones y procesos administrativos y financieros que garantice el pago oportuno de salarios, prestaciones sociales, seguridad social, transferencias de nómina, gastos generales y todos aquellos afines a la operación de la prestación del servicio educativo.
</t>
  </si>
  <si>
    <t>ARTURO  ANDRES LÑONDOÑO VELASQUES</t>
  </si>
  <si>
    <t>44.1</t>
  </si>
  <si>
    <t>Servicio de apoyo para el acceso y la permanencia a la educación superior o terciaria</t>
  </si>
  <si>
    <t>Estrategias o programas de  fomento para  acceso y  permanencia a la educación superior o terciaria implementados</t>
  </si>
  <si>
    <t>0314 - 5 - 1 1 1 44 95 -91 
0314 - 5 - 1 1 1 44 95 - 20</t>
  </si>
  <si>
    <t>Fortalecimiento de los niveles de educación  básica y media para la articulación con la educación terciaria en el Departamento del Quindío.</t>
  </si>
  <si>
    <t>Fortalecimiento e implementacion de estrategias que permitan el acceso y permanencia a la educación técnica, tecnológica o profesional de los estudiantes de las Instituciones Educativas adscritas a la Secretaría de Educación Departamental.</t>
  </si>
  <si>
    <t>CLAUDIA OVIEDO</t>
  </si>
  <si>
    <t>0314 - 5 - 1 1 1 44 122 - 35
0314 - 5 - 1 1 1 44 122 - 88
0314 - 5 - 3 1 3 7 24 1 122 - 20
0314 - 5 - 3 1 3 7 24 1 122 - 35</t>
  </si>
  <si>
    <t>2017003630-122</t>
  </si>
  <si>
    <t>Implementación de un fondo de apoyo departamental para el acceso y la permanencia de la educacion técnica, tecnológica y superior en el Departamento del Quindío.</t>
  </si>
  <si>
    <t>Pago cuota compraventa bien inmueble Institucion Educativa San Jose de Circasia ordenanzas 035 de 2010,047 de 2010 y 020 de 2011</t>
  </si>
  <si>
    <t>ALVARO  BETANCOURTH</t>
  </si>
  <si>
    <t>Asignación Becas a Estudiantes Egresados de las Instituciones Educativas Oficiales del Departamento</t>
  </si>
  <si>
    <t xml:space="preserve">LILIANA MARÍA SÁNCHEZ VILLADA </t>
  </si>
  <si>
    <t>Secretaria de Educación</t>
  </si>
  <si>
    <t>SEGUIMIENTO PLAN DE ACCIÓN
SECRETARIA DE HACIENDA
SEPTIEMBRE  30   DE   2020</t>
  </si>
  <si>
    <t>CODIGO INTERNO 
META</t>
  </si>
  <si>
    <t>LIDERAZGO, GOBERNABILIDAD Y TRANSPARENCIA</t>
  </si>
  <si>
    <t>45.2</t>
  </si>
  <si>
    <t>Estrategia para el mejoramiento del Índice de Desempeño Fiscal en la Administración Departamental.</t>
  </si>
  <si>
    <t>Estrategia  de fortalecimiento  del Índice de Desempeño  Fiscal implementadas.</t>
  </si>
  <si>
    <t>0.47</t>
  </si>
  <si>
    <t>0307 - 5 - 1 4 17 45 16 - 20
0307 - 5 - 1 4 17 45 16 - 56
0307 - 5 - 1 4 17 45 16 - 88
0307 - 5 - 3 1 5 28 88 17 16 - 20</t>
  </si>
  <si>
    <t>201663000-0016</t>
  </si>
  <si>
    <t>Mejoramiento de la sostenibilidad de los procesos de fiscalización liquidación control y cobranza de los tributos en el Departamento del Quindío</t>
  </si>
  <si>
    <t xml:space="preserve">Aumentar los  porcentajes de crecimiento de los ingresos en el Departamento del Quindío, a través de procesos de fiscalización, procedimientos administrativos de cobro coactivo de la cartera morosa y cumplimiento del  Programa Anti contrabando </t>
  </si>
  <si>
    <t>Realizar procesos de fiscalización de las rentas Departamentales, a través de la realización de controles en la liquidación y cobranza  en los tributos con el fin de aumentar los ingresos consolidar la cultura tributaria y aumentar la inversión. 
Llevar a cabo la implementación de los diferentes Procesos Administrativos de Cobro Coactivo sobre aquellos contribuyentes que se encuentran en mora de cancelar sus obligaciones tributarias
Ejecutar el Programa Anti contrabando en el Departamento del Quindío con ocasión de la suscripción del Convenio entre el Departamento del Quindío y la Federación Nacional de Departamentos</t>
  </si>
  <si>
    <t>Ejecutar el proceso de fiscalización tendiente a contribuir al mejoramiento del índice  fiscal</t>
  </si>
  <si>
    <t>Recurso Ordinario.
Superávit Recurso Ordinario.
Nación Cofinanciación- Convenio Federación Nacional de Departamentos</t>
  </si>
  <si>
    <t xml:space="preserve">Mónica Andrea Salgado Castro Directora Tributaria Secretaria de Hacienda </t>
  </si>
  <si>
    <t>Secretaría de Hacienda</t>
  </si>
  <si>
    <t>Procesos de Fiscalización sobre  LAS RENTAS DEPARTAMENTALES</t>
  </si>
  <si>
    <t>Ejecutar la estrategia de cobro coactivo acorde al ET Nacional de las diferentes rentas departamentales con el fin de incrementar el índice fiscal.</t>
  </si>
  <si>
    <t>Procedimiento Administrativo de Cobro Coactivo frente a la cartera de las diferentes Rentas del Departamento del Quindío</t>
  </si>
  <si>
    <t>Ejecutar el programa anticontrabando suscrito con la federación Nacional de Departamentos</t>
  </si>
  <si>
    <t>Nación Cofinanciación- Convenio Federación Nacional de Departamentos</t>
  </si>
  <si>
    <t>45.11</t>
  </si>
  <si>
    <t xml:space="preserve">Programa para el cumplimiento de las políticas y prácticas contables para la administración departamental         </t>
  </si>
  <si>
    <t>Programa para el cumplimiento de las políticas y prácticas contables implementado</t>
  </si>
  <si>
    <t>0.35</t>
  </si>
  <si>
    <t>0307 - 5 - 1 4 17 45 17 - 20
0307 - 5 - 1 4 17 45 17 - 88
0307 - 5 - 3 1 5 28 88 17 17 - 20</t>
  </si>
  <si>
    <t>201663000-0017</t>
  </si>
  <si>
    <t xml:space="preserve">Implementación de un programa de gestión financiera para la optimización de los procesos en el área de tesorería, presupuesto y contabilidad en el Departamento del Quindío </t>
  </si>
  <si>
    <t>Fortalecer la Gestión Financiera mediante la consolidación de los Sistemas de Información, implementación de Normas Internacionales de Información Financiera NIIF,  crecimiento real de ingresos, sostenibilidad de la deuda y el manejo de pasivos, a fin de garantizar la confiabilidad de la Información Financiera y aplicación de Normas en las Finanzas Públicas</t>
  </si>
  <si>
    <t>Adoptar el nuevo modelo de información Financiera determinado por las Normas Internacionales de Contabilidad de información financiera NIIF, a fin de garantizar la confiabilidad de la información financiera.</t>
  </si>
  <si>
    <t>Ejecución de Normas Internacionales de Información Financiera (NIIF) y fortalecimiento institucional para el cumplimiento de las políticas y practicas contables en el área de tesorería, Presupuesto y Contabilidad</t>
  </si>
  <si>
    <t xml:space="preserve">Recurso Ordinario.
Superávit Recurso Ordinario.
Nación </t>
  </si>
  <si>
    <t>Magnolia Gonzales Quintero   Directora Financiera Secretaria  de Hacienda</t>
  </si>
  <si>
    <t>ALEYDA MARIN BETANCOURT</t>
  </si>
  <si>
    <t>Secretario de Hacienda</t>
  </si>
  <si>
    <t>SEGUIMIENTO PLAN DE ACCIÓN
IDTQ
SEPTIEMBRE  30   DE   2020</t>
  </si>
  <si>
    <t>Edad Económicamente Activ (20-59 años)</t>
  </si>
  <si>
    <t xml:space="preserve"> TERRITORIO, AMBIENTE Y DESARROLLO SOSTENIBLE</t>
  </si>
  <si>
    <t>Seguridad de Transporte. "Tú y yo seguros en la vía"</t>
  </si>
  <si>
    <t>Formular e Implementar una estrategia de movilidad saludable, segura y sostenible.</t>
  </si>
  <si>
    <t xml:space="preserve">Estrategia de movilidad saludable, segura y sostenible  formulada e implementada </t>
  </si>
  <si>
    <t>SEGURIDAD DE TRANSPORTE. TU Y YO SEGUROS EN LA VIA</t>
  </si>
  <si>
    <t xml:space="preserve">Implementación programa de seguridad vial en el Departamento del Quindío  "TU Y YO POR LA SEGURIDAD VIAL" </t>
  </si>
  <si>
    <t xml:space="preserve">Disminuir el número de lesiones fatales por siniestros de tránsito, a través de la implementación de estrategias que permitan mejorar las condiciones de seguridad en las vías de los municipios de jurisdicción del Instituto Departamental de Tránsito del Quindío.
</t>
  </si>
  <si>
    <t>Disminuir los riesgos de accidentes en las vias mediante la formulación e implementación de planes y programas de seguridad vial para el mejoramiento de las ocndiciones de vida de la población en la jurisdicción del I.D.T.Q</t>
  </si>
  <si>
    <t xml:space="preserve">Estrategia de movilidad saludable, segura y sostenible   implementada </t>
  </si>
  <si>
    <t>24010101</t>
  </si>
  <si>
    <t>Propios</t>
  </si>
  <si>
    <t>Raul Augusto Perez Ospina</t>
  </si>
  <si>
    <t>Debbie Duque Burgos</t>
  </si>
  <si>
    <t>19.2</t>
  </si>
  <si>
    <t>Formular e Implementar un programa de formación en normas de tránsito y fomento de cultura  de la seguridad en la vía.</t>
  </si>
  <si>
    <t>Programa de formación cultural  de la seguridad en la vía formulado e implementado.</t>
  </si>
  <si>
    <t>Implementación del Programa "Tu y yo por la seguridad vial", en el Departamento del Quindio.</t>
  </si>
  <si>
    <t>Programa de formación cultural  de la seguridad en la vía implementado.</t>
  </si>
  <si>
    <t>19.3</t>
  </si>
  <si>
    <t>Formular e Implementar un programa de control, prevención y atención del tránsito y el transporte en los municipios y vías de jurisdicción del IDTQ.</t>
  </si>
  <si>
    <t>Programa de control y atención del tránsito y el transporte formulado e implementado</t>
  </si>
  <si>
    <t>Programa de control y atención del tránsito y el transporte implementado</t>
  </si>
  <si>
    <t>19.4</t>
  </si>
  <si>
    <t>Diseñar e Implementar un programa de señalización y demarcación en los municipios y vías de jurisdicción del IDTQ.</t>
  </si>
  <si>
    <t>Programa de Señalización y demarcación en los municipios y vías de jurisdicción del IDTQ diseñado e Implementado</t>
  </si>
  <si>
    <t>Programa de Señalización y Demarcación en los municipios y vías de jurisdicción del IDTQ Implementado</t>
  </si>
  <si>
    <t>DEBBIE DUQUE BURGOS</t>
  </si>
  <si>
    <t>Directora Instituto Departamental de Tránsito del Quindío (IDTQ)</t>
  </si>
  <si>
    <t>SEGUIMIENTO PLAN DE ACCIÓN
SECRETARIA DE AGUAS E INFRAESTRUCTURA
SEPTIEMBRE  30   DE   2020</t>
  </si>
  <si>
    <t>META FISICA</t>
  </si>
  <si>
    <t>Promoción al acceso a la justicia."Tú y yo con justicia"</t>
  </si>
  <si>
    <t xml:space="preserve">Infraestructura  de las Instituciones de seguridad del estado con procesos  constructivos   y/o mejorados y/o ampliados y/o mantenidos y/o  reforzados </t>
  </si>
  <si>
    <t xml:space="preserve">Infraestructura  de las Instituciones de seguridad del estado construida y/o Mejorada, y/o Ampliada, y/o Mantenida, Y/o  Reforzada </t>
  </si>
  <si>
    <t>0308 - 5 - 1 1 18 1 7 - 88</t>
  </si>
  <si>
    <t>202000363-0007</t>
  </si>
  <si>
    <t>Construcción y/o mejoramiento de las instituciones públicas y/o de seguridad y  justicia  del estado en el Departamento Quindío .</t>
  </si>
  <si>
    <t>fortalecer infraestructuras públicas, equipamientos y equipamentos,  mediante diagnósticos que nos permitan establecer las condiciones que se encuentran con el fin de realizar intervenciones en la mejora de cada uno que permita  el buen funcionamiento.</t>
  </si>
  <si>
    <t>1- Promover la transparencia, la participación y la colaboración en la administración pública.                               2- Involucrar a la ciudadanía en el diseño, gestión de las diferentes estrategias a ejecutar para que sean beneficiados.</t>
  </si>
  <si>
    <t>Secretaría de Aguas e Infraestructura</t>
  </si>
  <si>
    <t>Prestación de servicios de salud. "Tú y yo con servicios de salud"</t>
  </si>
  <si>
    <t xml:space="preserve">Infraestructura  Hospitalaria  con procesos  constructivos  y/o mejorados, y/o ampliados y/o mantenidos, y/o  reforzados </t>
  </si>
  <si>
    <t xml:space="preserve">Infraestructura   Hospitalaria  construída y/o Mejorada, y/o Ampliada, y/o Mantenida, y/o  Reforzada </t>
  </si>
  <si>
    <t>0308 - 5 - 1 1 2 13 8 - 88</t>
  </si>
  <si>
    <t>202000363-0008</t>
  </si>
  <si>
    <t>Construccion y/o mejoramiento de la infraestructura fisica de las instituciones de salud pública y bienestar social del departamento del quindio.</t>
  </si>
  <si>
    <t>Aumentar capacidad de infraestructura que permita la  prestaciòn del servicio de salud en el Departamento del Quindio.</t>
  </si>
  <si>
    <t xml:space="preserve">1- Aumentar la infraestructura cumpliendo con requisitos para la atenciòn basica en salud.
2- Disponer de sitios aptos para la atenciòn basica de salud
3 - Garantizar el acceso efectivo de la poblaciòn a los servicios de atenciòn  en salud
</t>
  </si>
  <si>
    <t xml:space="preserve">Infraestructura  de Instituciones Educativas  con procesos  constructivos ,  y/o mejorados, y/o ampliados, y/o mantenidos, y/o  reforzados </t>
  </si>
  <si>
    <t>0308 - 5 - 1 1 1 15 21 - 04
0308 - 5 - 1 1 1 15 21 - 82
0308 - 5 - 3 1 2 4 15 1 21 - 04
0308 - 5 - 3 1 2 4 15 1 21 - 165</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</si>
  <si>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</si>
  <si>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</si>
  <si>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</si>
  <si>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</si>
  <si>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Servicio de transporte para el desplazamiento del personal y materiales  a las obras físicas</t>
  </si>
  <si>
    <t>SUPERAVIT ESTAMPILLA PRO - DESARROLLO (82)</t>
  </si>
  <si>
    <t>82
4</t>
  </si>
  <si>
    <t>MILTON TORRES ANDRES PELAEZ</t>
  </si>
  <si>
    <t>Suministro y/o compraventa de materiales, elementos y  equipos necesarios para la ejecucion de proyectos en infraestructura educativa</t>
  </si>
  <si>
    <t>Prestacion de Servicios de Asistencia Profesional a la supervision en la vigilancia, seguimiento y control juridico de los contratos suscritos en cumplimiento del proyecto.</t>
  </si>
  <si>
    <t>ESTAMPILLA PRO - DESARROLLO (04)</t>
  </si>
  <si>
    <t>Apoyo a la Supervision en la vigilancia, seguimiento y control juridico a los procesos y contratos de obra fìsica en ejecucion suscritos por el Departamento en cumplimiento del proyecto construir mantener, mejorar y/o rehabilitar la infraestructura socal-educativa del Departamento del Quindìo.</t>
  </si>
  <si>
    <t>Prestacion de Servicios de Apoyo Tecnico a la supervision en la vigilancia, seguimiento y contral juridico de los contratos suscritos por el Departamento</t>
  </si>
  <si>
    <t>Asistencia Profesional a la supervisión en la vigilancia y seguimiento y control  Financiero y Administrativo de los contratos suscritos en cumplimiento del proyecto.</t>
  </si>
  <si>
    <t>Seguimiento y control administrativo y financiero de las obras y contratos suscritos y en ejecucion por el Departamento en cumplimiento del proyecto construir mantener, mejorar y/o rehabilitar la infraestructura socal-educativa del Departamento del Quindìo.</t>
  </si>
  <si>
    <t>Prestacion de Servicios de Asistencia Profesional  a la Supervision de obras fisicas y procesos que se adelanten en cumplimiento del proyecto.</t>
  </si>
  <si>
    <t>Seguimiento y control de obras físicas y procesos que se adelanten en cumplimiento del proyecto.</t>
  </si>
  <si>
    <t>Prestacion de Servicios de Apoyo Tecnico a la supervision  de obras fisicas y procesos que se adelanten en cumplimiento del proyecto.</t>
  </si>
  <si>
    <t xml:space="preserve">Apoyo  tecnico a la Supervision, en la vigilancia, seguimiento y control de las obras  y contratos suscritos, para manterner mejorar y/o rehabilitar la infraestructura social-educativa del Departamento del Quindio. </t>
  </si>
  <si>
    <t>Mano de obra calificada y/o no calificada necesaria para la ejecucion de obras fìsicas de mantenimiento y/o mejoramiento y/o rehabilitacion y/o atencion de la infraestructura social y de Instituciones educativas del Departamento del Quindìo</t>
  </si>
  <si>
    <t xml:space="preserve">Prestacion de servicios de mano de obra no calificada necesaria para el cumplimiento del Proyecto  </t>
  </si>
  <si>
    <t>Mantener, mejorar y/o rehabilitar las Instituciones Educativas del Departamento del Quindio.</t>
  </si>
  <si>
    <t>Interventoría integral para los contratos que se adelanten en Infraestructura Educativa.</t>
  </si>
  <si>
    <t>3301068</t>
  </si>
  <si>
    <t>25.3</t>
  </si>
  <si>
    <t>Servicio de mantenimiento de infraestructura cultural</t>
  </si>
  <si>
    <t>Infraestructura cultural intervenida</t>
  </si>
  <si>
    <t>0308 - 5 - 1 1 5 25 21 - 20
0308 - 5 - 1 1 5 25 21 - 88</t>
  </si>
  <si>
    <t>Mano de obra calificada y/o no calificada necesaria para la ejecucion de obras fìsicas de mantenimiento y/o mejoramiento y/o rehabilitacion y/o atencion de la infraestructura social y Cultural del Departamento del Quindìo</t>
  </si>
  <si>
    <t>RECURSO ORDINARIO</t>
  </si>
  <si>
    <t>Suministro y/o compraventa de materiales, elementos y  equipos necesarios para la ejecucion del proyectos</t>
  </si>
  <si>
    <t>SUPERAVIT RECURSO ORDINARIO</t>
  </si>
  <si>
    <t>Fomento a la recreación, la actividad física y el deporte. "Tú y yo en la recreación y el deporte"</t>
  </si>
  <si>
    <t>39.4</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</si>
  <si>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</si>
  <si>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</si>
  <si>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0308 - 5 - 1 1 4 39 21 - 04</t>
  </si>
  <si>
    <t xml:space="preserve">Servicio de transporte  para el desplazamiento del personal  y materiales a las obras físicas  </t>
  </si>
  <si>
    <t xml:space="preserve">ESTAMPILLA PRO - DESARROLLO (04)
</t>
  </si>
  <si>
    <t>Suministro y/o compraventa de materiales, elementos y  equipos necesarios para la realizacion de proyectos en infraestructura deportiva.</t>
  </si>
  <si>
    <t>Apoyo a la Supervision en la vigilancia, seguimiento y control juridico a los procesos y contratos de obra fìsica en ejecucion suscritos por el Departamento en cumplimiento del proyecto construir mantener, mejorar y/o rehabilitar la infraestructura socal- deportiva del Departamento del Quindìo.</t>
  </si>
  <si>
    <t>Prestacion de Servicios de Apoyo Tecnico a la supervision en la vigilancia, seguimiento y contral juridico de los contratos suscritos por el Departamento.</t>
  </si>
  <si>
    <t>Asistencia Profesional a la supervision en la vigilancia y seguimiento y control  Financiero y Administrativo de los contratos suscritos en cumplimiento del proyecto.</t>
  </si>
  <si>
    <t>Seguimiento y control administrativo y financiero de las obras y contratos suscritos y en ejecucion por el Departamento en cumplimiento del proyecto construir mantener, mejorar y/o rehabilitar la infraestructura socal-deportiva del Departamento del Quindìo.</t>
  </si>
  <si>
    <t xml:space="preserve"> ESTAMPILLA PRO - DESARROLLO (04)</t>
  </si>
  <si>
    <t xml:space="preserve">Apoyo tecnico a la Supervision, en la vigilancia, seguimiento y control de las obras  y contratos suscritos, para manterner mejorar y/o rehabilitar la infraestructura social-deportiva del Departamento del Quindio. </t>
  </si>
  <si>
    <t>Mano de obra calificada y/o no calificada necesaria para la ejecucion de obras fìsicas de mantenimiento y/o mejoramiento y/o rehabilitacion y/o atencion de la infraestructura social y deportiva del Departamento del Quindìo</t>
  </si>
  <si>
    <t>Construccion, mejoramiento y/o rehabilitacion de Infraestructura Deportiva del Departamento del Quindio</t>
  </si>
  <si>
    <t>Formación y preparación de deportistas. "Tú y yo campeones"</t>
  </si>
  <si>
    <t>40.1</t>
  </si>
  <si>
    <t>Piscinas construidas y dotadas</t>
  </si>
  <si>
    <t>0308 - 5 - 1 1 4 40 21 - 04 0308 - 5 - 1 1 4 40 21 - 82</t>
  </si>
  <si>
    <t>Apoyo a la supervision en la vigilacia, seguimiento y control juridico a los procesos y contratos de obra fisica en ejecucion, suscritos por el departamento en cumplimiento del proyecto, construir, mantener, mejorar y/o rehabilitar la infraestructura social - deportiva del Departamento del Quindío</t>
  </si>
  <si>
    <t>Seguimiento y control administrativo y financiero de las obrasy contratos suscritos y en ejecucion por el departamento en cumplimiento del proyecto, construir, mantener, mejorar y/o rehabilitar la infraestructura social - deportiva del Departamento del Quindío</t>
  </si>
  <si>
    <t>Seguimiento y control de obras fisicas y procesos que se adelanten en cumplimiento del proyecto</t>
  </si>
  <si>
    <t>SUPERAVIT ESTAMPILLA PRO DESARROLLO</t>
  </si>
  <si>
    <t>Estudios y diseños y/o construcción, mantenimiento, mejoramiento y/o rehabilitacion de piscina en el Departamento del Quindìo</t>
  </si>
  <si>
    <t>Interventoría integral para los contratos que se adelanten en Infraestructura Deportiva.</t>
  </si>
  <si>
    <t>10.4</t>
  </si>
  <si>
    <t>Plazas de mercado adecuadas</t>
  </si>
  <si>
    <t>0308 - 5 - 1 2 13 10 9 - 88</t>
  </si>
  <si>
    <t>202000363-0009</t>
  </si>
  <si>
    <t>Construcción y/o mejoramiento  de la infraestructura turística y/o  productiva y  competitiva       para el desarrollo del Departamento del Quindío</t>
  </si>
  <si>
    <t>Fortalecer de manera eficaz y eficiente  las infraestructuras turistica y productiva del Departamento del Quindío que permita el fortalecimiento  de las variables antes mencionadas  en los diferentes municipios.</t>
  </si>
  <si>
    <t>1-GESTIONAR RECURSOS PARA DESARROLLAR LOS MANTENIMIENTOS PERIODICOS A LOS EQUIPAMIENTOS COLECTIVOS.                                                       2- Aumentar la cobertura y mejoramiento de infraestructura turistica y productiva en los diferentes municipios del Departamento del Quindío</t>
  </si>
  <si>
    <t>Recursos Ordinarios del Balance</t>
  </si>
  <si>
    <t>27.8</t>
  </si>
  <si>
    <t>Mirador turístico construido</t>
  </si>
  <si>
    <t>0308 - 5 - 1 2 13 27 9 - 88</t>
  </si>
  <si>
    <t>Construcción y/o mejoramiento  de la infraestructura turística y/o  productiva y  competitiva       para el desarrollo del Departamento del Quindío..</t>
  </si>
  <si>
    <t>Infraestructura red vial regional. "Tú y yo con movilidad vial"</t>
  </si>
  <si>
    <t>18.2</t>
  </si>
  <si>
    <t>Infraestructura   vial  con procesos  de construcción, mejoramiento, ampliación, mantenimiento y/o  reforzamiento.</t>
  </si>
  <si>
    <t xml:space="preserve">Infraestructura  vial    construída, mejorada, ampliada,  mantenida, y/o  reforzada </t>
  </si>
  <si>
    <t>0308 - 5 - 1 3 9 18 19 - 20
0308 - 5 - 1 3 9 18 19 - 23
0308 - 5 - 1 3 9 18 19 - 88
0308 - 5 - 1 3 9 18 19 - 89
0308 - 5 - 3 1 2 4 14 9 19 - 20
0308 - 5 - 3 1 2 4 14 9 19 - 23</t>
  </si>
  <si>
    <t>201663000-0019</t>
  </si>
  <si>
    <t>Mantener, mejorar, rehabilitar y/o atender las vías y sus emergencias, en cumplimiento del Plan Vial del Departamento del Quindío.</t>
  </si>
  <si>
    <t>Mantener, mejorar y/o rehabilitar la infraestructura vial del departamento del Quindío.</t>
  </si>
  <si>
    <t xml:space="preserve">Atender oportunamente y con calidad la infraestructura vial del departamento con mantenimiento y rehabilitación </t>
  </si>
  <si>
    <t>Apoyo a la Supervision en la vigilancia, seguimiento y control juridico a los procesos,  y contratos de obra fìsica en ejecucion y suscritos por el Departamento en cumplimiento del proyecto Mantener, mejorar, rehabilitar y/o atender emergencias en las  vías, en cumplimiento del Plan Vial del Departamento del Quindío.</t>
  </si>
  <si>
    <t>20
23</t>
  </si>
  <si>
    <t>ALFONSO VELEZ</t>
  </si>
  <si>
    <t xml:space="preserve">Suministro de combustible </t>
  </si>
  <si>
    <t xml:space="preserve">SOBRETASA AL ACPM </t>
  </si>
  <si>
    <t>Servicio de Vigilancia en puntos aleatorios</t>
  </si>
  <si>
    <t>Prestacion de Servicios de Asistencia Profesional y/o asistencia tecnica a la supervision en la vigilancia, seguimiento y control juridico de los contratos suscritos en cumplimiento del proyecto.</t>
  </si>
  <si>
    <t>Prestacion de Servicios de Asistencia Tecnica a la supervision  de obras fisicas y procesos que se adelanten en cumplimiento del proyecto</t>
  </si>
  <si>
    <t xml:space="preserve">Prestacion de Servicios Profesionales para la Direccion y la Coordinacion de la maquinaria </t>
  </si>
  <si>
    <t>SOBRETASA AL ACPM (23)-</t>
  </si>
  <si>
    <t xml:space="preserve">Prestacion de Servicios para la operación de maquinaria pesada, vehiculos y equipos </t>
  </si>
  <si>
    <t xml:space="preserve">Prestacion de Servicios de mano de obra no calificada </t>
  </si>
  <si>
    <t xml:space="preserve">Mano de obra calificada y/o no calificada necesaria para la ejecucion de obras fìsicas de mantenimiento, mejorarimento  de las vìas y sus emergencia en cumplimiento del Plan Vial del Departamento del Quindío.
</t>
  </si>
  <si>
    <t xml:space="preserve">SUPERAVIT RECURSO ACPM </t>
  </si>
  <si>
    <t xml:space="preserve">Suministro y/o compraventa de materiales, elementos y  equipos </t>
  </si>
  <si>
    <t xml:space="preserve">SUPERAVIT RECURSO ORDINARIO </t>
  </si>
  <si>
    <t>Seguimiento y control administrativo y financiero de las obras y contratos suscritos y en ejecucion por el Departamento en cumplimiento del proyecto Mantener, mejorar, rehabilitar y/o atender emergencias en las  vías, en cumplimiento del Plan Vial del Departamento del Quindío</t>
  </si>
  <si>
    <t>21.3</t>
  </si>
  <si>
    <t xml:space="preserve">Infraestructura ecoturística construida </t>
  </si>
  <si>
    <t>0308 - 5 - 1 3 13 21 9 - 88</t>
  </si>
  <si>
    <t>23.5</t>
  </si>
  <si>
    <t>Obras de infraestructura para mitigación y atención a desastres</t>
  </si>
  <si>
    <t xml:space="preserve">Obras de infraestructura para mitigación y atención a desastres realizadas </t>
  </si>
  <si>
    <t>309 - 5 - 1 3 9 23 19 - 23 0308 - 5 - 1 3 9 23 19 - 88</t>
  </si>
  <si>
    <t>Acceso a soluciones de vivienda. "Tú y yo con vivienda digna"</t>
  </si>
  <si>
    <t>33.3</t>
  </si>
  <si>
    <t>Viviendas de Interés Social urbanas mejoradas</t>
  </si>
  <si>
    <t>0308 - 5 - 1 3 7 33 21 - 04
0308 - 5 - 1 3 7 33 21 - 82</t>
  </si>
  <si>
    <t>Mejoramiento de vivienda urbana y/o rural priorizada en el Departamento del Quindio.</t>
  </si>
  <si>
    <t>Mano de obra calificada y/o no calificada necesaria para la ejecucion de obras fìsicas Mejoramiento de vivienda urbana y/o rural priorizada en el Departamento del Quindio.</t>
  </si>
  <si>
    <t>04</t>
  </si>
  <si>
    <t>Acceso de la población a los servicios de agua potable y saneamiento básico. "Tú y yo con calidad del agua"</t>
  </si>
  <si>
    <t>34.6</t>
  </si>
  <si>
    <t xml:space="preserve">Adoptar e implementar la Política Publica de Producción Consumo Sostenible y Gestión Integral de Aseo  </t>
  </si>
  <si>
    <t>Política Pública de Producción Consumo Sostenible y Gestión Integral de Aseo  adoptada e implementada.</t>
  </si>
  <si>
    <t>0308 - 5 - 1 3 3 34 10 - 20
0308 - 5 - 1 3 3 34 10 - 27
0308 - 5 - 1 3 3 34 10 - 82
0308 - 5 - 1 3 3 34 10 - 88
0308 - 5 - 1 3 3 34 10 - 90</t>
  </si>
  <si>
    <t>202000363-0010</t>
  </si>
  <si>
    <t>Implementación del Plan departamental para el manejo empresarial de los servicios de agua y saneamiento basico en el departameno del Quindio.</t>
  </si>
  <si>
    <t>Implementar estrategias de planeacion y coordinacion interinstitucional para el manejo de los esquemas de abastecimiento y prestación de los servicos de agua y sanemiento urbanos y rurales</t>
  </si>
  <si>
    <t>*Articular recursos, planificación e inversión en agua y saneamiento básico.
*Implemetar modelos de sostenibilidad para los esquemas de prestación</t>
  </si>
  <si>
    <t xml:space="preserve">Superávit Recurso Ordinario </t>
  </si>
  <si>
    <t>4003018</t>
  </si>
  <si>
    <t xml:space="preserve"> 34.1 </t>
  </si>
  <si>
    <t>Alcantarillados construidos</t>
  </si>
  <si>
    <t>Plantas de tratamiento de aguas residuales  construidas</t>
  </si>
  <si>
    <t xml:space="preserve">
S.G.P. Agua Potable y Saneamiento Básico</t>
  </si>
  <si>
    <t>4003025</t>
  </si>
  <si>
    <t>34.2</t>
  </si>
  <si>
    <t>Servicios de apoyo financiero para la ejecución de proyectos de acueductos y alcantarillado</t>
  </si>
  <si>
    <t>Proyectos de acueducto y alcantarillado en área urbana financiados</t>
  </si>
  <si>
    <t>Superávit Estampilla Pro-Desarrollo</t>
  </si>
  <si>
    <t>Superávit  S.G.P. Agua Potable Y Saneamiento Básico</t>
  </si>
  <si>
    <t>4003028</t>
  </si>
  <si>
    <t xml:space="preserve"> 34.4 </t>
  </si>
  <si>
    <t>Servicios de educación informal en agua potable y saneamiento básico</t>
  </si>
  <si>
    <t>Eventos de educación informal en agua y saneamiento básico realizados</t>
  </si>
  <si>
    <t xml:space="preserve"> 34.5 </t>
  </si>
  <si>
    <t>Estudios de pre inversión e inversión</t>
  </si>
  <si>
    <t xml:space="preserve">Estudios o diseños realizados </t>
  </si>
  <si>
    <t>45.10</t>
  </si>
  <si>
    <t>Infraestructura Institucional o  de Edificios Públicos de atención  de servicios ciudadanos con procesos   constructivos   y/o mejorados y/o ampliados, y/o mantenidos, y/o  reforzados</t>
  </si>
  <si>
    <t>Infraestructura  Institucional o Edificios Públicos   construida y/o Mejorada, y/o Ampliada, y/o Mantenida, Y/o  Reforzada</t>
  </si>
  <si>
    <t>0308 - 5 - 1 4 17 45 21 - 165
0308 - 5 - 1 4 17 45 21 - 20</t>
  </si>
  <si>
    <t>Construir, mantener, mejorar y/o rehabilitar la infraestructura institucional o de edificios pùblicos del Departamento del Quindìo.</t>
  </si>
  <si>
    <t>RECURSOS DE POLIZA INCENDIO PREDIO LA RUSIA</t>
  </si>
  <si>
    <t>42.7</t>
  </si>
  <si>
    <t>Salones comunales adecuados</t>
  </si>
  <si>
    <t>0308 - 5 - 1 4 16 42 21 - 20
0308 - 5 - 1 4 16 42 21 - 88</t>
  </si>
  <si>
    <t>Mano de obra calificada y/o no calificada necesaria para la ejecucion de obras fìsicas de  mantenimiento y/o mejoramiento de salones comunales del  Departamento del Quindio.</t>
  </si>
  <si>
    <t>JHON FABER CASTRO MANCERA</t>
  </si>
  <si>
    <t>Secretario de Aguas e Infraestructura</t>
  </si>
  <si>
    <t>SEGUIMIENTO PLAN DE ACCIÓN
SECRETARIA DEL INTERIOR
SEPTIEMBRE  30   DE   2020</t>
  </si>
  <si>
    <t xml:space="preserve">F-PLA-07   </t>
  </si>
  <si>
    <t xml:space="preserve">INCLUSIÓN SOCIAL Y EQUIDAD </t>
  </si>
  <si>
    <t>1.1</t>
  </si>
  <si>
    <t>Servicio de asistencia técnica para la articulación de los operadores de los Servicios de justicia</t>
  </si>
  <si>
    <t xml:space="preserve">0309 - 5 - 1 1 18 1 29 - 20
0309 - 5 - 1 1 18 1 29 - 88
0309 - 5 - 3 1 4 23 76 18 29 - 20
</t>
  </si>
  <si>
    <t>201663000-0029</t>
  </si>
  <si>
    <t>Apoyo a la convivencia, justicia y cultura de paz en el Departamento del  Quindio.</t>
  </si>
  <si>
    <t>Reducir la tasa de homicidios en el Quindío.</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</si>
  <si>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</si>
  <si>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Generación y/o apoyo a programas de intervención social y/o de seguridad </t>
  </si>
  <si>
    <t>FABER RIVEROS NICHOLLS, Director Desarrollo Comunitario, Seguridad,Convivencia y PC</t>
  </si>
  <si>
    <t xml:space="preserve">Secretaría del Interior </t>
  </si>
  <si>
    <t xml:space="preserve">Intervenciones Psicosociales y/o de formación productiva integrales en los cinco municipios focalizados </t>
  </si>
  <si>
    <t>Apoyo juridico  para intervenciones focalizadas en poblacion vulnerable</t>
  </si>
  <si>
    <t>Implementación de programas ludicos,culturales y/o deportivos  para población vulnerable en areas focalizadas</t>
  </si>
  <si>
    <t>Seguimiento a la  ejecución de los objetivos del PISCC</t>
  </si>
  <si>
    <t>Formulacion de PISCC para la vigencia 2020-2023</t>
  </si>
  <si>
    <t>Promoción de los métodos de resolución de conflictos. "Tú y yo resolvemos los conflictos"</t>
  </si>
  <si>
    <t>2.1</t>
  </si>
  <si>
    <t>Servicio de asistencia técnica para la implementación de los métodos de resolución de conflictos</t>
  </si>
  <si>
    <t>Instituciones públicas y privadas asistidas técnicamente en métodos de resolución de conflictos</t>
  </si>
  <si>
    <t>0309 - 5 - 1 1 18 2 28 - 20
0309 - 5 - 1 1 18 2 28 - 88
0309 - 5 - 3 1 4 23 75 18 28 - 20</t>
  </si>
  <si>
    <t>201663000-0028</t>
  </si>
  <si>
    <t xml:space="preserve">Construcción integral de la seguridad humana en el Departamento de Quindio.  </t>
  </si>
  <si>
    <t xml:space="preserve">Reducir la tasa de homicidios en el Quindío
Reducir casos de hurto a residencias, comercio y personas.
</t>
  </si>
  <si>
    <t xml:space="preserve">1. Obtención de resultados en las estrategias implementadas en la prevención y mitigación del delito
2. Garantías para el ejercicio  de la libertad en todos sus ámbitos
3. Incremento de  cobertura en instrumentos operativos y logísticos para la atención y prevención del de delito que afectan a la comunidad.
</t>
  </si>
  <si>
    <t>Apoyo para iniciativas,actividades y/o proyectos productivos dirigidos a población de infancia y adolescencia</t>
  </si>
  <si>
    <t xml:space="preserve"> Recurso Ordinario</t>
  </si>
  <si>
    <t>FABER RIVEROS NICHOLLS, Director Desarrollo Comunitario, Seguridad, Convivencia y PC</t>
  </si>
  <si>
    <t>Servicios de apoyo psicosocial para resolucion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</si>
  <si>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</si>
  <si>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</si>
  <si>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</si>
  <si>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
0309 - 5 - 1 1 18 3 28 - 20
0309 - 5 - 1 1 18 3 28 - 88
0309 - 5 - 3 1 4 23 75 18 28 - 20
 </t>
  </si>
  <si>
    <t>Reducir la tasa de homicidios en el Quindío
Reducir casos de hurto a residencias, comercio y personas.</t>
  </si>
  <si>
    <t>Apoyo para iniciativas,actividades y/o proyectos productivos</t>
  </si>
  <si>
    <t>Servicios de apoyo psicosocial para personas privadas de la libertad</t>
  </si>
  <si>
    <t>Programas de fortalecimiento del Sistema de Responsabilidad Penal para adolescentes</t>
  </si>
  <si>
    <t xml:space="preserve">
0309 - 5 - 1 1 1 15 36 - 88
</t>
  </si>
  <si>
    <t>201663000-0036</t>
  </si>
  <si>
    <t xml:space="preserve">Administración del  riesgo mediante el conocimiento, la reducción y el manejo del desastre  en el Departamento del Quindio. </t>
  </si>
  <si>
    <t>Lograr que las ciudades y los asentamientos humanos sean inclusivos,resilientes y sostenibles (ODS-objetivo 11)</t>
  </si>
  <si>
    <t xml:space="preserve">1. Conocimiento de los riesgos en el departamento.
2. Diseñar modelos de reducción del riesgo en el departamento.
3. Fortalecer las instituciones  para el adecuado manejo de los desastres.  
</t>
  </si>
  <si>
    <t>Formulacion de los planes escolares de gestion del riesgo</t>
  </si>
  <si>
    <t>MARIA CAMILA DIEZ MARTINEZ,
 Directora UDEGERD</t>
  </si>
  <si>
    <t>Actualizacion de los planes escolares de gestion del riesgo</t>
  </si>
  <si>
    <t>Apoyo en la Implementacion de los planes escolares de gestion del riesgo</t>
  </si>
  <si>
    <t>Atención, asistencia y reparación integral a las víctimas. "Tú y yo con reparación integral"</t>
  </si>
  <si>
    <t>35.2</t>
  </si>
  <si>
    <t>Servicio de orientación y comunicación a las víctimas</t>
  </si>
  <si>
    <t>Solicitudes tramitadas</t>
  </si>
  <si>
    <t>0309 - 5 - 1 1 14 35 30 - 20
0309 - 5 - 1 1 14 35 30 - 88
0309 - 5 - 3 1 4 24 78 14 30 - 20</t>
  </si>
  <si>
    <t>201663000-0030</t>
  </si>
  <si>
    <t>Implementación del Plan de Acción Territorial para la prevención, protección, asistencia, atención, reparación integral en el Departamento del Quindio.</t>
  </si>
  <si>
    <t>Incremento del porcentaje de cumplimiento de ley  1448 de 2011 atención a víctimas, que garantice  el goce efectivo de derechos</t>
  </si>
  <si>
    <t xml:space="preserve">1. Entidades territoriales con asignación presupuestal por necesidad identificada 
2.Procesos de paz en ejecución  para el fin del conflicto 
3.Articulación institucional.
</t>
  </si>
  <si>
    <t>Socialización de rutas de protección a las victimas de los 12 municipios del Departamento.</t>
  </si>
  <si>
    <t>Superávit Recurso Ordinario R.O.</t>
  </si>
  <si>
    <t>JUANA CAMILA GOMEZ ZAMORANO, Directora Derechos Humanos</t>
  </si>
  <si>
    <t>Apoyo a la educacion  de las victimas del conflicto</t>
  </si>
  <si>
    <t>Brindar informacion y orientación a las victimas del conflicto de los 12 municipios del departamento.</t>
  </si>
  <si>
    <t>Realizar jornadas de prevencion a vulneraciones de DDHH y DIH a victimas en los 12 municipios del Departamento</t>
  </si>
  <si>
    <t>Equipos tecnologicos para el fortalecimeinto y seguimiento a los procesos con las victimas del conflicto armado en el depto del quindio y los diferentes espcios en los que intervienen</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</si>
  <si>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</si>
  <si>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</si>
  <si>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polbacion victima del depto del Quindio</t>
  </si>
  <si>
    <t>Apoyo a productividad de la población víctima</t>
  </si>
  <si>
    <t>Apoyo a procesos de caracterización de los municipios, cuando sea requerido por èstos</t>
  </si>
  <si>
    <t>35.3</t>
  </si>
  <si>
    <t>Servicio de ayuda y atención humanitaria</t>
  </si>
  <si>
    <t>Personas víctimas con ayuda humanitaria</t>
  </si>
  <si>
    <t>Concurrir, complementar y subsidiar los kits de ayuda  humanitaria inmediata en los 12 municipios del Quindio</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</si>
  <si>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</si>
  <si>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</si>
  <si>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</si>
  <si>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35.4</t>
  </si>
  <si>
    <t>Servicio de asistencia técnica para la participación de las víctimas</t>
  </si>
  <si>
    <t>Eventos de participación realizados</t>
  </si>
  <si>
    <t>Garantias para Sesiones comité ejecutivo y ética mesa de victimas.</t>
  </si>
  <si>
    <t>Garantias para Sesiones plenario mesa departamental de  victimas</t>
  </si>
  <si>
    <t xml:space="preserve">Apoyo al Plan de Trabajo de la mesa Departamental de Victimas </t>
  </si>
  <si>
    <t>Procesos de articulación asistencia y atención a los municipios y su población víctima Sesiones de Comites y Subcomites</t>
  </si>
  <si>
    <t>Garantias para representates de la mesa departamental de victimas para asistir a las Sesiones del  Comité Departamental de Justicia Transicional y sus respectivos subcomites</t>
  </si>
  <si>
    <t>35.5</t>
  </si>
  <si>
    <t>Servicio de apoyo para la generación de ingresos</t>
  </si>
  <si>
    <t>Hogares con asistencia técnica para la generación de ingresos</t>
  </si>
  <si>
    <t>35.1</t>
  </si>
  <si>
    <t>Servicio de asistencia técnica para la realización de iniciativas de memoria histórica</t>
  </si>
  <si>
    <t>Iniciativas de memoria histórica asistidas técnicamente</t>
  </si>
  <si>
    <t xml:space="preserve">Apoyo a iniciativas que aportan a la Memoria Historica en el Departamento 
</t>
  </si>
  <si>
    <t>Conmemoracion de fechas de memoria Historica dentro del ambito de la Ley de victimas y restitucion de tierras</t>
  </si>
  <si>
    <t>Apoyo a municipios priorizados para reparacion colectiva.</t>
  </si>
  <si>
    <t>Inclusión social y productiva para la población en situación de vulnerabilidad. "Tú y yo, población vulnerable incluida"</t>
  </si>
  <si>
    <t>PENDIENTE DNP</t>
  </si>
  <si>
    <t>37.8</t>
  </si>
  <si>
    <t>Servicio de atención y asistencia para la población excombatiente del Departamento del Quindío</t>
  </si>
  <si>
    <t>Población excombatiente beneficiada</t>
  </si>
  <si>
    <t>0309 - 5 - 1 1 18 37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</si>
  <si>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</si>
  <si>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</si>
  <si>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 facilitar el acceso a la justicia para todos y crear instituciones eficaces, responsables e inclusivas a todos los niveles (ODS 16). </t>
  </si>
  <si>
    <t xml:space="preserve">1. Empleo y control social en las zonas de influencia del comercio de estupefacientes 
2.Control de las organizaciones y  grupos delincuenciales por la influencia de organizaciones de otras regiones  al margen de la ley
3.Complementar las acciones municipales de manera integral
</t>
  </si>
  <si>
    <t>Atención y asistencia a la poblacion excombatiente del depto</t>
  </si>
  <si>
    <t>Apoyo a la productividad de la población excombatiente</t>
  </si>
  <si>
    <t>Jornadas de reconciliacion de la poblacion excombatiente de la sociedad del depto</t>
  </si>
  <si>
    <t>Fortalecimiento de la convivencia y la seguridad ciudadana. "Tú y yo seguros"</t>
  </si>
  <si>
    <t>41.3</t>
  </si>
  <si>
    <t>Fortalecimiento institucional a organismos de seguridad</t>
  </si>
  <si>
    <t>Organismos de seguridad fortalecidos</t>
  </si>
  <si>
    <t xml:space="preserve"> 
0309 - 5 - 1 1 18 41 28 - 42
0309 - 5 - 1 1 18 41 28 - 92
0309 - 5 - 3 1 4 23 75 18 28 - 42
</t>
  </si>
  <si>
    <t>Financiación del proyecto de tecnología en seguridad</t>
  </si>
  <si>
    <t>Fondo de Seguridad 5%</t>
  </si>
  <si>
    <t>42
92</t>
  </si>
  <si>
    <t>FABER RIVEROS NICHOLLS,
Director Desarrollo Comunitario, seguridad, convivencia y PC</t>
  </si>
  <si>
    <t xml:space="preserve">Financiación y/o coofinaciación de proyectos de móvilidad </t>
  </si>
  <si>
    <t>Superávit Fondo de Seguridad 5%</t>
  </si>
  <si>
    <t>Suministro de combustible</t>
  </si>
  <si>
    <t>Servicios de apoyo en procesos tecnológicos de seguridad en el departamento</t>
  </si>
  <si>
    <t>Servicios de apoyo para los procesos de adquisición de bienes y servicios con cargo a los organismos de seguridad del departamento</t>
  </si>
  <si>
    <t>Servicios de orden social,  Control y Fiscalización de Sustancias Químicas y Estupefacientes en el departamento</t>
  </si>
  <si>
    <t>Pago fuentes humanas</t>
  </si>
  <si>
    <t>Mantenimiento, adecuación y/o construcción de Instalaciones de Policía, Militares y/o Carcelarias del Departamento</t>
  </si>
  <si>
    <t>Adquisición de bienes y suministro, para material de intendencia y logística</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</si>
  <si>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</si>
  <si>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</si>
  <si>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41.2</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</si>
  <si>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</si>
  <si>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</si>
  <si>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0309 - 5 - 1 1 18 41 32 - 20
0309 - 5 - 1 1 18 41 32 - 88
0309 - 5 - 3 1 4 24 79 14 32 - 20
</t>
  </si>
  <si>
    <t>Papeleria impresa</t>
  </si>
  <si>
    <t>logistica y refrigerios</t>
  </si>
  <si>
    <t xml:space="preserve">Actualización e implementación del plan integral de prevención de vulneración de DDHH  </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</si>
  <si>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</si>
  <si>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</si>
  <si>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</si>
  <si>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</si>
  <si>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Ayuda Humanitaria para victimas de trata de personas</t>
  </si>
  <si>
    <t>41.1</t>
  </si>
  <si>
    <t>Servicio de asistencia tecnica</t>
  </si>
  <si>
    <t>Instancias territoriales de coordinación institucional asistidas y apoyadas</t>
  </si>
  <si>
    <t xml:space="preserve">0309 - 5 - 1 1 16 41 39 - 20
0309 - 5 - 1 1 16 41 39 - 88
</t>
  </si>
  <si>
    <t>201663000-0039</t>
  </si>
  <si>
    <t>Construcción de la participación ciudadana y control social en el Departamento del Quindio</t>
  </si>
  <si>
    <t>Elevar el promedio de la participación de la ciudadanía en los procesos de elección popular del cuatrenio.</t>
  </si>
  <si>
    <t xml:space="preserve">1.  Implementación y difusión  en las entidades territoriales de los canales  y medios para la participación de los ciudadanos.
2. Convicción de la comunidad  en los programas encaminados a brindar el acercamiento a las instituciones públicas
3.  Fortalecimiento en la estructuración de políticas, programas, legislación, proyectos sociales y desarrollo comunitario.
</t>
  </si>
  <si>
    <t>Servicios de apoyo a la operatividad del consejo de participación ciudadana</t>
  </si>
  <si>
    <t>Servicios promocionales y publicitarios de promocion de la participacion, convivencia y seguridad ciudadana</t>
  </si>
  <si>
    <t>Servicios de apoyo en actividades de promocion de la participacion, convivencia y seguridad ciudadana</t>
  </si>
  <si>
    <t>Apoyo en la realización de eventos para el  fortalecimiento a la participación, convivencia y seguridad ciudadana</t>
  </si>
  <si>
    <t>23.1</t>
  </si>
  <si>
    <t>Documentos de estudios técnicos para el ordenamiento ambiental territorial</t>
  </si>
  <si>
    <t>Documentos de estudios técnicos para el conocimiento y reducción del riesgo de desastres elaborados</t>
  </si>
  <si>
    <t>0309 - 5 - 1 3 12 23 36 - 88</t>
  </si>
  <si>
    <t xml:space="preserve">Realizar estudios de riesgo y análisis de vulnerabilidad en  los municipios del departamento </t>
  </si>
  <si>
    <t>Intervenciones, obras de ingeniería y/o análisis vulnerabilidad</t>
  </si>
  <si>
    <t>Prevención y atención de desastres y emergencias. "Tú y yo preparados en gestión del riesgo"</t>
  </si>
  <si>
    <t>43.1</t>
  </si>
  <si>
    <t>Servicio de educación informal</t>
  </si>
  <si>
    <t>0309 - 5 - 1 3 12 43 36 - 88   
0309 - 5 - 3 1 4 25 81 12 36 - 20</t>
  </si>
  <si>
    <t xml:space="preserve">Administración del  riesgo mediante el conocimiento, la reducción y el manejo del desastres  en el Departamento del Quindio. </t>
  </si>
  <si>
    <t>Apoyo en formacion y capacitación de gestión del riesgo de desastres</t>
  </si>
  <si>
    <t>Fortalecimiento instituciones de socorro</t>
  </si>
  <si>
    <t>Impresos y material didactico</t>
  </si>
  <si>
    <t>Logistica para la organización de foros, talleres, eventos y/o actividades</t>
  </si>
  <si>
    <t>43.2</t>
  </si>
  <si>
    <t>Servicio de asistencia técnica</t>
  </si>
  <si>
    <t>Instancias territoriales asistidas</t>
  </si>
  <si>
    <t>Mantenimiento red de comunicaciones</t>
  </si>
  <si>
    <t>88
20</t>
  </si>
  <si>
    <t>Fortalecimiento de la red de comunicaciones de emergencias del departamento</t>
  </si>
  <si>
    <t>Procesos de atención a PQRS y servicios demandados por la de la comunidad</t>
  </si>
  <si>
    <t>Adquisición, actualización y desarrollo de tecnologias en gestion del riesgo de desastres</t>
  </si>
  <si>
    <t>Formacion y capacitacion en Gestión del Riesgo de Desastres</t>
  </si>
  <si>
    <t>Apoyo a los Consejos Municipales de Gestión del Riesgo</t>
  </si>
  <si>
    <t>Fortalecimiento  a las instituciones del Consejo Departamental de Gestión del Riesgo de Desastres</t>
  </si>
  <si>
    <t>Prestación de servicio de transporte</t>
  </si>
  <si>
    <t>Apoyar y fortalecer el sistema de alertas tempranas en el departamento del QUindio</t>
  </si>
  <si>
    <t>Fortalecer el funcionamiento operativo de la sala de crisi del departamento</t>
  </si>
  <si>
    <t>43.3</t>
  </si>
  <si>
    <t>Servicio de atención a emergencias y desastres</t>
  </si>
  <si>
    <t>Centro de reserva  para la atención a emergencias y desastres dotado</t>
  </si>
  <si>
    <t>0309 - 5 - 1 3 12 43 38 - 88
0309 - 5 - 3 1 4 25 82 12 38 - 20</t>
  </si>
  <si>
    <t>201663000-0038</t>
  </si>
  <si>
    <t>Apoyo institucional en la gestión del riesgo  en el Departamento del Quindio</t>
  </si>
  <si>
    <t>Lograr que las ciudades y los asentamientos humanos sean inclusivos, resilientes y sostenibles (ODS-objetivo 11)</t>
  </si>
  <si>
    <t xml:space="preserve">1. Cumplimiento de los protocolos para la preparación y manejo de la emergencia.
2. Destinación de recursos en el ámbito local para la atención de las emergencias.
</t>
  </si>
  <si>
    <t xml:space="preserve">Apoyo para la entrega de ayuda humanitaria </t>
  </si>
  <si>
    <t>Suministro de Ayuda  Humanitaria</t>
  </si>
  <si>
    <t>42.8</t>
  </si>
  <si>
    <t>Servicio de promoción a la participación ciudadana</t>
  </si>
  <si>
    <t>Iniciativas para la promoción de la participación ciudadana implementada.</t>
  </si>
  <si>
    <t xml:space="preserve">0309 - 5 - 1 4 16 42 39 - 20
0309 - 5 - 1 4 16 42 39 - 88
0309 - 5 - 3 1 5 27 85 16 39 - 20  
                                                                                                                                                                                                                                                                                       </t>
  </si>
  <si>
    <t>Servicios como apoyo a estrategías de participación</t>
  </si>
  <si>
    <t xml:space="preserve">Recurso ordinario
</t>
  </si>
  <si>
    <t xml:space="preserve">Celebración de la semana de participación </t>
  </si>
  <si>
    <t>Realización de eventos para el  fortalecimiento a la participación ciudadana y control social</t>
  </si>
  <si>
    <t>Apoyar las Iniciativas para la promoción de la participación femenina en escenarios sociales y políticos implementada.</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</si>
  <si>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</si>
  <si>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</si>
  <si>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</si>
  <si>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</si>
  <si>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</si>
  <si>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42.9</t>
  </si>
  <si>
    <t>Implementar la Política de Libertad Religiosa</t>
  </si>
  <si>
    <t>Política de Libertad Religiosa Implementado</t>
  </si>
  <si>
    <t>Servicios de apoyo para la operatividad  del comité de libertad religiosa</t>
  </si>
  <si>
    <t>Desarrollar las actividades propias  de la implementación de la Política Pública de Libertad Religiosa, cultos y conciencia.</t>
  </si>
  <si>
    <t>Materíal pedagógico y/o promocional relacionado</t>
  </si>
  <si>
    <t>Adquisición de Equipos tecnológicos</t>
  </si>
  <si>
    <t>Logistica, transporte, regrigerios e impresos</t>
  </si>
  <si>
    <t>42.5</t>
  </si>
  <si>
    <t>Fortalecimiento de los organismos  de acción comunal (OAC)  de los doce municipios del Departamento en lo relacionado a sus procesos formativos, participativos, de organización y  gestión.</t>
  </si>
  <si>
    <t>Municipos con organismos de acción comunal fortalecidos.</t>
  </si>
  <si>
    <t>0309 - 5 - 1 4 16 42 40 - 20
0309 - 5 - 1 4 16 42 40 - 88
0309 - 5 - 3 1 5 27 86 16 40 - 20</t>
  </si>
  <si>
    <t>201663000-0040</t>
  </si>
  <si>
    <t xml:space="preserve">Desarrollo de los Organismos Comunales en el Departamento del Quindio </t>
  </si>
  <si>
    <t xml:space="preserve">Consolidar mecanismos  de integración  regional y municipal </t>
  </si>
  <si>
    <t>1.  Fortalecer la estructuración de programas de capacitación en legislación, proyectos sociales y desarrollo comunitario.
 2. Mejoramiento en  los procesos de inspección, vigilancia y control realizados a los organismos comunales.</t>
  </si>
  <si>
    <t>Servicios como apoyo al fortalecimiento de los organismos  comunales</t>
  </si>
  <si>
    <t>Desarrollo de actividades de formación y capacitación</t>
  </si>
  <si>
    <t xml:space="preserve">Material pedagogíco y/o promocional </t>
  </si>
  <si>
    <t>Apoyo para la promoción,  fortalecimiento y desarrollo de proyectos de  los organismos comunales</t>
  </si>
  <si>
    <t>Actividades de promoción y participación de la Organización Comunal</t>
  </si>
  <si>
    <t>42.6</t>
  </si>
  <si>
    <t xml:space="preserve">Formulación de la  Política Pública Departamental para la  Acción Comunal </t>
  </si>
  <si>
    <t>Una Política Pública formulada.</t>
  </si>
  <si>
    <t>0309 - 5 - 1 4 16 42 42 - 20
0309 - 5 - 1 4 16 42 42 - 88
0309 - 5 - 3 1 5 26 84 16 42 - 20</t>
  </si>
  <si>
    <t>201663000-0042</t>
  </si>
  <si>
    <t xml:space="preserve">Fortalecimiento de las veedurias ciudadanas en el Departamento del Quindio </t>
  </si>
  <si>
    <t xml:space="preserve">1.  Conocimiento de la legislación que permite el ejercicio  del control social 
2.  Difusión masiva sobre  el ejercicio del control social 
</t>
  </si>
  <si>
    <t>Servicio como apoyo a las estrategías de fortalecimiento a las veedurias ciudadanas</t>
  </si>
  <si>
    <t>recurso ordinario</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</si>
  <si>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</si>
  <si>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</si>
  <si>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</si>
  <si>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</si>
  <si>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 xml:space="preserve">EDUARDO OROZCO JARAMILLO </t>
  </si>
  <si>
    <t>Secretario del Interior</t>
  </si>
  <si>
    <t>Elaboró: Doris Cstaño Agudelo, Contratista</t>
  </si>
  <si>
    <t>SEGUIMIENTO PLAN DE ACCIÓN
OFICINA PRIVADA
SEPTIEMBRE  30   DE   2020</t>
  </si>
  <si>
    <t>45.8</t>
  </si>
  <si>
    <t>Desarrollo de  la Política  de Transparencia, Acceso a la Información Pública y Lucha Contra la Corrupción del Modelo Integrado de Planificación y Gestión MIPG, articulada con el "Pacto por la Integridad , Transparencia y Legalidad" del Gobierno Nacional</t>
  </si>
  <si>
    <r>
      <t xml:space="preserve">Política de Transparencia, Acceso a la Información Pública y Lucha Contra la Corrupción  articulada   con el "Pacto por la Integridad , Transparencia y Legalidad" del Gobierno Nacional desarrollada.                                                                           </t>
    </r>
    <r>
      <rPr>
        <sz val="12"/>
        <color rgb="FF000000"/>
        <rFont val="Arial"/>
        <family val="2"/>
      </rPr>
      <t xml:space="preserve">        </t>
    </r>
  </si>
  <si>
    <t>0313 - 5 - 3 1 5 26 83 17 82 - 20
0313 - 5 - 1 4 17 45 82 - 20
0313 - 5 - 1 4 17 45 82 - 88</t>
  </si>
  <si>
    <t>201663000-0082</t>
  </si>
  <si>
    <t>Desarrollar y fortalecer la cultura de la transparencia, participación, buen gobierno  y valores éticos y morales en el Departamento del Quindío.</t>
  </si>
  <si>
    <t>Elevar el índice de transparencia en la administración departamental,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</si>
  <si>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.Mejorar la cultura del civismo y participación de los ciudadanos en los procesos institucionales del gobierno.
</t>
  </si>
  <si>
    <t>Desarrollo de actividades de buen gobierno y participación ciudadana.</t>
  </si>
  <si>
    <t>Recurso Ordinario
Superávit Recurso Ordinario</t>
  </si>
  <si>
    <t>Alber Yaccer Quintero</t>
  </si>
  <si>
    <t xml:space="preserve">Oficina Privada </t>
  </si>
  <si>
    <t xml:space="preserve">Desarrollo de la estrategia de transparencia </t>
  </si>
  <si>
    <t>45.7</t>
  </si>
  <si>
    <t>Desarrollo e implementación de la Estrategia de Comunicaciones para la Administración Departamental</t>
  </si>
  <si>
    <t>Estrategia de comunicaciones desarrollada e implementada</t>
  </si>
  <si>
    <t>0313 - 5 - 3 1 5 28 89 17 81 - 20
0313 - 5 - 1 4 17 45 81 - 20
0313 - 5 - 1 4 17 45 81 - 88</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</si>
  <si>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</si>
  <si>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</si>
  <si>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</si>
  <si>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 xml:space="preserve">.Incremento en el número de campañas institucionales para dar a conocer los programas y proyectos de la gobernación.
.Planificación institucional en la divulgación de los programas y proyectos.
</t>
  </si>
  <si>
    <t>Ejecución de Plan de Medios (radio, prensa, revistas, televisión, portales web, redes sociales, OOH) - Revisión y Desarrollo de la estrategia de comunicaciones</t>
  </si>
  <si>
    <t>Adriana Giraldo</t>
  </si>
  <si>
    <t xml:space="preserve">Operatividad de la estrategia de comunicaciones </t>
  </si>
  <si>
    <t xml:space="preserve">Operatividad de la estratégica de comunicaciones </t>
  </si>
  <si>
    <t>42.4</t>
  </si>
  <si>
    <t xml:space="preserve">Encuentros ciudadanos en el Departamento del Quindío en aplicación de la Política de Transparencia, Acceso a la Información Pública y Lucha contra la Corrupción.  </t>
  </si>
  <si>
    <t>Encuentros  ciudadanos realizados.</t>
  </si>
  <si>
    <t>0313 - 5 - 1 4 16 42 22 - 20</t>
  </si>
  <si>
    <t>202000363-0022</t>
  </si>
  <si>
    <t>Fortalecimiento de  las capacidades institucionales de la administración departamental del Quindío, para generar condiciones de gobernanza territorial, participación, administración eficiente y transparente.</t>
  </si>
  <si>
    <t>Fortalecer las capacidades institucionales con la aplicación de la política de transparencia, acceso a la información pública y lucha contra la corrupción, generando condiciones de confianza, participación efectiva, administración eficiente y transparente en escenarios presenciales o virtuales de encuentros ciudadanos</t>
  </si>
  <si>
    <t>Tener una mejor interacción con el ciudadano, juntas de acción comunal, gobiernos municipales y gremios, mejorando el diagnóstico de las necesidades de los gobernados.
Realizar encuentros ciudadanos en los municipios, corregimientos y comunas del departamento del Quindío</t>
  </si>
  <si>
    <t xml:space="preserve">Realización de Encuentros ciudadanos  presenciales o virtuales en el departamento del Quindío en aplicación de la Política de Transparencia, Acceso a la Información Pública y Lucha contra la Corrupción.  </t>
  </si>
  <si>
    <t xml:space="preserve">JUAN MIGUEL GALVIS BEDOYA </t>
  </si>
  <si>
    <t>Secretario Privado</t>
  </si>
  <si>
    <t>SEGUIMIENTO PLAN DE ACCIÓN
SECRETARIA TIC
SEPTIEMBRE  30   DE   2020</t>
  </si>
  <si>
    <t>CODIGO INTERNO META</t>
  </si>
  <si>
    <t>Facilitar el acceso y uso de las Tecnologías de la Información y las Comunicaciones en todo el departamento del Quindio. "Tú y yo somos ciudadanos TIC"</t>
  </si>
  <si>
    <t>Servicio de acceso y uso de Tecnologías de la Información y las Comunicaciones</t>
  </si>
  <si>
    <t>Soluciones de conectividad en instituciones públicas instaladas</t>
  </si>
  <si>
    <t>0324 - 5 - 1 1 13 16 35 - 20
0324 - 5 - 1 1 13 16 35 - 88</t>
  </si>
  <si>
    <t>202000363-0035</t>
  </si>
  <si>
    <t>Fortalecimiento  y apoyo a las tecnologías de la información de las comunicaciones en 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</si>
  <si>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</si>
  <si>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Ofrecer puntos de acceso comunitario a las Tecnologías de la Información y las Comunicaciones en los diferentes sectores urbanos del Departamento del Quindío.</t>
  </si>
  <si>
    <t>Apoyo técnico y/o profesional en la estructuracion, direccionamiento y transición del protocolo IPV6 en instituciones públicas en el departamento del Quindío.</t>
  </si>
  <si>
    <t xml:space="preserve">Recurso Ordinario  </t>
  </si>
  <si>
    <t>Secretaría TIC</t>
  </si>
  <si>
    <t>Adquisición de equipos de infraestructura tecnológica que permitan la modernizacion, con el fin de apoyar la transicion hacia el protocolo IPV6 en instituciones publicas del departamento del Quindío.</t>
  </si>
  <si>
    <t>Apoyo tecnico y/o profesional para la sostenibilidad y/o modernizacion de la infraestructura tecnologica de la gobernacion del quindio.</t>
  </si>
  <si>
    <t>Modernización tecnológica del edificio de la Gobernación</t>
  </si>
  <si>
    <t>16.5</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</si>
  <si>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</si>
  <si>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</si>
  <si>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</si>
  <si>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comunicaciones.ciones.</t>
  </si>
  <si>
    <t>Fomento del desarrollo de aplicaciones, software y contenidos para impulsar la apropiación de las Tecnologías de la Información y las Comunicaciones (TIC) "Quindío paraiso empresarial TIC-Quindío TIC"</t>
  </si>
  <si>
    <t>17.8</t>
  </si>
  <si>
    <t>Servicio de promoción de la industria de Tecnologías de la Información</t>
  </si>
  <si>
    <t xml:space="preserve">Eventos para  promoción  de productos y Servicio de la industria TI realizados </t>
  </si>
  <si>
    <t>0324 - 5 - 1 1 13 17 36 - 88</t>
  </si>
  <si>
    <t>202000363-0036</t>
  </si>
  <si>
    <t>Fortalecimiento del sector empresarial del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</si>
  <si>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</si>
  <si>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 xml:space="preserve">Realizar eventos de promoción  de los productos y servicios de la inustria de la las tecnologías de la información para el fortalecimiento empresarial del departamento </t>
  </si>
  <si>
    <t>Apoyo tecnico y/o profesional en la estructuracion  y realización de evento o ferias tecnológicas en el departamento del Quindío</t>
  </si>
  <si>
    <t xml:space="preserve">PRODUCTIVIDAD Y COMPETITIVIDAD </t>
  </si>
  <si>
    <t xml:space="preserve">Desarrollo tecnológico e innovación para el crecimiento empresarial </t>
  </si>
  <si>
    <t>31.1</t>
  </si>
  <si>
    <t>Servicio de apoyo para la transferencia de conocimiento y tecnología</t>
  </si>
  <si>
    <t>Nuevas tecnologías adoptadas</t>
  </si>
  <si>
    <t xml:space="preserve">
0324 - 5 - 1 2 13 31 1 - 88</t>
  </si>
  <si>
    <t>201663000-0001</t>
  </si>
  <si>
    <t>Apoyo a la estrategia de Gobierno en linea en el Departamento del Quindío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</si>
  <si>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</si>
  <si>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</si>
  <si>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Implementacion de servicios virtuales</t>
  </si>
  <si>
    <t>Generación de una cultura que valora y gestiona el conocimiento y la innovación.</t>
  </si>
  <si>
    <t>3904018</t>
  </si>
  <si>
    <t>32.2</t>
  </si>
  <si>
    <t>Servicios de comunicación con enfoque en Ciencia Tecnología y Sociedad</t>
  </si>
  <si>
    <t>Juguetes, juegos o videojuegos para la comunicación de la ciencia, tecnología e innovación producidos</t>
  </si>
  <si>
    <t>0324 - 5 - 1 2 13 32 37 - 88</t>
  </si>
  <si>
    <t>202000363-0037</t>
  </si>
  <si>
    <t xml:space="preserve">Implementación  y  divulgación de la estratégia    "  Quindío innovador y competitivo" </t>
  </si>
  <si>
    <r>
      <t xml:space="preserve">Potenciar la innovación en el Departamento del Quindío a través de procesos </t>
    </r>
    <r>
      <rPr>
        <sz val="12"/>
        <color theme="1"/>
        <rFont val="Arial"/>
        <family val="2"/>
      </rPr>
      <t>fomento de la participación ciudadana en ciencia, tecnología e innovación,</t>
    </r>
    <r>
      <rPr>
        <sz val="12"/>
        <color rgb="FF000000"/>
        <rFont val="Arial"/>
        <family val="2"/>
      </rPr>
      <t xml:space="preserve"> apoyo a las empresas, universidades y otras instancias que generan conocimiento e investigación.</t>
    </r>
  </si>
  <si>
    <t>Realizar la transformación digital de las empresas de la región con la apropiación de herramientas digitales, que permitan ser competitivos en los diferentes sectores productivos ( Juguetes, juegos o videojuegos para la comunicación )</t>
  </si>
  <si>
    <t>Apoyo técnico y/o profesional en la elaboración, construcción y/o sensibilización de servicios con base tecnológica en el Departamento del Quindío.</t>
  </si>
  <si>
    <t xml:space="preserve"> </t>
  </si>
  <si>
    <t>17.6</t>
  </si>
  <si>
    <t>Servicio de educación informal para la implementación de la Estrategia de Gobierno digital</t>
  </si>
  <si>
    <t>Personas capacitadas para la implementación de la Estrategia de Gobierno digital</t>
  </si>
  <si>
    <t>0324 - 5 - 3 1 5 28 89 17 4 - 20
0324 - 5 - 1 4 17 17 4 - 88</t>
  </si>
  <si>
    <t>201663000-0004</t>
  </si>
  <si>
    <t>Apoyo a la sostenibilidad de las tecnologías de la información y comunicación de la Gobernación del Quindío</t>
  </si>
  <si>
    <t>Optimizar la infraestructura informática y de comunicaciones disponible a través de actualización de equipos y aplicaciones para una mejor atención al usuario</t>
  </si>
  <si>
    <t>Modernizar la infraestructura tecnológica mediante la actualización de herramientas tecnológicas y soporte de primer nivel; para agilizar los procesos</t>
  </si>
  <si>
    <t>Apoyo técnico y/o profesional</t>
  </si>
  <si>
    <t>ING.Carlos Fernando Benitez /                                                ING. Carlos Arturo Caicedo /                                                   ING.Jhon Mario Lievano</t>
  </si>
  <si>
    <t>Apoyo tecnico y/o profesional para la capacitación de personas en la  implementación de la estrategia de gobierno digital</t>
  </si>
  <si>
    <t>17.10</t>
  </si>
  <si>
    <t>Servicio de educación informal en Gestión TI y en Seguridad y Privacidad de la Información</t>
  </si>
  <si>
    <t>Personas capacitadas para en Gestión TI y en Seguridad y Privacidad de la Información</t>
  </si>
  <si>
    <t>Apoyo tecnico y/o profesional para la capacitación de personas en la implemetacion de la Gestión TI y en Seguridad y Privacidad de la Información</t>
  </si>
  <si>
    <t>JOHN MARIO LIÉVANO FERNÁNDEZ</t>
  </si>
  <si>
    <t>Secretario TIC</t>
  </si>
  <si>
    <t>SEGUIMIENTO PLAN DE ACCIÓN
SECRETARIA DE FAMILIA
SEPTIEMBRE  30   DE   2020</t>
  </si>
  <si>
    <t>CODIGO INTERNA
META</t>
  </si>
  <si>
    <t>INCLUSION SOCIAL</t>
  </si>
  <si>
    <t>Salud Pública, "Tú y yo con salud de calidad"</t>
  </si>
  <si>
    <t>1905021</t>
  </si>
  <si>
    <t xml:space="preserve">Servicio de gestión del riesgo en temas de salud sexual y reproductiva </t>
  </si>
  <si>
    <t>Campañas de gestión del riesgo en temas de salud sexual y reproductiva implementadas.</t>
  </si>
  <si>
    <t>0316 - 5 - 1 1 2 12 25 - 20
0316 - 5 - 1 1 2 12 25 - 88</t>
  </si>
  <si>
    <t>202000363-0025</t>
  </si>
  <si>
    <t>Diseño e implementación de campañas para la promoción de la vida y prevención del consumo de sustancias psicoactivas "TU Y YO UNIDOS POR LA VIDA".</t>
  </si>
  <si>
    <t>Fomentar hábitos de vida saludable y derechos sexuales y reproductivos</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</si>
  <si>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</si>
  <si>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</si>
  <si>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20-88</t>
  </si>
  <si>
    <t>Directora de Desarrollo Humano y Familia - Leidy Jaramillo Santofimio</t>
  </si>
  <si>
    <t xml:space="preserve">Secretaría de Familia </t>
  </si>
  <si>
    <t>Diseñar e implementar campañas de promoción de la salud mental y arraigo por la vida</t>
  </si>
  <si>
    <t>Alianzas intersectoriales para la prevención y promoción de la salud sexual y reproductiva y salud mental</t>
  </si>
  <si>
    <t>Servicio de gestión del riesgo en temas de trastornos mentales</t>
  </si>
  <si>
    <t>Campañas de gestión del riesgo en temas de trastornos mentales implementadas</t>
  </si>
  <si>
    <t>Diseño, implementación y seguimiento de una estrategia de prevencion y mitigación del consumo de SPA en el departamento del Quindío</t>
  </si>
  <si>
    <t>Consolidación de redes de apoyo para la prevención y/o mitigación de consumo de SPA</t>
  </si>
  <si>
    <t>Pendón,plegables. Folletos, manillas, cartillas, etc</t>
  </si>
  <si>
    <t>Refrigerios, logística y sonido</t>
  </si>
  <si>
    <t>Servicio de educación informal al sector artístico y cultural</t>
  </si>
  <si>
    <t>Capacitaciones de educación informal realizadas</t>
  </si>
  <si>
    <t>0316 - 5 - 1 1 5 25 110 - 20
0316 - 5 - 1 1 14 36 110 - 20
0316 - 5 - 1 1 14 37 110 - 88
0316 - 5 - 3 1 3 17 60 14 110 - 20</t>
  </si>
  <si>
    <t>201663000-0110</t>
  </si>
  <si>
    <t>Desarrollo de acciones encaminadas a la atención integral  de los adolescentes y jóvenes del Departamento del Quindío</t>
  </si>
  <si>
    <t>Desarrollar procesos efectivos de atención, generación de impacto, oferta pública y garantía de derechos.</t>
  </si>
  <si>
    <t>Alta articulación entre los entes gubernamentales y privados para realizar el seguimiento de la matriz de planificación de la política pública de juventud del depto.</t>
  </si>
  <si>
    <t>Articulación interinstitucional para el uso del arte, la cultura, el deporte y la recreación como instrumentos de promoción y prevención</t>
  </si>
  <si>
    <t>200</t>
  </si>
  <si>
    <t>Jefe Oficina de Juventud- Manuel Paitño Buitrago</t>
  </si>
  <si>
    <t xml:space="preserve">Apoyo y seguimiento a los indicadores de cumplimiento del plan de accion de la politica publica de juventud </t>
  </si>
  <si>
    <t xml:space="preserve">Capacitaciones, socialización y conformación de espacios de participación juvenil </t>
  </si>
  <si>
    <t>Desarrollo de acciones dispuestas a la implementacion de la politica de juventud, en los componentes de responsabilidad de la oficina de juventud</t>
  </si>
  <si>
    <t>Realizar actividades de prevención para adolescentes y jóvenes en riesgo social y/o vinculados a la Ley de responsabilidad  penal</t>
  </si>
  <si>
    <t>Apoyo y seguimientoa los procesos de coordinación del sistema de responsabilidad penal</t>
  </si>
  <si>
    <t>Desarrollo Integral de Niños, Niñas, Adolescentes y sus Familias. "Tú y yo niños, niñas y adolescentes con desarrollo integral"</t>
  </si>
  <si>
    <t xml:space="preserve">Diseñar e implementar un Modelo de atención integral en entornos protectores para la primera infancia </t>
  </si>
  <si>
    <t>Modelo de atención integral de entornos protectores implementado</t>
  </si>
  <si>
    <t>0316 - 5 - 1 1 14 36 102 - 20
0316 - 5 - 1 1 14 36 102 - 88
0316 - 5 - 3 1 3 16 56 14 102 - 20</t>
  </si>
  <si>
    <t>201663000-0102</t>
  </si>
  <si>
    <t>Implementación de un modelo de atención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</si>
  <si>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</si>
  <si>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</si>
  <si>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</si>
  <si>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Jefe Oficina de Familia - María Isabel Arango Valencia</t>
  </si>
  <si>
    <t xml:space="preserve">Recurso Ordinario
</t>
  </si>
  <si>
    <t>Seguimiento y evaluación del Modelo de Atención a Madres Gestantes y Desarrollo Infantil en ambientes familiares y grupales</t>
  </si>
  <si>
    <t xml:space="preserve">Implementar y realizar seguimiento a las Rutas Integrales de Atención </t>
  </si>
  <si>
    <t xml:space="preserve">Numero de rutas integrales de atención  a la  primera infancia implementadas y con seguimiento </t>
  </si>
  <si>
    <t>Seguimiento a las 6 rutas implementadas en los municipios priorizados por la nación (Armenia, Buenavista, Circasia, Pijao, Quimbaya y La Tebaida)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</si>
  <si>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</si>
  <si>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</si>
  <si>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Prestar asistencia técnica a las Rutas Implementadas en los Municipios, para la adecuada implementación de las RIAS.</t>
  </si>
  <si>
    <t>Consolidar redes familiares, sociales, comunitarias e institucionales para la protección de la infancia.</t>
  </si>
  <si>
    <t>Formación de formadores para la adecuada implementación de las redes protectoras para niños y niñas de la primera infancia.</t>
  </si>
  <si>
    <t>Monitoreo y evaluación de las redes familiares, sociales, comunitarias e institucionales consolidadas</t>
  </si>
  <si>
    <t>36.8</t>
  </si>
  <si>
    <t xml:space="preserve">Implementar la  Política Pública para la Protección, el Fortalecimiento y el Desarrollo Integral de la Familia Quindiana </t>
  </si>
  <si>
    <t>Política Pública de Familia  implementada</t>
  </si>
  <si>
    <t>0316 - 5 - 1 1 16 36 103 - 20
0316 - 5 - 1 1 16 36 103 - 88
0316 - 5 - 3 1 3 17 58 14 103 - 20</t>
  </si>
  <si>
    <t>201663000-0103</t>
  </si>
  <si>
    <t>Formulación e implementación de  la politica pública  de la familia en el departamento del Quindío.</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</si>
  <si>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</si>
  <si>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</si>
  <si>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Politica Publica  de Familia</t>
  </si>
  <si>
    <t>Apoyar con el seguimiento,  monitoreo y evaluación de la política publica de familia</t>
  </si>
  <si>
    <t xml:space="preserve">Diseñar y desarrollar estrategias, programas y/o proyectos para la protección y fortalecimiento de las familias del departamento </t>
  </si>
  <si>
    <t>Logistica operativa, Transporte sonido, refrigerios, Publicidad, Volantes, pendones, afiches, manillas, etc.</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</si>
  <si>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</si>
  <si>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</si>
  <si>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</si>
  <si>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político publica de familia</t>
  </si>
  <si>
    <t>Revisar, ajustar e implementar  la Política Pública de Primera Infancia, Infancia y Adolescencia</t>
  </si>
  <si>
    <t xml:space="preserve">Política Pública de Primera Infancia, Infancia y Adolescencia, revisada, ajustada e implementada. </t>
  </si>
  <si>
    <t>0316 - 5 - 1 1 14 36 109 - 20
0316 - 5 - 1 1 14 36 109 - 88
0316 - 5 - 3 1 3 17 59 14 109 - 20</t>
  </si>
  <si>
    <t>201663000-0109</t>
  </si>
  <si>
    <t>Implementación de la política de primera infancia, infancia y adolescencia en el Departamento del Quindío</t>
  </si>
  <si>
    <t xml:space="preserve">Implementar la política pública que garantice los derechos de los niños, niñas y adolescentes del depto. del Quindío. </t>
  </si>
  <si>
    <t>Eficiencia en la articulación Interinstitucional que garantice un seguimiento efectivo del cumplimiento del plan de acción de la política publica de infancia y adolescencia</t>
  </si>
  <si>
    <t>Revisar y reformular  la Politica Publica  de primera infancia, infancia y adolescencia del departamento</t>
  </si>
  <si>
    <t>Apoyar con el seguimiento al Plan de Acción de la Politica Publica  de primera infancia, infancia y adolescencia del departamento</t>
  </si>
  <si>
    <t>Apoyo en los espacios de participación tales como: Consejo de Politica Social, Comite Departamental e Interinstitucional  para la Primera Infancia, Infancia y Adolescencia y Familia, CIETI, Mesa de Paticipación de NiÑos, Niñas y Adolescentes</t>
  </si>
  <si>
    <t>Apoyo a programas que conlleven a la  implementación de la Politica publica de primera infancia, infancia y adolescencia en el Departamento del Quindio</t>
  </si>
  <si>
    <t>Brindar asistencia tecnica a los municipios del departamento, que así lo requieran en temas relacionados con el seguimiento e implementación de la politica publica de primera infancia, infancia y adolescencia del departamento</t>
  </si>
  <si>
    <t>Logistica operativa, sonido, refrigerios, Publicidad, Volantes, pendones, afiches, manillas, etc.</t>
  </si>
  <si>
    <t>Apoyo al Comite de  Primera Infancia, Infancia y Adolescencia y al Consejo de Politica Social</t>
  </si>
  <si>
    <t>Apoyo en la revisión juridica en los temas relacionados con la implementacion de la politica publica de primera infancia, infancia y adolescencia del departamento</t>
  </si>
  <si>
    <t>Apoyar la Implementación de una estrategia de prevencion de embarazos y segundos embarazos a temprana edad</t>
  </si>
  <si>
    <t>Realizar jornadas pedagogicas de prevencion en las Instituciones educativas del depto</t>
  </si>
  <si>
    <t>Apoyar la articulación intersectorial, a través de mesas de trabajo en pro de la prevencion de los embarazos en adolescentes y segundos embarazos a temprana edad.</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</si>
  <si>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</si>
  <si>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</si>
  <si>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 xml:space="preserve">Implementar  la Política Pública de Juventud </t>
  </si>
  <si>
    <t>Política Pública de Juventud implementada</t>
  </si>
  <si>
    <t>Revisión, ajuste e implementación de la Política Pública de Juventud</t>
  </si>
  <si>
    <t xml:space="preserve">Seguimiento a los indicadores de cumplimiento del plan de accion de la politica publica de juventud </t>
  </si>
  <si>
    <t>Fomento y fortalecimiento de organizaciones de base social para la participación y empoderamiento juvenil</t>
  </si>
  <si>
    <t xml:space="preserve">Dinamización de espacios para la participación juvenil </t>
  </si>
  <si>
    <t>ADQUISICION DE BIENES Y SERVICIOS: Logistica operativa,  refrigerios, sonido, ferreteria, etc</t>
  </si>
  <si>
    <t>Volantes, pendones, afiches, manillas, etc.</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</si>
  <si>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</si>
  <si>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</si>
  <si>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0316 - 5 - 1 1 18 36 26 - 88
0316 - 5 - 1 1 18 37 26 - 88</t>
  </si>
  <si>
    <t>202000363-0026</t>
  </si>
  <si>
    <t>Diseño e implementación de programa de acompañamiento familiar y comunitario con enfoque preventivo en los tipos de violencias en el Departamento del Quindío. "TU Y YO COMPROMETIDOS CON LA FAMILIA"</t>
  </si>
  <si>
    <t>Fortalecer la convivencia del entorno familiar y social en el Departamento del Quindío</t>
  </si>
  <si>
    <t>*Socialización, promoción e implementación, de las rutas integrales de atención en violencia intrafamiliar y de género en el departamento del quindío
*Implementación de un programa de acompañamiento familiar para fortalecer vinculos familiares</t>
  </si>
  <si>
    <t>Articulación con Gremios (comerciantes y taxistas) para la socialización, promoción e implementación de las Rutas Integrales de Atención en Violencia Intrafamilair y de Género</t>
  </si>
  <si>
    <t xml:space="preserve">Socialización y promoción de Rutas Integrales de Atención en Violencia Intrafamiliar y de Género </t>
  </si>
  <si>
    <t>Servicio de divulgación para la promoción y prevención de los derechos de los niños, niñas y adolescentes</t>
  </si>
  <si>
    <t xml:space="preserve">Eventos de divulgación realizados </t>
  </si>
  <si>
    <t>0316 - 5 - 1 1 14 36 27 - 20
0316 - 5 - 1 1 14 36 27 - 88
0316 - 5 - 1 2 14 29 27 - 88</t>
  </si>
  <si>
    <t>202000363-0027</t>
  </si>
  <si>
    <t>Diseño e implementación de programa comunitario para la prevención de los derechos de Niños, Niñas y Adolescentes y su desarrollo integral. "TU Y YO COMPROMETIDOS CON LOS SUEÑOS".</t>
  </si>
  <si>
    <t>Promover y proteger los derechos de los niños, niñas y adolescentes  y prevenir su vulneración</t>
  </si>
  <si>
    <t>*Fomento de estrategias y acciones de  promoción y prevención
*Desarrollo de programas para la garantía de derechos de los nna
*Estrategias de protección para  los NN implementadas</t>
  </si>
  <si>
    <t>Diseño de estrategia para la protección de los NN</t>
  </si>
  <si>
    <t>Articulación interinstitucional para el desarrollo de la estrategia para la protección de los NN</t>
  </si>
  <si>
    <t>Dotación de espacios socialmente no convencionales: tiempos no convencionales</t>
  </si>
  <si>
    <t xml:space="preserve">Implementación de estrategia de protección para los NN </t>
  </si>
  <si>
    <t>Articulación interinstitucional para la garantía de Derechos de NNA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</si>
  <si>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</si>
  <si>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</si>
  <si>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0316 - 5 - 1 1 18 36 28 - 88</t>
  </si>
  <si>
    <t>202000363-0028</t>
  </si>
  <si>
    <t>Atención Post egreso de adolescentes y jóvenes, en los servicios de restablecimiento en la administración de justicia, con enfoque pedagógico y restaurativo encaminados a la inclusión social del Departamento del Quindío .</t>
  </si>
  <si>
    <t>Prevenir el delito, fomentar la inclusión de adolescentes egresados del SRPA y evitar la reincidencia</t>
  </si>
  <si>
    <t xml:space="preserve">*Estrategias para la prevención del delito adolescente.
*Acciones orientadas a la promoción de egresos exitosos e inclusión de  jóvenes del SRPA 
*Procesos post egreso enfocados en la prevención de la reincidencia </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</si>
  <si>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</si>
  <si>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</si>
  <si>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</si>
  <si>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Servicio de asistencia técnica para fortalecimiento de unidades productivas colectivas para la generación de ingresos</t>
  </si>
  <si>
    <t>Unidades productivas colectivas con asistencia técnica</t>
  </si>
  <si>
    <t xml:space="preserve">Diseño e implementación, seguimiento y evaluación de estrategias para el fomento y fortalecimiento del emprendimiento y empleo juvenil </t>
  </si>
  <si>
    <t>Servicio de gestión de oferta social para la población vulnerable</t>
  </si>
  <si>
    <t xml:space="preserve">Mecanismos de articulación implementados para la gestión de oferta social </t>
  </si>
  <si>
    <t>0316 - 5 - 3 1 3 18 62 14 118 - 20</t>
  </si>
  <si>
    <t>201663000-0118</t>
  </si>
  <si>
    <t>Implementación del programa  para la atención y acompañamiento  del ciudadano migrante  y de repatriación en el Departamento del Quindío.</t>
  </si>
  <si>
    <t>Implementar el plan de acompañamiento al ciudadano migrante (el que sale y el que retorna).</t>
  </si>
  <si>
    <t>Existencia de planes de acompañamiento al ciudadano migrante del depto. del Quindío</t>
  </si>
  <si>
    <t>Formular e implementar el plan de acompañamiento al ciudadano migrante en el departamento del Quindío</t>
  </si>
  <si>
    <t>Directora de Poblaciones - Daniela Alvis Hoyos</t>
  </si>
  <si>
    <t>1.1.1. Procesos  de capacitación, asistencia técnica, seguimiento y evaluación en cuanto a la garantia de derechos de la población migrante del Departamento</t>
  </si>
  <si>
    <t>1.2.1  Apoyar el programa de asistencia social y de repatriación de quindianos fallecidos en el exterior</t>
  </si>
  <si>
    <t xml:space="preserve">Logistica operativa, refrigerios, sonido </t>
  </si>
  <si>
    <t>Servicio de acompañamiento familiar y comunitario para la superación de la pobreza</t>
  </si>
  <si>
    <t>Comunidades con acompañamiento familiar.</t>
  </si>
  <si>
    <t>Adopción de programa de acompañamiento familiar para fortalecer vínculos familiares</t>
  </si>
  <si>
    <t>Implementación, seguimiento y evaluación de programa de acompañamiento familiar</t>
  </si>
  <si>
    <t>37.3</t>
  </si>
  <si>
    <t>Servicio de apoyo para el fortalecimiento de unidades productivas colectivas para la generación de ingresos</t>
  </si>
  <si>
    <t>Unidades productivas colectivas fortalecidas</t>
  </si>
  <si>
    <t>0316 - 5 - 1 1 14 37 29 - 20
0316 - 5 - 1 1 14 37 29 - 88
0316 - 5 - 1 1 14 38 29 - 20
0316 - 5 - 1 1 14 38 29 - 88</t>
  </si>
  <si>
    <t>202000363-0029</t>
  </si>
  <si>
    <t>Atención integral a población en condición de discapacidad en los municipios del Departamento del Quindío. "TU Y YO JUNTOS EN LA INCLUSIÓN".</t>
  </si>
  <si>
    <t xml:space="preserve">Fortalecer la capacidad de los Municipios para la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</si>
  <si>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</si>
  <si>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la inclusión laboral y productiva de cuidadores, cuidadoras, PCD y sus Familias</t>
  </si>
  <si>
    <t>Directora de Adulto Mayor y Discapacidad - Karla Daniela Quintero</t>
  </si>
  <si>
    <t>Fomentar el emprendimiento y el empleo para cuidadores y PCD en el Departamento</t>
  </si>
  <si>
    <t xml:space="preserve">Apoyar la construcción e Implementación de los  Planes de vida de los cabildos Indígenas asentados en el Departamento del Quindío </t>
  </si>
  <si>
    <t xml:space="preserve">Planes de vida de los cabildos indígenas  construidos  e implementados </t>
  </si>
  <si>
    <t xml:space="preserve">0316 - 5 - 1 1 14 37 30 - 20
0316 - 5 - 1 1 14 37 30 - 88
</t>
  </si>
  <si>
    <t>202000363-0030</t>
  </si>
  <si>
    <t>Apoyo en la construcción e Implementación de los Planes de vida de los Cabildos y Resguardos indígenas  asentados en el Departamento del Quindío. "TU Y YO UNIDOS CON DIGNIDAD".</t>
  </si>
  <si>
    <t>Apoyar  la elaboración y puesta en marcha  de planes de vida de las comunidades indígenas del departamento del Quindío</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</si>
  <si>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</si>
  <si>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</si>
  <si>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Directora de Poblaciones - Daniela Alvis Hoyos / Jefe de Poblaciones - Jhon Deivi Sánchez</t>
  </si>
  <si>
    <t>Formulación e Implementación de los Planes de Vida de los Cabildos Indígenas</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</si>
  <si>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</si>
  <si>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</si>
  <si>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</si>
  <si>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Formulación e Implementación de los Planes de Vida de los Resguardos Indígenas</t>
  </si>
  <si>
    <t>Formular e implementar la política publica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</si>
  <si>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</si>
  <si>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0316 - 5 - 1 1 14 37 31 - 20
0316 - 5 - 1 1 14 37 31 - 88</t>
  </si>
  <si>
    <t>202000363-0031</t>
  </si>
  <si>
    <t xml:space="preserve">Formulación e implementación de la política publica para la comunidad negra, afrocolombiana, raizal y palenquera residente en el Departamento del Quindío. </t>
  </si>
  <si>
    <t>Garantizar la protección de derechos y la atención integral con enfoque diferencial de las comunidades afrodescendientes asentadas en el departamento del Quindío</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</si>
  <si>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</si>
  <si>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</si>
  <si>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Pendón,plegables. Folletos, manillas, etc</t>
  </si>
  <si>
    <t xml:space="preserve">Logistica operativa, refrigerios, sonido para celebracion de eventos </t>
  </si>
  <si>
    <t>Atención integral de población en situación permanente de desprotección social y/o familiar "Tú y yo con atención integral"</t>
  </si>
  <si>
    <t>4104035</t>
  </si>
  <si>
    <t>38.3</t>
  </si>
  <si>
    <t>Servicios de atención integral a población en condición de discapacidad</t>
  </si>
  <si>
    <t xml:space="preserve">Personas atendidas con servicios integrales de atención </t>
  </si>
  <si>
    <t>Fomentar y fortalecer un banco de ayudas Técnicas No Pos para personas con Discapacidad en el departamento del Quindío</t>
  </si>
  <si>
    <t xml:space="preserve">Estrategia de rehabilitación basada en la comunidad implementada en los municipios  </t>
  </si>
  <si>
    <t>Acompañamiento a  las personas con discapacidad,  familias y comunidad en la implementación del programa RBC</t>
  </si>
  <si>
    <t>Realizar  capacitaciones en agentes comunitarios en RBC</t>
  </si>
  <si>
    <t>Conformación y fortalecimiento a las redes de apoyo de la estrategia RBC</t>
  </si>
  <si>
    <t>4104026</t>
  </si>
  <si>
    <t>Servicio de articulación de oferta social para la población habitante de calle</t>
  </si>
  <si>
    <t xml:space="preserve">Servicio de articulación habitante de calle implementado en los municipios </t>
  </si>
  <si>
    <t>0316 - 5 - 1 1 14 38 32 - 88</t>
  </si>
  <si>
    <t>202000363-0032</t>
  </si>
  <si>
    <t xml:space="preserve"> Apoyo en  la articulación de la  oferta social para la población habitante de calle del Departamento del Quindío</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</si>
  <si>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</si>
  <si>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</si>
  <si>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</si>
  <si>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Implementar  la Política   Pública de Diversidad Sexual e Identidad de Género</t>
  </si>
  <si>
    <t>Política pública de diversidad sexual implementada.</t>
  </si>
  <si>
    <t>0316 - 5 - 1 1 14 38 125 - 20
0316 - 5 - 1 1 14 38 125 - 88
0316 - 5 - 3 1 3 18 65 14 125 - 20</t>
  </si>
  <si>
    <t>201663000-0125</t>
  </si>
  <si>
    <t>Fomulación e implementación de la politica pública  de diversidad sexual en el Departamento del Quindío</t>
  </si>
  <si>
    <t>Implementación de la política pública que garantice los derechos de las personas con diversidad sexual e identidad de género en el dpto. del Quindío.</t>
  </si>
  <si>
    <t>Establecer políticas claras para la inclusión social de la población LGTBI
Altos espacios de atención, formación y reflexión, orientados al fortalecimiento de los entornos  sociales y educativos respecto a las personas con diversidad sexual</t>
  </si>
  <si>
    <t>Implementacion del plan de accion  de la politica publica de diversidad sexual e identidad de genero</t>
  </si>
  <si>
    <t>Jefe Oficina de Mujer y la Equidad - Elayne Loaiza Jurado</t>
  </si>
  <si>
    <t>Iimplementar, hacer seguimiento y evaluación a estrategias de formación para la disminución de todas las formas de discriminación por orientación sexual e identidad de género diverso</t>
  </si>
  <si>
    <t>Capacitar personal de entidades públicos y privadas en la atención con enfoque diferencial y subdiferencial OSIGD/LGBTI para la inclusión, protección y promoción de las personas de estos sectores</t>
  </si>
  <si>
    <t>Logistica operativa, refrigerios, sonido para celebracion de eventos relacionados con la equidad</t>
  </si>
  <si>
    <t>Desarrollar estrategias, programas y/o proyectos que promuevan la garantía de derechos a la poblacion sexualmente diversa</t>
  </si>
  <si>
    <t>Desarrollo programas, campañas, talleres relacionados con la promocion de derechos de poblacion LGTBI</t>
  </si>
  <si>
    <t xml:space="preserve">Revisar, ajustar e implementar la política pública de equidad de género para la mujer </t>
  </si>
  <si>
    <t>Política pública de la mujer y equidad de género revisada, ajustada e implementada.</t>
  </si>
  <si>
    <t>0316 - 5 - 1 1 16 38 128 - 20
0316 - 5 - 1 1 16 38 128 - 88
0316 - 5 - 3 1 3 18 66 14 128 - 20</t>
  </si>
  <si>
    <t>201663000-0128</t>
  </si>
  <si>
    <t>Implementación de la polìtica pùblica de equidad de género para la mujer en el Departamento del Quindìo</t>
  </si>
  <si>
    <t xml:space="preserve">Implementación de programas y proyectos institucionales para el acceso a las oportunidades Económicas sociales y culturales de mujeres en el departamento del Quindío </t>
  </si>
  <si>
    <t>Apropiación jurídica  por parte de la población e institucionalidad sobre las rutas de atención existentes.
Mejorar la articulación frente a la implementación de las políticas públicas de equidad y género</t>
  </si>
  <si>
    <t>Revisión y ajuste a la Política Pública de Equidad de Género para la Mujer</t>
  </si>
  <si>
    <t xml:space="preserve">Seguimiento al cumplimiento de los planes de acción de la Politica Publica de  Equidad de Género para la mujer
</t>
  </si>
  <si>
    <t xml:space="preserve">Fomento y fortalecimiento de organizaciones de base social para la participación y empoderamiento de mujeres
</t>
  </si>
  <si>
    <t xml:space="preserve">Desarrollo de actividades de impacto para la promocion de derechos y movilizacion social
</t>
  </si>
  <si>
    <t>Apoyo en la consolidacion de espacios de participacion a traves de la socializacion de la normatividad existente</t>
  </si>
  <si>
    <t>Fortalecimiento y/o apoyo a unidades productivas y/o proyectos de emprendemiento de mujeres</t>
  </si>
  <si>
    <t xml:space="preserve">Formular e implementar la Política Pública de Adulto Mayor </t>
  </si>
  <si>
    <t xml:space="preserve">Política Pública de Adulto Mayor  formulada e implementada </t>
  </si>
  <si>
    <t xml:space="preserve">0316 - 5 - 1 1 14 38 129 - 06
0316 - 5 - 1 1 14 38 129 - 20
0316 - 5 - 1 1 14 38 129 - 84
0316 - 5 - 1 1 14 38 129 - 88
0316 - 5 - 3 1 3 19 67 14 129 - 06
0316 - 5 - 3 1 3 19 67 14 129 - 20
</t>
  </si>
  <si>
    <t>201663000-0129</t>
  </si>
  <si>
    <t xml:space="preserve">Apoyo y bienestar integral a las personas mayores del Departamento del Quindío </t>
  </si>
  <si>
    <t>Altos índices de atención a los adultos mayores en el departamento del Quindío.</t>
  </si>
  <si>
    <t>Apoyar la elaboración, seguimiento y evaluación de los planes de acción de los municipios y depto. de la Política Publica de envejecimiento y vejez
Apoyar acciones que conlleven al conocimiento de la Ley 1276 del 2009: Nuevos Criterios de Atención Integral del Adulto  Mayor en los Centros Vida</t>
  </si>
  <si>
    <t>Formulación de la  política pública de Envejecimiento y vejez</t>
  </si>
  <si>
    <t>20-88-6-84</t>
  </si>
  <si>
    <t>Apoyo  al  seguimiento de  la  ejecución presupuestal  de los recursos destinados   a la  política pública de Envejecimiento y vejez</t>
  </si>
  <si>
    <t>Desarrollar estrategias de vigilancia y control que permitan garantizar el cumplimiento y reconocimiento de los derechos de las personas mayores.</t>
  </si>
  <si>
    <t>Apoyar elseguimiento y evaluacion de los planes de accion de los municipios y depto de la Politica Publica de envejecimiento y vejez</t>
  </si>
  <si>
    <t>Realizar motivación e infundir  sentido de pertenencia y compromiso de parte del Consejo Departamental del  adulto mayor</t>
  </si>
  <si>
    <t xml:space="preserve">Apoyar elseguimiento y evaluacion de los planes de accion de los municipios y depto de la Politica Publica de envejecimiento y vejez
</t>
  </si>
  <si>
    <t xml:space="preserve">Apoyar asistencias técnicas grupales a los grupos de adultos mayores del depto, en deporte, cultura, recreación y motivación </t>
  </si>
  <si>
    <t>Servicios de atención y protección integral al adulto mayor</t>
  </si>
  <si>
    <t xml:space="preserve">Adultos mayores atendidos con servicios integrales </t>
  </si>
  <si>
    <t>Dinamización del Cabildo Departamental de Sabios del Quindío y asistencia técnica cabildos Municiaples</t>
  </si>
  <si>
    <t xml:space="preserve">
Apoyar con actividades para la  creacion del cabildo de adulto mayoren en 6 municipios del Quindio</t>
  </si>
  <si>
    <t>Dinamización  del Consejo Departamental del  adulto mayor</t>
  </si>
  <si>
    <t xml:space="preserve">Realizar acompañamiento a los grupos de adultos mayores del depto,a través de deporte, cultura, recreación y motivación </t>
  </si>
  <si>
    <t>Celebraciones y eventos donde se resalte la importancia del rol del adulto mayor y su trayectoria de vida en la familia y la sociedad</t>
  </si>
  <si>
    <t>Logística Operativa, Sonido, refrigerios, Etc</t>
  </si>
  <si>
    <t xml:space="preserve">Fortalecimiento a los CPSAM y CV del Departamento del Quindío </t>
  </si>
  <si>
    <t xml:space="preserve">Apoyar el seguimiento a la ejecución del recurso estampilla pro adulto mayor a los Centros Vida  y a los CBA    </t>
  </si>
  <si>
    <t>Transferencia estampilla para el bienestar del adulto mayor</t>
  </si>
  <si>
    <t>Municipios con recursos transferidos con la estampilla Departamental para el bienestar del adulto mayor</t>
  </si>
  <si>
    <t>CENTROS VIDA (DV)</t>
  </si>
  <si>
    <t>ESTAMPILLA PRO ADULTO MAYOR</t>
  </si>
  <si>
    <t>SUPERAVIT ESTAMPILLA PRO ADULTO MAYOR</t>
  </si>
  <si>
    <t>Centros de Binestar del Adulto Mayor (CBA)</t>
  </si>
  <si>
    <t>Revisar, ajustar e implementar  la Política Pública de  Discapacidad</t>
  </si>
  <si>
    <t xml:space="preserve">Política Pública de  Discapacidad  revisada, ajustada e implementada. </t>
  </si>
  <si>
    <t>0316 - 5 - 1 1 14 38 114 - 20
0316 - 5 - 1 1 14 38 114 - 88
0316 - 5 - 3 1 3 17 61 14 114 - 20</t>
  </si>
  <si>
    <t>201663000-0114</t>
  </si>
  <si>
    <t>Actualización e implementación  de   la política pública departamental de discapacidad  "Capacidad sin limites" en el Quindío.</t>
  </si>
  <si>
    <t xml:space="preserve">Aumentar los niveles de representatividad e incidencia de las personas con discapacidad en escenarios de participación social y política en el Departamento.  </t>
  </si>
  <si>
    <t>Realizar acciones para  el  seguimiento al Plan de Acción de los CMD – Ejes de la Política Pública
Procesos de  fortalecimiento en la cultura organizacional  del sector público y privado</t>
  </si>
  <si>
    <t xml:space="preserve">Formación de cuidadores para el adecuado manejo de la Discapacidad a Cuidadoras, Cuidadores y Familias </t>
  </si>
  <si>
    <t>Servicio de Intérpretes de lengua de señas que permita la inclusión y acceso de las personas con discapcidad.</t>
  </si>
  <si>
    <t xml:space="preserve">Elaboración ,seguimiento y evaluacion de los planes de accion de los municipios y depto de la Politica Publica de discapacidad.
</t>
  </si>
  <si>
    <t>Asistencia técnica a los municipios para la adecuada apropiación de la Política Pública de Discapacidad</t>
  </si>
  <si>
    <t>Fomentar las organizaciones de base social y fortalecer las existentes</t>
  </si>
  <si>
    <t>Eventos de participacion e integración de la poblacion con discapacidad</t>
  </si>
  <si>
    <t xml:space="preserve">LOGISTICA OPERATIVA: Rrefrigerios, sonido, logistica en general, elementos y/o materia prima </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</si>
  <si>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</si>
  <si>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</si>
  <si>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</si>
  <si>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Apoyar la elaboración ,seguimiento y evaluacion de los planes de accion de los municipios y depto de la Politica Publica de discapacidad.</t>
  </si>
  <si>
    <t xml:space="preserve">Diseñar , construir  y difundir  de manera concertada la malla de oferta institucional con los diferentes actores
</t>
  </si>
  <si>
    <t>Servicio permanente de untérpretes de lengua de señas en servicios de urgencia y de información pública.</t>
  </si>
  <si>
    <t>Casa de la Mujer Empoderada implementada</t>
  </si>
  <si>
    <t>0316 - 5 - 1 1 16 41 33 - 20
0316 - 5 - 1 1 16 41 33 - 88
0316 - 5 - 1 2 16 4 33 - 20
0316 - 5 - 1 4 16 42 33 - 88</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</si>
  <si>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</si>
  <si>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</si>
  <si>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Crear la casa de la mujer como un espacio para el encuentro, la articulación, el empoderamiento, el fomento de la participación y la promoción de la mujer urbana y rural del Departamento del Quindío</t>
  </si>
  <si>
    <t>*Articulación interinstitucional para la promoción, el empoderamiento y el fomento de organizaciones orientadas a la mujer.
*Fortalecer la articulación de organizaciones y procesos orientados al empoderamiento y la promoción de la mujer.</t>
  </si>
  <si>
    <t>PENDIENTE</t>
  </si>
  <si>
    <t>Casa Refugio de la Mujer implementada</t>
  </si>
  <si>
    <t>0316 - 5 - 1 1 16 41 34 - 20
0316 - 5 - 1 1 16 41 34 - 88</t>
  </si>
  <si>
    <t>202000363-0034</t>
  </si>
  <si>
    <t>Implementación de la Casa Refugio de la Mujer del Departamento del Quindío.</t>
  </si>
  <si>
    <t>Crear la casa refugio para la protección de la mujer víctima del Departamento del Quindío</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</si>
  <si>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</si>
  <si>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</si>
  <si>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Articulación de base social y comunitario para la protección de la Mujer</t>
  </si>
  <si>
    <t>Realizar procesos continuos y formativos para el aumento de mujeres protegidas y protectoras.</t>
  </si>
  <si>
    <t xml:space="preserve">Dotación de la Casa Refugio para la protección de la mujer </t>
  </si>
  <si>
    <t>Derechos fundamentales del trabajo y fortalecimiento del diálogo social. "Tú y yo con una niñez protegida"</t>
  </si>
  <si>
    <t>Servicio de educación informal para la prevención integral del trabajo infantil</t>
  </si>
  <si>
    <t>Diseño e Implementación de programa comunitario para la prevención de los Derechos de Niños, Niñas y Adolescentes y su desarrollo integral. "TU Y YO COMPROMETIDOS CON LOS SUEÑOS".</t>
  </si>
  <si>
    <t>Diseño e implementación, seguimiento y evaluación de una estrategia para la prevención de trabajo infantil</t>
  </si>
  <si>
    <t>superavit recurso ordinario</t>
  </si>
  <si>
    <t>Diseño e implementación, seguimiento y evaluación de estrategias de divulgación de Rutas de Atención en casos de vulneración de Derechos de NNA</t>
  </si>
  <si>
    <t>Diseño e implementación de campañas</t>
  </si>
  <si>
    <t>BDiseño e implementación de programa comunitario para la prevención de los derechos de Niños, Niñas y Adolescentes y su desarrollo integral. "TU Y YO COMPROMETIDOS CON LOS SUEÑOS".</t>
  </si>
  <si>
    <t>Iniciativas para la promoción de la participación femenina en escenarios sociales y políticos implementada.</t>
  </si>
  <si>
    <t>SEGUIMIENTO PLAN DE ACCIÓN
SECRETARIA DE CULTURA
SEPTIEMBRE  30   DE   2020</t>
  </si>
  <si>
    <t>Servicio de educación informal en áreas artísticas y culturales</t>
  </si>
  <si>
    <t>0310 - 5 - 1 1 5 25 46 - 20
0310 - 5 - 1 1 5 25 46 - 39
0310 - 5 - 1 1 5 25 46 - 41
0310 - 5 - 1 1 5 25 46 - 83
0310 - 5 - 1 1 5 25 46 - 88
0310 - 5 - 3 1 3 9 29 5 46 - 20
0310 - 5 - 3 1 3 9 29 5 46 - 39</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</si>
  <si>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</si>
  <si>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</si>
  <si>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</si>
  <si>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ciudadanía al arte y la cultura.
.Alta concertación de proyectos con la institucionalidad cultural.
.Mayor apoyo a la creación investigación y producción artística
</t>
  </si>
  <si>
    <t>Formación artística y cultural</t>
  </si>
  <si>
    <t>Superavit Ordinario</t>
  </si>
  <si>
    <t>Superavit Ordinario
88-20
Superavit Estampilla Procultura
83
Estampilla Procultura 50% Concertación
39
Estampilla Procultura 10% Estímulos
41</t>
  </si>
  <si>
    <t>Jorge Ivan Espinosa Hidalgo
Bryan Arango Trujillo
Juan Ricardo Medina Salcedo</t>
  </si>
  <si>
    <t>Secretaría de Cultura</t>
  </si>
  <si>
    <t>Superavit Estampilla Procultura</t>
  </si>
  <si>
    <t xml:space="preserve"> Difusión y Circulación Artística</t>
  </si>
  <si>
    <t>Recurso Ordinario.</t>
  </si>
  <si>
    <t>Apoyo técnico y logístico</t>
  </si>
  <si>
    <t>Servicio de circulación artística y cultural</t>
  </si>
  <si>
    <t>Producciones artísticas en circulación</t>
  </si>
  <si>
    <t>Apoyo técnico en la coordinación del programa concertación y estímulos</t>
  </si>
  <si>
    <t>Superavit recurso estampilla</t>
  </si>
  <si>
    <t>Fortalecimiento del sector artistico y cultural</t>
  </si>
  <si>
    <t>Convocatoria y apoyo logístico</t>
  </si>
  <si>
    <t>Estampilla Procultura 50% Concertación</t>
  </si>
  <si>
    <t>Convocatoria y apoyo logístico de proyectos concertados</t>
  </si>
  <si>
    <t>Cofinanciación de proyectos</t>
  </si>
  <si>
    <t>Evaluación y Seguimiento de proyectos concertados</t>
  </si>
  <si>
    <t>Convocatoria y apoyo logístico de proyectos programa departamental de estímulos</t>
  </si>
  <si>
    <t>Estampilla Procultura 10% Estímulos</t>
  </si>
  <si>
    <t>Evaluación y Seguimiento de proyectos programa departamental de esttímulos</t>
  </si>
  <si>
    <t>Cofinanciación de proyectos programa departamental de esttímulos</t>
  </si>
  <si>
    <t>SECRETARÍA DE CULTURA</t>
  </si>
  <si>
    <t>3301085</t>
  </si>
  <si>
    <t>Servicios bibliotecarios</t>
  </si>
  <si>
    <t>Usuarios atendidos</t>
  </si>
  <si>
    <t>0310 - 5 - 1 1 5 25 11 - 34
0310 - 5 - 1 1 5 25 11 - 83</t>
  </si>
  <si>
    <t>202000363-0011</t>
  </si>
  <si>
    <t xml:space="preserve">Implementación del programa "Tú y Yo Somos Cultura", para el fortalecimiento a la léctura,  escitura  y bibliotecas en el Departamento del Quindío. </t>
  </si>
  <si>
    <t xml:space="preserve">Fortalecer el Plan Departamental de Lectura y Bibliotecas, que garantice un mayor acceso de las personas a los servicios bibliotecarios físicos y virtuales que permitan incentivar la lectura a través de procesos de formación, producción y circulación de contenidos literarios </t>
  </si>
  <si>
    <t xml:space="preserve">*Acceso por parte de la población rural, sectores populares y/o marginales urbanos a programas de formación y actividades de promoción de lectura. 
*Fortalecimiento y acompañamiento a bibliotecarios.
*Acceso a programas y eventos de promoción, circulación y difusión literarios. </t>
  </si>
  <si>
    <t>Procesos de formacion literaria y actividades de promocion de lectura.</t>
  </si>
  <si>
    <t xml:space="preserve">Estampilla Procultura 10% Bibliotecas
</t>
  </si>
  <si>
    <t>Estampilla Procultura 10% Bibliotecas
34
Superávit Estampilla Pro Cultura (10% Bibliotecas)
83</t>
  </si>
  <si>
    <t>Coordinación y apoyo de la Red Departamental de Bibliotecas.</t>
  </si>
  <si>
    <t>Fortalecimiento y dotación de bibliotecas</t>
  </si>
  <si>
    <t>3301100</t>
  </si>
  <si>
    <t>Servicio de divulgación y publicaciones</t>
  </si>
  <si>
    <t>Publicaciones realizadas</t>
  </si>
  <si>
    <t xml:space="preserve">Publicacion, divulgacion y circulación de obras literarias y escritores locales. </t>
  </si>
  <si>
    <t>Superávit Estampilla Pro Cultura (10% Bibliotecas)</t>
  </si>
  <si>
    <t>Estampilla Procultura 10% Bibliotecas</t>
  </si>
  <si>
    <t>3301099</t>
  </si>
  <si>
    <t>Servicio de información para el sector artístico y cultural</t>
  </si>
  <si>
    <t>Sistema de información del sector artístico y cultural en operación</t>
  </si>
  <si>
    <t>0310 - 5 - 1 1 5 25 12 - 20
0310 - 5 - 1 1 5 25 12 - 88</t>
  </si>
  <si>
    <t>202000363-0012</t>
  </si>
  <si>
    <t xml:space="preserve"> Implementación de la " Ruta de la felicidad y la identidad quindiana", para  el fortalecimiento y visibilización de los procesos   artisticos  y culturales   en el Departamento del Quindio.</t>
  </si>
  <si>
    <t>Implementar la " Ruta de la felicidad y la identidad quindiana", para el fortalecimiento y visibilización de los procesos artísticos y culturales en el Departamento del Quindío.</t>
  </si>
  <si>
    <t>*Servicio de información para el sector artístico y cultural.
*Apoyo  y  fortalecimiento del sector artístico y cultural, Valoración, visibilización del sector artístico y cultural</t>
  </si>
  <si>
    <t>Superávit Recurso Ordinario
88</t>
  </si>
  <si>
    <t>3301095</t>
  </si>
  <si>
    <t>Servicio de asistencia técnica en gestión artística y cultural</t>
  </si>
  <si>
    <t>Personas asistidas técnicamente</t>
  </si>
  <si>
    <t>0310 - 5 - 1 1 5 25 45 - 33
0310 - 5 - 1 1 5 25 45 - 83</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</si>
  <si>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</si>
  <si>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</si>
  <si>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</si>
  <si>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</si>
  <si>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Aportes para la seguridad social de artistas, creadores y gestores del departamento del Quindío</t>
  </si>
  <si>
    <t>Estampilla procultura 10% Seguridad social</t>
  </si>
  <si>
    <t xml:space="preserve">Estampilla procultura 10% Seguridad social
33
Superávit Estampilla Procultura
83
</t>
  </si>
  <si>
    <t>Superávit Estampilla Procultura</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</si>
  <si>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</si>
  <si>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</si>
  <si>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</si>
  <si>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0310 - 5 - 1 1 5 26 49 - 20
0310 - 5 - 1 1 5 26 49 - 47
0310 - 5 - 1 1 5 26 49 - 88
0310 - 5 - 1 1 5 26 49 - 93
0310 - 5 - 3 1 3 10 32 5 49 - 20</t>
  </si>
  <si>
    <t>201663000-0049</t>
  </si>
  <si>
    <t>Apoyo al reconocimiento, apropiación y salvaguardia y difusión del patrimonio cultural en todo el Departamento del Quindío.</t>
  </si>
  <si>
    <t>Difusión y salvaguardia del patrimonio cultural</t>
  </si>
  <si>
    <t>Recurso Ordinaro</t>
  </si>
  <si>
    <t>Recurso Ordinaro
20-88
 Superavit IVA Telefonia movil cultura
93
IVA Telefonia movil Cultura
47</t>
  </si>
  <si>
    <t xml:space="preserve">
Juan Ricardo Medina Salcedo</t>
  </si>
  <si>
    <t>Apoyo a procesos, evaluación y seguimiento</t>
  </si>
  <si>
    <t xml:space="preserve">Alta valoracion, apropiacion y salvaguardia del patrimonio cultural material e inmaterial </t>
  </si>
  <si>
    <t>.Programas departamentales para conservación, protección, salvaguardia y difusión del Patrimonio Cultural
.Mayor reconocimiento y valoración de la diversidad poblacional presente en el Quindío</t>
  </si>
  <si>
    <t>Apoyo a proyectos y/o actividades de poblaciones especiales</t>
  </si>
  <si>
    <t>Servicio de divulgación y publicación del Patrimonio cultural</t>
  </si>
  <si>
    <t>Ayuda humanitaria Decreto 561 del Ministerio de Cultura</t>
  </si>
  <si>
    <t>Superavit IVA Telefonia movil cultura</t>
  </si>
  <si>
    <t>IVA Telefonia movil Cultura</t>
  </si>
  <si>
    <t>JORGE IVÁN ESPINOZA HIDALGO</t>
  </si>
  <si>
    <t>Secretario de Cultura</t>
  </si>
  <si>
    <t xml:space="preserve"> INCLUSION SOCIAL Y EQUIDAD</t>
  </si>
  <si>
    <t xml:space="preserve">Inspección, vigilancia y control. "Tú y yo con salud certificada" </t>
  </si>
  <si>
    <t xml:space="preserve">Implementación del modelo operativo de Inspección, Vigilancia y Control IVC sanitario en los municipios de competencia departamental. </t>
  </si>
  <si>
    <t xml:space="preserve">Modelo de IVC sanitario operando </t>
  </si>
  <si>
    <t>1803 - 5 - 1 1 2 11 132 - 61</t>
  </si>
  <si>
    <t>201663000-0132</t>
  </si>
  <si>
    <t>Aprovechamiento biológico y consumo de  alimentos idóneos  en el Departamento del Quindio</t>
  </si>
  <si>
    <t>Disminuir o mantener la proporción de niños menores de 5 años en riesgo de desnutrición moderada o severa aguda</t>
  </si>
  <si>
    <t>* Fortalecer la estrategia que determine el número de brotes de enfermedades transmitidas por alimentos (ETA)
* Cumplir con  el tiempo de la practica de la lactancia Materna exclusiva.
* Fortalecer la  atencion nutricional en poblaciones indigenas del departamento.</t>
  </si>
  <si>
    <t>Articular acciones de información, educación y comunicación, relacionada con la manipulación adecuada de alimentos</t>
  </si>
  <si>
    <r>
      <t xml:space="preserve"> </t>
    </r>
    <r>
      <rPr>
        <sz val="12"/>
        <color rgb="FF000000"/>
        <rFont val="Arial"/>
        <family val="2"/>
      </rPr>
      <t>SGP Salud Publica C.S.F</t>
    </r>
  </si>
  <si>
    <t>N/A</t>
  </si>
  <si>
    <t xml:space="preserve"> SGP Salud Publica C.S.F</t>
  </si>
  <si>
    <t>Liliana Valdes Mejía – Directora PVC</t>
  </si>
  <si>
    <t>Secretaría de Salud</t>
  </si>
  <si>
    <t>Realizar acompañamiento en establecimientos educativos en el marco del programa de alimentación escolar PAE y en poblaciones vulnerables.</t>
  </si>
  <si>
    <t>Realizar acompañamiento en la implementación en guías alimentarias basadas en alimentos y estilos de vida saludable.</t>
  </si>
  <si>
    <t>Realizar vigilancia en establecimientos educativos en el marco del programa de alimentación escolar PAE y en poblaciones vulnerables.</t>
  </si>
  <si>
    <t>Realizar capacitación en guías alimentarias basadas en alimentos y estilos de vida saludable.</t>
  </si>
  <si>
    <t>Servicio de concepto sanitario</t>
  </si>
  <si>
    <t>Conceptos sanitarios expedidos</t>
  </si>
  <si>
    <t>1803 - 5 - 1 1 2 11 146 - 61
1803 - 5 - 1 1 2 11 146 - 63
1803 - 5 - 1 1 2 11 146 - 99
1803 - 5 - 3 1 3 12 43 2 146 - 61
1803 - 5 - 3 1 3 12 43 2 146 - 63</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</si>
  <si>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</si>
  <si>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</si>
  <si>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</si>
  <si>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 Aumentar la cobertura en acciones de inspeccion vigilancia y control.
* Articular los sistemas de vigilancia relacionados al control sanitario</t>
  </si>
  <si>
    <t>Realizar inspección, vigilancia y control a objetos de interés sanitario con criterio de riesgo alto generadores de residuos peligrosos con riesgo biológico en los municipios de competencia departamental.</t>
  </si>
  <si>
    <t>SGP SALUD  PUBLICA C.S.F</t>
  </si>
  <si>
    <t>Generar  espacios  intersectoriales  para  la  gestión integral  de la salud ambiental, a través de consejo territorial de salud ambiental COTSA y sus mesas técnicas</t>
  </si>
  <si>
    <t xml:space="preserve">Realizar inspección vigilancia y control de las condiciones de seguridad,  higiénico sanitarias y ambientales a los objetos de interés comercial general y en saneamiento básico como  establecimientos de vivienda Transitoria,  comercio en general </t>
  </si>
  <si>
    <t>Servicio de asistencia técnica en inspección, vigilancia y control</t>
  </si>
  <si>
    <t>Asistencias técnica en Inspección, Vigilancia y Control realizadas</t>
  </si>
  <si>
    <t xml:space="preserve">Realizar visitas de acompañamiento a las instituciones o establecimientos farmacéuticos para la destrucción de medicamentos de control especial-monopolio del estado cuando lo requieran.  </t>
  </si>
  <si>
    <t xml:space="preserve">Otorgar actos administrativos que autoricen el manejo de medicamentos  de control especial a establecimientos o instituciones prestadoras de servicios de salud siempre y cuando se cumplan con todos los requerimientos normativos. </t>
  </si>
  <si>
    <t>Garantizar la adquisición de medicamentos de control monopolio del estado</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</si>
  <si>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</si>
  <si>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</si>
  <si>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Realizar inspección vigilancia y control de las condiciones de seguridad,  higiénico sanitarias y ambientales a los objetos de interés comercial, tales que manejen sustancias químicas y residuos peligrosos con riesgo biológico, incluyendo los objetos de interés en saneamiento básico, </t>
  </si>
  <si>
    <t xml:space="preserve">Realizar vigilancia epidemiológica de plaguicidas en el marco del programa VEO con la toma de muestras de Acetilcolinesterasa en sangre a los individuos expuestos a plaguicidas  Organofosforados y Carbamatos.
</t>
  </si>
  <si>
    <t>Análisis y seguimiento al comportamiento de los eventos por intoxicaciones de sustancias químicas  ( metales, plaguicidas, solventes , otras sustancias  y gases) generada por el Sistema de Vigilancia y fuentes externas. realizando  asistencia técnica  a los actores de vigilancia en salud publica  en el departamento.</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</si>
  <si>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</si>
  <si>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Realizar inspección  vigilancia y control para verificar las condiciones técnicas, higiénico sanitarias locativas y de calidad a los establecimientos farmacéuticos en los 12 municipios del departamento del Quindío.</t>
  </si>
  <si>
    <t>FONDO DE ESTUPEFACIENTES</t>
  </si>
  <si>
    <t xml:space="preserve">Suministrar medicamentos de programas de control especial - monopolio del estado a los establecimientos farmacéuticos autorizados o IPS´s que lo requieran. </t>
  </si>
  <si>
    <t>Adquisición de mobiliario, equipos tecnológicos, de telecomunicación y computo del Fondo Rotatorio de Estupefacientes.</t>
  </si>
  <si>
    <t>Realizar visitas a Establecimientos Farmacéuticos de acuerdo a los productos notificados por el Programa delegaciones INVIMA  en los 12 municipios del Departamento del Quindío.</t>
  </si>
  <si>
    <t xml:space="preserve">adquirir los medicamentos monopolio del estado con el fondo nacional de estupefacientes de conformidad  con los índices de consumo </t>
  </si>
  <si>
    <t>SUPERAVIT FONDE DE ESTUPEFACIENTES</t>
  </si>
  <si>
    <t>Pago de nomina de regentes de farmacia</t>
  </si>
  <si>
    <t>Servicio de promoción, prevención, vigilancia y control de vectores y zoonosis</t>
  </si>
  <si>
    <t>Municipios categorías 4, 5 y 6 que formulen y ejecuten real y efectivamente acciones de promoción, prevención, vigilancia y control de vectores y zoonosis realizados</t>
  </si>
  <si>
    <t xml:space="preserve">Realizar  acciones de intervención comunitaria  en el marco de la implementación de las estrategias de gestión integral para mitigar las contingencias y daños producidos por enfermedades transmisibles, zoonosis y vectores.
</t>
  </si>
  <si>
    <t>Servicio de evaluación, aprobación y seguimiento de planes de gestión integral del riesgo</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</si>
  <si>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</si>
  <si>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</si>
  <si>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Generar  espacios  intersectoriales  para  la  construcción y actualización de los mapas de riesgo de calidad de agua de consumo humano  de acuerdo a la Resolución 4716 de 2010)</t>
  </si>
  <si>
    <t xml:space="preserve">Vigilancia en los sistemas de potabilización, mediante la  de la aplicación de buenas practicas sanitarias y reporte de muestras de agua potable.
</t>
  </si>
  <si>
    <t xml:space="preserve">Realizar análisis de la persistencia y aparición de factores de riesgo en las fuentes abastecedoras con el fin de generar la actualización anual de los mapas de riesgo de calidad de agua para consumo humano
</t>
  </si>
  <si>
    <t>Servicio de inspección, vigilancia y control</t>
  </si>
  <si>
    <t>Visitas realizadas</t>
  </si>
  <si>
    <t xml:space="preserve">Realizar inspección  vigilancia y control  de las  condiciones   higiénico sanitarias , locativas y de  manejo y uso  de los productos químicos peligrosos  en   los establecimientos de alto riesgo ubicados en los 11  municipios  de competencia departamental </t>
  </si>
  <si>
    <t xml:space="preserve">realizar  inspección  vigilancia y control   de las condiciones sanitarias y protocolos de bioseguridad en los establecimientos  con actividad económica de estética ornamental , salas de belleza y peluquerías </t>
  </si>
  <si>
    <t>Visitas de inspección vigilancia y control  sistemas potabilización de agua y fuentes de abastecimiento</t>
  </si>
  <si>
    <t>Documentos técnicos publicados y/o socializados</t>
  </si>
  <si>
    <t>1803 - 5 - 1 1 2 11 148 - 61
1803 - 5 - 3 1 3 12 44 2 148 - 61</t>
  </si>
  <si>
    <t>201663000-0148</t>
  </si>
  <si>
    <t>Implementación de programas de promoción social en poblaciones  especiales en el Departamento del Quindío.</t>
  </si>
  <si>
    <t>Fortalecer la gestión intersectorial en salud de los grupos con alta vulnerabilidad</t>
  </si>
  <si>
    <t xml:space="preserve">*Garantizar el acceso en la prestación de los servicios de salud.
*mplementar programas de participación social que garanticen los derechos de los grupos vulnerables.
*Consolidar los programas de atención a la primera infancia.
*Fortalecer atención integral a poblaciones vulnerables </t>
  </si>
  <si>
    <t>Realizar capacitaciones en el reconocimiento de la familia como un determinante del desarrollo infantil, reflejado  en el planteamiento y desarrollo de estrategias para promover  el cuidado y afecto familiar en el departamento del Quindío.</t>
  </si>
  <si>
    <t>61</t>
  </si>
  <si>
    <t>SGP Salud Pública</t>
  </si>
  <si>
    <t>Sensibilización  Prevención sobre el delito de trata de personas en los  municipios del Departamento,</t>
  </si>
  <si>
    <t>Realizar actividades de intercambio intergeneracional promoviendo el envejecimiento activo en los 11 Municipios del Departamento (2 escuelas, e colegios Vs CBA)</t>
  </si>
  <si>
    <t>Capacitar a EPS IPS en la garantía de la adecuación de los servicios  de salud con perspectiva de genero, con atención humanizada y de calidad de acuerdo con las diferentes necesidades de hombre mujeres según edad, pertenencia étnica, discapacidad orientación sexual e identidad de genero y de acuerdo a los diferentes factores q generen o aumenten la vulnerabilidad.</t>
  </si>
  <si>
    <t>Realizar acciones de atención psicosocial a victimas del conflicto armado en municipios de competencia departamental</t>
  </si>
  <si>
    <t xml:space="preserve">Realizar asist+S45:S46encia técnica en la implementación del protocolo de atención integral en salud con enfoque psicosocial </t>
  </si>
  <si>
    <t>Brindar capacitaciones en Deberes y Derechos en Salud a las poblaciones vulnerables personas mayores, afrocolombianos, niños niñas y adolescentes, victimas del conflicto, población LGTBI, población en proceso de reinserción, indígenas, personas con discapacidad, habitante de calle.</t>
  </si>
  <si>
    <t>Servicio de adopción y seguimiento de acciones y medidas especiales</t>
  </si>
  <si>
    <t>Acciones y medidas especiales ejecutadas</t>
  </si>
  <si>
    <t>Realizar Asistencia al  Programa de Atención Psicosocial y Salud Integral a Víctimas PAPSIVI en los municipios objeto de atención</t>
  </si>
  <si>
    <t>Realizar el cargue trimestral de la información sobre la atención psicosocial a las Victimas en el aplicativo del PAPSIVI.</t>
  </si>
  <si>
    <t>Realizar capacitaciones en deberes y derechos en salud a la ´población Victima con enfoque diferencial.</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</si>
  <si>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</si>
  <si>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</si>
  <si>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resolución 1904 (salud sexual y reproductiva PcD).</t>
  </si>
  <si>
    <t xml:space="preserve">brindar asistencia técnica para el fortalecimiento de los comités municipales de Discapacidad, dirigida  a los enlaces de discapacidad de los 12 municipios del Departamento. </t>
  </si>
  <si>
    <t>Realizar visitas de asistencia, seguimiento y verificación de acceso, accesibilidad, red de servicios contratada, referencia y contrarreferencia en la prestación de servicios de salud a las personas con discapacidad en la EAPB.</t>
  </si>
  <si>
    <t>Apoyar la realización de intervenciones concernientes a la promoción de practicas claves en la estrategia AIPI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</si>
  <si>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</si>
  <si>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</si>
  <si>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</si>
  <si>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</si>
  <si>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</si>
  <si>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Servicio de análisis de laboratorio</t>
  </si>
  <si>
    <t>Análisis realizados</t>
  </si>
  <si>
    <t>1803 - 5 - 1 1 2 11 151 - 170
1803 - 5 - 1 1 2 11 151 - 61
1803 - 5 - 1 1 2 11 151 - 98
1803 - 5 - 3 1 3 12 46 2 151 - 61</t>
  </si>
  <si>
    <t>201663000-0151</t>
  </si>
  <si>
    <t xml:space="preserve">Fortalecimiento de las actividades de vigilancia y control del laboratorio de salud pública en el Departamento del Quindio </t>
  </si>
  <si>
    <t>Mejorar la capacidad analítica del LSP Departamental  para dar respuesta  a las necesidades del Sistema de Vigilancia en Salud Pública</t>
  </si>
  <si>
    <t>*Garantizar equipos e insumos medios y reactivos para la realización  de los análisis normados.
*Optimizar los procesos contractuales desde el LSP y  la DTS.
*Adecuar infraestructura que de cumplimiento para el buen  funcionamiento del LSP</t>
  </si>
  <si>
    <t xml:space="preserve">Compra de reactivos, insumos y medios </t>
  </si>
  <si>
    <t>Compra de equipos de laboratorio</t>
  </si>
  <si>
    <t>Transferencias de la nación</t>
  </si>
  <si>
    <t>Realizar análisis de muestras de alimentos, aguas, bebidas alcohólicas  que llegan al laboratorio en cumplimiento de la programación y las muestras para ETAS Y  vigilancia que lleguen al laboratorio</t>
  </si>
  <si>
    <t>Realizar análisis de muestras para la vigilancia de enfermedades de interés en salud publica enviados por los laboratorios de la red.</t>
  </si>
  <si>
    <t xml:space="preserve">TRANSFERENCIAS DE LA NACION </t>
  </si>
  <si>
    <t>Realizar evaluación externa indirecta de citologías de cuello uterino a los laboratorios de la red</t>
  </si>
  <si>
    <t>Realizar la vigilancia entomológica en los municipios del departamento del Quindío.</t>
  </si>
  <si>
    <t>Servicio de auditoría y visitas inspectivas</t>
  </si>
  <si>
    <t>Auditorías y visitas inspectivas realizadas</t>
  </si>
  <si>
    <t>Ejecutar el sistema de gestión de calidad y aseguramiento de metrología en el laboratorio de salud publica.</t>
  </si>
  <si>
    <t>Superavit SGP Salud Pública</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</si>
  <si>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</si>
  <si>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</si>
  <si>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</si>
  <si>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 xml:space="preserve">Realizar el mantenimiento preventivo y correctivo de los equipos de laboratorio.  </t>
  </si>
  <si>
    <t>Realizar la calibración de los equipos del laboratorio</t>
  </si>
  <si>
    <t>Servicio de información de vigilancia epidemiológica</t>
  </si>
  <si>
    <t>Informes de evento generados en la vigencia</t>
  </si>
  <si>
    <t>1803 - 5 - 1 1 2 11 152 - 170
1803 - 5 - 1 1 2 11 152 - 61
1803 - 5 - 3 1 3 12 46 2 152 - 61</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</si>
  <si>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</si>
  <si>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</si>
  <si>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</si>
  <si>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 xml:space="preserve">*Aumentar la participación comunitaria en acciones ineherentes al sistema de vigilancia en salud publica.
*Fortalecer  la capacidad instalada en los niveles institucionales y municipales frente al desarrollo de los procesos de Vigilancia en Salud Pública </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</si>
  <si>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</si>
  <si>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</si>
  <si>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</si>
  <si>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</si>
  <si>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</si>
  <si>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</si>
  <si>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</si>
  <si>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</si>
  <si>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</si>
  <si>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 xml:space="preserve">Gestión del proceso de notificación  al SIVIGILA  y apoyo al reporte de las Estadísticas Vitales de las situaciones generadas por la  COVID19 </t>
  </si>
  <si>
    <t>170</t>
  </si>
  <si>
    <t>Investigación epidemiológica de casos y búsqueda de contactos</t>
  </si>
  <si>
    <t>Análisis de la información COVID 19 para el Departamento del Quindío</t>
  </si>
  <si>
    <t>Asistencias técnicas realizadas</t>
  </si>
  <si>
    <t>0318 - 5 - 1 1 2 11 155 - 88
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</si>
  <si>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</si>
  <si>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</si>
  <si>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</si>
  <si>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
*Capacitar en los procesos de gestion tecnica en salud.
*Realizar asistencia técnica en la construcción y ejecución del plan bienal de inversiones, a catorce (14) Empresas sociales del estado (ESE) del departamento.</t>
  </si>
  <si>
    <t xml:space="preserve">Verificar el cumplimiento de oportunidad en el reporte de información financiera mediante la circular única </t>
  </si>
  <si>
    <t>88</t>
  </si>
  <si>
    <t>Liz Belcka Castro Jaramillo – Directora CPS</t>
  </si>
  <si>
    <t>20</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</si>
  <si>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</si>
  <si>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</si>
  <si>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</si>
  <si>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Usuarios del sistema</t>
  </si>
  <si>
    <t xml:space="preserve">0318 - 5 - 3 1 3 14 53 2 158 - 20
0318 - 5 - 1 1 2 11 158 - 88
</t>
  </si>
  <si>
    <t>201663000-0158</t>
  </si>
  <si>
    <t>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</si>
  <si>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</si>
  <si>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 xml:space="preserve">*Fortalecer los procesos de implementacion, auditoria y seguimiento. 
*Asegurar la totalidad de los estandares establecidos en el sistema de habilitacion . 
*Garantizar eficiencia en el establecimiento de los indicadores de seguimiento a riesgo 
              </t>
  </si>
  <si>
    <t>Verificación de los requisitos de habilitación</t>
  </si>
  <si>
    <t>Realizar capacitación del recurso humano de las ESES, IPS y EPS Tema del PAMEC, indicadores de calidad y circular 012 de 2016</t>
  </si>
  <si>
    <t>Servicio de certificaciones en buenas practicas</t>
  </si>
  <si>
    <t>Certificaciones expedidas</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</si>
  <si>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</si>
  <si>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</si>
  <si>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</si>
  <si>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</si>
  <si>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</si>
  <si>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</si>
  <si>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Servicios de comunicación y divulgación en inspección, vigilancia y control</t>
  </si>
  <si>
    <t>Eventos de rendición de cuentas realizados</t>
  </si>
  <si>
    <t>1804 - 5 - 1 1 2 11 160 - 72
1804 - 5 - 3 1 3 15 55 2 160 - 72</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</si>
  <si>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</si>
  <si>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</si>
  <si>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</si>
  <si>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 xml:space="preserve">*Fortaleza en la planificacion, seguimiento y evaluacion de objetivos de S.D.S.
*Garantizar eficiencia en el establecimiento de los indicadores de seguimiento a riesgo </t>
  </si>
  <si>
    <t>Definir mecanismos para la gestión de la información en la S.D.S</t>
  </si>
  <si>
    <t>72</t>
  </si>
  <si>
    <t>Rentas cedidas subcuenta otros gastos en salud</t>
  </si>
  <si>
    <t>Eleana Amdrea Caicedo Arias - Directora GEAS</t>
  </si>
  <si>
    <t>Servicio del ejercicio del procedimiento administrativo sancionatorio</t>
  </si>
  <si>
    <t xml:space="preserve">Procesos con aplicación del procedimiento administrativo sancionatorio tramitados </t>
  </si>
  <si>
    <t>Evaluar la oportunidad de las respuestas a los organismos de control</t>
  </si>
  <si>
    <t>Servicio de gestión de peticiones, quejas, reclamos y denuncias</t>
  </si>
  <si>
    <t>Preguntas Quejas Reclamos y Denuncias Gestionadas</t>
  </si>
  <si>
    <t>Establecer mecanismos eficientes de respuesta al usuario</t>
  </si>
  <si>
    <t>Servicio de implementación de estrategias para el fortalecimiento del control social en salud</t>
  </si>
  <si>
    <t>Estrategias para el fortalecimiento del control social en salud implementadas</t>
  </si>
  <si>
    <t>Realizar seguimiento a los diferentes instrumentos de planificación de la S.D.S</t>
  </si>
  <si>
    <t>Realizar actividades de planeación para la S.D.S aplicando los lineamientos normativos vigentes</t>
  </si>
  <si>
    <t>Salud Publica, "Tu y Yo con salud de calidad"</t>
  </si>
  <si>
    <t>Servicio de gestión del riesgo para temas de consumo, aprovechamiento biológico, calidad e inocuidad de los alimentos.</t>
  </si>
  <si>
    <t>Campañas de gestión del riesgo para temas de consumo, aprovechamiento biológico, calidad e inocuidad de los alimentos implementadas</t>
  </si>
  <si>
    <t>1803 - 5 - 1 1 2 12 132 - 61
1803 - 5 - 3 1 3 11 35 2 132 - 61</t>
  </si>
  <si>
    <t>Aprovechamiento biológico y consumo de  alimentos idóneos  en el Departamento del Quindío</t>
  </si>
  <si>
    <t xml:space="preserve">Disminuir o mantener la proporción de niños menores de 5 años en riesgo de desnutrición moderada o severa aguda
</t>
  </si>
  <si>
    <t xml:space="preserve">*Fortalecer la estrategia que determine el número de brotes de enfermedades transmitidas por alimentos (ETA).
*Cumplir con  el tiempo de la practica de la lactancia Materna exclusiva
*Fortalecer la  atencion nutricional en poblaciones indigenas del departamento.
</t>
  </si>
  <si>
    <t>Realizar acciones de Inspección, Vigilancia y Control de alimentos y Bebidas alcohólicas de consumo humano en el Departamento del Quindío.</t>
  </si>
  <si>
    <t>Fondo Local de Salud - SGP Salud Pública-</t>
  </si>
  <si>
    <t>Liderar las acciones de Inspección, Vigilancia y Control de Alimentos y Bebidas de consumo humano en el Departamento del Quindío.</t>
  </si>
  <si>
    <t>Actualizar de censo de establecimientos de alimentos y bebidas.</t>
  </si>
  <si>
    <t>Vigilancia sanitaria en establecimientos de alimentos, relacionados con enfermedades transmitidas por alimentos (ETA), en los municipios de competencia del Departamento.</t>
  </si>
  <si>
    <t>Realizar vigilancia sanitaria en establecimientos de alimentos, relacionados con enfermedades transmitidas por alimentos (ETA), en los municipios de competencia del Departamento.</t>
  </si>
  <si>
    <t>Implementar sistema de información que permita programar y priorizar las acciones de Inspección, Vigilancia y Control con enfoque de riesgo en alimentos y bebidas.</t>
  </si>
  <si>
    <t>Articular con el laboratorio departamental de salud publica (LDSP) la programación y ejecución de la toma de muestras de alimentos y bebidas.</t>
  </si>
  <si>
    <t>Servicios de promoción de la salud y prevención de riesgos asociados a condiciones no transmisibles</t>
  </si>
  <si>
    <t>Campañas de promoción de la salud y prevención de riesgos asociados a condiciones no transmisibles implementadas</t>
  </si>
  <si>
    <t>Realizar acompañamiento en la concertación intersectorial para la formulación de planes, proyectos y lineamiento que permitan el desarrollo del componente de seguridad alimentaria y nutricional de consumo y aprovechamiento biológico.</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</si>
  <si>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</si>
  <si>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</si>
  <si>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</si>
  <si>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</si>
  <si>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</si>
  <si>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1803 - 5 - 1 1 2 12 133 - 61
1803 - 5 - 3 1 3 12 36 2 133 - 61</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</si>
  <si>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</si>
  <si>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</si>
  <si>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</si>
  <si>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*Fortalecer la gestion intersectorial en el cumplimiento de la normatividad relacionada con la elaboracion de mapas de riesgo </t>
  </si>
  <si>
    <t>Fortalecer las  capacidades  en  la comunidad   expuestas a sustancias químicas  en  prácticas de prevención y atención de eventos con productos químicos peligrosos</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</si>
  <si>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</si>
  <si>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</si>
  <si>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Realizar seguimiento semestral  a las cuberturas de las actividades de PEDT en el marco de las intervenciones de las RIAS, así como el seguimiento a la gestión del riesgo individual en salud.</t>
  </si>
  <si>
    <t>realizar acciones de fortalecimiento en la intervenciones de protección especifica y detección temprana con los diferentes actores del sistema (EAPB,IPS,PLANES LOCALES DE SALUD )</t>
  </si>
  <si>
    <t>Formular   el plan de fortalecimiento de capacidades   en salud ambiental    en coordinación con el Consejo Territorial de salud Ambiental COTSA</t>
  </si>
  <si>
    <t>Plan de fortalecimiento de capacidades   en salud ambiental formulado e implementado</t>
  </si>
  <si>
    <t xml:space="preserve">Elaborar el plan de fortalecimiento de capacidades en salud ambiental con que involucre  la fase de  diagnostico  , implementación , autoevaluación, evaluación  y el seguimiento a la gestión integral de la salud ambiental en el  periodo 2020-2023 </t>
  </si>
  <si>
    <t>Realizar anualmente  seguimiento  y monitoreo   al plan sectorial  de fortalecimiento de capacidades en salud ambiental, en  cumplimiento  Resolución 3496 de 2019.</t>
  </si>
  <si>
    <t>Implementar el protocolo de vigilancia sanitaria y ambiental de los efectos en salud relacionados con la contaminación del aire en los 11 municipios de competencia departamental.</t>
  </si>
  <si>
    <t>Protocolo implementado</t>
  </si>
  <si>
    <t>Definir los procesos que permitan evaluar la tendencia de los eventos de interés en salud pública asociados a la contaminación del aire e identificar sus factores determinantes</t>
  </si>
  <si>
    <t>Consolidar la información de los eventos de interés en salud
pública asociada a contaminación atmosférica</t>
  </si>
  <si>
    <t>Mantener  en 11 municipios de competencia departamental la vigilancia en los sistemas de potabilización, mediante la  de la aplicación de buenas practicas sanitarias y reporte de muestras de agua potable.</t>
  </si>
  <si>
    <t>Realizar análisis de la persistencia y aparición de factores de riesgo en las fuentes abastecedoras con el fin de generar la actualización anual de los mapas de riesgo de calidad de agua para consumo humano.</t>
  </si>
  <si>
    <t>Formulación e implementación del plan departamental en salud Ambiental de adaptación al cambio climático.</t>
  </si>
  <si>
    <t xml:space="preserve">Plan departamental en salud Ambiental de adaptación al cambio climático implementado </t>
  </si>
  <si>
    <t xml:space="preserve">Definición de situación actual del departamento en salud ambiental por problemáticas por cambio climático </t>
  </si>
  <si>
    <t>Generar  espacios  intersectoriales para la implementación del plan de adaptación de cambio Climático</t>
  </si>
  <si>
    <t>Implementación de estrategias de para la adaptación del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</si>
  <si>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</si>
  <si>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</si>
  <si>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</si>
  <si>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</si>
  <si>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</si>
  <si>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 xml:space="preserve">Implementación de la estrategia de movilidad saludable, segura y sostenible </t>
  </si>
  <si>
    <t>Educación y comunicación en la promoción de conocimientos, practicas y hábitos para la circulación y el transito seguro en la vía publica.</t>
  </si>
  <si>
    <t xml:space="preserve">Intervención en los entornos de vivienda, educativo y comunitario con caracterización y análisis de actores involucrados, y factores de riesgo asociados a las comunidades en cuanto a  movilidad. </t>
  </si>
  <si>
    <t>1803 - 5 - 1 1 2 12 134 - 61</t>
  </si>
  <si>
    <t>201663000-0134</t>
  </si>
  <si>
    <t>Fortalecimiento de acciones de intervención inherentes a los derechos sexuales y reproductivos  en el Departamento del Quindio.</t>
  </si>
  <si>
    <t xml:space="preserve">Disminuir de los eventos de interés en salud pública relacionados con la salud sexual y reproductiva en especial de la mortalidad materna  </t>
  </si>
  <si>
    <t xml:space="preserve">*Garantizar la  atención integral a la población en salud sexual y reproductiva.
*Implementar programa del  control prenatal antes de la semana 12 de la edad gestacional </t>
  </si>
  <si>
    <t>Desarrollar el plan de acción  del Comité Departamental consultivo intersectorial e interinstitucional para el abordaje integral de las violencias de género y violencias sexuales en niños, niñas y adolescentes</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</si>
  <si>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</si>
  <si>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</si>
  <si>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para que cuenten con una educación sexual, basada en el ejercicio de derechos humanos, sexuales y reproductivos, desde un enfoque de género y diferencial. </t>
  </si>
  <si>
    <t>Realizar acciones para la creación y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</si>
  <si>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</si>
  <si>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creación y seguimiento de los programas servicios de salud  amigables para adolescente y jóvenes en las ESE e IPS</t>
  </si>
  <si>
    <t>Realizar acciones para la creación de mesas técnicas de trabajo con jóvenes adolescentes para el empoderamiento de grupos semilla para el proceso de servicios amigables para adolescentes y jóvenes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</si>
  <si>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</si>
  <si>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</si>
  <si>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</si>
  <si>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</si>
  <si>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</si>
  <si>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 xml:space="preserve">Realizar seguimiento y control a la realización del TSH neonatal  por parte de los Aseguradores y Prestadores , a todos los recién nacidos institucionalizados y no institucionalizados en el departamento del Quindío. </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</si>
  <si>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</si>
  <si>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</si>
  <si>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12 Secretarias y Direcciones de salud municipales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</si>
  <si>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</si>
  <si>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</si>
  <si>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</si>
  <si>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</si>
  <si>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</si>
  <si>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</si>
  <si>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Servicio de gestión del riesgo en temas de consumo de sustancias psicoactivas</t>
  </si>
  <si>
    <t>Campañas de gestión del riesgo en temas de consumo de sustancias psicoactivas implementadas</t>
  </si>
  <si>
    <t>1803 - 5 - 1 1 2 12 135 - 61
1803 - 5 - 3 1 3 12 38 2 135 - 61</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</si>
  <si>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</si>
  <si>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</si>
  <si>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</si>
  <si>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
*Establecer lineamientos de planificación en la Atención primaria en Salud Mental (APS) en todos los municipios Quindiano.
*Articular las políticas públicas de reducción de la oferta y reducción de la demanda de sustancias psicoactivas licitas e ilícitas.</t>
  </si>
  <si>
    <t xml:space="preserve">Seguimiento a la gestión del riesgo en los casos notificados por el SIVIGILA </t>
  </si>
  <si>
    <t>Apoyar el desarrollo de formaciones o capacitaciones a las instituciones que así lo requieran</t>
  </si>
  <si>
    <t>Operativizar el comité departamental de drogas con énfasis en reducción del consumo de sustancias psicoactivas</t>
  </si>
  <si>
    <t>Realizar acciones de vigilancia  a las EAPB e IPS frente a los servicios de atención para usuarios consumidores de Sustancias Psicoactivas</t>
  </si>
  <si>
    <t xml:space="preserve">Servicio de gestión del riesgo en temas de trastornos mentales </t>
  </si>
  <si>
    <t>Formación y capacitación al personal de las IPS, EPS, Planes locales de Salud y entidades que desarrollan acciones encaminadas a la atención primaria en salud mental con énfasis en MH - GAP.</t>
  </si>
  <si>
    <t>Realizar monitoreo y seguimiento a los casos notificados en el SIVIGILA en los eventos de interés  en salud pública y de competencia directa de la Dimensión de convivencia social y salud mental.</t>
  </si>
  <si>
    <t>Seguimiento a la gestión del riesgo en los casos notificados por el SIVIGILA a las entidades con competencia en la dimensión de convivencia social y salud mental (EAPBS - Planes Locales Salud - Comisarias de Familia - ICBF)</t>
  </si>
  <si>
    <t xml:space="preserve">Apoyar el desarrollo de formaciones o capacitaciones a las instituciones que así lo requieran de competencia directa de la dimensión de Convivencia Social y Salud Mental </t>
  </si>
  <si>
    <t xml:space="preserve">realizar acciones de vigilancia y monitoreo  a los entes municipales en la línea  de convivencia social y salud mental </t>
  </si>
  <si>
    <t>Adaptar e implementar la Política Pública de Salud Mental para el Departamento del Quindío</t>
  </si>
  <si>
    <t xml:space="preserve">Política pública en Salud Mental adaptada e Implementada  </t>
  </si>
  <si>
    <t>Realizar mesas para la operativización y seguimiento del Plan de Acción del Comité Departamental de Drogas con énfasis en Reducción del Consumo de Sustancias Psicoactivas - ordenanza 051 del 2010 y Plan Integral de Drogas 2016-2019</t>
  </si>
  <si>
    <t>Asesoría y asistencia Técnica para la adopción  e implementación en los doce (12) municipios del Plan Integral de Drogas. (Plan Departamental de la Reducción del Consumo de Sustancias Psicoactivas SPA)</t>
  </si>
  <si>
    <t xml:space="preserve">Realizar ajuste y adopción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</si>
  <si>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</si>
  <si>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</si>
  <si>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competencia de la dimensión de salud mental y convivencia social con las instituciones del SGSSS</t>
  </si>
  <si>
    <t>Servicio de gestión del riesgo para abordar condiciones crónicas prevalentes</t>
  </si>
  <si>
    <t>Campañas de gestión del riesgo para abordar condiciones crónicas prevalentes implementadas</t>
  </si>
  <si>
    <t>1803 - 5 - 1 1 2 12 138 - 61
1803 - 5 - 3 1 3 12 39 2 138 - 61</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</si>
  <si>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</si>
  <si>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</si>
  <si>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</si>
  <si>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*Realizar campañas  de promoción y prevención que orienten la adopción de estilos de vida saludable
*Articular estrategias interinstitucionales que garanticen la integralidad en la atención de los usuarios
*Adoptar guías y protocolos de atención de las enfermedades crónicas no transmisibles por parte de las EPS e IPS</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</si>
  <si>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 (PIC)</t>
  </si>
  <si>
    <t>Fondo Local de Salud - SGP</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</si>
  <si>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</si>
  <si>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</si>
  <si>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 xml:space="preserve">Realizar monitoreo y  seguimiento  en  Implementación de  las  rutas  integrales  de  atención en  EPS, IPS y  planes  locales. </t>
  </si>
  <si>
    <t>Realizar asistencia técnica a los Planes Locales de Salud en la gestión intersectorial para la promoción de estilos de vida saludables (alimentación saludable, actividad física, alcohol y cigarrillo) en los diferentes entornos educativo, laboral y comunitario.</t>
  </si>
  <si>
    <t>Verificar el nivel de cumplimiento  de la ley 1335 de 2009 enfocada en espacios libres de humo</t>
  </si>
  <si>
    <t>Brindar asistencia técnica la implementación de  la estrategia Tiendas escolares Saludables de municipios de competencia departamental y hacer el respectivo seguimiento.</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</si>
  <si>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</si>
  <si>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</si>
  <si>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Cuartos fríos adecuados</t>
  </si>
  <si>
    <t>1803 - 5 - 1 1 2 12 139 - 61
1803 - 5 - 3 1 3 12 40 2 139 - 61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</si>
  <si>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</si>
  <si>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</si>
  <si>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</si>
  <si>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*Fortalecimiento de los protocolos para la prevenciÓn y control de las enfermedades transmisibles
</t>
  </si>
  <si>
    <t>Realizar acciones de apoyo para la suficiencia y disponibilidad, con oportunidad y calidad, de los insumos, biológicos y red de frío en todo el territorio.</t>
  </si>
  <si>
    <t>Brindar asistencia técnica que garantice la cadena de frio, el manejo de biológicos y los demás insumos del programa PAI</t>
  </si>
  <si>
    <t>Realizar la consolidación de la información generada por el Programa Ampliado de Inmunizaciones</t>
  </si>
  <si>
    <t xml:space="preserve">Realizar acciones de mantenimiento preventivo y correctivo de los equipos de cadena de frío </t>
  </si>
  <si>
    <t>Realizar asistencia técnica y seguimiento a los municipios en la implementación y ejecución del sistema de información nominal del PAI.</t>
  </si>
  <si>
    <t>Servicio de gestión del riesgo para enfermedades emergentes, reemergentes y desatendidas</t>
  </si>
  <si>
    <t>Campañas de gestión del riesgo para enfermedades emergentes, reemergentes y desatendidas implementadas.</t>
  </si>
  <si>
    <t>Realizar sesiones de asistencia técnica a los equipos de ESEs y EAPB  para la implementación del Programa nacional de Prevención, Manejo y Control de la IRA y EDA</t>
  </si>
  <si>
    <t>Brindar en las acciones de actualización sobre la valoración integral, detección temprana, protección específica, educación para la infancia y primera infancia y los tres mensajes clave del programa.</t>
  </si>
  <si>
    <t>Realizar apoyo al seguimiento de  los planes de mejora derivados de las unidades de análisis de mortalidad por IRA y EDA en menores de 5 años</t>
  </si>
  <si>
    <t>Generar  espacios de  comunicación y construcción conjunta entre las comunidades indígenas y la UAIC (Unidad de atención integral comunitaria)</t>
  </si>
  <si>
    <t>Desarrollar acciones de capacidades a la comunidad en prevención, manejo y control de la IRA/EDA con alianzas intersectoriales.</t>
  </si>
  <si>
    <t>Brindar apoyo en el desarrollo de capacidades al equipo humano en la Estrategia de Desparasitación Antihelmíntica.</t>
  </si>
  <si>
    <t>Servicio de gestión del riesgo para enfermedades inmunoprevenibles</t>
  </si>
  <si>
    <t>Campañas de gestión del riesgo para enfermedades inmunoprevenibles  implementadas</t>
  </si>
  <si>
    <t xml:space="preserve">Realizar asistencia técnica, seguimiento, vigilancia y control del Programa Ampliado de Inmunizaciones </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</si>
  <si>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</si>
  <si>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</si>
  <si>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 xml:space="preserve">Realizar articulación con las EAPB, IPS y Planes Locales de Salud, para garantizar el cumplimiento en las coberturas de vacunación  y realizar seguimiento a las EAPB en el cumplimiento de la normatividad </t>
  </si>
  <si>
    <t>Incrementar las acciones de gestión y coordinación intra e intersectorial, para lograr la atención integral de la población objeto del programa en todo el territorio, la equidad y la disminución de las brechas de acceso</t>
  </si>
  <si>
    <t xml:space="preserve">Coordinar espacios académicos que incluyan los temas del PAI con instituciones de educación superior con formación en medicina, enfermería y áreas afines. </t>
  </si>
  <si>
    <t>Realizar acciones de articulación del PAI con las estrategias donde se implementen acciones para el fomento de la participación social para la atención integral.</t>
  </si>
  <si>
    <t>Identificar y priorizar los municipios de riesgo por incumplimiento de coberturas 2019 para aumentar el esfuerzo en las intervenciones y mejorar el acceso equitativo a la vacunación.</t>
  </si>
  <si>
    <t>Participar en los procesos de implementación y desarrollo de las Rutas Integrales de Atenciones – RIA, articulando las intervenciones de vacunación como proceso transversal.</t>
  </si>
  <si>
    <t>seguimiento y cierre de los Eventos Supuestamente Atribuidos a la Vacunación o Inmunización (ESAVI)</t>
  </si>
  <si>
    <t>Participar en el desarrollo de capacidades para la progresividad y adaptabilidad en la implementación de la Resolución 3280 de 2018</t>
  </si>
  <si>
    <t>0318 - 5 - 1 1 2 12 141 - 20
0318 - 5 - 1 1 2 12 141 - 88
0318 - 5 - 3 1 3 12 40 2 141 - 20
1803 - 5 - 1 1 2 12 141 - 102
1803 - 5 - 1 1 2 12 141 - 107
1803 - 5 - 1 1 2 12 141 - 111
1803 - 5 - 1 1 2 12 141 - 147
1803 - 5 - 1 1 2 12 141 - 161
1803 - 5 - 1 1 2 12 141 - 61
1803 - 5 - 3 1 3 12 40 2 141 - 111
1803 - 5 - 3 1 3 12 40 2 141 - 61</t>
  </si>
  <si>
    <t>201663000-0141</t>
  </si>
  <si>
    <t xml:space="preserve">Fortalecimiento de estrategia de gestión integral, vectores, cambio climático y zoonosis en el Departamento  del Quindío </t>
  </si>
  <si>
    <t xml:space="preserve">Disminuir el indice de enfermedades trasmision vectorial y zoonosis en la poblacion  
</t>
  </si>
  <si>
    <t xml:space="preserve">*Implementar estrategiaspara  la gestión integral para enfermedades de transmisión vectorial (EGI ETV) 
*Fortalecer acciones para aumentar coberturas útiles de vacunación antirrábica en animales (perros y gatos). 
</t>
  </si>
  <si>
    <t>Realizar inspección vigilancia y control de focos de reproducción de vectores (dengue, Chikunguña y zika) en los 11 municipios de competencia Departamental.</t>
  </si>
  <si>
    <t>111</t>
  </si>
  <si>
    <t>Res. 781/15 Prev. y control enfermedades por Vect</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</si>
  <si>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</si>
  <si>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</si>
  <si>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</si>
  <si>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</si>
  <si>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</si>
  <si>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Estimar la población de perros y gatos en las áreas urbana y rural en el 100% de los municipios de categoría 4, 5 y 6 del departamento del Quindío.</t>
  </si>
  <si>
    <t>102</t>
  </si>
  <si>
    <t>Superávit Transferencias Capital Salud Publica</t>
  </si>
  <si>
    <t>107</t>
  </si>
  <si>
    <t>147</t>
  </si>
  <si>
    <t>161</t>
  </si>
  <si>
    <t xml:space="preserve">Promover a nivel comunitario la tenencia responsable de animales de compañía y la promoción de la vacunación antirrábica. </t>
  </si>
  <si>
    <t>Realizar coordinación intersectorial en el marco del Consejo Territorial de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</si>
  <si>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</si>
  <si>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t>
  </si>
  <si>
    <t>1803 - 5 - 1 1 2 12 142 - 113
1803 - 5 - 1 1 2 12 142 - 114
1803 - 5 - 1 1 2 12 142 - 61
1803 - 5 - 3 1 3 12 40 2 142 - 61</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</si>
  <si>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</si>
  <si>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</si>
  <si>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</si>
  <si>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
*Realizar campañas de prevención y atención integral en afectados por tuberculosis
*Coordinar acciones para la gestión intersectorial</t>
  </si>
  <si>
    <t>Brindar asistencia técnica y seguimiento al programa de tuberculosis y lepra dirigida a: Planes Locales de Salud, Ips publicas y Privadas, EAPB, laboratorios adscritos a la red publica y privada de los 12 municipios del departamento.</t>
  </si>
  <si>
    <t>Servicio de gestión del riesgo para enfermedades emergentes, reemergentes y desatendidas.</t>
  </si>
  <si>
    <t>Realizar capacitaciones al personal asistencial de las IPS en el programa de tuberculosis y lepra en el departamento.</t>
  </si>
  <si>
    <t>113</t>
  </si>
  <si>
    <t>RES. 1029/16 CAMP Y CONTROL ANTI TUBERCULOSIS QDIO</t>
  </si>
  <si>
    <t>114</t>
  </si>
  <si>
    <t>RES.1030/2016 CAMPAÑA CONTROL LEPRA QUINDIO</t>
  </si>
  <si>
    <t>Realizar el análisis e intervención a los casos especiales de farmacorresistencia del programa de tuberculosis. " CERCET" Comité Evaluador  Regional de Casos Especiales de Tuberculosis.</t>
  </si>
  <si>
    <t>Acompañar la vigilancia de cumplimiento a guías, lineamientos y protocolos  en tuberculosis y lepra</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</si>
  <si>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</si>
  <si>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</si>
  <si>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</si>
  <si>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</si>
  <si>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</si>
  <si>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0318 - 5 - 1 1 2 12 2 - 20
0318 - 5 - 3 1 3 12 40 2 177 - 20</t>
  </si>
  <si>
    <t>202000363-0002</t>
  </si>
  <si>
    <t>Tu y Yo Contra  - COVID</t>
  </si>
  <si>
    <t>Eficiente gestión integral del riesgo en eventos de interes en salud pública, ante la pandemia por COVID-19</t>
  </si>
  <si>
    <t>Disponer de una gran oferta de capacidad técnica y humana, que provea de habilidades resolutivas en cuidados intermedios, altos e intensivos, de la red hospitalaria publica departamental</t>
  </si>
  <si>
    <t>Suministro de papelería, material de difusión,  equipos de oficina y elementos  afines para la atención de la emergencia   COVID 19</t>
  </si>
  <si>
    <t>Adquisición de elementos, insumos, reactivos y equipos requeridos de  bioseguridad para  prevenir, preparar medios de transporte viral, identificar en forma temprana, diagnosticar, tratar atender y rehabilitar a los posibles infectados del COVID-19 en el departamento del Quindío</t>
  </si>
  <si>
    <t>Suministro de alimentación, víveres  para la población vulnerable, y personal de la administración central que se encuentre atendiendo  la emergencia de salud publica generada por el COVID 19</t>
  </si>
  <si>
    <t>Servicios de personal requerido y  generales necesarios durante la Emergencia  generada por el COVID-19</t>
  </si>
  <si>
    <t>Fortalecimiento tecnológico del Centro Administrativo Departamental para mejorar los procesos de Vigilancia en salud publica.</t>
  </si>
  <si>
    <t>Dotar ESEs y laboratorio de salud publica para la prestación de servicios requeridos para la atencion de la pandemia</t>
  </si>
  <si>
    <t>Dotar el Centro Regulador de urgencias y Emergencias CRUE, para mejorar las condiciones de respuesta y centro de reserva de insumos</t>
  </si>
  <si>
    <t>Fortalecimiento del talento Humano para la verificación del cumplimiento de lineamientos expedidos para la emergencia</t>
  </si>
  <si>
    <t>12.13</t>
  </si>
  <si>
    <t>Servicios de atención en salud pública en situaciones de emergencias y desastres</t>
  </si>
  <si>
    <t>Personas en capacidad de ser atendidas</t>
  </si>
  <si>
    <t>1803 - 5 - 1 1 2 12 143 - 61</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</si>
  <si>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</si>
  <si>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</si>
  <si>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</si>
  <si>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*Operar el Plan de Emergencias en Salud en el Departamento </t>
  </si>
  <si>
    <t xml:space="preserve">Realizar verificación de la aplicación de protocolos y planes de emergencia hospitalaria a las eses publicas </t>
  </si>
  <si>
    <t>SGP Salud Publica C.S.F</t>
  </si>
  <si>
    <t>12.10</t>
  </si>
  <si>
    <t>Realizar seguimiento a factores de riesgo en las fuentes abastecedoras</t>
  </si>
  <si>
    <t>Servicio de gestión del riesgo para abordar situaciones prevalentes de origen laboral</t>
  </si>
  <si>
    <t>Campañas de gestión del riesgo para abordar situaciones prevalentes de origen laboral implementadas</t>
  </si>
  <si>
    <t>1803 - 5 - 1 1 2 12 145 - 61
1803 - 5 - 3 1 3 12 42 2 145 - 61</t>
  </si>
  <si>
    <t>201663000-0145</t>
  </si>
  <si>
    <t xml:space="preserve"> 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</si>
  <si>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</si>
  <si>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*Implementar controles de cumplimiento por parte de los empleadores en lo reglamentado en el Sistema general de Riesgos Laborales.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</si>
  <si>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</si>
  <si>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</si>
  <si>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</si>
  <si>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 xml:space="preserve">Realizar una jornada Educativa con relación a Riesgos laborales a los empleadores del Dpto. </t>
  </si>
  <si>
    <t>Realizar asistencia técnica  a los prestadores de primer nivel, para verificar el cumplimiento del Sistema de Gestión de la Seguridad y Salud en el Trabajo.</t>
  </si>
  <si>
    <t xml:space="preserve">Expedir las licencias y asistencias técnicas en Seguridad y Salud en el Trabajo. </t>
  </si>
  <si>
    <t xml:space="preserve">Capacitar a trabajadores del  sector agrícola de los municipios de competencia departamental  en  Promoción y prevención de Riesgos Laborales. </t>
  </si>
  <si>
    <t>Articular procesos  para la prevención de trabajo infantil en el departamento del Quindío, en el marco del Comité Departamentales para la prevención y erradicación de trabajo infantil - CIETI</t>
  </si>
  <si>
    <t>Realizar asistencia técnica  a las  ESES , para verificar el cumplimiento del Sistema de Gestión de la Seguridad y Salud en el Trabajo.</t>
  </si>
  <si>
    <t>Realizar jornada de sensibilización a los Empleadores  del  sector  Comercio y/o Turismo para fomentar la afiliación al SGRL a sus empleados conforme a ley 1562 del 2012 y decreto  1072 de 2015.</t>
  </si>
  <si>
    <t>Analizar los eventos de origen laboral graves y mortales reportados por el Comité Seccional de Seguridad y Salud en el trabajo.</t>
  </si>
  <si>
    <t xml:space="preserve">Documentos de planeación en epidemiología y demografía elaborados </t>
  </si>
  <si>
    <t>1803 - 5 - 1 1 2 12 152 - 98</t>
  </si>
  <si>
    <t xml:space="preserve">*Fortalecer  la capacidad instalada en los niveles institucionales y municipales frente al desarrollo de los procesos de Vigilancia en Salud Pública </t>
  </si>
  <si>
    <t>Actualización del Análisis de Situación de Salud "ASIS"  del Departamento del Quindío.</t>
  </si>
  <si>
    <t>98</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</si>
  <si>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</si>
  <si>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</si>
  <si>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Centros Reguladores de Urgencias, Emergencias y Desastres funcionando y dotados</t>
  </si>
  <si>
    <t>Centro Reguladores de Urgencias, Emergencias y Desastres dotados y funcionando</t>
  </si>
  <si>
    <t>0318 - 5 - 1 1 2 12 157 - 88
0318 - 5 - 3 1 3 14 52 2 157 - 20</t>
  </si>
  <si>
    <t>201663000-0157</t>
  </si>
  <si>
    <t xml:space="preserve">Fortalecimiento de la red de urgencias y emergencias en el Departamento del Quindio </t>
  </si>
  <si>
    <t>Fortalecimiento en la integracion de la red hospitalaria del Departamento del Quindio mediante la modernizacion del CRUE en el Departamento del Quindio</t>
  </si>
  <si>
    <t>-Centralizar por medio del Centro regulador de urgencias y emergencias las atenciones que se puedan suscitar en el Departamento. -Estandarizar e implementar los formatos de reporte entre los actores involucrados</t>
  </si>
  <si>
    <t>Regular y coordinar la prestación de servicios de urgencias y emergencias en salud en el departamento.</t>
  </si>
  <si>
    <t>Realizar asistencia técnica a los prestadores de servicios de salud.</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</si>
  <si>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</si>
  <si>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</si>
  <si>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</si>
  <si>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</si>
  <si>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1803 - 5 - 1 1 2 12 150 - 61
1803 - 5 - 1 1 2 12 150 - 98
1803 - 5 - 3 1 3 12 45 2 150 - 61</t>
  </si>
  <si>
    <t>201663000-0150</t>
  </si>
  <si>
    <t xml:space="preserve">Asistencia atención a las personas y prioridades en salud pública en el  Departamento del Quindío- Plan de Intervenciones Colectivas PIC. </t>
  </si>
  <si>
    <t>Disminuir la morbimortalidad asociada  a la carga de la enfermedad por los determinantes sociales fortaleciendo  las acciones de complementariedad  a los municipios</t>
  </si>
  <si>
    <t>Mejorar los procesos de implementación de las actividades colectivas</t>
  </si>
  <si>
    <t>Realizar intervenciones de manera integrada e integral en los diferentes entornos definidos en la norma</t>
  </si>
  <si>
    <t>Realizar auditoria al desarrollo de las intervenciones colectivas y establecer acciones de mejoramiento</t>
  </si>
  <si>
    <t>Realizar intervenciones de vacunación antirrábica</t>
  </si>
  <si>
    <t>Realizar la caracterización de caninos y felinos</t>
  </si>
  <si>
    <t>Ejecutar intervenciones de Prevención y Control de las Enfermedades de origen Vectorial en municipios hiperendémicos.</t>
  </si>
  <si>
    <t>Ejecutar las acciones de la estrategia COMBI en municipios hiperendémicos para enfermedades vectoriales</t>
  </si>
  <si>
    <t xml:space="preserve">Realizar acciones, intervenciones y procedimientos colectivos </t>
  </si>
  <si>
    <t>Servicio de promoción de afiliaciones al régimen contributivo del Sistema General de Seguridad Social de las personas con capacidad de pago</t>
  </si>
  <si>
    <t>Personas con capacidad de pago afiliadas</t>
  </si>
  <si>
    <t xml:space="preserve">
1801 - 5 - 1 1 2 13 153 - 154
1801 - 5 - 1 1 2 13 153 - 96
1801 - 5 - 3 1 3 13 48 2 153 - 154
0318 - 5 - 3 1 3 13 49 2 153 - 20</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</si>
  <si>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</si>
  <si>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</si>
  <si>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</si>
  <si>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*Mejorar los procesos de identificación de la población no sisbenizada y no afiliada.
* Gestionar  recursos para cofinanciación de la afialicon  mpo y lugares de afiliación
* Aumentar la asistencia técnica a 12 Municipios del departamento,  en los procesos del régimen subsidiado
</t>
  </si>
  <si>
    <t>Realizar acciones de promoción en las afiliaciones de la población en el sistema general de seguridad social en salud</t>
  </si>
  <si>
    <t xml:space="preserve"> COFINANCIACIÓN NACIONAL</t>
  </si>
  <si>
    <t>Servicio de cofinanciación para la continuidad del  régimen subsidiado en salud en 11 municipios del departamento</t>
  </si>
  <si>
    <t>Personas afiliadas</t>
  </si>
  <si>
    <t xml:space="preserve">Gestión de recursos para cofinanciación de la afiliación a los municipios y lugares de afiliación. </t>
  </si>
  <si>
    <t>154</t>
  </si>
  <si>
    <t>Aportes Patronales</t>
  </si>
  <si>
    <t>96</t>
  </si>
  <si>
    <t>Rendimientos Financieros SGP Prestacion de servicios</t>
  </si>
  <si>
    <t>Realizar auditorias a los procesos de régimen subsidiado en los 12 municipios, de acuerdo a lo establecido en la Circular 006 de 2011.</t>
  </si>
  <si>
    <t>Servicio de apoyo con tecnologías para prestación de servicios en salud</t>
  </si>
  <si>
    <t>Población inimputable atendida</t>
  </si>
  <si>
    <t>1802 - 5 - 1 1 2 13 154 - 110
1802 - 5 - 1 1 2 13 154 - 156</t>
  </si>
  <si>
    <t>201663000-0154</t>
  </si>
  <si>
    <t xml:space="preserve">Prestación de Servicios a la Población no Afiliada al Sistema General de Seguridad Social en Salud  y en los no POS  a la Población Afiliada al Régimen Subsidiado.
</t>
  </si>
  <si>
    <t>Garantizar la atención en salud a la población pobre no asegurada y/o víctima del conflicto armado en un rango de afiliación 51.57 según Resolución 3778 de 2011. en  e l departamento del Quindío</t>
  </si>
  <si>
    <t xml:space="preserve">Fortalecer la contratación para la atención de la población no afiliada </t>
  </si>
  <si>
    <t>Realizar acciones para garantizar la prestación de los servicios de salud a la población Inimputable</t>
  </si>
  <si>
    <t>110</t>
  </si>
  <si>
    <t xml:space="preserve"> RES. 971/2016 PROGR. INIMPUTABLES </t>
  </si>
  <si>
    <t>156</t>
  </si>
  <si>
    <t xml:space="preserve">SUPERAVIT RES. 997 DE 2018 INIMPUTABLES </t>
  </si>
  <si>
    <t>Pacientes atendidos</t>
  </si>
  <si>
    <t>Servicios de reconocimientos de las metas de calidad, financiera, producción y transferencias especiales</t>
  </si>
  <si>
    <t>Porcentaje de recursos transferidos</t>
  </si>
  <si>
    <t>1802 - 5 - 1 1 2 13 154 - 152
"1802 - 5 - 1 1 2 13 154 - 110
1802 - 5 - 1 1 2 13 154 - 156"
1802 - 5 - 1 1 2 13 154 - 167
1802 - 5 - 1 1 2 13 154 - 59
1802 - 5 - 1 1 2 13 154 - 169
1802 - 5 - 1 1 2 13 154 - 58
1802 - 5 - 1 1 2 13 154 - 96
1802 - 5 - 1 1 2 13 154 - 97
1804 - 5 - 1 1 2 13 154 - 96
1802 - 5 - 1 1 2 13 154 - 102
1802 - 5 - 1 1 2 13 154 - 65
1804 - 5 - 1 1 2 13 154 - 102</t>
  </si>
  <si>
    <t>Realizar los actos administrativos para la transferencia de los recursos mediante el cumplimiento de metas</t>
  </si>
  <si>
    <t>60</t>
  </si>
  <si>
    <t>SGP SALUD APORTES PATRONALES SS F7</t>
  </si>
  <si>
    <t>171</t>
  </si>
  <si>
    <t>SUBSIDIO A LA OFERTA</t>
  </si>
  <si>
    <t>Servicios de reconocimientos de deuda</t>
  </si>
  <si>
    <t>Porcentaje de recursos pagados</t>
  </si>
  <si>
    <t>Realizar los pagos de los servicios y tecnologías NO UPC del Régimen Subsidiado</t>
  </si>
  <si>
    <t xml:space="preserve"> SUPERÁVIT COFINANCIACIÓN NACIONAL RES. 3876/12 DIS </t>
  </si>
  <si>
    <t>152</t>
  </si>
  <si>
    <t xml:space="preserve"> EXCEDENTES APORTES PATRONALES ESE DEL DEPTO </t>
  </si>
  <si>
    <t>167</t>
  </si>
  <si>
    <t xml:space="preserve"> SUPERAVIT RECURSOS - ADRES RES. 2359/2019 </t>
  </si>
  <si>
    <t>169</t>
  </si>
  <si>
    <t xml:space="preserve"> SUPERAVIT RECURSOS SGSS SALUD -  ADRES </t>
  </si>
  <si>
    <t>58</t>
  </si>
  <si>
    <t xml:space="preserve"> RENTAS CEDIDAS SECRETARIA .DE SALUD </t>
  </si>
  <si>
    <t>59</t>
  </si>
  <si>
    <t xml:space="preserve"> SGP SALUD PRESTACION SERVICIOS C.S.F </t>
  </si>
  <si>
    <t>65</t>
  </si>
  <si>
    <t xml:space="preserve"> COFINANCIACION NACIONAL SALUD </t>
  </si>
  <si>
    <t xml:space="preserve"> SUPERAVIT RENTAS CEDIDAS SALUD </t>
  </si>
  <si>
    <t xml:space="preserve"> SUPERAVIT SGP SALUD PRESTACION DE SERVICIOS </t>
  </si>
  <si>
    <t>SUPERÁVIT COFINANCIACIÓN NACIONAL RES. 3876/12 DIS</t>
  </si>
  <si>
    <t>SUPERAVIT RENTAS CEDIDAS SALUD</t>
  </si>
  <si>
    <t>Servicio de asistencia técnica a Instituciones Prestadoras de Servicios de salud</t>
  </si>
  <si>
    <t>Instituciones Prestadoras de Servicios de salud asistidas técnicamente</t>
  </si>
  <si>
    <t>0318 - 5 - 1 1 2 13 159 - 88
0318 - 5 - 3 1 3 14 54 2 159 - 20
1804 - 5 - 1 1 2 13 159 - 168
1802 - 5 - 1 1 2 13 159 - 60</t>
  </si>
  <si>
    <t>201663000-0159</t>
  </si>
  <si>
    <t>Fortalecimiento de la red de prestación de servicios pública  del Departamento del Quindío</t>
  </si>
  <si>
    <t>Apoyar el  seguimiento al proceso de reporte, vigilancia y control en el manejo de los recursos de salud en el Departamento del Quindio</t>
  </si>
  <si>
    <t xml:space="preserve">*Fortalecer los procesos financieros  del sector salud en el departamento del Quindío.
*Realizar los  procesos adecuados para la auditoria en el flujo de recursos de las IPS 
</t>
  </si>
  <si>
    <t>Seguimiento y apoyo al proceso financiero de las IPS publicas</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</si>
  <si>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</si>
  <si>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</si>
  <si>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</si>
  <si>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 xml:space="preserve">Transferencia de recursos a las empresas sociales del estado del departamento </t>
  </si>
  <si>
    <t>168</t>
  </si>
  <si>
    <t>FONDO DE SALVAMENTO Y GRANT. PARA LA SALUD FONSAET</t>
  </si>
  <si>
    <t>SEGUIMIENTO PLAN DE ACCIÓN
PROMOTORA DE VIVIENDA Y DESARROLLO DEL QUINDIO 
SEPTIEMBRE  30   DE   2020</t>
  </si>
  <si>
    <t>PRESUPUESTO</t>
  </si>
  <si>
    <t>INCLUSION SOCIAL Y EQUIDAD</t>
  </si>
  <si>
    <t xml:space="preserve">Infraestructura  deportiva y/o recreativa con procesos   Constructivos ,  y/o Mejorados, y/o Ampliados, y/o Mantenidos, Y/o  Reforzados </t>
  </si>
  <si>
    <t xml:space="preserve">0211101_4
</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</si>
  <si>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</si>
  <si>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</si>
  <si>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</si>
  <si>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Desarrollo de Programas y Proyectos, en los componentes de vivienda, infraestructura, equipamiento colectivo y comunitario.</t>
  </si>
  <si>
    <t>Estampilla Prodesarrollo</t>
  </si>
  <si>
    <t>Gerente</t>
  </si>
  <si>
    <t xml:space="preserve">Infraestructura  de Instituciones Educativas  con procesos   Constructivos ,  y/o Mejorados, y/o Ampliados, y/o Mantenidos, Y/o  Reforzados </t>
  </si>
  <si>
    <t>0211101_4
0211102_3</t>
  </si>
  <si>
    <t>Impuesto al Registro 6%</t>
  </si>
  <si>
    <t>Infraestructura   vial  con procesos  de construcción, mejoramiento, ampliación, mantenimiento y/o  Reforzamiento.</t>
  </si>
  <si>
    <t>Km de vías del departamento mantenidas, mejoradas y/o rehabilitadas</t>
  </si>
  <si>
    <t>0211102_3</t>
  </si>
  <si>
    <t xml:space="preserve">Infraestructura Institucional de Edificios Públicos de atención de servicios ciudadanos con procesos Costructivos, y/o Mejorados, y/o Ampliados, y/o Mantenidos y/o Reforzados </t>
  </si>
  <si>
    <t>4001001</t>
  </si>
  <si>
    <t xml:space="preserve">Servicio de asistencia técnica y jurídica en saneamiento y titulación de predios </t>
  </si>
  <si>
    <t>Entidades territoriales asistidas técnica y jurídicamente</t>
  </si>
  <si>
    <t>4001014</t>
  </si>
  <si>
    <t xml:space="preserve">Viviendas de Interés Prioritario urbanas costruidas </t>
  </si>
  <si>
    <t>Viviendas de Interés Prioritario urbanas construidas</t>
  </si>
  <si>
    <t>4001015</t>
  </si>
  <si>
    <t xml:space="preserve">Viviendas de Interés Prioritario urbanas mejoradas </t>
  </si>
  <si>
    <t>Viviendas de Interés Prioritario urbanas mejoradas</t>
  </si>
  <si>
    <t>4001030</t>
  </si>
  <si>
    <t>PABLO CESAR HERRERA CORREA</t>
  </si>
  <si>
    <t>Gerente Promotora de Vivienda y Desarrollo del Quindío</t>
  </si>
  <si>
    <t>SEGUIMIENTO PLAN DE ACCIÓN
SECRETARIA DE INDEPORTES
SEPTIEMBRE  30   DE   2020</t>
  </si>
  <si>
    <t>ACTIVIDADES</t>
  </si>
  <si>
    <t>39.1</t>
  </si>
  <si>
    <t>Servicio de Escuelas Deportivas</t>
  </si>
  <si>
    <t>Municipios con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</si>
  <si>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</si>
  <si>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</si>
  <si>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</si>
  <si>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</si>
  <si>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</si>
  <si>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Brindad asesoria a los doce municipios del departamente</t>
  </si>
  <si>
    <t>Coordinador area tecnica</t>
  </si>
  <si>
    <t>Gerente General INDEPORTES</t>
  </si>
  <si>
    <t>2334471206_6</t>
  </si>
  <si>
    <t>6</t>
  </si>
  <si>
    <t>Recursos del balance  Cigarrillos Nacionales y Extranjeros Funcionamiento 70%</t>
  </si>
  <si>
    <t>39.2</t>
  </si>
  <si>
    <t>Servicio de promoción de la actividad física, la recreación y el deporte</t>
  </si>
  <si>
    <t>Municipios implementando  programas de recreación, actividad física y deporte social comunitario</t>
  </si>
  <si>
    <t>2234471207_3</t>
  </si>
  <si>
    <t>Realizacion de eventos deportivos en el departamento</t>
  </si>
  <si>
    <t>3</t>
  </si>
  <si>
    <t>IPOCONSUMO</t>
  </si>
  <si>
    <t>2234471208_4</t>
  </si>
  <si>
    <t>Realizacion de los juegos comunales en el departamento</t>
  </si>
  <si>
    <t>4</t>
  </si>
  <si>
    <t>ICLD</t>
  </si>
  <si>
    <t>2234471208_12</t>
  </si>
  <si>
    <t>12</t>
  </si>
  <si>
    <t>Municipios vinculados al programa Supérate-Intercolegiados</t>
  </si>
  <si>
    <t>2234470205_12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</si>
  <si>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</si>
  <si>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</si>
  <si>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</si>
  <si>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</si>
  <si>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t>
  </si>
  <si>
    <t>Tecnico Area tecnica</t>
  </si>
  <si>
    <t>2234470205_4</t>
  </si>
  <si>
    <t>Aportes Departamento 1% ICLD</t>
  </si>
  <si>
    <t>2334470205_6</t>
  </si>
  <si>
    <t xml:space="preserve">Municipios implementando  programas de recreación, actividad física y  y deporte social comunitario </t>
  </si>
  <si>
    <t>2234572209_3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</si>
  <si>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</si>
  <si>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</si>
  <si>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</si>
  <si>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</si>
  <si>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t>
  </si>
  <si>
    <t>2334572209_6</t>
  </si>
  <si>
    <t>2234572210_3</t>
  </si>
  <si>
    <t xml:space="preserve">Apoyo logistico y tecnico al adulto mayor </t>
  </si>
  <si>
    <t>2334572210_6</t>
  </si>
  <si>
    <t>2334572211_12</t>
  </si>
  <si>
    <t xml:space="preserve">Apoyo logistico tecnico </t>
  </si>
  <si>
    <t>2234572211_12</t>
  </si>
  <si>
    <t>Formular e  implementar una  política pública para el desarrollo y acceso al deporte, la recreación, la actividad física, la educación física y el uso adecuado del tiempo libre, como ejes de transformación humana y social en el departamento del Quindío</t>
  </si>
  <si>
    <t>Politica publica formulada e implementada</t>
  </si>
  <si>
    <t>2234572211_3</t>
  </si>
  <si>
    <t xml:space="preserve">22346741_4
</t>
  </si>
  <si>
    <t>201663000-0166</t>
  </si>
  <si>
    <t>Apoyo a proyectos deportivos, recreativos y de actividad fisica, en el Departamento del Quindìo</t>
  </si>
  <si>
    <t>Disminuir los índices del consumo de estupefacientes en los municipios del departamento</t>
  </si>
  <si>
    <t>Fortalecer la articulacion interinstitucional</t>
  </si>
  <si>
    <t>Actividades en promoción de hábitos y estilos de vida saludables  (Componente tecnico)</t>
  </si>
  <si>
    <t>23347471_5</t>
  </si>
  <si>
    <t>5</t>
  </si>
  <si>
    <t xml:space="preserve"> Cigarrillos Nacionales y Extranjeros Municipios 30%</t>
  </si>
  <si>
    <t>2234572212_3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</si>
  <si>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</si>
  <si>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</si>
  <si>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</si>
  <si>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Fomentar estios de vida saludable y actividad fisica</t>
  </si>
  <si>
    <t>Profesional universitario area tecnica</t>
  </si>
  <si>
    <t>2334573212_15</t>
  </si>
  <si>
    <t xml:space="preserve"> Rendimientos Financieros Recursos del Balance</t>
  </si>
  <si>
    <t>2334573212_18</t>
  </si>
  <si>
    <t xml:space="preserve"> RECURSOS DEL BALANCE CIGARRILLOS NACIONALES Y EXTRANJEROS 70% 2018</t>
  </si>
  <si>
    <t>2334573212_4</t>
  </si>
  <si>
    <t>2334573212_6</t>
  </si>
  <si>
    <t>Cigarrillos Nacionales y Extranjeros Funcionamiento 70%</t>
  </si>
  <si>
    <t>241434301010101_12</t>
  </si>
  <si>
    <t>202000363-0038</t>
  </si>
  <si>
    <t>Fortalecimiento, Habitos y estilos de vida saludable como instrumento SALVAVIDAS en el Departamento del Quindio</t>
  </si>
  <si>
    <t>Generar la participación y promoción de actividades físicas deportivas y recreativas en el departamento del Quindío</t>
  </si>
  <si>
    <t>Crear nuevos programas de actividad física y hábitos saludables de vida
Generar una cultura de estilos de vida saludable y actividad física.
Crear nuevos instrumentos de planificación para la formulación de la política publica
Mejorar difusión y acercamiento de la oferta institucional
Promover a los  niños, niñas, adolescentes y jóvenes para realizar actividades físicas y deportivas</t>
  </si>
  <si>
    <t>Coordinadora area tecnica</t>
  </si>
  <si>
    <t>241434301010101_3</t>
  </si>
  <si>
    <t>241434301010101_4</t>
  </si>
  <si>
    <t>241434301010101_7</t>
  </si>
  <si>
    <t>MINISTERIO DEL DEPORTE</t>
  </si>
  <si>
    <t>241434301010101_9</t>
  </si>
  <si>
    <t>RENDIMIENTOS FINANCIEROS</t>
  </si>
  <si>
    <t>251434301010101_12</t>
  </si>
  <si>
    <t>251434301010101_16</t>
  </si>
  <si>
    <t xml:space="preserve"> RECURSOS DEL BALANCE  IPOCONSUMO  2018</t>
  </si>
  <si>
    <t>251434301010101_17</t>
  </si>
  <si>
    <t>RECURSOS DEL BALANCE CIGARRILLOS NACIONALES Y EXTRANJEROS 70% 2018</t>
  </si>
  <si>
    <t>251434301010101_18</t>
  </si>
  <si>
    <t>251434301010101_19</t>
  </si>
  <si>
    <t>RECURSOS DEL BALANCE SUPERAVIT DEPARTAMENTO</t>
  </si>
  <si>
    <t>251434301010101_20</t>
  </si>
  <si>
    <t>RECURSOS DEL BALANCE MONOPOLIO 2018</t>
  </si>
  <si>
    <t>251434301010101_3</t>
  </si>
  <si>
    <t xml:space="preserve"> IPOCONSUMO</t>
  </si>
  <si>
    <t>251434301010101_4</t>
  </si>
  <si>
    <t>251434301010101_6</t>
  </si>
  <si>
    <t>241434301010201_12</t>
  </si>
  <si>
    <t>241434301010201_4</t>
  </si>
  <si>
    <t>241434301010201_7</t>
  </si>
  <si>
    <t>241434301020101_12</t>
  </si>
  <si>
    <t>Desarrollar estrategias para acceso de niños, niñas, adolescentes y jóvenes a procesos de formación deportiva y espacios recreativos en el Departamento del Quindío</t>
  </si>
  <si>
    <t>241434301020101_7</t>
  </si>
  <si>
    <t>241434301020102_5</t>
  </si>
  <si>
    <t xml:space="preserve">  Cigarrillos Nacionales y Extranjeros Municipios 30%</t>
  </si>
  <si>
    <t>25143430101020101_6</t>
  </si>
  <si>
    <t xml:space="preserve"> Cigarrillos Nacionales y Extranjeros Funcionamiento 70%</t>
  </si>
  <si>
    <t>39.3</t>
  </si>
  <si>
    <t>241434301030101_12</t>
  </si>
  <si>
    <t>Crear nuevos instrumentos de planificación para la formulación de la política publica</t>
  </si>
  <si>
    <t>241434301030101_3</t>
  </si>
  <si>
    <t>Servicio de asistencia técnica para la promoción del deporte</t>
  </si>
  <si>
    <t xml:space="preserve">Organismos deportivos asistidos </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</si>
  <si>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</si>
  <si>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</si>
  <si>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</si>
  <si>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</si>
  <si>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</si>
  <si>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t>
  </si>
  <si>
    <t>Tecnico deporte Asociado</t>
  </si>
  <si>
    <t>31/06/2020</t>
  </si>
  <si>
    <t>INDEPORTES</t>
  </si>
  <si>
    <t>2234468202_4</t>
  </si>
  <si>
    <t xml:space="preserve">Realizar acompañamiento y asesorìa a las ligas y clubes del departamento </t>
  </si>
  <si>
    <t>2334468202_6</t>
  </si>
  <si>
    <t>RECURSOS DEL BALANCE CIGARRILLO</t>
  </si>
  <si>
    <t>2234468203_4</t>
  </si>
  <si>
    <t xml:space="preserve">Apoyo a deportistas de alto logros y reserva deportiva </t>
  </si>
  <si>
    <t>2234469204-4</t>
  </si>
  <si>
    <t xml:space="preserve">Apoyo  logistico a las 13 ligas estrategicas </t>
  </si>
  <si>
    <t>2234469204_12</t>
  </si>
  <si>
    <t>40.2</t>
  </si>
  <si>
    <t>241434302010101_12</t>
  </si>
  <si>
    <t>202000363-0039</t>
  </si>
  <si>
    <t>Fortalecimiento al deporte competitivo y de altos logros "TU Y    YO SOMOS salvaVIDAS POR UN QUINDIO GANADOR" en el Departamento del Quindio</t>
  </si>
  <si>
    <t>Definir nuevas metodologías para el desarrollo en el deporte formativo y competitivo del Departamento del Quindío</t>
  </si>
  <si>
    <t>Mejorar el rendimiento deportivo  y competitivo en los  deportistas de alto nivel competitivo y con proyección a altos logros
Determinar nuevos procesos para el desarrollo y aprendizaje en la parte técnica y táctica al interior de los clubes y ligas.</t>
  </si>
  <si>
    <t>Jefe del atarea tecnica</t>
  </si>
  <si>
    <t>241434302010101_3</t>
  </si>
  <si>
    <t>241434302010101_4</t>
  </si>
  <si>
    <t>251434302010101_6</t>
  </si>
  <si>
    <t>Juegos Deportivos Realizados</t>
  </si>
  <si>
    <t>241434302010201_4</t>
  </si>
  <si>
    <t>Desarrollo de los  XXII JUEGOS DEPORTIVOS NACIONALES Y VI JUEGOS PARANACIONALES   2023</t>
  </si>
  <si>
    <t>Generar una mayor participación  deportiva y organización de eventos multideportivos en el Departamento del Quindío</t>
  </si>
  <si>
    <t>Aumentar la asignación de recursos para el deporte formativo y competitivo</t>
  </si>
  <si>
    <t>Jefe del Area tecnica</t>
  </si>
  <si>
    <t>FERNANDO AUGUSTO PANESSO ZULUAGA</t>
  </si>
  <si>
    <t>Gerente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</si>
</sst>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_-* #,##0.00_-;\-* #,##0.00_-;_-* &quot;-&quot;??_-;_-@_-"/>
    <numFmt numFmtId="167" formatCode="_([$$-240A]\ * #,##0.00_);_([$$-240A]\ * \(#,##0.00\);_([$$-240A]\ * &quot;-&quot;??_);_(@_)"/>
    <numFmt numFmtId="168" formatCode="_-* #,##0_-;\-* #,##0_-;_-* &quot;-&quot;??_-;_-@_-"/>
    <numFmt numFmtId="169" formatCode="00"/>
    <numFmt numFmtId="170" formatCode="0.0"/>
    <numFmt numFmtId="171" formatCode="&quot;$&quot;\ #,##0"/>
    <numFmt numFmtId="172" formatCode="dd/mm/yyyy;@"/>
    <numFmt numFmtId="173" formatCode="d/mm/yyyy;@"/>
    <numFmt numFmtId="174" formatCode="&quot;$&quot;\ #,##0.00"/>
    <numFmt numFmtId="175" formatCode="_(* #,##0_);_(* \(#,##0\);_(* &quot;-&quot;??_);_(@_)"/>
    <numFmt numFmtId="176" formatCode="_ [$€-2]\ * #,##0.00_ ;_ [$€-2]\ * \-#,##0.00_ ;_ [$€-2]\ * &quot;-&quot;??_ "/>
    <numFmt numFmtId="177" formatCode="_(&quot;$&quot;* #,##0.00_);_(&quot;$&quot;* \(#,##0.00\);_(&quot;$&quot;* &quot;-&quot;??_);_(@_)"/>
    <numFmt numFmtId="178" formatCode="_-&quot;$&quot;* #,##0_-;\-&quot;$&quot;* #,##0_-;_-&quot;$&quot;* &quot;-&quot;_-;_-@_-"/>
    <numFmt numFmtId="179" formatCode="_-* #,##0.00_-;\-* #,##0.00_-;_-* &quot;-&quot;_-;_-@_-"/>
    <numFmt numFmtId="180" formatCode="_-[$$-240A]\ * #,##0_-;\-[$$-240A]\ * #,##0_-;_-[$$-240A]\ * &quot;-&quot;_-;_-@_-"/>
    <numFmt numFmtId="181" formatCode="&quot;$&quot;#,##0.00_);[Red]\(&quot;$&quot;#,##0.00\)"/>
    <numFmt numFmtId="182" formatCode="&quot;$&quot;\ #,##0;[Red]&quot;$&quot;\ #,##0"/>
    <numFmt numFmtId="183" formatCode="&quot;$&quot;\ #,##0.0000"/>
    <numFmt numFmtId="184" formatCode="#,##0.0"/>
    <numFmt numFmtId="185" formatCode="#,##0;[Red]#,##0"/>
    <numFmt numFmtId="186" formatCode="_-* #,##0.00_-;\-* #,##0.00_-;_-* &quot;-&quot;???_-;_-@_-"/>
    <numFmt numFmtId="187" formatCode="&quot;$&quot;\ #,##0.00;[Red]\-&quot;$&quot;\ #,##0.00"/>
  </numFmts>
  <fonts count="48" x14ac:knownFonts="1">
    <font>
      <sz val="11"/>
      <color theme="1"/>
      <name val="Calibri"/>
      <family val="2"/>
      <scheme val="minor"/>
    </font>
    <font>
      <sz val="11"/>
      <color theme="1"/>
      <name val="Calibri"/>
      <family val="2"/>
      <scheme val="minor"/>
    </font>
    <font>
      <sz val="12"/>
      <color theme="1"/>
      <name val="Arial"/>
      <family val="2"/>
    </font>
    <font>
      <b/>
      <sz val="12"/>
      <name val="Arial"/>
      <family val="2"/>
    </font>
    <font>
      <sz val="12"/>
      <name val="Arial"/>
      <family val="2"/>
    </font>
    <font>
      <b/>
      <sz val="11"/>
      <color rgb="FF6F6F6E"/>
      <name val="Calibri"/>
      <family val="2"/>
      <scheme val="minor"/>
    </font>
    <font>
      <sz val="10"/>
      <color theme="1"/>
      <name val="Arial"/>
      <family val="2"/>
    </font>
    <font>
      <sz val="11"/>
      <color indexed="8"/>
      <name val="Calibri"/>
      <family val="2"/>
    </font>
    <font>
      <b/>
      <sz val="12"/>
      <color indexed="8"/>
      <name val="Arial"/>
      <family val="2"/>
    </font>
    <font>
      <b/>
      <sz val="14"/>
      <color theme="1"/>
      <name val="Arial"/>
      <family val="2"/>
    </font>
    <font>
      <b/>
      <sz val="11"/>
      <color theme="1"/>
      <name val="Arial"/>
      <family val="2"/>
    </font>
    <font>
      <sz val="11"/>
      <color theme="1"/>
      <name val="Arial"/>
      <family val="2"/>
    </font>
    <font>
      <b/>
      <sz val="11"/>
      <color indexed="8"/>
      <name val="Arial"/>
      <family val="2"/>
    </font>
    <font>
      <b/>
      <sz val="12"/>
      <color theme="1"/>
      <name val="Arial"/>
      <family val="2"/>
    </font>
    <font>
      <b/>
      <sz val="10"/>
      <name val="Calibri"/>
      <family val="2"/>
      <scheme val="minor"/>
    </font>
    <font>
      <sz val="10"/>
      <name val="Arial"/>
      <family val="2"/>
    </font>
    <font>
      <b/>
      <sz val="10"/>
      <name val="Arial"/>
      <family val="2"/>
    </font>
    <font>
      <sz val="12"/>
      <color rgb="FF000000"/>
      <name val="Calibri"/>
      <family val="2"/>
    </font>
    <font>
      <sz val="11"/>
      <color rgb="FF000000"/>
      <name val="Calibri"/>
      <family val="2"/>
    </font>
    <font>
      <sz val="10"/>
      <color rgb="FF000000"/>
      <name val="Calibri"/>
      <family val="2"/>
    </font>
    <font>
      <b/>
      <sz val="10"/>
      <color theme="1"/>
      <name val="Arial"/>
      <family val="2"/>
    </font>
    <font>
      <b/>
      <sz val="10"/>
      <color indexed="8"/>
      <name val="Arial"/>
      <family val="2"/>
    </font>
    <font>
      <sz val="10"/>
      <color theme="1"/>
      <name val="Calibri"/>
      <family val="2"/>
      <scheme val="minor"/>
    </font>
    <font>
      <sz val="12"/>
      <color theme="1"/>
      <name val="Calibri"/>
      <family val="2"/>
      <scheme val="minor"/>
    </font>
    <font>
      <b/>
      <sz val="10"/>
      <color rgb="FFFFFFFF"/>
      <name val="Arial"/>
      <family val="2"/>
    </font>
    <font>
      <b/>
      <sz val="11"/>
      <name val="Arial"/>
      <family val="2"/>
    </font>
    <font>
      <sz val="12"/>
      <color rgb="FF000000"/>
      <name val="Arial"/>
      <family val="2"/>
    </font>
    <font>
      <vertAlign val="superscript"/>
      <sz val="12"/>
      <color theme="1"/>
      <name val="Arial"/>
      <family val="2"/>
    </font>
    <font>
      <b/>
      <sz val="9"/>
      <name val="Calibri"/>
      <family val="2"/>
      <scheme val="minor"/>
    </font>
    <font>
      <sz val="11"/>
      <name val="Arial"/>
      <family val="2"/>
    </font>
    <font>
      <sz val="12"/>
      <name val="Calibri"/>
      <family val="2"/>
      <scheme val="minor"/>
    </font>
    <font>
      <sz val="12"/>
      <color rgb="FF222222"/>
      <name val="Calibri"/>
      <family val="2"/>
    </font>
    <font>
      <b/>
      <sz val="16"/>
      <color theme="1"/>
      <name val="Arial"/>
      <family val="2"/>
    </font>
    <font>
      <sz val="14"/>
      <color theme="1"/>
      <name val="Arial"/>
      <family val="2"/>
    </font>
    <font>
      <sz val="12"/>
      <color indexed="8"/>
      <name val="Arial"/>
      <family val="2"/>
    </font>
    <font>
      <b/>
      <sz val="9"/>
      <color indexed="81"/>
      <name val="Tahoma"/>
      <family val="2"/>
    </font>
    <font>
      <sz val="9"/>
      <color indexed="81"/>
      <name val="Tahoma"/>
      <family val="2"/>
    </font>
    <font>
      <b/>
      <sz val="14"/>
      <name val="Arial"/>
      <family val="2"/>
    </font>
    <font>
      <b/>
      <sz val="14"/>
      <color rgb="FFFF0000"/>
      <name val="Arial"/>
      <family val="2"/>
    </font>
    <font>
      <b/>
      <sz val="12"/>
      <color rgb="FF000000"/>
      <name val="Arial"/>
      <family val="2"/>
    </font>
    <font>
      <sz val="11"/>
      <color rgb="FF000000"/>
      <name val="Arial"/>
      <family val="2"/>
    </font>
    <font>
      <sz val="11"/>
      <color rgb="FF000000"/>
      <name val="Arial Narrow"/>
      <family val="2"/>
    </font>
    <font>
      <sz val="14"/>
      <color rgb="FF000000"/>
      <name val="Arial"/>
      <family val="2"/>
    </font>
    <font>
      <sz val="12"/>
      <color rgb="FF323130"/>
      <name val="Arial"/>
      <family val="2"/>
    </font>
    <font>
      <b/>
      <sz val="12"/>
      <name val="Calibri"/>
      <family val="2"/>
      <scheme val="minor"/>
    </font>
    <font>
      <b/>
      <sz val="12"/>
      <color rgb="FFFF0000"/>
      <name val="Arial"/>
      <family val="2"/>
    </font>
    <font>
      <sz val="12"/>
      <color rgb="FFFF0000"/>
      <name val="Arial"/>
      <family val="2"/>
    </font>
    <font>
      <sz val="14"/>
      <name val="Arial"/>
      <family val="2"/>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ECECEC"/>
        <bgColor indexed="64"/>
      </patternFill>
    </fill>
    <fill>
      <patternFill patternType="solid">
        <fgColor indexed="9"/>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2" tint="-9.9978637043366805E-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bgColor theme="4" tint="0.79998168889431442"/>
      </patternFill>
    </fill>
    <fill>
      <patternFill patternType="solid">
        <fgColor theme="0"/>
        <bgColor rgb="FF000000"/>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auto="1"/>
      </right>
      <top/>
      <bottom style="thin">
        <color auto="1"/>
      </bottom>
      <diagonal/>
    </border>
    <border>
      <left style="thin">
        <color rgb="FF522B57"/>
      </left>
      <right style="thin">
        <color rgb="FF522B57"/>
      </right>
      <top style="thin">
        <color rgb="FF522B57"/>
      </top>
      <bottom style="thin">
        <color rgb="FF522B57"/>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style="thin">
        <color indexed="64"/>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auto="1"/>
      </right>
      <top/>
      <bottom/>
      <diagonal/>
    </border>
    <border>
      <left style="thin">
        <color rgb="FF000000"/>
      </left>
      <right style="thin">
        <color auto="1"/>
      </right>
      <top/>
      <bottom style="thin">
        <color indexed="64"/>
      </bottom>
      <diagonal/>
    </border>
    <border>
      <left style="thin">
        <color rgb="FF000000"/>
      </left>
      <right style="thin">
        <color auto="1"/>
      </right>
      <top style="thin">
        <color indexed="64"/>
      </top>
      <bottom/>
      <diagonal/>
    </border>
    <border>
      <left style="thin">
        <color rgb="FF000000"/>
      </left>
      <right/>
      <top style="thin">
        <color indexed="64"/>
      </top>
      <bottom/>
      <diagonal/>
    </border>
    <border>
      <left style="thin">
        <color rgb="FF000000"/>
      </left>
      <right style="thin">
        <color auto="1"/>
      </right>
      <top/>
      <bottom style="thin">
        <color rgb="FF000000"/>
      </bottom>
      <diagonal/>
    </border>
    <border>
      <left/>
      <right style="thin">
        <color rgb="FF000000"/>
      </right>
      <top/>
      <bottom style="thin">
        <color indexed="64"/>
      </bottom>
      <diagonal/>
    </border>
    <border>
      <left/>
      <right style="thin">
        <color rgb="FF000000"/>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right style="medium">
        <color indexed="64"/>
      </right>
      <top/>
      <bottom style="thin">
        <color indexed="64"/>
      </bottom>
      <diagonal/>
    </border>
    <border>
      <left/>
      <right/>
      <top/>
      <bottom style="thin">
        <color rgb="FF000000"/>
      </bottom>
      <diagonal/>
    </border>
    <border>
      <left/>
      <right style="thin">
        <color auto="1"/>
      </right>
      <top style="thin">
        <color rgb="FF000000"/>
      </top>
      <bottom/>
      <diagonal/>
    </border>
    <border>
      <left style="thin">
        <color indexed="64"/>
      </left>
      <right style="thin">
        <color auto="1"/>
      </right>
      <top style="thin">
        <color rgb="FF000000"/>
      </top>
      <bottom/>
      <diagonal/>
    </border>
    <border>
      <left style="thin">
        <color auto="1"/>
      </left>
      <right/>
      <top style="thin">
        <color rgb="FF000000"/>
      </top>
      <bottom/>
      <diagonal/>
    </border>
    <border>
      <left/>
      <right style="thin">
        <color indexed="64"/>
      </right>
      <top style="medium">
        <color indexed="64"/>
      </top>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auto="1"/>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auto="1"/>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rgb="FF000000"/>
      </left>
      <right style="thin">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24">
    <xf numFmtId="0" fontId="0" fillId="0" borderId="0"/>
    <xf numFmtId="166"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7" fontId="5" fillId="4" borderId="16">
      <alignment horizontal="center" vertical="center" wrapText="1"/>
    </xf>
    <xf numFmtId="0" fontId="6" fillId="0" borderId="0"/>
    <xf numFmtId="0" fontId="5" fillId="4" borderId="16">
      <alignment horizontal="center" vertical="center" wrapText="1"/>
    </xf>
    <xf numFmtId="9" fontId="7"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7" fontId="1" fillId="0" borderId="0"/>
    <xf numFmtId="166" fontId="7" fillId="0" borderId="0" applyFont="0" applyFill="0" applyBorder="0" applyAlignment="0" applyProtection="0"/>
    <xf numFmtId="176" fontId="1" fillId="0" borderId="0"/>
    <xf numFmtId="4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1" fillId="0" borderId="0"/>
    <xf numFmtId="165" fontId="1" fillId="0" borderId="0" applyFont="0" applyFill="0" applyBorder="0" applyAlignment="0" applyProtection="0"/>
    <xf numFmtId="166" fontId="7" fillId="0" borderId="0" applyFont="0" applyFill="0" applyBorder="0" applyAlignment="0" applyProtection="0"/>
    <xf numFmtId="0" fontId="15" fillId="0" borderId="0"/>
    <xf numFmtId="166" fontId="1" fillId="0" borderId="0" applyFont="0" applyFill="0" applyBorder="0" applyAlignment="0" applyProtection="0"/>
  </cellStyleXfs>
  <cellXfs count="4599">
    <xf numFmtId="0" fontId="0" fillId="0" borderId="0" xfId="0"/>
    <xf numFmtId="0" fontId="2" fillId="0" borderId="0" xfId="0" applyFont="1"/>
    <xf numFmtId="0" fontId="2" fillId="0" borderId="0" xfId="0" applyFont="1" applyAlignment="1">
      <alignment horizontal="justify" vertical="center" wrapText="1"/>
    </xf>
    <xf numFmtId="0" fontId="2" fillId="0" borderId="3" xfId="0" applyFont="1" applyBorder="1"/>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xf>
    <xf numFmtId="0" fontId="4" fillId="0" borderId="1" xfId="4" applyNumberFormat="1" applyFont="1" applyFill="1" applyBorder="1">
      <alignment horizontal="center" vertical="center" wrapText="1"/>
    </xf>
    <xf numFmtId="0" fontId="4" fillId="0" borderId="1" xfId="0" applyFont="1" applyBorder="1" applyAlignment="1">
      <alignment horizontal="justify" vertical="center" wrapText="1"/>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right" vertical="center"/>
    </xf>
    <xf numFmtId="0" fontId="11" fillId="2" borderId="0" xfId="0" applyFont="1" applyFill="1"/>
    <xf numFmtId="0" fontId="10" fillId="0" borderId="1" xfId="0" applyFont="1" applyBorder="1" applyAlignment="1">
      <alignment horizontal="right" vertical="center" wrapText="1"/>
    </xf>
    <xf numFmtId="3" fontId="12" fillId="0" borderId="1" xfId="0" applyNumberFormat="1" applyFont="1" applyBorder="1" applyAlignment="1">
      <alignment horizontal="right" vertical="center" wrapText="1"/>
    </xf>
    <xf numFmtId="0" fontId="2" fillId="2" borderId="0" xfId="0" applyFont="1" applyFill="1"/>
    <xf numFmtId="0" fontId="13" fillId="0" borderId="8" xfId="0" applyFont="1" applyBorder="1" applyAlignment="1">
      <alignment horizontal="justify" vertical="center" wrapText="1"/>
    </xf>
    <xf numFmtId="0" fontId="13" fillId="0" borderId="9" xfId="0" applyFont="1" applyBorder="1" applyAlignment="1">
      <alignment vertical="center"/>
    </xf>
    <xf numFmtId="0" fontId="13" fillId="0" borderId="9" xfId="0" applyFont="1" applyBorder="1" applyAlignment="1">
      <alignment horizontal="justify" vertical="center" wrapText="1"/>
    </xf>
    <xf numFmtId="0" fontId="13" fillId="0" borderId="9" xfId="0" applyFont="1" applyBorder="1" applyAlignment="1">
      <alignment horizontal="center" vertical="center"/>
    </xf>
    <xf numFmtId="0" fontId="13" fillId="0" borderId="15" xfId="0" applyFont="1" applyBorder="1" applyAlignment="1">
      <alignment vertical="center"/>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3" fillId="3" borderId="7" xfId="0" applyFont="1" applyFill="1" applyBorder="1" applyAlignment="1">
      <alignment horizontal="left" vertical="center"/>
    </xf>
    <xf numFmtId="0" fontId="3" fillId="3" borderId="6" xfId="0" applyFont="1" applyFill="1" applyBorder="1" applyAlignment="1">
      <alignment horizontal="left" vertical="center"/>
    </xf>
    <xf numFmtId="0" fontId="3" fillId="3" borderId="6" xfId="0" applyFont="1" applyFill="1" applyBorder="1" applyAlignment="1">
      <alignment vertical="center"/>
    </xf>
    <xf numFmtId="0" fontId="3" fillId="3" borderId="11" xfId="0" applyFont="1" applyFill="1" applyBorder="1" applyAlignment="1">
      <alignment horizontal="justify" vertical="center" wrapText="1"/>
    </xf>
    <xf numFmtId="0" fontId="3" fillId="3" borderId="11" xfId="0" applyFont="1" applyFill="1" applyBorder="1" applyAlignment="1">
      <alignment vertical="center"/>
    </xf>
    <xf numFmtId="0" fontId="3" fillId="3" borderId="11" xfId="0" applyFont="1" applyFill="1" applyBorder="1" applyAlignment="1">
      <alignment horizontal="center" vertical="center"/>
    </xf>
    <xf numFmtId="0" fontId="13" fillId="3" borderId="11" xfId="0" applyFont="1" applyFill="1" applyBorder="1" applyAlignment="1">
      <alignment vertical="center"/>
    </xf>
    <xf numFmtId="0" fontId="13" fillId="3" borderId="11" xfId="0" applyFont="1" applyFill="1" applyBorder="1" applyAlignment="1">
      <alignment horizontal="justify" vertical="center" wrapText="1"/>
    </xf>
    <xf numFmtId="0" fontId="13" fillId="3" borderId="11" xfId="0" applyFont="1" applyFill="1" applyBorder="1" applyAlignment="1">
      <alignment horizontal="center" vertical="center"/>
    </xf>
    <xf numFmtId="170" fontId="13" fillId="3" borderId="11" xfId="0" applyNumberFormat="1" applyFont="1" applyFill="1" applyBorder="1" applyAlignment="1">
      <alignment horizontal="center" vertical="center"/>
    </xf>
    <xf numFmtId="171" fontId="13" fillId="3" borderId="11" xfId="0" applyNumberFormat="1" applyFont="1" applyFill="1" applyBorder="1" applyAlignment="1">
      <alignment vertical="center"/>
    </xf>
    <xf numFmtId="171" fontId="13" fillId="3" borderId="11" xfId="0" applyNumberFormat="1" applyFont="1" applyFill="1" applyBorder="1" applyAlignment="1">
      <alignment horizontal="center" vertical="center"/>
    </xf>
    <xf numFmtId="1" fontId="13" fillId="3" borderId="11" xfId="0" applyNumberFormat="1" applyFont="1" applyFill="1" applyBorder="1" applyAlignment="1">
      <alignment horizontal="center" vertical="center"/>
    </xf>
    <xf numFmtId="172" fontId="13" fillId="3" borderId="11" xfId="0" applyNumberFormat="1" applyFont="1" applyFill="1" applyBorder="1" applyAlignment="1">
      <alignment horizontal="center" vertical="center"/>
    </xf>
    <xf numFmtId="0" fontId="13" fillId="3" borderId="12" xfId="0" applyFont="1" applyFill="1" applyBorder="1" applyAlignment="1">
      <alignment horizontal="justify" vertical="center"/>
    </xf>
    <xf numFmtId="1" fontId="13" fillId="2" borderId="5"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3" fillId="8" borderId="7" xfId="0" applyFont="1" applyFill="1" applyBorder="1" applyAlignment="1">
      <alignment horizontal="left" vertical="center"/>
    </xf>
    <xf numFmtId="0" fontId="3" fillId="8" borderId="13" xfId="0" applyFont="1" applyFill="1" applyBorder="1" applyAlignment="1">
      <alignment horizontal="left" vertical="center"/>
    </xf>
    <xf numFmtId="0" fontId="3" fillId="8" borderId="6" xfId="0" applyFont="1" applyFill="1" applyBorder="1" applyAlignment="1">
      <alignment horizontal="justify" vertical="center" wrapText="1"/>
    </xf>
    <xf numFmtId="0" fontId="4" fillId="8" borderId="6" xfId="0" applyFont="1" applyFill="1" applyBorder="1" applyAlignment="1">
      <alignment horizontal="center" vertical="center"/>
    </xf>
    <xf numFmtId="0" fontId="3" fillId="8" borderId="6" xfId="0" applyFont="1" applyFill="1" applyBorder="1" applyAlignment="1">
      <alignment horizontal="center" vertical="center"/>
    </xf>
    <xf numFmtId="0" fontId="13" fillId="8" borderId="0" xfId="0" applyFont="1" applyFill="1" applyAlignment="1">
      <alignment horizontal="justify" vertical="center" wrapText="1"/>
    </xf>
    <xf numFmtId="0" fontId="13" fillId="8" borderId="0" xfId="0" applyFont="1" applyFill="1" applyAlignment="1">
      <alignment horizontal="center" vertical="center"/>
    </xf>
    <xf numFmtId="170" fontId="13" fillId="8" borderId="0" xfId="0" applyNumberFormat="1" applyFont="1" applyFill="1" applyAlignment="1">
      <alignment horizontal="center" vertical="center"/>
    </xf>
    <xf numFmtId="171" fontId="13" fillId="8" borderId="0" xfId="0" applyNumberFormat="1" applyFont="1" applyFill="1" applyAlignment="1">
      <alignment vertical="center"/>
    </xf>
    <xf numFmtId="171" fontId="13" fillId="8" borderId="0" xfId="0" applyNumberFormat="1" applyFont="1" applyFill="1" applyAlignment="1">
      <alignment horizontal="center" vertical="center"/>
    </xf>
    <xf numFmtId="1" fontId="13" fillId="8" borderId="0" xfId="0" applyNumberFormat="1" applyFont="1" applyFill="1" applyAlignment="1">
      <alignment horizontal="center" vertical="center"/>
    </xf>
    <xf numFmtId="172" fontId="13" fillId="8" borderId="0" xfId="0" applyNumberFormat="1" applyFont="1" applyFill="1" applyAlignment="1">
      <alignment horizontal="center" vertical="center"/>
    </xf>
    <xf numFmtId="0" fontId="13" fillId="8" borderId="3" xfId="0" applyFont="1" applyFill="1" applyBorder="1" applyAlignment="1">
      <alignment horizontal="justify" vertical="center"/>
    </xf>
    <xf numFmtId="1" fontId="2"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xf numFmtId="0" fontId="2" fillId="2" borderId="6" xfId="0" applyFont="1" applyFill="1" applyBorder="1" applyAlignment="1">
      <alignment vertical="center" wrapText="1"/>
    </xf>
    <xf numFmtId="1" fontId="2" fillId="2" borderId="13" xfId="0" applyNumberFormat="1" applyFont="1" applyFill="1" applyBorder="1" applyAlignment="1">
      <alignment horizontal="center" vertical="center" wrapText="1"/>
    </xf>
    <xf numFmtId="0" fontId="2" fillId="2" borderId="0" xfId="0" applyFont="1" applyFill="1" applyAlignment="1">
      <alignment vertical="center" wrapText="1"/>
    </xf>
    <xf numFmtId="1" fontId="2" fillId="2" borderId="14" xfId="0" applyNumberFormat="1" applyFont="1" applyFill="1" applyBorder="1" applyAlignment="1">
      <alignment horizontal="center" vertical="center" wrapText="1"/>
    </xf>
    <xf numFmtId="166" fontId="4"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justify" vertical="center" wrapText="1"/>
    </xf>
    <xf numFmtId="166" fontId="4" fillId="0" borderId="1" xfId="0" applyNumberFormat="1" applyFont="1" applyBorder="1" applyAlignment="1">
      <alignment vertical="center"/>
    </xf>
    <xf numFmtId="0" fontId="2" fillId="0" borderId="1" xfId="0" applyFont="1" applyBorder="1" applyAlignment="1">
      <alignment horizontal="justify" vertical="center" wrapText="1"/>
    </xf>
    <xf numFmtId="0" fontId="2" fillId="0" borderId="13" xfId="0" applyFont="1" applyBorder="1" applyAlignment="1">
      <alignment horizontal="justify" vertical="center" wrapText="1"/>
    </xf>
    <xf numFmtId="166" fontId="4" fillId="0" borderId="13" xfId="0" applyNumberFormat="1" applyFont="1" applyBorder="1" applyAlignment="1">
      <alignment vertical="center"/>
    </xf>
    <xf numFmtId="1" fontId="2" fillId="2" borderId="4"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166" fontId="4" fillId="2" borderId="17" xfId="0" applyNumberFormat="1" applyFont="1" applyFill="1" applyBorder="1" applyAlignment="1">
      <alignment vertical="center"/>
    </xf>
    <xf numFmtId="0" fontId="2" fillId="2" borderId="4" xfId="0" applyFont="1" applyFill="1" applyBorder="1" applyAlignment="1">
      <alignment horizontal="center" vertical="center" wrapText="1"/>
    </xf>
    <xf numFmtId="0" fontId="2" fillId="0" borderId="14" xfId="0" applyFont="1" applyBorder="1" applyAlignment="1">
      <alignment horizontal="justify" vertical="center" wrapText="1"/>
    </xf>
    <xf numFmtId="0" fontId="4" fillId="0" borderId="17" xfId="0" applyFont="1" applyBorder="1" applyAlignment="1">
      <alignment horizontal="justify" vertical="center" wrapText="1"/>
    </xf>
    <xf numFmtId="0" fontId="2" fillId="2" borderId="8" xfId="0" applyFont="1" applyFill="1" applyBorder="1" applyAlignment="1">
      <alignment horizontal="center" vertical="center" wrapText="1"/>
    </xf>
    <xf numFmtId="0" fontId="4" fillId="0" borderId="19" xfId="4" applyNumberFormat="1" applyFont="1" applyFill="1" applyBorder="1">
      <alignment horizontal="center" vertical="center" wrapText="1"/>
    </xf>
    <xf numFmtId="0" fontId="4" fillId="0" borderId="19" xfId="0" applyFont="1" applyBorder="1" applyAlignment="1">
      <alignment horizontal="justify" vertical="center" wrapText="1"/>
    </xf>
    <xf numFmtId="0" fontId="2" fillId="0" borderId="19" xfId="0" applyFont="1" applyBorder="1" applyAlignment="1">
      <alignment horizontal="justify" vertical="center" wrapText="1"/>
    </xf>
    <xf numFmtId="2" fontId="4" fillId="0" borderId="19" xfId="0" applyNumberFormat="1" applyFont="1" applyBorder="1" applyAlignment="1">
      <alignment horizontal="center" vertical="center" wrapText="1"/>
    </xf>
    <xf numFmtId="9" fontId="2" fillId="0" borderId="20" xfId="2" applyFont="1" applyFill="1" applyBorder="1" applyAlignment="1">
      <alignment horizontal="center" vertical="center" wrapText="1"/>
    </xf>
    <xf numFmtId="166" fontId="4" fillId="2" borderId="19" xfId="0" applyNumberFormat="1" applyFont="1" applyFill="1" applyBorder="1" applyAlignment="1">
      <alignment vertical="center"/>
    </xf>
    <xf numFmtId="0" fontId="2" fillId="0" borderId="14" xfId="0" applyFont="1" applyBorder="1" applyAlignment="1">
      <alignment horizontal="center" vertical="center" wrapText="1"/>
    </xf>
    <xf numFmtId="0" fontId="4" fillId="0" borderId="18" xfId="0" applyFont="1" applyBorder="1" applyAlignment="1">
      <alignment horizontal="justify" vertical="center" wrapText="1"/>
    </xf>
    <xf numFmtId="166" fontId="4" fillId="0" borderId="18" xfId="0" applyNumberFormat="1" applyFont="1" applyBorder="1" applyAlignment="1">
      <alignment vertical="center"/>
    </xf>
    <xf numFmtId="0" fontId="2" fillId="0" borderId="19" xfId="0" applyFont="1" applyBorder="1" applyAlignment="1">
      <alignment horizontal="center" vertical="center" wrapText="1"/>
    </xf>
    <xf numFmtId="0" fontId="2" fillId="0" borderId="3" xfId="0" applyFont="1" applyBorder="1" applyAlignment="1">
      <alignment horizontal="justify" vertical="center" wrapText="1"/>
    </xf>
    <xf numFmtId="1" fontId="2" fillId="0" borderId="1"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2" fillId="0" borderId="15" xfId="0" applyFont="1" applyBorder="1" applyAlignment="1">
      <alignment horizontal="justify" vertical="center" wrapText="1"/>
    </xf>
    <xf numFmtId="166" fontId="4" fillId="0" borderId="20" xfId="0" applyNumberFormat="1" applyFont="1" applyBorder="1" applyAlignment="1">
      <alignment vertical="center"/>
    </xf>
    <xf numFmtId="9" fontId="2" fillId="0" borderId="19" xfId="2" applyFont="1" applyFill="1" applyBorder="1" applyAlignment="1">
      <alignment horizontal="center" vertical="center" wrapText="1"/>
    </xf>
    <xf numFmtId="0" fontId="4" fillId="0" borderId="23" xfId="0" applyFont="1" applyBorder="1" applyAlignment="1">
      <alignment horizontal="justify" vertical="center" wrapText="1"/>
    </xf>
    <xf numFmtId="166" fontId="4" fillId="0" borderId="23" xfId="0" applyNumberFormat="1" applyFont="1" applyBorder="1" applyAlignment="1">
      <alignment vertical="center"/>
    </xf>
    <xf numFmtId="1" fontId="2" fillId="0" borderId="23" xfId="0" applyNumberFormat="1" applyFont="1" applyBorder="1" applyAlignment="1">
      <alignment horizontal="center" vertical="center" wrapText="1"/>
    </xf>
    <xf numFmtId="0" fontId="2" fillId="0" borderId="25" xfId="0" applyFont="1" applyBorder="1" applyAlignment="1">
      <alignment horizontal="justify" vertical="center" wrapText="1"/>
    </xf>
    <xf numFmtId="166" fontId="4" fillId="0" borderId="22" xfId="0" applyNumberFormat="1" applyFont="1" applyBorder="1" applyAlignment="1">
      <alignment vertical="center"/>
    </xf>
    <xf numFmtId="0" fontId="2" fillId="0" borderId="22" xfId="0" applyFont="1" applyBorder="1" applyAlignment="1">
      <alignment horizontal="justify" vertical="center" wrapText="1"/>
    </xf>
    <xf numFmtId="1" fontId="2" fillId="0" borderId="19" xfId="0" applyNumberFormat="1" applyFont="1" applyBorder="1" applyAlignment="1">
      <alignment horizontal="center" vertical="center" wrapText="1"/>
    </xf>
    <xf numFmtId="0" fontId="2" fillId="0" borderId="20" xfId="0" applyFont="1" applyBorder="1" applyAlignment="1">
      <alignment horizontal="justify" vertical="center" wrapText="1"/>
    </xf>
    <xf numFmtId="166" fontId="4" fillId="0" borderId="19" xfId="0" applyNumberFormat="1" applyFont="1" applyBorder="1" applyAlignment="1">
      <alignment vertical="center"/>
    </xf>
    <xf numFmtId="1" fontId="2" fillId="0" borderId="17" xfId="0" applyNumberFormat="1" applyFont="1" applyBorder="1" applyAlignment="1">
      <alignment horizontal="center" vertical="center" wrapText="1"/>
    </xf>
    <xf numFmtId="166" fontId="4" fillId="0" borderId="31" xfId="0" applyNumberFormat="1" applyFont="1" applyBorder="1" applyAlignment="1">
      <alignment vertical="center"/>
    </xf>
    <xf numFmtId="0" fontId="4" fillId="0" borderId="32" xfId="0" applyFont="1" applyBorder="1" applyAlignment="1">
      <alignment horizontal="justify" vertical="center" wrapText="1"/>
    </xf>
    <xf numFmtId="1" fontId="2" fillId="0" borderId="26" xfId="0" applyNumberFormat="1" applyFont="1" applyBorder="1" applyAlignment="1">
      <alignment horizontal="center" vertical="center" wrapText="1"/>
    </xf>
    <xf numFmtId="166" fontId="4" fillId="0" borderId="17" xfId="0" applyNumberFormat="1" applyFont="1" applyBorder="1" applyAlignment="1">
      <alignment vertical="center"/>
    </xf>
    <xf numFmtId="1" fontId="13" fillId="2" borderId="2"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 xfId="0" applyFont="1" applyFill="1" applyBorder="1" applyAlignment="1">
      <alignment horizontal="center" vertical="center" wrapText="1"/>
    </xf>
    <xf numFmtId="0" fontId="4" fillId="8" borderId="0" xfId="0" applyFont="1" applyFill="1" applyAlignment="1">
      <alignment horizontal="center" vertical="center"/>
    </xf>
    <xf numFmtId="0" fontId="3" fillId="8" borderId="0" xfId="0" applyFont="1" applyFill="1" applyAlignment="1">
      <alignment horizontal="justify" vertical="center" wrapText="1"/>
    </xf>
    <xf numFmtId="0" fontId="3" fillId="8" borderId="0" xfId="0" applyFont="1" applyFill="1" applyAlignment="1">
      <alignment horizontal="center" vertical="center"/>
    </xf>
    <xf numFmtId="0" fontId="13" fillId="8" borderId="34" xfId="0" applyFont="1" applyFill="1" applyBorder="1" applyAlignment="1">
      <alignment horizontal="justify" vertical="center" wrapText="1"/>
    </xf>
    <xf numFmtId="0" fontId="13" fillId="8" borderId="6" xfId="0" applyFont="1" applyFill="1" applyBorder="1" applyAlignment="1">
      <alignment horizontal="center" vertical="center"/>
    </xf>
    <xf numFmtId="172" fontId="13" fillId="8" borderId="6" xfId="0" applyNumberFormat="1" applyFont="1" applyFill="1" applyBorder="1" applyAlignment="1">
      <alignment horizontal="center" vertical="center"/>
    </xf>
    <xf numFmtId="0" fontId="13" fillId="8" borderId="7" xfId="0" applyFont="1" applyFill="1" applyBorder="1" applyAlignment="1">
      <alignment horizontal="justify" vertical="center" wrapText="1"/>
    </xf>
    <xf numFmtId="1" fontId="13" fillId="0" borderId="2" xfId="0" applyNumberFormat="1" applyFont="1" applyBorder="1" applyAlignment="1">
      <alignment horizontal="center" vertical="center" wrapText="1"/>
    </xf>
    <xf numFmtId="0" fontId="13" fillId="0" borderId="0" xfId="0" applyFont="1" applyAlignment="1">
      <alignment horizontal="center" vertical="center" wrapText="1"/>
    </xf>
    <xf numFmtId="171" fontId="4" fillId="0" borderId="17" xfId="0" applyNumberFormat="1" applyFont="1" applyBorder="1" applyAlignment="1">
      <alignment horizontal="right" vertical="center"/>
    </xf>
    <xf numFmtId="1" fontId="4" fillId="0" borderId="17" xfId="0" applyNumberFormat="1" applyFont="1" applyBorder="1" applyAlignment="1">
      <alignment horizontal="center" vertical="center" wrapText="1"/>
    </xf>
    <xf numFmtId="166" fontId="4" fillId="0" borderId="17" xfId="0" applyNumberFormat="1" applyFont="1" applyBorder="1" applyAlignment="1">
      <alignment horizontal="right" vertical="center"/>
    </xf>
    <xf numFmtId="0" fontId="2" fillId="0" borderId="0" xfId="0" applyFont="1" applyAlignment="1">
      <alignment vertical="center" wrapText="1"/>
    </xf>
    <xf numFmtId="1" fontId="2" fillId="0" borderId="2" xfId="0" applyNumberFormat="1" applyFont="1" applyBorder="1"/>
    <xf numFmtId="0" fontId="2" fillId="0" borderId="9" xfId="0" applyFont="1" applyBorder="1"/>
    <xf numFmtId="1" fontId="2" fillId="0" borderId="8" xfId="0" applyNumberFormat="1" applyFont="1" applyBorder="1"/>
    <xf numFmtId="1" fontId="2" fillId="0" borderId="9" xfId="0" applyNumberFormat="1" applyFont="1" applyBorder="1"/>
    <xf numFmtId="1" fontId="2" fillId="0" borderId="15" xfId="0" applyNumberFormat="1" applyFont="1" applyBorder="1"/>
    <xf numFmtId="1" fontId="2" fillId="0" borderId="11" xfId="0" applyNumberFormat="1" applyFont="1" applyBorder="1"/>
    <xf numFmtId="1" fontId="2" fillId="0" borderId="12" xfId="0" applyNumberFormat="1" applyFont="1" applyBorder="1"/>
    <xf numFmtId="0" fontId="2" fillId="2" borderId="4" xfId="0" applyFont="1" applyFill="1" applyBorder="1" applyAlignment="1">
      <alignment horizontal="justify" vertical="center" wrapText="1"/>
    </xf>
    <xf numFmtId="0" fontId="2" fillId="2" borderId="4" xfId="0" applyFont="1" applyFill="1" applyBorder="1"/>
    <xf numFmtId="0" fontId="2" fillId="2" borderId="4" xfId="0" applyFont="1" applyFill="1" applyBorder="1" applyAlignment="1">
      <alignment horizontal="center"/>
    </xf>
    <xf numFmtId="170" fontId="2" fillId="2" borderId="4" xfId="0" applyNumberFormat="1" applyFont="1" applyFill="1" applyBorder="1" applyAlignment="1">
      <alignment horizontal="center" vertical="center"/>
    </xf>
    <xf numFmtId="166" fontId="3" fillId="0" borderId="4" xfId="0" applyNumberFormat="1" applyFont="1" applyBorder="1" applyAlignment="1">
      <alignment vertical="center"/>
    </xf>
    <xf numFmtId="1" fontId="2"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172" fontId="2" fillId="0" borderId="4" xfId="0" applyNumberFormat="1" applyFont="1" applyBorder="1" applyAlignment="1">
      <alignment horizontal="center" vertical="center"/>
    </xf>
    <xf numFmtId="172" fontId="2" fillId="0" borderId="4" xfId="0" applyNumberFormat="1" applyFont="1" applyBorder="1" applyAlignment="1">
      <alignment horizontal="center"/>
    </xf>
    <xf numFmtId="0" fontId="2" fillId="0" borderId="4" xfId="0" applyFont="1" applyBorder="1" applyAlignment="1">
      <alignment horizontal="justify" vertical="center"/>
    </xf>
    <xf numFmtId="1" fontId="2" fillId="0" borderId="0" xfId="0" applyNumberFormat="1" applyFont="1"/>
    <xf numFmtId="0" fontId="2" fillId="0" borderId="0" xfId="0" applyFont="1" applyAlignment="1">
      <alignment horizontal="center"/>
    </xf>
    <xf numFmtId="0" fontId="2" fillId="2" borderId="0" xfId="0" applyFont="1" applyFill="1" applyAlignment="1">
      <alignment horizontal="justify" vertical="center" wrapText="1"/>
    </xf>
    <xf numFmtId="0" fontId="2" fillId="2" borderId="0" xfId="0" applyFont="1" applyFill="1" applyAlignment="1">
      <alignment horizontal="center"/>
    </xf>
    <xf numFmtId="170" fontId="2" fillId="2" borderId="0" xfId="0" applyNumberFormat="1" applyFont="1" applyFill="1" applyAlignment="1">
      <alignment horizontal="center" vertical="center"/>
    </xf>
    <xf numFmtId="166" fontId="3" fillId="0" borderId="0" xfId="0" applyNumberFormat="1" applyFont="1" applyAlignment="1">
      <alignment vertical="center"/>
    </xf>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172" fontId="2" fillId="0" borderId="0" xfId="0" applyNumberFormat="1" applyFont="1" applyAlignment="1">
      <alignment horizontal="center" vertical="center"/>
    </xf>
    <xf numFmtId="172" fontId="2" fillId="0" borderId="0" xfId="0" applyNumberFormat="1" applyFont="1" applyAlignment="1">
      <alignment horizontal="center"/>
    </xf>
    <xf numFmtId="0" fontId="2" fillId="0" borderId="0" xfId="0" applyFont="1" applyAlignment="1">
      <alignment horizontal="justify" vertical="center"/>
    </xf>
    <xf numFmtId="170" fontId="2" fillId="0" borderId="0" xfId="0" applyNumberFormat="1" applyFont="1" applyAlignment="1">
      <alignment horizontal="center" vertical="center"/>
    </xf>
    <xf numFmtId="171" fontId="2" fillId="0" borderId="0" xfId="0" applyNumberFormat="1" applyFont="1" applyAlignment="1">
      <alignment vertical="center"/>
    </xf>
    <xf numFmtId="171" fontId="2" fillId="0" borderId="0" xfId="0" applyNumberFormat="1" applyFont="1" applyAlignment="1">
      <alignment horizontal="center" vertical="center"/>
    </xf>
    <xf numFmtId="1" fontId="2" fillId="0" borderId="0" xfId="0" applyNumberFormat="1" applyFont="1" applyAlignment="1">
      <alignment horizontal="center" vertical="center"/>
    </xf>
    <xf numFmtId="0" fontId="13" fillId="0" borderId="0" xfId="0" applyFont="1"/>
    <xf numFmtId="166" fontId="0" fillId="0" borderId="0" xfId="0" applyNumberFormat="1"/>
    <xf numFmtId="0" fontId="2" fillId="2" borderId="0" xfId="0" applyFont="1" applyFill="1" applyAlignment="1">
      <alignment horizontal="justify" vertical="center"/>
    </xf>
    <xf numFmtId="0" fontId="13" fillId="0" borderId="6" xfId="0" applyFont="1" applyBorder="1"/>
    <xf numFmtId="0" fontId="2" fillId="2" borderId="6" xfId="0" applyFont="1" applyFill="1" applyBorder="1" applyAlignment="1">
      <alignment horizontal="justify" vertical="center"/>
    </xf>
    <xf numFmtId="0" fontId="2" fillId="0" borderId="6" xfId="0" applyFont="1" applyBorder="1"/>
    <xf numFmtId="0" fontId="2" fillId="0" borderId="6" xfId="0" applyFont="1" applyBorder="1" applyAlignment="1">
      <alignment horizontal="center"/>
    </xf>
    <xf numFmtId="171" fontId="2" fillId="2" borderId="0" xfId="0" applyNumberFormat="1" applyFont="1" applyFill="1" applyAlignment="1">
      <alignment vertical="center"/>
    </xf>
    <xf numFmtId="171" fontId="2" fillId="2" borderId="0" xfId="0" applyNumberFormat="1" applyFont="1" applyFill="1" applyAlignment="1">
      <alignment horizontal="center" vertical="center"/>
    </xf>
    <xf numFmtId="0" fontId="11" fillId="2" borderId="0" xfId="0" applyFont="1" applyFill="1" applyAlignment="1">
      <alignment horizontal="justify" vertical="center" wrapText="1"/>
    </xf>
    <xf numFmtId="0" fontId="0" fillId="0" borderId="0" xfId="0" applyAlignment="1">
      <alignment horizontal="justify" vertical="center" wrapText="1"/>
    </xf>
    <xf numFmtId="174" fontId="11" fillId="2" borderId="0" xfId="0" applyNumberFormat="1" applyFont="1" applyFill="1" applyAlignment="1">
      <alignment horizontal="center" vertical="center"/>
    </xf>
    <xf numFmtId="172" fontId="11" fillId="0" borderId="0" xfId="0" applyNumberFormat="1" applyFont="1" applyAlignment="1">
      <alignment horizontal="center" vertical="center"/>
    </xf>
    <xf numFmtId="0" fontId="11" fillId="0" borderId="0" xfId="0" applyFont="1" applyAlignment="1">
      <alignment horizontal="center"/>
    </xf>
    <xf numFmtId="174" fontId="0" fillId="0" borderId="0" xfId="0" applyNumberFormat="1"/>
    <xf numFmtId="0" fontId="13" fillId="0" borderId="6" xfId="0" applyFont="1" applyBorder="1" applyAlignment="1">
      <alignment horizontal="center" vertical="center"/>
    </xf>
    <xf numFmtId="0" fontId="13" fillId="6" borderId="10" xfId="0" applyFont="1" applyFill="1" applyBorder="1" applyAlignment="1">
      <alignment vertical="center" textRotation="90" wrapText="1"/>
    </xf>
    <xf numFmtId="0" fontId="13" fillId="6" borderId="12" xfId="0" applyFont="1" applyFill="1" applyBorder="1" applyAlignment="1">
      <alignment vertical="center" textRotation="90" wrapText="1"/>
    </xf>
    <xf numFmtId="0" fontId="13" fillId="6" borderId="13" xfId="0" applyFont="1" applyFill="1" applyBorder="1" applyAlignment="1">
      <alignment horizontal="center" vertical="center" wrapText="1"/>
    </xf>
    <xf numFmtId="0" fontId="13" fillId="6" borderId="1" xfId="0" applyFont="1" applyFill="1" applyBorder="1" applyAlignment="1">
      <alignment horizontal="center" vertical="center" wrapText="1"/>
    </xf>
    <xf numFmtId="172" fontId="13" fillId="6" borderId="1" xfId="0" applyNumberFormat="1" applyFont="1" applyFill="1" applyBorder="1" applyAlignment="1">
      <alignment horizontal="center" vertical="center" wrapText="1"/>
    </xf>
    <xf numFmtId="3" fontId="13" fillId="6" borderId="1" xfId="0" applyNumberFormat="1" applyFont="1" applyFill="1" applyBorder="1" applyAlignment="1">
      <alignment horizontal="center" vertical="center" wrapText="1"/>
    </xf>
    <xf numFmtId="166" fontId="4" fillId="2" borderId="7" xfId="0" applyNumberFormat="1" applyFont="1" applyFill="1" applyBorder="1" applyAlignment="1">
      <alignment vertical="center"/>
    </xf>
    <xf numFmtId="166" fontId="4" fillId="0" borderId="7" xfId="0" applyNumberFormat="1" applyFont="1" applyBorder="1" applyAlignment="1">
      <alignment vertical="center"/>
    </xf>
    <xf numFmtId="166" fontId="4" fillId="0" borderId="26" xfId="0" applyNumberFormat="1" applyFont="1" applyBorder="1" applyAlignment="1">
      <alignment horizontal="center" vertical="center"/>
    </xf>
    <xf numFmtId="166" fontId="4" fillId="0" borderId="23" xfId="0" applyNumberFormat="1" applyFont="1" applyBorder="1" applyAlignment="1">
      <alignment horizontal="center" vertical="center"/>
    </xf>
    <xf numFmtId="166" fontId="4" fillId="0" borderId="25" xfId="0" applyNumberFormat="1" applyFont="1" applyBorder="1" applyAlignment="1">
      <alignment vertical="center"/>
    </xf>
    <xf numFmtId="166" fontId="4" fillId="0" borderId="17" xfId="0" applyNumberFormat="1" applyFont="1" applyBorder="1" applyAlignment="1">
      <alignment horizontal="center" vertical="center"/>
    </xf>
    <xf numFmtId="1" fontId="2" fillId="0" borderId="25" xfId="0" applyNumberFormat="1" applyFont="1" applyBorder="1" applyAlignment="1">
      <alignment horizontal="center" vertical="center" wrapText="1"/>
    </xf>
    <xf numFmtId="166" fontId="4" fillId="0" borderId="19" xfId="0" applyNumberFormat="1" applyFont="1" applyBorder="1" applyAlignment="1">
      <alignment horizontal="center" vertical="center"/>
    </xf>
    <xf numFmtId="1" fontId="2" fillId="0" borderId="32" xfId="0" applyNumberFormat="1" applyFont="1" applyBorder="1" applyAlignment="1">
      <alignment horizontal="center" vertical="center" wrapText="1"/>
    </xf>
    <xf numFmtId="166" fontId="4" fillId="0" borderId="10" xfId="0" applyNumberFormat="1" applyFont="1" applyBorder="1" applyAlignment="1">
      <alignment vertical="center"/>
    </xf>
    <xf numFmtId="1" fontId="2" fillId="0" borderId="21" xfId="0" applyNumberFormat="1" applyFont="1" applyBorder="1" applyAlignment="1">
      <alignment horizontal="center" vertical="center" wrapText="1"/>
    </xf>
    <xf numFmtId="166" fontId="4" fillId="0" borderId="26" xfId="0" applyNumberFormat="1" applyFont="1" applyBorder="1" applyAlignment="1">
      <alignment vertical="center"/>
    </xf>
    <xf numFmtId="166" fontId="4" fillId="0" borderId="24" xfId="0" applyNumberFormat="1" applyFont="1" applyBorder="1" applyAlignment="1">
      <alignment vertical="center"/>
    </xf>
    <xf numFmtId="9" fontId="13" fillId="8" borderId="6" xfId="2" applyFont="1" applyFill="1" applyBorder="1" applyAlignment="1">
      <alignment horizontal="center" vertical="center"/>
    </xf>
    <xf numFmtId="0" fontId="13" fillId="8" borderId="6" xfId="0" applyFont="1" applyFill="1" applyBorder="1" applyAlignment="1">
      <alignment horizontal="justify" vertical="center" wrapText="1"/>
    </xf>
    <xf numFmtId="0" fontId="3" fillId="8" borderId="1" xfId="0" applyFont="1" applyFill="1" applyBorder="1" applyAlignment="1">
      <alignment horizontal="left" vertical="center"/>
    </xf>
    <xf numFmtId="177" fontId="2" fillId="2" borderId="0" xfId="0" applyNumberFormat="1" applyFont="1" applyFill="1" applyAlignment="1">
      <alignment horizontal="center" vertical="center"/>
    </xf>
    <xf numFmtId="0" fontId="6" fillId="2" borderId="0" xfId="0" applyFont="1" applyFill="1" applyAlignment="1">
      <alignment horizontal="left" vertical="center" wrapText="1"/>
    </xf>
    <xf numFmtId="2" fontId="2" fillId="2" borderId="0" xfId="0" applyNumberFormat="1" applyFont="1" applyFill="1" applyAlignment="1">
      <alignment horizontal="center" vertical="center"/>
    </xf>
    <xf numFmtId="44" fontId="3" fillId="0" borderId="0" xfId="13" applyFont="1" applyFill="1" applyBorder="1" applyAlignment="1">
      <alignment vertical="center"/>
    </xf>
    <xf numFmtId="0" fontId="6" fillId="0" borderId="0" xfId="0" applyFont="1" applyAlignment="1">
      <alignment horizontal="left" vertical="center" wrapText="1"/>
    </xf>
    <xf numFmtId="43" fontId="3" fillId="0" borderId="0" xfId="0" applyNumberFormat="1" applyFont="1" applyAlignment="1">
      <alignment vertical="center"/>
    </xf>
    <xf numFmtId="0" fontId="2" fillId="0" borderId="9" xfId="0" applyFont="1" applyBorder="1" applyAlignment="1">
      <alignment horizontal="center" vertical="center"/>
    </xf>
    <xf numFmtId="1" fontId="2" fillId="0" borderId="4" xfId="0" applyNumberFormat="1" applyFont="1" applyBorder="1" applyAlignment="1">
      <alignment horizontal="center" vertical="center"/>
    </xf>
    <xf numFmtId="0" fontId="6" fillId="0" borderId="4" xfId="0" applyFont="1" applyBorder="1" applyAlignment="1">
      <alignment horizontal="left" vertical="center" wrapText="1"/>
    </xf>
    <xf numFmtId="170" fontId="2" fillId="0" borderId="4" xfId="0" applyNumberFormat="1" applyFont="1" applyBorder="1" applyAlignment="1">
      <alignment horizontal="center" vertical="center"/>
    </xf>
    <xf numFmtId="0" fontId="2" fillId="0" borderId="4" xfId="0" applyFont="1" applyBorder="1"/>
    <xf numFmtId="0" fontId="2" fillId="0" borderId="4" xfId="0" applyFont="1" applyBorder="1" applyAlignment="1">
      <alignment horizontal="center" vertical="center"/>
    </xf>
    <xf numFmtId="0" fontId="2" fillId="0" borderId="15" xfId="0" applyFont="1" applyBorder="1"/>
    <xf numFmtId="0" fontId="2" fillId="0" borderId="8" xfId="0" applyFont="1" applyBorder="1"/>
    <xf numFmtId="1" fontId="2" fillId="2" borderId="25" xfId="0" applyNumberFormat="1" applyFont="1" applyFill="1" applyBorder="1" applyAlignment="1">
      <alignment horizontal="center" vertical="center" wrapText="1"/>
    </xf>
    <xf numFmtId="0" fontId="15" fillId="0" borderId="23" xfId="0" applyFont="1" applyBorder="1" applyAlignment="1">
      <alignment horizontal="justify" vertical="center" wrapText="1"/>
    </xf>
    <xf numFmtId="0" fontId="3" fillId="0" borderId="0" xfId="0" applyFont="1" applyAlignment="1">
      <alignment horizontal="left" vertical="center"/>
    </xf>
    <xf numFmtId="0" fontId="2" fillId="0" borderId="14" xfId="0" applyFont="1" applyBorder="1"/>
    <xf numFmtId="0" fontId="2" fillId="0" borderId="2" xfId="0" applyFont="1" applyBorder="1"/>
    <xf numFmtId="1" fontId="2" fillId="2" borderId="21" xfId="0" applyNumberFormat="1" applyFont="1" applyFill="1" applyBorder="1" applyAlignment="1">
      <alignment horizontal="center" vertical="center" wrapText="1"/>
    </xf>
    <xf numFmtId="0" fontId="15" fillId="0" borderId="17" xfId="0" applyFont="1" applyBorder="1" applyAlignment="1">
      <alignment horizontal="justify" vertical="center" wrapText="1"/>
    </xf>
    <xf numFmtId="0" fontId="15" fillId="0" borderId="19" xfId="0" applyFont="1" applyBorder="1" applyAlignment="1">
      <alignment horizontal="justify" vertical="center" wrapText="1"/>
    </xf>
    <xf numFmtId="0" fontId="18" fillId="10" borderId="8" xfId="0" applyFont="1" applyFill="1" applyBorder="1" applyAlignment="1">
      <alignment horizontal="justify" vertical="center" wrapText="1"/>
    </xf>
    <xf numFmtId="0" fontId="19" fillId="10" borderId="10" xfId="0" applyFont="1" applyFill="1" applyBorder="1" applyAlignment="1">
      <alignment horizontal="justify" vertical="center" wrapText="1"/>
    </xf>
    <xf numFmtId="9" fontId="2" fillId="2" borderId="13" xfId="2" applyFont="1" applyFill="1" applyBorder="1" applyAlignment="1">
      <alignment horizontal="center" vertical="center" wrapText="1"/>
    </xf>
    <xf numFmtId="0" fontId="2" fillId="2" borderId="19" xfId="0" applyFont="1" applyFill="1" applyBorder="1" applyAlignment="1">
      <alignment horizontal="center" vertical="center"/>
    </xf>
    <xf numFmtId="0" fontId="2" fillId="0" borderId="5" xfId="0" applyFont="1" applyBorder="1" applyAlignment="1">
      <alignment horizontal="justify" vertical="center" wrapText="1"/>
    </xf>
    <xf numFmtId="0" fontId="2" fillId="2" borderId="13" xfId="0" applyFont="1" applyFill="1" applyBorder="1" applyAlignment="1">
      <alignment horizontal="justify" vertical="center" wrapText="1"/>
    </xf>
    <xf numFmtId="1" fontId="2" fillId="2" borderId="30" xfId="0" applyNumberFormat="1" applyFont="1" applyFill="1" applyBorder="1" applyAlignment="1">
      <alignment horizontal="center" vertical="center" wrapText="1"/>
    </xf>
    <xf numFmtId="0" fontId="4" fillId="0" borderId="25" xfId="0" applyFont="1" applyBorder="1" applyAlignment="1">
      <alignment horizontal="justify" vertical="center" wrapText="1"/>
    </xf>
    <xf numFmtId="9" fontId="2" fillId="2" borderId="1" xfId="2" applyFont="1" applyFill="1" applyBorder="1" applyAlignment="1">
      <alignment horizontal="center" vertical="center" wrapText="1"/>
    </xf>
    <xf numFmtId="0" fontId="2" fillId="0" borderId="10" xfId="0" applyFont="1" applyBorder="1" applyAlignment="1">
      <alignment horizontal="justify" vertical="center" wrapText="1"/>
    </xf>
    <xf numFmtId="0" fontId="2" fillId="2" borderId="17" xfId="0" applyFont="1" applyFill="1" applyBorder="1" applyAlignment="1">
      <alignment horizontal="justify" vertical="center" wrapText="1"/>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0" xfId="0" applyNumberFormat="1" applyFont="1" applyFill="1" applyAlignment="1">
      <alignment horizontal="center" vertical="center" wrapText="1"/>
    </xf>
    <xf numFmtId="0" fontId="4" fillId="0" borderId="20" xfId="0" applyFont="1" applyBorder="1" applyAlignment="1">
      <alignment horizontal="justify" vertical="center" wrapText="1"/>
    </xf>
    <xf numFmtId="0" fontId="2" fillId="2" borderId="40" xfId="0" applyFont="1" applyFill="1" applyBorder="1" applyAlignment="1">
      <alignment horizontal="justify" vertical="center" wrapText="1"/>
    </xf>
    <xf numFmtId="0" fontId="4" fillId="0" borderId="14" xfId="0" applyFont="1" applyBorder="1" applyAlignment="1">
      <alignment horizontal="justify" vertical="center" wrapText="1"/>
    </xf>
    <xf numFmtId="0" fontId="4" fillId="0" borderId="14" xfId="0" applyFont="1" applyBorder="1" applyAlignment="1">
      <alignment horizontal="center" vertical="center" wrapText="1"/>
    </xf>
    <xf numFmtId="9" fontId="2" fillId="2" borderId="4" xfId="2"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2" xfId="0" applyFont="1" applyBorder="1" applyAlignment="1">
      <alignment horizontal="justify" vertical="center" wrapText="1"/>
    </xf>
    <xf numFmtId="1" fontId="2" fillId="2" borderId="3" xfId="0" applyNumberFormat="1" applyFont="1" applyFill="1" applyBorder="1" applyAlignment="1">
      <alignment horizontal="center" vertical="center" wrapText="1"/>
    </xf>
    <xf numFmtId="0" fontId="15" fillId="0" borderId="41" xfId="0" applyFont="1" applyBorder="1" applyAlignment="1">
      <alignment horizontal="justify" vertical="center" wrapText="1"/>
    </xf>
    <xf numFmtId="0" fontId="15" fillId="2" borderId="10" xfId="0" applyFont="1" applyFill="1" applyBorder="1" applyAlignment="1">
      <alignment horizontal="justify" vertical="center" wrapText="1"/>
    </xf>
    <xf numFmtId="0" fontId="15" fillId="0" borderId="1" xfId="0" applyFont="1" applyBorder="1" applyAlignment="1">
      <alignment horizontal="justify" vertical="center" wrapText="1"/>
    </xf>
    <xf numFmtId="0" fontId="15" fillId="0" borderId="13" xfId="0" applyFont="1" applyBorder="1" applyAlignment="1">
      <alignment horizontal="justify"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1" fontId="13" fillId="8" borderId="4" xfId="0" applyNumberFormat="1" applyFont="1" applyFill="1" applyBorder="1" applyAlignment="1">
      <alignment vertical="center" textRotation="180" wrapText="1"/>
    </xf>
    <xf numFmtId="1" fontId="13" fillId="8" borderId="4" xfId="0" applyNumberFormat="1" applyFont="1" applyFill="1" applyBorder="1" applyAlignment="1">
      <alignment horizontal="center" vertical="center" textRotation="180" wrapText="1"/>
    </xf>
    <xf numFmtId="1" fontId="13" fillId="8" borderId="4" xfId="0" applyNumberFormat="1" applyFont="1" applyFill="1" applyBorder="1" applyAlignment="1">
      <alignment horizontal="justify" vertical="center" textRotation="180" wrapText="1"/>
    </xf>
    <xf numFmtId="0" fontId="2" fillId="8" borderId="4" xfId="0" applyFont="1" applyFill="1" applyBorder="1" applyAlignment="1">
      <alignment horizontal="justify" vertical="center" wrapText="1"/>
    </xf>
    <xf numFmtId="1" fontId="2" fillId="8" borderId="4" xfId="0" applyNumberFormat="1" applyFont="1" applyFill="1" applyBorder="1" applyAlignment="1">
      <alignment horizontal="center" vertical="center" wrapText="1"/>
    </xf>
    <xf numFmtId="0" fontId="6" fillId="8" borderId="4" xfId="0" applyFont="1" applyFill="1" applyBorder="1" applyAlignment="1">
      <alignment horizontal="left" vertical="center" wrapText="1"/>
    </xf>
    <xf numFmtId="170" fontId="2" fillId="8" borderId="4"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0" fontId="2" fillId="8" borderId="4" xfId="0" applyFont="1" applyFill="1" applyBorder="1" applyAlignment="1">
      <alignment vertical="center" wrapText="1"/>
    </xf>
    <xf numFmtId="0" fontId="4"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1" fontId="2" fillId="0" borderId="17" xfId="0" applyNumberFormat="1" applyFont="1" applyBorder="1" applyAlignment="1">
      <alignment horizontal="center" vertical="center"/>
    </xf>
    <xf numFmtId="0" fontId="2" fillId="2" borderId="15" xfId="0" applyFont="1" applyFill="1" applyBorder="1" applyAlignment="1">
      <alignment horizontal="center" vertical="center" wrapText="1"/>
    </xf>
    <xf numFmtId="0" fontId="13" fillId="0" borderId="3" xfId="0" applyFont="1" applyBorder="1" applyAlignment="1">
      <alignment vertical="center"/>
    </xf>
    <xf numFmtId="0" fontId="3" fillId="0" borderId="0" xfId="0" applyFont="1" applyAlignment="1">
      <alignment vertical="center"/>
    </xf>
    <xf numFmtId="0" fontId="3" fillId="0" borderId="14" xfId="0" applyFont="1" applyBorder="1" applyAlignment="1">
      <alignment horizontal="left"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vertical="center"/>
    </xf>
    <xf numFmtId="0" fontId="3" fillId="0" borderId="13" xfId="0" applyFont="1" applyBorder="1" applyAlignment="1">
      <alignment horizontal="left" vertical="center"/>
    </xf>
    <xf numFmtId="177" fontId="13" fillId="8" borderId="0" xfId="0" applyNumberFormat="1" applyFont="1" applyFill="1" applyAlignment="1">
      <alignment horizontal="center" vertical="center"/>
    </xf>
    <xf numFmtId="0" fontId="20" fillId="8" borderId="0" xfId="0" applyFont="1" applyFill="1" applyAlignment="1">
      <alignment horizontal="left" vertical="center" wrapText="1"/>
    </xf>
    <xf numFmtId="0" fontId="13" fillId="8" borderId="0" xfId="0" applyFont="1" applyFill="1" applyAlignment="1">
      <alignment horizontal="justify" vertical="center"/>
    </xf>
    <xf numFmtId="0" fontId="13" fillId="8" borderId="0" xfId="0" applyFont="1" applyFill="1" applyAlignment="1">
      <alignment vertical="center"/>
    </xf>
    <xf numFmtId="0" fontId="13" fillId="8" borderId="9" xfId="0" applyFont="1" applyFill="1" applyBorder="1" applyAlignment="1">
      <alignment vertical="center"/>
    </xf>
    <xf numFmtId="0" fontId="3" fillId="8" borderId="1" xfId="0" applyFont="1" applyFill="1" applyBorder="1" applyAlignment="1">
      <alignment vertical="center"/>
    </xf>
    <xf numFmtId="0" fontId="13" fillId="2" borderId="5" xfId="0" applyFont="1" applyFill="1" applyBorder="1" applyAlignment="1">
      <alignment horizontal="center" vertical="center" wrapText="1"/>
    </xf>
    <xf numFmtId="172" fontId="13" fillId="3" borderId="1" xfId="0" applyNumberFormat="1" applyFont="1" applyFill="1" applyBorder="1" applyAlignment="1">
      <alignment horizontal="center" vertical="center"/>
    </xf>
    <xf numFmtId="0" fontId="13" fillId="3" borderId="1" xfId="0" applyFont="1" applyFill="1" applyBorder="1" applyAlignment="1">
      <alignment horizontal="justify" vertical="center" wrapText="1"/>
    </xf>
    <xf numFmtId="0" fontId="13" fillId="3" borderId="1" xfId="0" applyFont="1" applyFill="1" applyBorder="1" applyAlignment="1">
      <alignment horizontal="center" vertical="center"/>
    </xf>
    <xf numFmtId="1" fontId="13" fillId="3" borderId="1" xfId="0" applyNumberFormat="1" applyFont="1" applyFill="1" applyBorder="1" applyAlignment="1">
      <alignment horizontal="center" vertical="center"/>
    </xf>
    <xf numFmtId="177" fontId="13" fillId="3" borderId="1" xfId="0" applyNumberFormat="1" applyFont="1" applyFill="1" applyBorder="1" applyAlignment="1">
      <alignment horizontal="center" vertical="center"/>
    </xf>
    <xf numFmtId="0" fontId="20" fillId="3" borderId="1" xfId="0" applyFont="1" applyFill="1" applyBorder="1" applyAlignment="1">
      <alignment horizontal="left" vertical="center" wrapText="1"/>
    </xf>
    <xf numFmtId="0" fontId="13" fillId="3" borderId="1" xfId="0" applyFont="1" applyFill="1" applyBorder="1" applyAlignment="1">
      <alignment horizontal="justify" vertical="center"/>
    </xf>
    <xf numFmtId="171" fontId="13" fillId="3" borderId="1" xfId="0" applyNumberFormat="1" applyFont="1" applyFill="1" applyBorder="1" applyAlignment="1">
      <alignment vertical="center"/>
    </xf>
    <xf numFmtId="170" fontId="13" fillId="3" borderId="1" xfId="0" applyNumberFormat="1" applyFont="1" applyFill="1" applyBorder="1" applyAlignment="1">
      <alignment horizontal="center" vertical="center"/>
    </xf>
    <xf numFmtId="0" fontId="13" fillId="3" borderId="1" xfId="0" applyFont="1" applyFill="1" applyBorder="1" applyAlignment="1">
      <alignment vertical="center"/>
    </xf>
    <xf numFmtId="0" fontId="2" fillId="3" borderId="1" xfId="0" applyFont="1" applyFill="1" applyBorder="1"/>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3" fontId="13" fillId="6" borderId="3" xfId="0"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1" fontId="13" fillId="6" borderId="14" xfId="0" applyNumberFormat="1" applyFont="1" applyFill="1" applyBorder="1" applyAlignment="1">
      <alignment horizontal="center" vertical="center" wrapText="1"/>
    </xf>
    <xf numFmtId="177" fontId="13" fillId="6" borderId="14"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171" fontId="13" fillId="6" borderId="2" xfId="0" applyNumberFormat="1" applyFont="1" applyFill="1" applyBorder="1" applyAlignment="1">
      <alignment horizontal="center" vertical="center" wrapText="1"/>
    </xf>
    <xf numFmtId="170" fontId="13" fillId="6" borderId="2" xfId="0" applyNumberFormat="1" applyFont="1" applyFill="1" applyBorder="1" applyAlignment="1">
      <alignment horizontal="center" vertical="center" wrapText="1"/>
    </xf>
    <xf numFmtId="0" fontId="13" fillId="6" borderId="14" xfId="0" applyFont="1" applyFill="1" applyBorder="1" applyAlignment="1">
      <alignment horizontal="justify" vertical="center" wrapText="1"/>
    </xf>
    <xf numFmtId="0" fontId="13" fillId="6" borderId="14"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3" xfId="0" applyFont="1" applyFill="1" applyBorder="1" applyAlignment="1">
      <alignment horizontal="center" vertical="center" wrapText="1"/>
    </xf>
    <xf numFmtId="1" fontId="13" fillId="6" borderId="3" xfId="0" applyNumberFormat="1" applyFont="1" applyFill="1" applyBorder="1" applyAlignment="1">
      <alignment horizontal="center" vertical="center" wrapText="1"/>
    </xf>
    <xf numFmtId="1" fontId="13" fillId="6" borderId="13" xfId="0" applyNumberFormat="1" applyFont="1" applyFill="1" applyBorder="1" applyAlignment="1">
      <alignment horizontal="center" vertical="center" wrapText="1"/>
    </xf>
    <xf numFmtId="177" fontId="13" fillId="6" borderId="13" xfId="0" applyNumberFormat="1" applyFont="1" applyFill="1" applyBorder="1" applyAlignment="1">
      <alignment horizontal="center" vertical="center" wrapText="1"/>
    </xf>
    <xf numFmtId="0" fontId="13" fillId="6" borderId="6" xfId="0" applyFont="1" applyFill="1" applyBorder="1" applyAlignment="1">
      <alignment horizontal="center" vertical="center" wrapText="1"/>
    </xf>
    <xf numFmtId="177" fontId="13" fillId="0" borderId="9" xfId="0" applyNumberFormat="1" applyFont="1" applyBorder="1" applyAlignment="1">
      <alignment vertical="center"/>
    </xf>
    <xf numFmtId="0" fontId="20" fillId="0" borderId="9" xfId="0" applyFont="1" applyBorder="1" applyAlignment="1">
      <alignment horizontal="left" vertical="center" wrapText="1"/>
    </xf>
    <xf numFmtId="3" fontId="8" fillId="0" borderId="1" xfId="0" applyNumberFormat="1" applyFont="1" applyBorder="1" applyAlignment="1">
      <alignment horizontal="right" vertical="center" wrapText="1"/>
    </xf>
    <xf numFmtId="0" fontId="13" fillId="0" borderId="1" xfId="0" applyFont="1" applyBorder="1" applyAlignment="1">
      <alignment horizontal="center" vertical="center"/>
    </xf>
    <xf numFmtId="0" fontId="13" fillId="0" borderId="1" xfId="0" applyFont="1" applyBorder="1" applyAlignment="1">
      <alignment horizontal="right" vertical="center" wrapText="1"/>
    </xf>
    <xf numFmtId="0" fontId="13" fillId="0" borderId="1" xfId="0" applyFont="1" applyBorder="1" applyAlignment="1">
      <alignment horizontal="right" vertical="center"/>
    </xf>
    <xf numFmtId="0" fontId="16" fillId="0" borderId="52" xfId="0" applyFont="1" applyBorder="1" applyAlignment="1">
      <alignment horizontal="center" vertical="center" wrapText="1"/>
    </xf>
    <xf numFmtId="0" fontId="22" fillId="0" borderId="0" xfId="0" applyFont="1"/>
    <xf numFmtId="0" fontId="16" fillId="0" borderId="53" xfId="0" applyFont="1" applyBorder="1" applyAlignment="1">
      <alignment horizontal="center" vertical="center"/>
    </xf>
    <xf numFmtId="0" fontId="16" fillId="0" borderId="54" xfId="0" applyFont="1" applyBorder="1" applyAlignment="1">
      <alignment horizontal="left" vertical="center"/>
    </xf>
    <xf numFmtId="0" fontId="6" fillId="2" borderId="0" xfId="0" applyFont="1" applyFill="1"/>
    <xf numFmtId="0" fontId="16" fillId="0" borderId="0" xfId="0" applyFont="1" applyAlignment="1">
      <alignment horizontal="center" vertical="center" wrapText="1"/>
    </xf>
    <xf numFmtId="0" fontId="16" fillId="0" borderId="1" xfId="0" applyFont="1" applyBorder="1" applyAlignment="1">
      <alignment horizontal="center" vertical="center"/>
    </xf>
    <xf numFmtId="169" fontId="16" fillId="0" borderId="56" xfId="0" applyNumberFormat="1" applyFont="1" applyBorder="1" applyAlignment="1">
      <alignment horizontal="left" vertical="center"/>
    </xf>
    <xf numFmtId="17" fontId="16" fillId="0" borderId="56" xfId="0" applyNumberFormat="1" applyFont="1" applyBorder="1" applyAlignment="1">
      <alignment horizontal="left" vertical="center"/>
    </xf>
    <xf numFmtId="0" fontId="16" fillId="0" borderId="9" xfId="0" applyFont="1" applyBorder="1" applyAlignment="1">
      <alignment horizontal="center" vertical="center" wrapText="1"/>
    </xf>
    <xf numFmtId="0" fontId="15" fillId="0" borderId="0" xfId="0" applyFont="1" applyAlignment="1">
      <alignment wrapText="1"/>
    </xf>
    <xf numFmtId="3" fontId="16" fillId="5" borderId="56" xfId="0" applyNumberFormat="1" applyFont="1" applyFill="1" applyBorder="1" applyAlignment="1">
      <alignment horizontal="left" vertical="center" wrapText="1"/>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6" fillId="0" borderId="8" xfId="0" applyFont="1" applyBorder="1" applyAlignment="1">
      <alignment horizontal="justify" vertical="center"/>
    </xf>
    <xf numFmtId="0" fontId="16" fillId="0" borderId="9" xfId="0" applyFont="1" applyBorder="1" applyAlignment="1">
      <alignment horizontal="justify" vertical="center"/>
    </xf>
    <xf numFmtId="0" fontId="16" fillId="0" borderId="9" xfId="0" applyFont="1" applyBorder="1" applyAlignment="1">
      <alignment horizontal="center" vertical="center"/>
    </xf>
    <xf numFmtId="166" fontId="15" fillId="0" borderId="9" xfId="1" applyFont="1" applyBorder="1" applyAlignment="1">
      <alignment horizontal="center" vertical="center"/>
    </xf>
    <xf numFmtId="175" fontId="16" fillId="0" borderId="9" xfId="1" applyNumberFormat="1" applyFont="1" applyBorder="1" applyAlignment="1">
      <alignment horizontal="center" vertical="center"/>
    </xf>
    <xf numFmtId="14" fontId="16" fillId="0" borderId="9" xfId="0" applyNumberFormat="1" applyFont="1" applyBorder="1" applyAlignment="1">
      <alignment horizontal="center" vertical="center"/>
    </xf>
    <xf numFmtId="0" fontId="15" fillId="0" borderId="59" xfId="0" applyFont="1" applyBorder="1" applyAlignment="1">
      <alignment horizontal="center" vertical="center"/>
    </xf>
    <xf numFmtId="0" fontId="20" fillId="6" borderId="1" xfId="0" applyFont="1" applyFill="1" applyBorder="1" applyAlignment="1">
      <alignment horizontal="center" vertical="center" wrapText="1"/>
    </xf>
    <xf numFmtId="171" fontId="20" fillId="6" borderId="1" xfId="0" applyNumberFormat="1"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0" fontId="20" fillId="6" borderId="1" xfId="0" applyFont="1" applyFill="1" applyBorder="1" applyAlignment="1">
      <alignment horizontal="justify" vertical="center" wrapText="1"/>
    </xf>
    <xf numFmtId="0" fontId="6" fillId="6" borderId="1" xfId="0" applyFont="1" applyFill="1" applyBorder="1" applyAlignment="1">
      <alignment horizontal="center" vertical="center" wrapText="1"/>
    </xf>
    <xf numFmtId="170" fontId="20" fillId="6" borderId="1" xfId="0" applyNumberFormat="1" applyFont="1" applyFill="1" applyBorder="1" applyAlignment="1">
      <alignment horizontal="center" vertical="center" wrapText="1"/>
    </xf>
    <xf numFmtId="171" fontId="20" fillId="6" borderId="1" xfId="0" applyNumberFormat="1" applyFont="1" applyFill="1" applyBorder="1" applyAlignment="1">
      <alignment vertical="center" wrapText="1"/>
    </xf>
    <xf numFmtId="1" fontId="20" fillId="6" borderId="4" xfId="0" applyNumberFormat="1" applyFont="1" applyFill="1" applyBorder="1" applyAlignment="1">
      <alignment horizontal="center" vertical="center" wrapText="1"/>
    </xf>
    <xf numFmtId="0" fontId="20" fillId="6" borderId="14" xfId="0" applyFont="1" applyFill="1" applyBorder="1" applyAlignment="1">
      <alignment horizontal="justify" vertical="center" wrapText="1"/>
    </xf>
    <xf numFmtId="0" fontId="20" fillId="6" borderId="13" xfId="0" applyFont="1" applyFill="1" applyBorder="1" applyAlignment="1">
      <alignment horizontal="center" vertical="center" wrapText="1"/>
    </xf>
    <xf numFmtId="3" fontId="20" fillId="6" borderId="1" xfId="0" applyNumberFormat="1"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3" borderId="13" xfId="0" applyFont="1" applyFill="1" applyBorder="1" applyAlignment="1">
      <alignment horizontal="left" vertical="center"/>
    </xf>
    <xf numFmtId="0" fontId="2" fillId="3" borderId="1" xfId="0" applyFont="1" applyFill="1" applyBorder="1" applyAlignment="1">
      <alignment horizontal="center" vertical="center"/>
    </xf>
    <xf numFmtId="171" fontId="13" fillId="3" borderId="1" xfId="0" applyNumberFormat="1" applyFont="1" applyFill="1" applyBorder="1" applyAlignment="1">
      <alignment horizontal="center" vertical="center"/>
    </xf>
    <xf numFmtId="0" fontId="23" fillId="0" borderId="0" xfId="0" applyFont="1"/>
    <xf numFmtId="0" fontId="13" fillId="8" borderId="1" xfId="0" applyFont="1" applyFill="1" applyBorder="1" applyAlignment="1">
      <alignment horizontal="justify" vertical="center" wrapText="1"/>
    </xf>
    <xf numFmtId="170" fontId="13" fillId="8" borderId="1" xfId="0" applyNumberFormat="1" applyFont="1" applyFill="1" applyBorder="1" applyAlignment="1">
      <alignment horizontal="center" vertical="center"/>
    </xf>
    <xf numFmtId="171" fontId="13" fillId="8" borderId="1" xfId="0" applyNumberFormat="1" applyFont="1" applyFill="1" applyBorder="1" applyAlignment="1">
      <alignment vertical="center"/>
    </xf>
    <xf numFmtId="171" fontId="13" fillId="8" borderId="13" xfId="0" applyNumberFormat="1" applyFont="1" applyFill="1" applyBorder="1" applyAlignment="1">
      <alignment horizontal="center" vertical="center"/>
    </xf>
    <xf numFmtId="1" fontId="13" fillId="8" borderId="13" xfId="0" applyNumberFormat="1" applyFont="1" applyFill="1" applyBorder="1" applyAlignment="1">
      <alignment horizontal="center" vertical="center"/>
    </xf>
    <xf numFmtId="0" fontId="13" fillId="8" borderId="13" xfId="0" applyFont="1" applyFill="1" applyBorder="1" applyAlignment="1">
      <alignment horizontal="justify" vertical="center"/>
    </xf>
    <xf numFmtId="0" fontId="13" fillId="8" borderId="13" xfId="0" applyFont="1" applyFill="1" applyBorder="1" applyAlignment="1">
      <alignment horizontal="center" vertical="center"/>
    </xf>
    <xf numFmtId="172" fontId="13" fillId="8" borderId="13" xfId="0" applyNumberFormat="1" applyFont="1" applyFill="1" applyBorder="1" applyAlignment="1">
      <alignment horizontal="center" vertical="center"/>
    </xf>
    <xf numFmtId="1" fontId="13" fillId="0" borderId="0" xfId="0" applyNumberFormat="1" applyFont="1" applyAlignment="1">
      <alignment horizontal="center" vertical="center" wrapText="1"/>
    </xf>
    <xf numFmtId="0" fontId="2" fillId="2" borderId="23" xfId="0" applyFont="1" applyFill="1" applyBorder="1" applyAlignment="1">
      <alignment horizontal="justify" vertical="center" wrapText="1"/>
    </xf>
    <xf numFmtId="1" fontId="2" fillId="2" borderId="17" xfId="0" applyNumberFormat="1" applyFont="1" applyFill="1" applyBorder="1" applyAlignment="1">
      <alignment horizontal="center" vertical="center"/>
    </xf>
    <xf numFmtId="1" fontId="2" fillId="2" borderId="2" xfId="0" applyNumberFormat="1" applyFont="1" applyFill="1" applyBorder="1" applyAlignment="1">
      <alignment vertical="center" wrapText="1"/>
    </xf>
    <xf numFmtId="1" fontId="2" fillId="2" borderId="0" xfId="0" applyNumberFormat="1" applyFont="1" applyFill="1" applyAlignment="1">
      <alignment vertical="center" wrapText="1"/>
    </xf>
    <xf numFmtId="0" fontId="4" fillId="2" borderId="17" xfId="0" applyFont="1" applyFill="1" applyBorder="1" applyAlignment="1">
      <alignment horizontal="justify" vertical="center" wrapText="1"/>
    </xf>
    <xf numFmtId="1" fontId="2" fillId="2" borderId="17" xfId="0" applyNumberFormat="1" applyFont="1" applyFill="1" applyBorder="1" applyAlignment="1">
      <alignment horizontal="center" vertical="center" wrapText="1"/>
    </xf>
    <xf numFmtId="0" fontId="4" fillId="2" borderId="30" xfId="4" applyNumberFormat="1" applyFont="1" applyFill="1" applyBorder="1">
      <alignment horizontal="center" vertical="center" wrapText="1"/>
    </xf>
    <xf numFmtId="0" fontId="4" fillId="2" borderId="23" xfId="4" applyNumberFormat="1" applyFont="1" applyFill="1" applyBorder="1">
      <alignment horizontal="center" vertical="center" wrapText="1"/>
    </xf>
    <xf numFmtId="0" fontId="4" fillId="2" borderId="23" xfId="0" applyFont="1" applyFill="1" applyBorder="1" applyAlignment="1">
      <alignment horizontal="justify" vertical="center" wrapText="1"/>
    </xf>
    <xf numFmtId="0" fontId="4" fillId="0" borderId="30" xfId="0" applyFont="1" applyBorder="1" applyAlignment="1">
      <alignment horizontal="justify"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9" fontId="2" fillId="2" borderId="17" xfId="2" applyFont="1" applyFill="1" applyBorder="1" applyAlignment="1">
      <alignment horizontal="center" vertical="center" wrapText="1"/>
    </xf>
    <xf numFmtId="1" fontId="2" fillId="2" borderId="3" xfId="0" applyNumberFormat="1" applyFont="1" applyFill="1" applyBorder="1" applyAlignment="1">
      <alignment vertical="center" wrapText="1"/>
    </xf>
    <xf numFmtId="0" fontId="2" fillId="2" borderId="19" xfId="0" applyFont="1" applyFill="1" applyBorder="1" applyAlignment="1">
      <alignment horizontal="justify" vertical="center" wrapText="1"/>
    </xf>
    <xf numFmtId="0" fontId="4" fillId="2" borderId="19" xfId="0" applyFont="1" applyFill="1" applyBorder="1" applyAlignment="1">
      <alignment horizontal="justify" vertical="center" wrapText="1"/>
    </xf>
    <xf numFmtId="1" fontId="2" fillId="2" borderId="19" xfId="0" applyNumberFormat="1" applyFont="1" applyFill="1" applyBorder="1" applyAlignment="1">
      <alignment horizontal="center" vertical="center"/>
    </xf>
    <xf numFmtId="0" fontId="4" fillId="2" borderId="9" xfId="4" applyNumberFormat="1" applyFont="1" applyFill="1" applyBorder="1">
      <alignment horizontal="center" vertical="center" wrapText="1"/>
    </xf>
    <xf numFmtId="0" fontId="4" fillId="0" borderId="25" xfId="4" applyNumberFormat="1" applyFont="1" applyFill="1" applyBorder="1">
      <alignment horizontal="center" vertical="center" wrapText="1"/>
    </xf>
    <xf numFmtId="0" fontId="4" fillId="2" borderId="1" xfId="0" applyFont="1" applyFill="1" applyBorder="1" applyAlignment="1">
      <alignment horizontal="justify" vertical="center" wrapText="1"/>
    </xf>
    <xf numFmtId="0" fontId="2" fillId="2" borderId="1" xfId="0" applyFont="1" applyFill="1" applyBorder="1" applyAlignment="1">
      <alignment horizontal="center" vertical="center"/>
    </xf>
    <xf numFmtId="9" fontId="2" fillId="2" borderId="1" xfId="2" applyFont="1" applyFill="1" applyBorder="1" applyAlignment="1">
      <alignment horizontal="center" vertical="center"/>
    </xf>
    <xf numFmtId="0" fontId="4" fillId="2" borderId="4" xfId="0" applyFont="1" applyFill="1" applyBorder="1" applyAlignment="1">
      <alignment horizontal="justify" vertical="center" wrapText="1"/>
    </xf>
    <xf numFmtId="0" fontId="4" fillId="2" borderId="11" xfId="4" applyNumberFormat="1" applyFont="1" applyFill="1" applyBorder="1">
      <alignment horizontal="center" vertical="center" wrapText="1"/>
    </xf>
    <xf numFmtId="4" fontId="2" fillId="2" borderId="10" xfId="0" applyNumberFormat="1" applyFont="1" applyFill="1" applyBorder="1" applyAlignment="1">
      <alignment horizontal="center" vertical="center"/>
    </xf>
    <xf numFmtId="0" fontId="4" fillId="2" borderId="12" xfId="4" applyNumberFormat="1" applyFont="1" applyFill="1" applyBorder="1">
      <alignment horizontal="center" vertical="center" wrapText="1"/>
    </xf>
    <xf numFmtId="0" fontId="4" fillId="0" borderId="9" xfId="4" applyNumberFormat="1" applyFont="1" applyFill="1" applyBorder="1">
      <alignment horizontal="center" vertical="center" wrapText="1"/>
    </xf>
    <xf numFmtId="0" fontId="4" fillId="0" borderId="11" xfId="4" applyNumberFormat="1" applyFont="1" applyFill="1" applyBorder="1">
      <alignment horizontal="center" vertical="center" wrapText="1"/>
    </xf>
    <xf numFmtId="4" fontId="2" fillId="2" borderId="1" xfId="0" applyNumberFormat="1" applyFont="1" applyFill="1" applyBorder="1" applyAlignment="1">
      <alignment horizontal="center" vertical="center"/>
    </xf>
    <xf numFmtId="1" fontId="2" fillId="2" borderId="8" xfId="0" applyNumberFormat="1" applyFont="1" applyFill="1" applyBorder="1" applyAlignment="1">
      <alignment vertical="center" wrapText="1"/>
    </xf>
    <xf numFmtId="1" fontId="2" fillId="2" borderId="9" xfId="0" applyNumberFormat="1" applyFont="1" applyFill="1" applyBorder="1" applyAlignment="1">
      <alignment vertical="center" wrapText="1"/>
    </xf>
    <xf numFmtId="1" fontId="2" fillId="2" borderId="15" xfId="0" applyNumberFormat="1" applyFont="1" applyFill="1" applyBorder="1" applyAlignment="1">
      <alignment vertical="center" wrapText="1"/>
    </xf>
    <xf numFmtId="0" fontId="13" fillId="8" borderId="3" xfId="0" applyFont="1" applyFill="1" applyBorder="1" applyAlignment="1">
      <alignment horizontal="left" vertical="center"/>
    </xf>
    <xf numFmtId="0" fontId="3" fillId="8" borderId="14" xfId="0" applyFont="1" applyFill="1" applyBorder="1" applyAlignment="1">
      <alignment horizontal="left" vertical="center"/>
    </xf>
    <xf numFmtId="0" fontId="2" fillId="8" borderId="14" xfId="0" applyFont="1" applyFill="1" applyBorder="1"/>
    <xf numFmtId="0" fontId="2" fillId="8" borderId="1" xfId="0" applyFont="1" applyFill="1" applyBorder="1" applyAlignment="1">
      <alignment horizontal="center" vertical="center"/>
    </xf>
    <xf numFmtId="0" fontId="2" fillId="8" borderId="1" xfId="0" applyFont="1" applyFill="1" applyBorder="1" applyAlignment="1">
      <alignment horizontal="justify" vertical="center" wrapText="1"/>
    </xf>
    <xf numFmtId="9" fontId="2" fillId="8" borderId="1" xfId="2" applyFont="1" applyFill="1" applyBorder="1" applyAlignment="1">
      <alignment horizontal="center" vertical="center"/>
    </xf>
    <xf numFmtId="1" fontId="2" fillId="8" borderId="1" xfId="0" applyNumberFormat="1" applyFont="1" applyFill="1" applyBorder="1" applyAlignment="1">
      <alignment horizontal="center" vertical="center"/>
    </xf>
    <xf numFmtId="1" fontId="2" fillId="0" borderId="2" xfId="0" applyNumberFormat="1" applyFont="1" applyBorder="1" applyAlignment="1">
      <alignment vertical="center" wrapText="1"/>
    </xf>
    <xf numFmtId="1" fontId="2" fillId="0" borderId="0" xfId="0" applyNumberFormat="1" applyFont="1" applyAlignment="1">
      <alignment vertical="center" wrapText="1"/>
    </xf>
    <xf numFmtId="1" fontId="2" fillId="0" borderId="3" xfId="0" applyNumberFormat="1" applyFont="1" applyBorder="1" applyAlignment="1">
      <alignment vertical="center" wrapText="1"/>
    </xf>
    <xf numFmtId="1" fontId="2" fillId="0" borderId="11" xfId="0" applyNumberFormat="1" applyFont="1" applyBorder="1" applyAlignment="1">
      <alignment vertical="center" wrapText="1"/>
    </xf>
    <xf numFmtId="1" fontId="2" fillId="0" borderId="12" xfId="0" applyNumberFormat="1" applyFont="1" applyBorder="1" applyAlignment="1">
      <alignment vertical="center" wrapText="1"/>
    </xf>
    <xf numFmtId="0" fontId="4" fillId="0" borderId="12" xfId="4" applyNumberFormat="1" applyFont="1" applyFill="1" applyBorder="1">
      <alignment horizontal="center" vertical="center" wrapText="1"/>
    </xf>
    <xf numFmtId="0" fontId="2" fillId="2" borderId="1" xfId="0" applyFont="1" applyFill="1" applyBorder="1" applyAlignment="1">
      <alignment horizontal="justify" vertical="center" wrapText="1"/>
    </xf>
    <xf numFmtId="4" fontId="2" fillId="0" borderId="1" xfId="0" applyNumberFormat="1" applyFont="1" applyBorder="1" applyAlignment="1">
      <alignment horizontal="center" vertical="center"/>
    </xf>
    <xf numFmtId="1" fontId="2" fillId="0" borderId="19"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 fontId="2" fillId="8" borderId="13" xfId="0" applyNumberFormat="1" applyFont="1" applyFill="1" applyBorder="1" applyAlignment="1">
      <alignment horizontal="center" vertical="center"/>
    </xf>
    <xf numFmtId="0" fontId="2" fillId="8" borderId="13" xfId="0" applyFont="1" applyFill="1" applyBorder="1" applyAlignment="1">
      <alignment horizontal="justify" vertical="center" wrapText="1"/>
    </xf>
    <xf numFmtId="1" fontId="2" fillId="2" borderId="6" xfId="0" applyNumberFormat="1" applyFont="1" applyFill="1" applyBorder="1" applyAlignment="1">
      <alignment vertical="center" wrapText="1"/>
    </xf>
    <xf numFmtId="1" fontId="2" fillId="2" borderId="7" xfId="0" applyNumberFormat="1" applyFont="1" applyFill="1" applyBorder="1" applyAlignment="1">
      <alignment vertical="center" wrapText="1"/>
    </xf>
    <xf numFmtId="1" fontId="2" fillId="2" borderId="13" xfId="0" applyNumberFormat="1" applyFont="1" applyFill="1" applyBorder="1" applyAlignment="1">
      <alignment horizontal="center" vertical="center"/>
    </xf>
    <xf numFmtId="1" fontId="2" fillId="8" borderId="4" xfId="0" applyNumberFormat="1" applyFont="1" applyFill="1" applyBorder="1" applyAlignment="1">
      <alignment horizontal="center" vertical="center"/>
    </xf>
    <xf numFmtId="1" fontId="2" fillId="0" borderId="2" xfId="0" applyNumberFormat="1" applyFont="1" applyBorder="1" applyAlignment="1">
      <alignment horizontal="center"/>
    </xf>
    <xf numFmtId="1" fontId="2" fillId="0" borderId="0" xfId="0" applyNumberFormat="1" applyFont="1" applyAlignment="1">
      <alignment horizontal="center"/>
    </xf>
    <xf numFmtId="1" fontId="2" fillId="0" borderId="3" xfId="0" applyNumberFormat="1" applyFont="1" applyBorder="1" applyAlignment="1">
      <alignment horizontal="center"/>
    </xf>
    <xf numFmtId="1" fontId="2" fillId="2" borderId="1" xfId="0" applyNumberFormat="1" applyFont="1" applyFill="1" applyBorder="1" applyAlignment="1">
      <alignment horizontal="center" vertical="center"/>
    </xf>
    <xf numFmtId="0" fontId="2" fillId="8" borderId="10" xfId="0" applyFont="1" applyFill="1" applyBorder="1" applyAlignment="1">
      <alignment horizontal="center" vertical="center"/>
    </xf>
    <xf numFmtId="0" fontId="2" fillId="8" borderId="17" xfId="0" applyFont="1" applyFill="1" applyBorder="1" applyAlignment="1">
      <alignment horizontal="justify" vertical="center" wrapText="1"/>
    </xf>
    <xf numFmtId="0" fontId="2" fillId="8" borderId="17" xfId="0" applyFont="1" applyFill="1" applyBorder="1" applyAlignment="1">
      <alignment horizontal="center" vertical="center"/>
    </xf>
    <xf numFmtId="9" fontId="2" fillId="8" borderId="17" xfId="2" applyFont="1" applyFill="1" applyBorder="1" applyAlignment="1">
      <alignment horizontal="center" vertical="center"/>
    </xf>
    <xf numFmtId="166" fontId="2" fillId="8" borderId="17" xfId="0" applyNumberFormat="1" applyFont="1" applyFill="1" applyBorder="1" applyAlignment="1">
      <alignment horizontal="justify" vertical="center" wrapText="1"/>
    </xf>
    <xf numFmtId="1" fontId="2" fillId="8" borderId="17" xfId="0" applyNumberFormat="1" applyFont="1" applyFill="1" applyBorder="1" applyAlignment="1">
      <alignment horizontal="center" vertical="center"/>
    </xf>
    <xf numFmtId="0" fontId="2" fillId="8" borderId="13" xfId="0" applyFont="1" applyFill="1" applyBorder="1" applyAlignment="1">
      <alignment horizontal="center" vertical="center"/>
    </xf>
    <xf numFmtId="0" fontId="2" fillId="8" borderId="14" xfId="0" applyFont="1" applyFill="1" applyBorder="1" applyAlignment="1">
      <alignment horizontal="justify" vertical="center" wrapText="1"/>
    </xf>
    <xf numFmtId="0" fontId="2" fillId="8" borderId="14" xfId="0" applyFont="1" applyFill="1" applyBorder="1" applyAlignment="1">
      <alignment horizontal="center" vertical="center"/>
    </xf>
    <xf numFmtId="1" fontId="2" fillId="8" borderId="14" xfId="0" applyNumberFormat="1" applyFont="1" applyFill="1" applyBorder="1" applyAlignment="1">
      <alignment horizontal="center" vertical="center"/>
    </xf>
    <xf numFmtId="1" fontId="2" fillId="0" borderId="6" xfId="0" applyNumberFormat="1" applyFont="1" applyBorder="1"/>
    <xf numFmtId="1" fontId="2" fillId="0" borderId="7" xfId="0" applyNumberFormat="1" applyFont="1" applyBorder="1"/>
    <xf numFmtId="0" fontId="4" fillId="2" borderId="1" xfId="4" applyNumberFormat="1" applyFont="1" applyFill="1" applyBorder="1">
      <alignment horizontal="center" vertical="center" wrapText="1"/>
    </xf>
    <xf numFmtId="0" fontId="4" fillId="2" borderId="1" xfId="0" applyFont="1" applyFill="1" applyBorder="1" applyAlignment="1">
      <alignment horizontal="center" vertical="center" wrapText="1"/>
    </xf>
    <xf numFmtId="0" fontId="2" fillId="8" borderId="4" xfId="0" applyFont="1" applyFill="1" applyBorder="1" applyAlignment="1">
      <alignment horizontal="center" vertical="center"/>
    </xf>
    <xf numFmtId="9" fontId="2" fillId="8" borderId="4" xfId="2" applyFont="1" applyFill="1" applyBorder="1" applyAlignment="1">
      <alignment horizontal="center" vertical="center"/>
    </xf>
    <xf numFmtId="1" fontId="2" fillId="2" borderId="5" xfId="0" applyNumberFormat="1" applyFont="1" applyFill="1" applyBorder="1" applyAlignment="1">
      <alignment vertical="center" wrapText="1"/>
    </xf>
    <xf numFmtId="0" fontId="4" fillId="0" borderId="17" xfId="4" applyNumberFormat="1" applyFont="1" applyFill="1" applyBorder="1">
      <alignment horizontal="center" vertical="center" wrapText="1"/>
    </xf>
    <xf numFmtId="0" fontId="4" fillId="2" borderId="7" xfId="0" applyFont="1" applyFill="1" applyBorder="1" applyAlignment="1">
      <alignment horizontal="justify" vertical="center" wrapText="1"/>
    </xf>
    <xf numFmtId="1" fontId="2" fillId="2" borderId="25" xfId="0" applyNumberFormat="1" applyFont="1" applyFill="1" applyBorder="1" applyAlignment="1">
      <alignment horizontal="center" vertical="center"/>
    </xf>
    <xf numFmtId="1" fontId="2" fillId="0" borderId="22" xfId="0" applyNumberFormat="1" applyFont="1" applyBorder="1" applyAlignment="1">
      <alignment horizontal="center" vertical="center"/>
    </xf>
    <xf numFmtId="0" fontId="4" fillId="2" borderId="25" xfId="0" applyFont="1" applyFill="1" applyBorder="1" applyAlignment="1">
      <alignment horizontal="justify" vertical="center" wrapText="1"/>
    </xf>
    <xf numFmtId="0" fontId="2" fillId="2" borderId="17" xfId="0" applyFont="1" applyFill="1" applyBorder="1" applyAlignment="1">
      <alignment horizontal="center" vertical="center"/>
    </xf>
    <xf numFmtId="9" fontId="2" fillId="2" borderId="17" xfId="2" applyFont="1" applyFill="1" applyBorder="1" applyAlignment="1">
      <alignment horizontal="center" vertical="center"/>
    </xf>
    <xf numFmtId="1" fontId="13" fillId="3" borderId="14" xfId="0" applyNumberFormat="1" applyFont="1" applyFill="1" applyBorder="1" applyAlignment="1">
      <alignment horizontal="left" vertical="center"/>
    </xf>
    <xf numFmtId="0" fontId="3" fillId="3" borderId="14" xfId="0" applyFont="1" applyFill="1" applyBorder="1" applyAlignment="1">
      <alignment horizontal="left" vertical="center"/>
    </xf>
    <xf numFmtId="0" fontId="2" fillId="3" borderId="14" xfId="0" applyFont="1" applyFill="1" applyBorder="1"/>
    <xf numFmtId="0" fontId="2" fillId="3" borderId="4" xfId="0" applyFont="1" applyFill="1" applyBorder="1"/>
    <xf numFmtId="0" fontId="2" fillId="3" borderId="4" xfId="0" applyFont="1" applyFill="1" applyBorder="1" applyAlignment="1">
      <alignment horizontal="center" vertical="center"/>
    </xf>
    <xf numFmtId="0" fontId="2" fillId="3" borderId="4" xfId="0" applyFont="1" applyFill="1" applyBorder="1" applyAlignment="1">
      <alignment horizontal="justify" vertical="center" wrapText="1"/>
    </xf>
    <xf numFmtId="0" fontId="2" fillId="3" borderId="1" xfId="0" applyFont="1" applyFill="1" applyBorder="1" applyAlignment="1">
      <alignment horizontal="justify" vertical="center" wrapText="1"/>
    </xf>
    <xf numFmtId="9" fontId="2" fillId="3" borderId="4" xfId="2" applyFont="1" applyFill="1" applyBorder="1" applyAlignment="1">
      <alignment horizontal="center" vertical="center"/>
    </xf>
    <xf numFmtId="1" fontId="2" fillId="3" borderId="4" xfId="0" applyNumberFormat="1" applyFont="1" applyFill="1" applyBorder="1" applyAlignment="1">
      <alignment horizontal="center" vertical="center"/>
    </xf>
    <xf numFmtId="0" fontId="13" fillId="8" borderId="7" xfId="0" applyFont="1" applyFill="1" applyBorder="1" applyAlignment="1">
      <alignment horizontal="left" vertical="center"/>
    </xf>
    <xf numFmtId="0" fontId="2" fillId="8" borderId="13" xfId="0" applyFont="1" applyFill="1" applyBorder="1"/>
    <xf numFmtId="0" fontId="4" fillId="2" borderId="13" xfId="0" applyFont="1" applyFill="1" applyBorder="1" applyAlignment="1">
      <alignment horizontal="justify" vertical="center" wrapText="1"/>
    </xf>
    <xf numFmtId="0" fontId="13" fillId="0" borderId="2"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2" fillId="2" borderId="25" xfId="0" applyFont="1" applyFill="1" applyBorder="1" applyAlignment="1">
      <alignment horizontal="justify" vertical="center" wrapText="1"/>
    </xf>
    <xf numFmtId="1" fontId="2" fillId="2" borderId="60" xfId="0" applyNumberFormat="1" applyFont="1" applyFill="1" applyBorder="1" applyAlignment="1">
      <alignment horizontal="center" vertical="center"/>
    </xf>
    <xf numFmtId="1" fontId="2" fillId="2" borderId="23" xfId="0" applyNumberFormat="1" applyFont="1" applyFill="1" applyBorder="1" applyAlignment="1">
      <alignment horizontal="center" vertical="center"/>
    </xf>
    <xf numFmtId="0" fontId="4" fillId="2" borderId="14" xfId="0" applyFont="1" applyFill="1" applyBorder="1" applyAlignment="1">
      <alignment horizontal="justify" vertical="center" wrapText="1"/>
    </xf>
    <xf numFmtId="1" fontId="2" fillId="2" borderId="26" xfId="0" applyNumberFormat="1" applyFont="1" applyFill="1" applyBorder="1" applyAlignment="1">
      <alignment horizontal="center" vertical="center"/>
    </xf>
    <xf numFmtId="1" fontId="2" fillId="2" borderId="30" xfId="0" applyNumberFormat="1" applyFont="1" applyFill="1" applyBorder="1" applyAlignment="1">
      <alignment horizontal="center" vertical="center"/>
    </xf>
    <xf numFmtId="168" fontId="4" fillId="8" borderId="1" xfId="0" applyNumberFormat="1" applyFont="1" applyFill="1" applyBorder="1" applyAlignment="1">
      <alignment horizontal="center" vertical="center" wrapText="1"/>
    </xf>
    <xf numFmtId="1" fontId="2" fillId="2" borderId="11" xfId="0" applyNumberFormat="1" applyFont="1" applyFill="1" applyBorder="1" applyAlignment="1">
      <alignment vertical="center" wrapText="1"/>
    </xf>
    <xf numFmtId="1" fontId="2" fillId="2" borderId="12" xfId="0" applyNumberFormat="1" applyFont="1" applyFill="1" applyBorder="1" applyAlignment="1">
      <alignment vertical="center" wrapText="1"/>
    </xf>
    <xf numFmtId="1" fontId="2" fillId="8" borderId="10" xfId="0" applyNumberFormat="1" applyFont="1" applyFill="1" applyBorder="1" applyAlignment="1">
      <alignment horizontal="center" vertical="center"/>
    </xf>
    <xf numFmtId="1"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9" fontId="2" fillId="2" borderId="10" xfId="2" applyFont="1" applyFill="1" applyBorder="1" applyAlignment="1">
      <alignment horizontal="center" vertical="center"/>
    </xf>
    <xf numFmtId="14" fontId="2" fillId="2" borderId="30" xfId="0" applyNumberFormat="1" applyFont="1" applyFill="1" applyBorder="1" applyAlignment="1">
      <alignment horizontal="center" vertical="center"/>
    </xf>
    <xf numFmtId="0" fontId="2" fillId="0" borderId="11" xfId="0" applyFont="1" applyBorder="1"/>
    <xf numFmtId="0" fontId="2" fillId="0" borderId="12" xfId="0" applyFont="1" applyBorder="1"/>
    <xf numFmtId="0" fontId="2" fillId="0" borderId="12" xfId="0" applyFont="1" applyBorder="1" applyAlignment="1">
      <alignment horizontal="center" vertical="center"/>
    </xf>
    <xf numFmtId="170" fontId="2" fillId="0" borderId="1" xfId="0" applyNumberFormat="1" applyFont="1" applyBorder="1" applyAlignment="1">
      <alignment horizontal="center" vertical="center"/>
    </xf>
    <xf numFmtId="166" fontId="13" fillId="0" borderId="1" xfId="0" applyNumberFormat="1"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center"/>
    </xf>
    <xf numFmtId="0" fontId="2" fillId="2" borderId="1" xfId="0" applyFont="1" applyFill="1" applyBorder="1" applyAlignment="1">
      <alignment horizontal="center"/>
    </xf>
    <xf numFmtId="4" fontId="13" fillId="2" borderId="1" xfId="0" applyNumberFormat="1" applyFont="1" applyFill="1" applyBorder="1" applyAlignment="1">
      <alignment horizontal="center"/>
    </xf>
    <xf numFmtId="172" fontId="2" fillId="2" borderId="4" xfId="0" applyNumberFormat="1" applyFont="1" applyFill="1" applyBorder="1" applyAlignment="1">
      <alignment horizontal="center" vertical="center"/>
    </xf>
    <xf numFmtId="172" fontId="2" fillId="2" borderId="4" xfId="0" applyNumberFormat="1" applyFont="1" applyFill="1" applyBorder="1" applyAlignment="1">
      <alignment horizontal="center"/>
    </xf>
    <xf numFmtId="0" fontId="2" fillId="2" borderId="4" xfId="0" applyFont="1" applyFill="1" applyBorder="1" applyAlignment="1">
      <alignment horizontal="justify" vertical="center"/>
    </xf>
    <xf numFmtId="0" fontId="22" fillId="0" borderId="0" xfId="0" applyFont="1" applyAlignment="1">
      <alignment horizontal="center" vertical="center"/>
    </xf>
    <xf numFmtId="0" fontId="22" fillId="0" borderId="0" xfId="0" applyFont="1" applyAlignment="1">
      <alignment horizontal="justify" vertical="center"/>
    </xf>
    <xf numFmtId="166" fontId="6" fillId="2" borderId="0" xfId="0" applyNumberFormat="1" applyFont="1" applyFill="1" applyAlignment="1">
      <alignment vertical="center"/>
    </xf>
    <xf numFmtId="0" fontId="6" fillId="2" borderId="0" xfId="0" applyFont="1" applyFill="1" applyAlignment="1">
      <alignment horizontal="justify" vertical="center" wrapText="1"/>
    </xf>
    <xf numFmtId="166" fontId="6" fillId="2" borderId="0" xfId="0" applyNumberFormat="1" applyFont="1" applyFill="1" applyAlignment="1">
      <alignment horizontal="center" vertical="center"/>
    </xf>
    <xf numFmtId="0" fontId="22" fillId="2" borderId="0" xfId="0" applyFont="1" applyFill="1"/>
    <xf numFmtId="4" fontId="24" fillId="0" borderId="0" xfId="0" applyNumberFormat="1" applyFont="1"/>
    <xf numFmtId="0" fontId="6" fillId="0" borderId="0" xfId="0" applyFont="1" applyAlignment="1">
      <alignment horizontal="justify" vertical="center" wrapText="1"/>
    </xf>
    <xf numFmtId="0" fontId="6" fillId="0" borderId="9" xfId="0" applyFont="1" applyBorder="1"/>
    <xf numFmtId="0" fontId="6" fillId="0" borderId="9" xfId="0" applyFont="1" applyBorder="1" applyAlignment="1">
      <alignment horizontal="center" vertical="center"/>
    </xf>
    <xf numFmtId="0" fontId="6" fillId="0" borderId="0" xfId="0" applyFont="1" applyAlignment="1">
      <alignment horizontal="center" vertical="center"/>
    </xf>
    <xf numFmtId="0" fontId="20" fillId="0" borderId="0" xfId="0" applyFont="1" applyAlignment="1">
      <alignment horizontal="justify" vertical="center" wrapText="1"/>
    </xf>
    <xf numFmtId="171" fontId="6" fillId="0" borderId="0" xfId="0" applyNumberFormat="1" applyFont="1" applyAlignment="1">
      <alignment vertical="center"/>
    </xf>
    <xf numFmtId="174" fontId="6" fillId="0" borderId="0" xfId="0" applyNumberFormat="1" applyFont="1" applyAlignment="1">
      <alignment horizontal="center" vertical="center"/>
    </xf>
    <xf numFmtId="0" fontId="6" fillId="2" borderId="0" xfId="0" applyFont="1" applyFill="1" applyAlignment="1">
      <alignment horizontal="center"/>
    </xf>
    <xf numFmtId="0" fontId="6" fillId="2" borderId="0" xfId="0" applyFont="1" applyFill="1" applyAlignment="1">
      <alignment horizontal="justify" vertical="center"/>
    </xf>
    <xf numFmtId="170" fontId="6" fillId="2" borderId="0" xfId="0" applyNumberFormat="1" applyFont="1" applyFill="1" applyAlignment="1">
      <alignment horizontal="center" vertical="center"/>
    </xf>
    <xf numFmtId="171" fontId="6" fillId="2" borderId="0" xfId="0" applyNumberFormat="1" applyFont="1" applyFill="1" applyAlignment="1">
      <alignment vertical="center"/>
    </xf>
    <xf numFmtId="174" fontId="6" fillId="0" borderId="0" xfId="0" applyNumberFormat="1" applyFont="1" applyAlignment="1">
      <alignment vertical="center"/>
    </xf>
    <xf numFmtId="166" fontId="3" fillId="0" borderId="0" xfId="1" applyFont="1" applyFill="1" applyBorder="1" applyAlignment="1" applyProtection="1">
      <alignment vertical="center"/>
      <protection locked="0"/>
    </xf>
    <xf numFmtId="166" fontId="3" fillId="0" borderId="0" xfId="1" applyFont="1" applyFill="1" applyBorder="1" applyAlignment="1" applyProtection="1">
      <alignment horizontal="right" vertical="center"/>
      <protection locked="0"/>
    </xf>
    <xf numFmtId="0" fontId="22" fillId="0" borderId="0" xfId="0" applyFont="1" applyFill="1"/>
    <xf numFmtId="0" fontId="22" fillId="0" borderId="0" xfId="0" applyFont="1" applyFill="1" applyAlignment="1">
      <alignment horizontal="justify" vertical="center"/>
    </xf>
    <xf numFmtId="174" fontId="6" fillId="0" borderId="0" xfId="0" applyNumberFormat="1" applyFont="1" applyFill="1" applyAlignment="1">
      <alignment horizontal="center" vertical="center"/>
    </xf>
    <xf numFmtId="1" fontId="2" fillId="2" borderId="17" xfId="0" applyNumberFormat="1" applyFont="1" applyFill="1" applyBorder="1" applyAlignment="1">
      <alignment horizontal="center" vertical="center" wrapText="1"/>
    </xf>
    <xf numFmtId="1" fontId="2" fillId="2" borderId="30"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13" fillId="0" borderId="0" xfId="0" applyFont="1" applyAlignment="1">
      <alignment horizontal="center" vertical="center" wrapText="1"/>
    </xf>
    <xf numFmtId="0" fontId="13" fillId="0" borderId="3" xfId="0" applyFont="1" applyBorder="1" applyAlignment="1">
      <alignment horizontal="center" vertical="center" wrapText="1"/>
    </xf>
    <xf numFmtId="3" fontId="3" fillId="7" borderId="11" xfId="0" applyNumberFormat="1" applyFont="1" applyFill="1" applyBorder="1" applyAlignment="1">
      <alignment horizontal="center" vertical="center" wrapText="1"/>
    </xf>
    <xf numFmtId="9" fontId="2" fillId="2" borderId="4" xfId="2" applyFont="1" applyFill="1" applyBorder="1" applyAlignment="1">
      <alignment horizontal="center" vertical="center" wrapText="1"/>
    </xf>
    <xf numFmtId="173" fontId="2" fillId="2" borderId="13" xfId="0" applyNumberFormat="1" applyFont="1" applyFill="1" applyBorder="1" applyAlignment="1">
      <alignment horizontal="center" vertical="center" wrapText="1"/>
    </xf>
    <xf numFmtId="173" fontId="2" fillId="2" borderId="14" xfId="0" applyNumberFormat="1" applyFont="1" applyFill="1" applyBorder="1" applyAlignment="1">
      <alignment horizontal="center" vertical="center" wrapText="1"/>
    </xf>
    <xf numFmtId="173" fontId="2" fillId="2" borderId="4" xfId="0" applyNumberFormat="1" applyFont="1" applyFill="1" applyBorder="1" applyAlignment="1">
      <alignment horizontal="center" vertical="center" wrapText="1"/>
    </xf>
    <xf numFmtId="172" fontId="2" fillId="0" borderId="13" xfId="0" applyNumberFormat="1" applyFont="1" applyBorder="1" applyAlignment="1">
      <alignment horizontal="center" vertical="center"/>
    </xf>
    <xf numFmtId="172" fontId="2" fillId="0" borderId="14" xfId="0" applyNumberFormat="1" applyFont="1" applyBorder="1" applyAlignment="1">
      <alignment horizontal="center" vertical="center"/>
    </xf>
    <xf numFmtId="172" fontId="2" fillId="0" borderId="4" xfId="0" applyNumberFormat="1" applyFont="1" applyBorder="1" applyAlignment="1">
      <alignment horizontal="center" vertical="center"/>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0" borderId="19" xfId="0" applyFont="1" applyBorder="1" applyAlignment="1">
      <alignment horizontal="justify" vertical="center" wrapText="1"/>
    </xf>
    <xf numFmtId="0" fontId="4" fillId="0" borderId="23" xfId="0" applyFont="1" applyBorder="1" applyAlignment="1">
      <alignment horizontal="justify" vertical="center" wrapText="1"/>
    </xf>
    <xf numFmtId="0" fontId="2" fillId="0" borderId="5" xfId="0" applyFont="1" applyBorder="1" applyAlignment="1">
      <alignment horizontal="justify"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7" xfId="0" applyFont="1" applyBorder="1" applyAlignment="1">
      <alignment horizontal="justify" vertical="center" wrapText="1"/>
    </xf>
    <xf numFmtId="0" fontId="2" fillId="0" borderId="17"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25" xfId="0" applyFont="1" applyBorder="1" applyAlignment="1">
      <alignment horizontal="justify"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2" fillId="2" borderId="30" xfId="0" applyFont="1" applyFill="1" applyBorder="1" applyAlignment="1">
      <alignment horizontal="center" vertical="center" wrapText="1"/>
    </xf>
    <xf numFmtId="0" fontId="4" fillId="0" borderId="15" xfId="0" applyFont="1" applyBorder="1" applyAlignment="1">
      <alignment horizontal="center" vertical="center" wrapText="1"/>
    </xf>
    <xf numFmtId="1" fontId="2" fillId="2" borderId="13" xfId="0" applyNumberFormat="1" applyFont="1" applyFill="1" applyBorder="1" applyAlignment="1">
      <alignment horizontal="center" vertical="center"/>
    </xf>
    <xf numFmtId="0" fontId="4" fillId="0" borderId="14" xfId="0" applyFont="1" applyBorder="1" applyAlignment="1">
      <alignment horizontal="justify" vertical="center" wrapText="1"/>
    </xf>
    <xf numFmtId="0" fontId="4" fillId="0" borderId="14" xfId="0" applyFont="1" applyBorder="1" applyAlignment="1">
      <alignment horizontal="center" vertical="center" wrapText="1"/>
    </xf>
    <xf numFmtId="0" fontId="4" fillId="2" borderId="17" xfId="0" applyFont="1" applyFill="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2" fillId="2" borderId="4" xfId="0" applyFont="1" applyFill="1" applyBorder="1" applyAlignment="1">
      <alignment horizontal="justify" vertical="center" wrapText="1"/>
    </xf>
    <xf numFmtId="0" fontId="2" fillId="2" borderId="1" xfId="0" applyFont="1" applyFill="1" applyBorder="1" applyAlignment="1">
      <alignment horizontal="center" vertical="center" wrapText="1"/>
    </xf>
    <xf numFmtId="171" fontId="13" fillId="6" borderId="2"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2" borderId="17" xfId="0" applyFont="1" applyFill="1" applyBorder="1" applyAlignment="1">
      <alignment horizontal="justify" vertical="center" wrapText="1"/>
    </xf>
    <xf numFmtId="0" fontId="13" fillId="0" borderId="1" xfId="0" applyFont="1" applyBorder="1" applyAlignment="1">
      <alignment horizontal="center" vertical="center"/>
    </xf>
    <xf numFmtId="1" fontId="13" fillId="6" borderId="7" xfId="0" applyNumberFormat="1" applyFont="1" applyFill="1" applyBorder="1" applyAlignment="1">
      <alignment horizontal="center" vertical="center" wrapText="1"/>
    </xf>
    <xf numFmtId="1" fontId="13" fillId="6" borderId="3" xfId="0" applyNumberFormat="1"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170" fontId="13" fillId="6" borderId="2" xfId="0" applyNumberFormat="1" applyFont="1" applyFill="1" applyBorder="1" applyAlignment="1">
      <alignment horizontal="center"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2" fillId="0" borderId="25" xfId="0" applyFont="1" applyBorder="1" applyAlignment="1">
      <alignment horizontal="center" vertical="center" wrapText="1"/>
    </xf>
    <xf numFmtId="0" fontId="4" fillId="0" borderId="30" xfId="0" applyFont="1" applyBorder="1" applyAlignment="1">
      <alignment horizontal="justify" vertical="center" wrapText="1"/>
    </xf>
    <xf numFmtId="173" fontId="2" fillId="2" borderId="1" xfId="0"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0" xfId="0" applyFont="1" applyAlignment="1">
      <alignment horizontal="justify"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0" xfId="0" applyFont="1" applyBorder="1" applyAlignment="1">
      <alignment horizontal="center" vertical="center" wrapText="1"/>
    </xf>
    <xf numFmtId="9" fontId="2" fillId="2" borderId="1" xfId="2" applyFont="1" applyFill="1" applyBorder="1" applyAlignment="1">
      <alignment horizontal="center" vertical="center" wrapText="1"/>
    </xf>
    <xf numFmtId="0" fontId="4" fillId="0" borderId="17" xfId="4" applyNumberFormat="1" applyFont="1" applyFill="1" applyBorder="1">
      <alignment horizontal="center" vertical="center" wrapText="1"/>
    </xf>
    <xf numFmtId="0" fontId="4" fillId="0" borderId="19" xfId="0" applyFont="1" applyBorder="1" applyAlignment="1">
      <alignment horizontal="left" vertical="center" wrapText="1"/>
    </xf>
    <xf numFmtId="1"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justify" vertical="center" wrapText="1"/>
    </xf>
    <xf numFmtId="0" fontId="2" fillId="0" borderId="1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3" xfId="0" applyFont="1" applyBorder="1" applyAlignment="1">
      <alignment horizontal="center" vertical="center" wrapText="1"/>
    </xf>
    <xf numFmtId="1" fontId="13" fillId="6" borderId="4" xfId="0" applyNumberFormat="1" applyFont="1" applyFill="1" applyBorder="1" applyAlignment="1">
      <alignment horizontal="center" vertical="center" wrapText="1"/>
    </xf>
    <xf numFmtId="0" fontId="2" fillId="0" borderId="13" xfId="0" applyFont="1" applyBorder="1" applyAlignment="1">
      <alignment horizontal="center" vertical="center"/>
    </xf>
    <xf numFmtId="0" fontId="2" fillId="0" borderId="4" xfId="0" applyFont="1" applyBorder="1" applyAlignment="1">
      <alignment horizontal="center" vertical="center"/>
    </xf>
    <xf numFmtId="9" fontId="2" fillId="2" borderId="4" xfId="2" applyFont="1" applyFill="1" applyBorder="1" applyAlignment="1">
      <alignment horizontal="center" vertical="center"/>
    </xf>
    <xf numFmtId="0" fontId="13" fillId="0" borderId="0" xfId="0" applyFont="1" applyAlignment="1">
      <alignment horizontal="center" vertical="center"/>
    </xf>
    <xf numFmtId="0" fontId="4"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5" xfId="0" applyFont="1" applyFill="1" applyBorder="1" applyAlignment="1">
      <alignment horizontal="center" vertical="center"/>
    </xf>
    <xf numFmtId="0" fontId="4" fillId="0" borderId="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8" xfId="0" applyFont="1" applyBorder="1" applyAlignment="1">
      <alignment horizontal="justify" vertical="center"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1" fontId="2" fillId="0" borderId="23" xfId="0" applyNumberFormat="1" applyFont="1" applyBorder="1" applyAlignment="1">
      <alignment horizontal="center" vertical="center"/>
    </xf>
    <xf numFmtId="0" fontId="2" fillId="2" borderId="8" xfId="0" applyFont="1" applyFill="1" applyBorder="1" applyAlignment="1">
      <alignment horizontal="justify" vertical="center" wrapText="1"/>
    </xf>
    <xf numFmtId="0" fontId="4" fillId="0" borderId="7" xfId="0" applyFont="1" applyBorder="1" applyAlignment="1">
      <alignment horizontal="justify" vertical="center" wrapText="1"/>
    </xf>
    <xf numFmtId="0" fontId="4" fillId="0" borderId="15" xfId="0" applyFont="1" applyBorder="1" applyAlignment="1">
      <alignment horizontal="justify" vertical="center" wrapText="1"/>
    </xf>
    <xf numFmtId="0" fontId="3" fillId="8" borderId="4" xfId="0" applyFont="1" applyFill="1" applyBorder="1" applyAlignment="1">
      <alignment horizontal="left" vertical="center" wrapText="1"/>
    </xf>
    <xf numFmtId="0" fontId="2" fillId="2" borderId="17" xfId="0" applyFont="1" applyFill="1" applyBorder="1" applyAlignment="1">
      <alignment horizontal="center" vertical="center"/>
    </xf>
    <xf numFmtId="1" fontId="2" fillId="2" borderId="6"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1" fontId="4" fillId="0" borderId="19" xfId="0" applyNumberFormat="1" applyFont="1" applyBorder="1" applyAlignment="1">
      <alignment horizontal="center" vertical="center" wrapText="1"/>
    </xf>
    <xf numFmtId="1" fontId="4" fillId="0" borderId="17" xfId="0" applyNumberFormat="1" applyFont="1" applyBorder="1" applyAlignment="1">
      <alignment horizontal="center" vertical="center"/>
    </xf>
    <xf numFmtId="1" fontId="13" fillId="2" borderId="5" xfId="0" applyNumberFormat="1" applyFont="1" applyFill="1" applyBorder="1" applyAlignment="1">
      <alignment horizontal="center" vertical="center" wrapText="1"/>
    </xf>
    <xf numFmtId="0" fontId="3" fillId="8" borderId="13" xfId="0" applyFont="1" applyFill="1" applyBorder="1" applyAlignment="1">
      <alignment horizontal="left" vertical="center" wrapText="1"/>
    </xf>
    <xf numFmtId="0" fontId="3" fillId="0" borderId="0" xfId="0" applyFont="1" applyAlignment="1">
      <alignment horizontal="center" vertical="center" wrapText="1"/>
    </xf>
    <xf numFmtId="1" fontId="2" fillId="0" borderId="2" xfId="0" applyNumberFormat="1" applyFont="1" applyFill="1" applyBorder="1"/>
    <xf numFmtId="1" fontId="2" fillId="0" borderId="0" xfId="0" applyNumberFormat="1" applyFont="1" applyFill="1"/>
    <xf numFmtId="1" fontId="2" fillId="0" borderId="3" xfId="0" applyNumberFormat="1" applyFont="1" applyFill="1" applyBorder="1"/>
    <xf numFmtId="0" fontId="4"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9" fontId="2" fillId="0" borderId="1" xfId="2" applyFont="1" applyFill="1" applyBorder="1" applyAlignment="1">
      <alignment horizontal="center" vertical="center"/>
    </xf>
    <xf numFmtId="0" fontId="2" fillId="0" borderId="1" xfId="0" applyFont="1" applyFill="1" applyBorder="1" applyAlignment="1">
      <alignment horizontal="justify" vertical="center" wrapText="1"/>
    </xf>
    <xf numFmtId="1" fontId="2" fillId="0" borderId="1" xfId="0" applyNumberFormat="1" applyFont="1" applyFill="1" applyBorder="1" applyAlignment="1">
      <alignment horizontal="center" vertical="center"/>
    </xf>
    <xf numFmtId="0" fontId="23" fillId="0" borderId="0" xfId="0" applyFont="1" applyFill="1"/>
    <xf numFmtId="1" fontId="2" fillId="0" borderId="5" xfId="0" applyNumberFormat="1" applyFont="1" applyBorder="1"/>
    <xf numFmtId="1" fontId="2" fillId="0" borderId="0" xfId="0" applyNumberFormat="1" applyFont="1" applyBorder="1"/>
    <xf numFmtId="1" fontId="2" fillId="0" borderId="3" xfId="0" applyNumberFormat="1" applyFont="1" applyBorder="1"/>
    <xf numFmtId="1" fontId="2" fillId="0" borderId="0" xfId="0" applyNumberFormat="1" applyFont="1" applyFill="1" applyBorder="1"/>
    <xf numFmtId="0" fontId="25" fillId="0" borderId="53" xfId="0" applyFont="1" applyBorder="1" applyAlignment="1">
      <alignment horizontal="center" vertical="center"/>
    </xf>
    <xf numFmtId="0" fontId="25" fillId="0" borderId="53" xfId="0" applyFont="1" applyBorder="1" applyAlignment="1">
      <alignment horizontal="right" vertical="center"/>
    </xf>
    <xf numFmtId="0" fontId="11" fillId="0" borderId="0" xfId="0" applyFont="1"/>
    <xf numFmtId="0" fontId="25" fillId="0" borderId="1" xfId="0" applyFont="1" applyBorder="1" applyAlignment="1">
      <alignment horizontal="center" vertical="center"/>
    </xf>
    <xf numFmtId="169" fontId="25" fillId="0" borderId="1" xfId="0" applyNumberFormat="1" applyFont="1" applyBorder="1" applyAlignment="1">
      <alignment horizontal="right" vertical="center"/>
    </xf>
    <xf numFmtId="17" fontId="25" fillId="0" borderId="1" xfId="0" applyNumberFormat="1" applyFont="1" applyBorder="1" applyAlignment="1">
      <alignment horizontal="right" vertical="center"/>
    </xf>
    <xf numFmtId="3" fontId="25" fillId="5" borderId="1" xfId="0" applyNumberFormat="1" applyFont="1" applyFill="1" applyBorder="1" applyAlignment="1">
      <alignment horizontal="right" vertical="center" wrapText="1"/>
    </xf>
    <xf numFmtId="0" fontId="4" fillId="0" borderId="9" xfId="0" applyFont="1" applyBorder="1" applyAlignment="1">
      <alignment horizontal="justify" vertical="center" wrapText="1"/>
    </xf>
    <xf numFmtId="0" fontId="3" fillId="0" borderId="9" xfId="0" applyFont="1" applyBorder="1" applyAlignment="1">
      <alignment horizontal="justify" vertical="center"/>
    </xf>
    <xf numFmtId="166" fontId="4" fillId="0" borderId="9" xfId="1" applyFont="1" applyBorder="1" applyAlignment="1">
      <alignment horizontal="center" vertical="center"/>
    </xf>
    <xf numFmtId="175" fontId="3" fillId="0" borderId="9" xfId="1" applyNumberFormat="1" applyFont="1" applyBorder="1" applyAlignment="1">
      <alignment horizontal="center" vertical="center"/>
    </xf>
    <xf numFmtId="14" fontId="3" fillId="0" borderId="9"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4" fillId="0" borderId="0" xfId="0" applyFont="1" applyAlignment="1">
      <alignment horizontal="center" vertical="center"/>
    </xf>
    <xf numFmtId="49" fontId="13" fillId="6" borderId="1" xfId="0" applyNumberFormat="1" applyFont="1" applyFill="1" applyBorder="1" applyAlignment="1">
      <alignment horizontal="center" vertical="center"/>
    </xf>
    <xf numFmtId="0" fontId="2" fillId="3" borderId="13" xfId="0" applyFont="1" applyFill="1" applyBorder="1"/>
    <xf numFmtId="171" fontId="13" fillId="3" borderId="8" xfId="0" applyNumberFormat="1" applyFont="1" applyFill="1" applyBorder="1" applyAlignment="1">
      <alignment horizontal="center" vertical="center"/>
    </xf>
    <xf numFmtId="171" fontId="13" fillId="3" borderId="23" xfId="0" applyNumberFormat="1" applyFont="1" applyFill="1" applyBorder="1" applyAlignment="1">
      <alignment horizontal="center" vertical="center"/>
    </xf>
    <xf numFmtId="1" fontId="13" fillId="3" borderId="12" xfId="0" applyNumberFormat="1" applyFont="1" applyFill="1" applyBorder="1" applyAlignment="1">
      <alignment horizontal="center" vertical="center"/>
    </xf>
    <xf numFmtId="172" fontId="13" fillId="3" borderId="1" xfId="0" applyNumberFormat="1" applyFont="1" applyFill="1" applyBorder="1" applyAlignment="1">
      <alignment vertical="center"/>
    </xf>
    <xf numFmtId="0" fontId="13" fillId="8" borderId="13" xfId="0" applyFont="1" applyFill="1" applyBorder="1" applyAlignment="1">
      <alignment vertical="center"/>
    </xf>
    <xf numFmtId="0" fontId="13" fillId="8" borderId="1" xfId="0" applyFont="1" applyFill="1" applyBorder="1" applyAlignment="1">
      <alignment vertical="center"/>
    </xf>
    <xf numFmtId="0" fontId="13" fillId="8" borderId="1" xfId="0" applyFont="1" applyFill="1" applyBorder="1" applyAlignment="1">
      <alignment horizontal="center" vertical="center"/>
    </xf>
    <xf numFmtId="0" fontId="13" fillId="8" borderId="1" xfId="0" applyFont="1" applyFill="1" applyBorder="1" applyAlignment="1">
      <alignment horizontal="justify" vertical="center"/>
    </xf>
    <xf numFmtId="171" fontId="13" fillId="8" borderId="10" xfId="0" applyNumberFormat="1" applyFont="1" applyFill="1" applyBorder="1" applyAlignment="1">
      <alignment horizontal="center" vertical="center"/>
    </xf>
    <xf numFmtId="171" fontId="13" fillId="8" borderId="17" xfId="0" applyNumberFormat="1" applyFont="1" applyFill="1" applyBorder="1" applyAlignment="1">
      <alignment horizontal="center" vertical="center"/>
    </xf>
    <xf numFmtId="1" fontId="13" fillId="8" borderId="12" xfId="0" applyNumberFormat="1" applyFont="1" applyFill="1" applyBorder="1" applyAlignment="1">
      <alignment horizontal="center" vertical="center"/>
    </xf>
    <xf numFmtId="172" fontId="13" fillId="8" borderId="1" xfId="0" applyNumberFormat="1" applyFont="1" applyFill="1" applyBorder="1" applyAlignment="1">
      <alignment vertical="center"/>
    </xf>
    <xf numFmtId="0" fontId="26" fillId="0" borderId="1" xfId="0" applyFont="1" applyBorder="1" applyAlignment="1">
      <alignment horizontal="justify" vertical="center" wrapText="1"/>
    </xf>
    <xf numFmtId="4" fontId="2" fillId="2" borderId="10" xfId="0" applyNumberFormat="1" applyFont="1" applyFill="1" applyBorder="1" applyAlignment="1">
      <alignment horizontal="right" vertical="center" wrapText="1"/>
    </xf>
    <xf numFmtId="4" fontId="2" fillId="2" borderId="17" xfId="0" applyNumberFormat="1" applyFont="1" applyFill="1" applyBorder="1" applyAlignment="1">
      <alignment horizontal="right" vertical="center" wrapText="1"/>
    </xf>
    <xf numFmtId="1" fontId="2" fillId="2" borderId="11" xfId="0" applyNumberFormat="1" applyFont="1" applyFill="1" applyBorder="1" applyAlignment="1">
      <alignment horizontal="center" vertical="center" wrapText="1"/>
    </xf>
    <xf numFmtId="1" fontId="13" fillId="2" borderId="0" xfId="0" applyNumberFormat="1" applyFont="1" applyFill="1" applyAlignment="1">
      <alignment vertical="center" textRotation="180" wrapText="1"/>
    </xf>
    <xf numFmtId="0" fontId="26" fillId="0" borderId="4" xfId="0" applyFont="1" applyBorder="1" applyAlignment="1">
      <alignment horizontal="justify" vertical="center" wrapText="1"/>
    </xf>
    <xf numFmtId="0" fontId="26" fillId="0" borderId="14" xfId="0" applyFont="1" applyBorder="1" applyAlignment="1">
      <alignment horizontal="justify" vertical="center" wrapText="1"/>
    </xf>
    <xf numFmtId="4" fontId="2" fillId="2" borderId="5" xfId="0" applyNumberFormat="1" applyFont="1" applyFill="1" applyBorder="1" applyAlignment="1">
      <alignment horizontal="right" vertical="center" wrapText="1"/>
    </xf>
    <xf numFmtId="4" fontId="4" fillId="0" borderId="10" xfId="0" applyNumberFormat="1" applyFont="1" applyBorder="1" applyAlignment="1">
      <alignment horizontal="right" vertical="center" wrapText="1"/>
    </xf>
    <xf numFmtId="4" fontId="4" fillId="0" borderId="17" xfId="0" applyNumberFormat="1" applyFont="1" applyBorder="1" applyAlignment="1">
      <alignment horizontal="right" vertical="center" wrapText="1"/>
    </xf>
    <xf numFmtId="1" fontId="2" fillId="2" borderId="32" xfId="0" applyNumberFormat="1" applyFont="1" applyFill="1" applyBorder="1" applyAlignment="1">
      <alignment horizontal="center" vertical="center" wrapText="1"/>
    </xf>
    <xf numFmtId="4" fontId="4" fillId="0" borderId="8" xfId="0" applyNumberFormat="1" applyFont="1" applyBorder="1" applyAlignment="1">
      <alignment horizontal="right" vertical="center" wrapText="1"/>
    </xf>
    <xf numFmtId="0" fontId="3" fillId="8" borderId="15" xfId="0" applyFont="1" applyFill="1" applyBorder="1" applyAlignment="1">
      <alignment horizontal="left" vertical="center"/>
    </xf>
    <xf numFmtId="0" fontId="3" fillId="8" borderId="4" xfId="0" applyFont="1" applyFill="1" applyBorder="1" applyAlignment="1">
      <alignment vertical="center"/>
    </xf>
    <xf numFmtId="0" fontId="2" fillId="8" borderId="4" xfId="0" applyFont="1" applyFill="1" applyBorder="1" applyAlignment="1">
      <alignment horizontal="center" vertical="center" wrapText="1"/>
    </xf>
    <xf numFmtId="9" fontId="2" fillId="8" borderId="4" xfId="2" applyFont="1" applyFill="1" applyBorder="1" applyAlignment="1">
      <alignment horizontal="center" vertical="center" wrapText="1"/>
    </xf>
    <xf numFmtId="4" fontId="2" fillId="8" borderId="4" xfId="0" applyNumberFormat="1" applyFont="1" applyFill="1" applyBorder="1" applyAlignment="1">
      <alignment horizontal="center" vertical="center" wrapText="1"/>
    </xf>
    <xf numFmtId="4" fontId="2" fillId="8" borderId="8" xfId="0" applyNumberFormat="1" applyFont="1" applyFill="1" applyBorder="1" applyAlignment="1">
      <alignment horizontal="right" vertical="center" wrapText="1"/>
    </xf>
    <xf numFmtId="4" fontId="2" fillId="8" borderId="17" xfId="0" applyNumberFormat="1" applyFont="1" applyFill="1" applyBorder="1" applyAlignment="1">
      <alignment horizontal="right" vertical="center" wrapText="1"/>
    </xf>
    <xf numFmtId="1" fontId="2" fillId="8" borderId="9" xfId="0" applyNumberFormat="1" applyFont="1" applyFill="1" applyBorder="1" applyAlignment="1">
      <alignment horizontal="center" vertical="center" wrapText="1"/>
    </xf>
    <xf numFmtId="1" fontId="13" fillId="8" borderId="15" xfId="0" applyNumberFormat="1" applyFont="1" applyFill="1" applyBorder="1" applyAlignment="1">
      <alignment horizontal="center" vertical="center" textRotation="180" wrapText="1"/>
    </xf>
    <xf numFmtId="4" fontId="13" fillId="8" borderId="4" xfId="0" applyNumberFormat="1" applyFont="1" applyFill="1" applyBorder="1" applyAlignment="1">
      <alignment horizontal="center" vertical="center" textRotation="180" wrapText="1"/>
    </xf>
    <xf numFmtId="9" fontId="13" fillId="8" borderId="4" xfId="2" applyFont="1" applyFill="1" applyBorder="1" applyAlignment="1">
      <alignment horizontal="center" vertical="center" textRotation="180" wrapText="1"/>
    </xf>
    <xf numFmtId="4" fontId="2" fillId="0" borderId="1" xfId="16" applyNumberFormat="1" applyFont="1" applyBorder="1" applyAlignment="1">
      <alignment horizontal="center" vertical="center"/>
    </xf>
    <xf numFmtId="3" fontId="2" fillId="2" borderId="1" xfId="0" applyNumberFormat="1" applyFont="1" applyFill="1" applyBorder="1" applyAlignment="1">
      <alignment horizontal="center" vertical="center"/>
    </xf>
    <xf numFmtId="9" fontId="2" fillId="0" borderId="1" xfId="2" applyFont="1" applyBorder="1" applyAlignment="1">
      <alignment horizontal="center" vertical="center"/>
    </xf>
    <xf numFmtId="0" fontId="2" fillId="0" borderId="1" xfId="0" applyFont="1" applyBorder="1"/>
    <xf numFmtId="0" fontId="2" fillId="2" borderId="1" xfId="0" applyFont="1" applyFill="1" applyBorder="1" applyAlignment="1">
      <alignment horizontal="justify" vertical="center"/>
    </xf>
    <xf numFmtId="0" fontId="2" fillId="2" borderId="1" xfId="0" applyFont="1" applyFill="1" applyBorder="1"/>
    <xf numFmtId="170" fontId="2" fillId="2" borderId="1" xfId="0" applyNumberFormat="1" applyFont="1" applyFill="1" applyBorder="1" applyAlignment="1">
      <alignment horizontal="center" vertical="center"/>
    </xf>
    <xf numFmtId="43" fontId="13" fillId="0" borderId="1" xfId="0" applyNumberFormat="1" applyFont="1" applyBorder="1" applyAlignment="1">
      <alignment horizontal="center" vertical="center"/>
    </xf>
    <xf numFmtId="4" fontId="13" fillId="0" borderId="1" xfId="0" applyNumberFormat="1" applyFont="1" applyBorder="1" applyAlignment="1">
      <alignment horizontal="right" vertical="center"/>
    </xf>
    <xf numFmtId="4" fontId="13" fillId="0" borderId="1" xfId="0" applyNumberFormat="1" applyFont="1" applyBorder="1" applyAlignment="1">
      <alignment horizontal="center" vertical="center"/>
    </xf>
    <xf numFmtId="172" fontId="2" fillId="0" borderId="1" xfId="0" applyNumberFormat="1" applyFont="1" applyBorder="1" applyAlignment="1">
      <alignment horizontal="right" vertical="center"/>
    </xf>
    <xf numFmtId="172" fontId="2" fillId="0" borderId="1" xfId="0" applyNumberFormat="1" applyFont="1" applyBorder="1" applyAlignment="1">
      <alignment horizontal="center"/>
    </xf>
    <xf numFmtId="1" fontId="11" fillId="0" borderId="0" xfId="0" applyNumberFormat="1" applyFont="1"/>
    <xf numFmtId="0" fontId="11" fillId="2" borderId="0" xfId="0" applyFont="1" applyFill="1" applyAlignment="1">
      <alignment horizontal="justify" vertical="center"/>
    </xf>
    <xf numFmtId="0" fontId="11" fillId="2" borderId="0" xfId="0" applyFont="1" applyFill="1" applyAlignment="1">
      <alignment horizontal="center"/>
    </xf>
    <xf numFmtId="170" fontId="11" fillId="2" borderId="0" xfId="0" applyNumberFormat="1" applyFont="1" applyFill="1" applyAlignment="1">
      <alignment horizontal="center" vertical="center"/>
    </xf>
    <xf numFmtId="171" fontId="11" fillId="2" borderId="0" xfId="0" applyNumberFormat="1" applyFont="1" applyFill="1" applyAlignment="1">
      <alignment vertical="center"/>
    </xf>
    <xf numFmtId="1" fontId="11" fillId="2" borderId="0" xfId="0" applyNumberFormat="1" applyFont="1" applyFill="1" applyAlignment="1">
      <alignment horizontal="center" vertical="center"/>
    </xf>
    <xf numFmtId="0" fontId="11" fillId="2" borderId="0" xfId="0" applyFont="1" applyFill="1" applyAlignment="1">
      <alignment horizontal="center" vertical="center"/>
    </xf>
    <xf numFmtId="172" fontId="11" fillId="0" borderId="0" xfId="0" applyNumberFormat="1" applyFont="1" applyAlignment="1">
      <alignment horizontal="right" vertical="center"/>
    </xf>
    <xf numFmtId="172" fontId="11" fillId="0" borderId="0" xfId="0" applyNumberFormat="1" applyFont="1" applyAlignment="1">
      <alignment horizontal="center"/>
    </xf>
    <xf numFmtId="0" fontId="11" fillId="0" borderId="0" xfId="0" applyFont="1" applyAlignment="1">
      <alignment horizontal="justify" vertical="center"/>
    </xf>
    <xf numFmtId="0" fontId="11" fillId="0" borderId="9" xfId="0" applyFont="1" applyBorder="1"/>
    <xf numFmtId="171" fontId="11" fillId="2" borderId="0" xfId="0" applyNumberFormat="1" applyFont="1" applyFill="1" applyAlignment="1">
      <alignment horizontal="center" vertical="center"/>
    </xf>
    <xf numFmtId="0" fontId="13" fillId="2" borderId="0" xfId="0" applyFont="1" applyFill="1" applyAlignment="1">
      <alignment horizontal="center"/>
    </xf>
    <xf numFmtId="0" fontId="25" fillId="0" borderId="52" xfId="0" applyFont="1" applyBorder="1" applyAlignment="1">
      <alignment horizontal="center" vertical="center" wrapText="1"/>
    </xf>
    <xf numFmtId="0" fontId="25" fillId="0" borderId="54" xfId="0" applyFont="1" applyBorder="1" applyAlignment="1">
      <alignment horizontal="center" vertical="center"/>
    </xf>
    <xf numFmtId="0" fontId="25" fillId="0" borderId="0" xfId="0" applyFont="1" applyAlignment="1">
      <alignment horizontal="center" vertical="center" wrapText="1"/>
    </xf>
    <xf numFmtId="169" fontId="25" fillId="0" borderId="56" xfId="0" applyNumberFormat="1" applyFont="1" applyBorder="1" applyAlignment="1">
      <alignment horizontal="center" vertical="center"/>
    </xf>
    <xf numFmtId="17" fontId="25" fillId="0" borderId="56" xfId="0" applyNumberFormat="1" applyFont="1" applyBorder="1" applyAlignment="1">
      <alignment horizontal="center" vertical="center"/>
    </xf>
    <xf numFmtId="0" fontId="25" fillId="0" borderId="9" xfId="0" applyFont="1" applyBorder="1" applyAlignment="1">
      <alignment horizontal="center" vertical="center" wrapText="1"/>
    </xf>
    <xf numFmtId="3" fontId="25" fillId="5" borderId="56" xfId="0"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170" fontId="13" fillId="8" borderId="13" xfId="0" applyNumberFormat="1" applyFont="1" applyFill="1" applyBorder="1" applyAlignment="1">
      <alignment horizontal="center" vertical="center"/>
    </xf>
    <xf numFmtId="172" fontId="13" fillId="8" borderId="1" xfId="0" applyNumberFormat="1" applyFont="1" applyFill="1" applyBorder="1" applyAlignment="1">
      <alignment horizontal="center" vertical="center"/>
    </xf>
    <xf numFmtId="1" fontId="2" fillId="0" borderId="30" xfId="0" applyNumberFormat="1" applyFont="1" applyBorder="1" applyAlignment="1">
      <alignment horizontal="center" vertical="center"/>
    </xf>
    <xf numFmtId="0" fontId="3" fillId="8" borderId="3" xfId="0" applyFont="1" applyFill="1" applyBorder="1" applyAlignment="1">
      <alignment horizontal="left" vertical="center" wrapText="1"/>
    </xf>
    <xf numFmtId="0" fontId="3" fillId="8" borderId="14" xfId="0" applyFont="1" applyFill="1" applyBorder="1" applyAlignment="1">
      <alignment vertical="center"/>
    </xf>
    <xf numFmtId="0" fontId="2" fillId="8" borderId="1" xfId="0" applyFont="1" applyFill="1" applyBorder="1"/>
    <xf numFmtId="1" fontId="2" fillId="0" borderId="32" xfId="0" applyNumberFormat="1" applyFont="1" applyBorder="1" applyAlignment="1">
      <alignment horizontal="center" vertical="center"/>
    </xf>
    <xf numFmtId="43" fontId="13" fillId="0" borderId="4" xfId="0" applyNumberFormat="1" applyFont="1" applyBorder="1" applyAlignment="1">
      <alignment horizontal="center" vertical="center"/>
    </xf>
    <xf numFmtId="172" fontId="2" fillId="0" borderId="1" xfId="0" applyNumberFormat="1" applyFont="1" applyBorder="1" applyAlignment="1">
      <alignment horizontal="center" vertical="center"/>
    </xf>
    <xf numFmtId="174" fontId="11" fillId="2" borderId="0" xfId="0" applyNumberFormat="1" applyFont="1" applyFill="1" applyAlignment="1">
      <alignment vertical="center"/>
    </xf>
    <xf numFmtId="177" fontId="11" fillId="2" borderId="0" xfId="0" applyNumberFormat="1" applyFont="1" applyFill="1" applyAlignment="1">
      <alignment horizontal="center" vertical="center"/>
    </xf>
    <xf numFmtId="0" fontId="13" fillId="2" borderId="0" xfId="0" applyFont="1" applyFill="1" applyAlignment="1">
      <alignment horizontal="center" wrapText="1"/>
    </xf>
    <xf numFmtId="10" fontId="11" fillId="0" borderId="0" xfId="0" applyNumberFormat="1" applyFont="1"/>
    <xf numFmtId="4" fontId="13" fillId="6" borderId="13" xfId="1"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13" fillId="3" borderId="6" xfId="0" applyFont="1" applyFill="1" applyBorder="1" applyAlignment="1">
      <alignment horizontal="center" vertical="center"/>
    </xf>
    <xf numFmtId="4" fontId="13" fillId="3" borderId="6" xfId="1" applyNumberFormat="1" applyFont="1" applyFill="1" applyBorder="1" applyAlignment="1">
      <alignment horizontal="center" vertical="center"/>
    </xf>
    <xf numFmtId="0" fontId="13" fillId="3" borderId="6" xfId="0" applyFont="1" applyFill="1" applyBorder="1" applyAlignment="1">
      <alignment horizontal="left" vertical="center"/>
    </xf>
    <xf numFmtId="0" fontId="13" fillId="3" borderId="6" xfId="0" applyFont="1" applyFill="1" applyBorder="1" applyAlignment="1">
      <alignment horizontal="justify" vertical="center"/>
    </xf>
    <xf numFmtId="170" fontId="13" fillId="3" borderId="6" xfId="0" applyNumberFormat="1" applyFont="1" applyFill="1" applyBorder="1" applyAlignment="1">
      <alignment horizontal="center" vertical="center"/>
    </xf>
    <xf numFmtId="171" fontId="13" fillId="3" borderId="6" xfId="0" applyNumberFormat="1" applyFont="1" applyFill="1" applyBorder="1" applyAlignment="1">
      <alignment vertical="center"/>
    </xf>
    <xf numFmtId="0" fontId="13" fillId="3" borderId="6" xfId="0" applyFont="1" applyFill="1" applyBorder="1" applyAlignment="1">
      <alignment horizontal="justify" vertical="center" wrapText="1"/>
    </xf>
    <xf numFmtId="171" fontId="13" fillId="3" borderId="6" xfId="0" applyNumberFormat="1" applyFont="1" applyFill="1" applyBorder="1" applyAlignment="1">
      <alignment horizontal="center" vertical="center"/>
    </xf>
    <xf numFmtId="1" fontId="13" fillId="3" borderId="6" xfId="0" applyNumberFormat="1" applyFont="1" applyFill="1" applyBorder="1" applyAlignment="1">
      <alignment horizontal="center" vertical="center"/>
    </xf>
    <xf numFmtId="10" fontId="13" fillId="3" borderId="6" xfId="0" applyNumberFormat="1" applyFont="1" applyFill="1" applyBorder="1" applyAlignment="1">
      <alignment horizontal="center" vertical="center"/>
    </xf>
    <xf numFmtId="172" fontId="13" fillId="3" borderId="6" xfId="0" applyNumberFormat="1" applyFont="1" applyFill="1" applyBorder="1" applyAlignment="1">
      <alignment horizontal="center" vertical="center"/>
    </xf>
    <xf numFmtId="0" fontId="13" fillId="3" borderId="7" xfId="0" applyFont="1" applyFill="1" applyBorder="1" applyAlignment="1">
      <alignment horizontal="justify" vertical="center"/>
    </xf>
    <xf numFmtId="1" fontId="13" fillId="0" borderId="5"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3" fillId="8" borderId="12" xfId="0" applyFont="1" applyFill="1" applyBorder="1" applyAlignment="1">
      <alignment horizontal="left" vertical="center"/>
    </xf>
    <xf numFmtId="0" fontId="3" fillId="8" borderId="11" xfId="0" applyFont="1" applyFill="1" applyBorder="1" applyAlignment="1">
      <alignment vertical="center"/>
    </xf>
    <xf numFmtId="0" fontId="3" fillId="8" borderId="11" xfId="0" applyFont="1" applyFill="1" applyBorder="1" applyAlignment="1">
      <alignment horizontal="justify" vertical="center" wrapText="1"/>
    </xf>
    <xf numFmtId="0" fontId="4" fillId="8" borderId="11" xfId="0" applyFont="1" applyFill="1" applyBorder="1" applyAlignment="1">
      <alignment horizontal="center" vertical="center"/>
    </xf>
    <xf numFmtId="0" fontId="3" fillId="8" borderId="11" xfId="0" applyFont="1" applyFill="1" applyBorder="1" applyAlignment="1">
      <alignment horizontal="center" vertical="center"/>
    </xf>
    <xf numFmtId="4" fontId="3" fillId="8" borderId="11" xfId="1" applyNumberFormat="1" applyFont="1" applyFill="1" applyBorder="1" applyAlignment="1">
      <alignment horizontal="center" vertical="center"/>
    </xf>
    <xf numFmtId="0" fontId="13" fillId="8" borderId="11" xfId="0" applyFont="1" applyFill="1" applyBorder="1" applyAlignment="1">
      <alignment horizontal="left" vertical="center"/>
    </xf>
    <xf numFmtId="0" fontId="13" fillId="8" borderId="11" xfId="0" applyFont="1" applyFill="1" applyBorder="1" applyAlignment="1">
      <alignment horizontal="center" vertical="center"/>
    </xf>
    <xf numFmtId="0" fontId="13" fillId="8" borderId="11" xfId="0" applyFont="1" applyFill="1" applyBorder="1" applyAlignment="1">
      <alignment horizontal="justify" vertical="center"/>
    </xf>
    <xf numFmtId="170" fontId="13" fillId="8" borderId="6" xfId="0" applyNumberFormat="1" applyFont="1" applyFill="1" applyBorder="1" applyAlignment="1">
      <alignment horizontal="center" vertical="center"/>
    </xf>
    <xf numFmtId="171" fontId="13" fillId="8" borderId="6" xfId="0" applyNumberFormat="1" applyFont="1" applyFill="1" applyBorder="1" applyAlignment="1">
      <alignment vertical="center"/>
    </xf>
    <xf numFmtId="0" fontId="13" fillId="8" borderId="11" xfId="0" applyFont="1" applyFill="1" applyBorder="1" applyAlignment="1">
      <alignment horizontal="justify" vertical="center" wrapText="1"/>
    </xf>
    <xf numFmtId="166" fontId="13" fillId="8" borderId="6" xfId="0" applyNumberFormat="1" applyFont="1" applyFill="1" applyBorder="1" applyAlignment="1">
      <alignment horizontal="justify" vertical="center" wrapText="1"/>
    </xf>
    <xf numFmtId="171" fontId="13" fillId="8" borderId="6" xfId="0" applyNumberFormat="1" applyFont="1" applyFill="1" applyBorder="1" applyAlignment="1">
      <alignment horizontal="center" vertical="center"/>
    </xf>
    <xf numFmtId="1" fontId="13" fillId="8" borderId="6" xfId="0" applyNumberFormat="1" applyFont="1" applyFill="1" applyBorder="1" applyAlignment="1">
      <alignment horizontal="center" vertical="center"/>
    </xf>
    <xf numFmtId="10" fontId="13" fillId="8" borderId="11" xfId="0" applyNumberFormat="1" applyFont="1" applyFill="1" applyBorder="1" applyAlignment="1">
      <alignment horizontal="center" vertical="center"/>
    </xf>
    <xf numFmtId="172" fontId="13" fillId="8" borderId="11" xfId="0" applyNumberFormat="1" applyFont="1" applyFill="1" applyBorder="1" applyAlignment="1">
      <alignment horizontal="center" vertical="center"/>
    </xf>
    <xf numFmtId="0" fontId="13" fillId="8" borderId="12" xfId="0" applyFont="1" applyFill="1" applyBorder="1" applyAlignment="1">
      <alignment horizontal="justify" vertical="center"/>
    </xf>
    <xf numFmtId="1" fontId="4" fillId="0" borderId="2"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xf numFmtId="0" fontId="4" fillId="0" borderId="6" xfId="0" applyFont="1" applyBorder="1" applyAlignment="1">
      <alignment vertical="center" wrapText="1"/>
    </xf>
    <xf numFmtId="0" fontId="4" fillId="0" borderId="7" xfId="0" applyFont="1" applyBorder="1" applyAlignment="1">
      <alignment vertical="center" wrapText="1"/>
    </xf>
    <xf numFmtId="179" fontId="4" fillId="0" borderId="17" xfId="15" applyNumberFormat="1" applyFont="1" applyFill="1" applyBorder="1" applyAlignment="1">
      <alignment vertical="center"/>
    </xf>
    <xf numFmtId="179" fontId="4" fillId="0" borderId="30" xfId="15" applyNumberFormat="1" applyFont="1" applyFill="1" applyBorder="1" applyAlignment="1">
      <alignment vertical="center"/>
    </xf>
    <xf numFmtId="3" fontId="4" fillId="0" borderId="13" xfId="0" applyNumberFormat="1" applyFont="1" applyBorder="1" applyAlignment="1">
      <alignment vertical="center"/>
    </xf>
    <xf numFmtId="0" fontId="4" fillId="0" borderId="0" xfId="0" applyFont="1"/>
    <xf numFmtId="0" fontId="4" fillId="0" borderId="0" xfId="0" applyFont="1" applyAlignment="1">
      <alignment vertical="center" wrapText="1"/>
    </xf>
    <xf numFmtId="0" fontId="4" fillId="0" borderId="3" xfId="0" applyFont="1" applyBorder="1" applyAlignment="1">
      <alignment vertical="center" wrapText="1"/>
    </xf>
    <xf numFmtId="179" fontId="4" fillId="0" borderId="19" xfId="15" applyNumberFormat="1" applyFont="1" applyFill="1" applyBorder="1" applyAlignment="1">
      <alignment vertical="center"/>
    </xf>
    <xf numFmtId="179" fontId="4" fillId="0" borderId="21" xfId="15" applyNumberFormat="1" applyFont="1" applyFill="1" applyBorder="1" applyAlignment="1">
      <alignment vertical="center"/>
    </xf>
    <xf numFmtId="0" fontId="4" fillId="0" borderId="21" xfId="0" applyFont="1" applyBorder="1" applyAlignment="1">
      <alignment horizontal="center" vertical="center" wrapText="1"/>
    </xf>
    <xf numFmtId="3" fontId="4" fillId="0" borderId="14" xfId="0" applyNumberFormat="1" applyFont="1" applyBorder="1" applyAlignment="1">
      <alignment vertical="center"/>
    </xf>
    <xf numFmtId="179" fontId="4" fillId="0" borderId="1" xfId="15" applyNumberFormat="1" applyFont="1" applyFill="1" applyBorder="1" applyAlignment="1" applyProtection="1">
      <alignment horizontal="right" vertical="center"/>
      <protection locked="0"/>
    </xf>
    <xf numFmtId="179" fontId="4" fillId="0" borderId="1" xfId="15" applyNumberFormat="1" applyFont="1" applyFill="1" applyBorder="1" applyAlignment="1">
      <alignment vertical="center"/>
    </xf>
    <xf numFmtId="0" fontId="29" fillId="0" borderId="4" xfId="0" applyFont="1" applyBorder="1" applyAlignment="1">
      <alignment horizontal="center" vertical="center"/>
    </xf>
    <xf numFmtId="0" fontId="29" fillId="0" borderId="15" xfId="0" applyFont="1" applyBorder="1" applyAlignment="1">
      <alignment horizontal="center" vertical="center" wrapText="1"/>
    </xf>
    <xf numFmtId="179" fontId="2" fillId="0" borderId="1" xfId="15" applyNumberFormat="1" applyFont="1" applyFill="1" applyBorder="1" applyAlignment="1">
      <alignment vertical="center"/>
    </xf>
    <xf numFmtId="0" fontId="29" fillId="0" borderId="14" xfId="0" applyFont="1" applyBorder="1" applyAlignment="1">
      <alignment horizontal="center" vertical="center"/>
    </xf>
    <xf numFmtId="179" fontId="4" fillId="0" borderId="0" xfId="15" applyNumberFormat="1" applyFont="1" applyFill="1" applyBorder="1" applyAlignment="1">
      <alignment vertical="center"/>
    </xf>
    <xf numFmtId="0" fontId="29" fillId="0" borderId="13" xfId="0" applyFont="1" applyBorder="1" applyAlignment="1">
      <alignment horizontal="center" vertical="center"/>
    </xf>
    <xf numFmtId="179" fontId="4" fillId="0" borderId="23" xfId="15" applyNumberFormat="1" applyFont="1" applyFill="1" applyBorder="1" applyAlignment="1">
      <alignment vertical="center"/>
    </xf>
    <xf numFmtId="0" fontId="29" fillId="0" borderId="17" xfId="0" applyFont="1" applyBorder="1" applyAlignment="1">
      <alignment horizontal="center" vertical="center"/>
    </xf>
    <xf numFmtId="0" fontId="29" fillId="0" borderId="17" xfId="0" applyFont="1" applyBorder="1" applyAlignment="1">
      <alignment horizontal="center" vertical="center" wrapText="1"/>
    </xf>
    <xf numFmtId="1" fontId="4" fillId="0" borderId="2" xfId="0" applyNumberFormat="1" applyFont="1" applyBorder="1"/>
    <xf numFmtId="0" fontId="4" fillId="0" borderId="3" xfId="0" applyFont="1" applyBorder="1"/>
    <xf numFmtId="179" fontId="4" fillId="0" borderId="1" xfId="15" applyNumberFormat="1" applyFont="1" applyFill="1" applyBorder="1"/>
    <xf numFmtId="0" fontId="4" fillId="0" borderId="30" xfId="0" applyFont="1" applyBorder="1" applyAlignment="1">
      <alignment vertical="center" wrapText="1"/>
    </xf>
    <xf numFmtId="0" fontId="4" fillId="0" borderId="1" xfId="0" applyFont="1" applyBorder="1" applyAlignment="1">
      <alignment horizontal="center" vertical="center"/>
    </xf>
    <xf numFmtId="0" fontId="4" fillId="0" borderId="10" xfId="0" applyFont="1" applyBorder="1" applyAlignment="1">
      <alignment horizontal="justify" vertical="center" wrapText="1"/>
    </xf>
    <xf numFmtId="3" fontId="4" fillId="0" borderId="4" xfId="0" applyNumberFormat="1" applyFont="1" applyBorder="1" applyAlignment="1">
      <alignment vertical="center"/>
    </xf>
    <xf numFmtId="9" fontId="4" fillId="0" borderId="17" xfId="2" applyFont="1" applyFill="1" applyBorder="1" applyAlignment="1">
      <alignment horizontal="center" vertical="center"/>
    </xf>
    <xf numFmtId="179" fontId="4" fillId="0" borderId="22" xfId="15" applyNumberFormat="1" applyFont="1" applyFill="1" applyBorder="1" applyAlignment="1">
      <alignment vertical="center"/>
    </xf>
    <xf numFmtId="1" fontId="4" fillId="0" borderId="22" xfId="0" applyNumberFormat="1" applyFont="1" applyBorder="1" applyAlignment="1">
      <alignment horizontal="center" vertical="center"/>
    </xf>
    <xf numFmtId="179" fontId="4" fillId="0" borderId="20" xfId="15" applyNumberFormat="1" applyFont="1" applyFill="1" applyBorder="1" applyAlignment="1">
      <alignment vertical="center"/>
    </xf>
    <xf numFmtId="1" fontId="4" fillId="0" borderId="19" xfId="0" applyNumberFormat="1" applyFont="1" applyBorder="1" applyAlignment="1">
      <alignment horizontal="center" vertical="center"/>
    </xf>
    <xf numFmtId="179" fontId="4" fillId="0" borderId="25" xfId="15" applyNumberFormat="1" applyFont="1" applyFill="1" applyBorder="1" applyAlignment="1">
      <alignment vertical="center"/>
    </xf>
    <xf numFmtId="0" fontId="29" fillId="0" borderId="1" xfId="0" applyFont="1" applyBorder="1" applyAlignment="1">
      <alignment horizontal="center" vertical="center"/>
    </xf>
    <xf numFmtId="0" fontId="29" fillId="0" borderId="12" xfId="0" applyFont="1" applyBorder="1" applyAlignment="1">
      <alignment horizontal="center" vertical="center" wrapText="1"/>
    </xf>
    <xf numFmtId="49" fontId="4" fillId="0" borderId="14" xfId="0" applyNumberFormat="1" applyFont="1" applyBorder="1" applyAlignment="1">
      <alignment horizontal="center" vertical="center"/>
    </xf>
    <xf numFmtId="0" fontId="4" fillId="0" borderId="5" xfId="17" applyNumberFormat="1" applyFont="1" applyFill="1" applyBorder="1" applyAlignment="1">
      <alignment horizontal="justify" vertical="center" wrapText="1"/>
    </xf>
    <xf numFmtId="0" fontId="29" fillId="0" borderId="1" xfId="0" applyFont="1" applyBorder="1" applyAlignment="1">
      <alignment horizontal="justify" vertical="center" wrapText="1"/>
    </xf>
    <xf numFmtId="179" fontId="4" fillId="0" borderId="29" xfId="15" applyNumberFormat="1" applyFont="1" applyFill="1" applyBorder="1" applyAlignment="1">
      <alignment vertical="center"/>
    </xf>
    <xf numFmtId="0" fontId="29" fillId="0" borderId="1" xfId="0" applyFont="1" applyBorder="1" applyAlignment="1">
      <alignment horizontal="center" vertical="center" wrapText="1"/>
    </xf>
    <xf numFmtId="0" fontId="4" fillId="0" borderId="10" xfId="0" applyFont="1" applyBorder="1" applyAlignment="1">
      <alignment horizontal="center" vertical="center" wrapText="1"/>
    </xf>
    <xf numFmtId="3" fontId="4" fillId="0" borderId="39" xfId="0" applyNumberFormat="1" applyFont="1" applyBorder="1" applyAlignment="1">
      <alignment vertical="center"/>
    </xf>
    <xf numFmtId="0" fontId="29" fillId="0" borderId="4" xfId="0" applyFont="1" applyBorder="1" applyAlignment="1">
      <alignment horizontal="center" vertical="center" wrapText="1"/>
    </xf>
    <xf numFmtId="0" fontId="29" fillId="0" borderId="9" xfId="0" applyFont="1" applyBorder="1" applyAlignment="1">
      <alignment horizontal="center" vertical="center" wrapText="1"/>
    </xf>
    <xf numFmtId="176" fontId="30" fillId="0" borderId="10" xfId="12" applyFont="1" applyBorder="1" applyAlignment="1">
      <alignment horizontal="justify" vertical="center" wrapText="1"/>
    </xf>
    <xf numFmtId="3" fontId="30" fillId="0" borderId="1" xfId="12" applyNumberFormat="1" applyFont="1" applyBorder="1" applyAlignment="1">
      <alignment horizontal="center" vertical="center" wrapText="1"/>
    </xf>
    <xf numFmtId="176" fontId="30" fillId="0" borderId="5" xfId="12" applyFont="1" applyBorder="1" applyAlignment="1">
      <alignment horizontal="justify" vertical="center" wrapText="1"/>
    </xf>
    <xf numFmtId="179" fontId="4" fillId="0" borderId="25" xfId="15" applyNumberFormat="1" applyFont="1" applyFill="1" applyBorder="1" applyAlignment="1">
      <alignment horizontal="center" vertical="center"/>
    </xf>
    <xf numFmtId="9" fontId="4" fillId="0" borderId="1" xfId="2" applyFont="1" applyFill="1" applyBorder="1" applyAlignment="1">
      <alignment horizontal="center" vertical="center"/>
    </xf>
    <xf numFmtId="0" fontId="4" fillId="0" borderId="9" xfId="0" applyFont="1" applyBorder="1"/>
    <xf numFmtId="0" fontId="4" fillId="0" borderId="15" xfId="0" applyFont="1" applyBorder="1"/>
    <xf numFmtId="0" fontId="4" fillId="0" borderId="0" xfId="0" applyFont="1" applyAlignment="1">
      <alignment horizontal="left" vertical="center" wrapText="1"/>
    </xf>
    <xf numFmtId="9" fontId="4" fillId="0" borderId="4" xfId="2" applyFont="1" applyFill="1" applyBorder="1" applyAlignment="1">
      <alignment horizontal="center" vertical="center"/>
    </xf>
    <xf numFmtId="179" fontId="4" fillId="0" borderId="4" xfId="15" applyNumberFormat="1" applyFont="1" applyFill="1" applyBorder="1" applyAlignment="1">
      <alignment vertical="center"/>
    </xf>
    <xf numFmtId="179" fontId="4" fillId="0" borderId="14" xfId="15" applyNumberFormat="1" applyFont="1" applyFill="1" applyBorder="1" applyAlignment="1">
      <alignment vertical="center"/>
    </xf>
    <xf numFmtId="1" fontId="4" fillId="0" borderId="14"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0" borderId="10" xfId="0" applyNumberFormat="1" applyFont="1" applyBorder="1" applyAlignment="1">
      <alignment vertical="center"/>
    </xf>
    <xf numFmtId="43"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172" fontId="4" fillId="0" borderId="1" xfId="0" applyNumberFormat="1" applyFont="1" applyBorder="1" applyAlignment="1">
      <alignment horizontal="center" vertical="center"/>
    </xf>
    <xf numFmtId="172" fontId="4" fillId="0" borderId="7" xfId="0" applyNumberFormat="1" applyFont="1" applyBorder="1" applyAlignment="1">
      <alignment horizontal="center" vertical="center"/>
    </xf>
    <xf numFmtId="173" fontId="4" fillId="0" borderId="13" xfId="0" applyNumberFormat="1" applyFont="1" applyBorder="1" applyAlignment="1">
      <alignment horizontal="center" vertical="center" wrapText="1"/>
    </xf>
    <xf numFmtId="0" fontId="3" fillId="8" borderId="6" xfId="0" applyFont="1" applyFill="1" applyBorder="1" applyAlignment="1">
      <alignment vertical="center"/>
    </xf>
    <xf numFmtId="4" fontId="3" fillId="8" borderId="1" xfId="1" applyNumberFormat="1" applyFont="1" applyFill="1" applyBorder="1" applyAlignment="1">
      <alignment horizontal="center" vertical="center"/>
    </xf>
    <xf numFmtId="0" fontId="13" fillId="8" borderId="6" xfId="0" applyFont="1" applyFill="1" applyBorder="1" applyAlignment="1">
      <alignment horizontal="left" vertical="center" wrapText="1"/>
    </xf>
    <xf numFmtId="170" fontId="13" fillId="8" borderId="11" xfId="0" applyNumberFormat="1" applyFont="1" applyFill="1" applyBorder="1" applyAlignment="1">
      <alignment horizontal="center" vertical="center"/>
    </xf>
    <xf numFmtId="179" fontId="13" fillId="8" borderId="11" xfId="15" applyNumberFormat="1" applyFont="1" applyFill="1" applyBorder="1" applyAlignment="1">
      <alignment vertical="center"/>
    </xf>
    <xf numFmtId="0" fontId="3" fillId="8" borderId="17" xfId="0" applyFont="1" applyFill="1" applyBorder="1" applyAlignment="1">
      <alignment horizontal="justify" vertical="center" wrapText="1"/>
    </xf>
    <xf numFmtId="179" fontId="13" fillId="8" borderId="17" xfId="15" applyNumberFormat="1" applyFont="1" applyFill="1" applyBorder="1" applyAlignment="1">
      <alignment horizontal="center" vertical="center"/>
    </xf>
    <xf numFmtId="1" fontId="13" fillId="8" borderId="17" xfId="0" applyNumberFormat="1" applyFont="1" applyFill="1" applyBorder="1" applyAlignment="1">
      <alignment horizontal="center" vertical="center"/>
    </xf>
    <xf numFmtId="0" fontId="13" fillId="8" borderId="17" xfId="0" applyFont="1" applyFill="1" applyBorder="1" applyAlignment="1">
      <alignment horizontal="justify" vertical="center" wrapText="1"/>
    </xf>
    <xf numFmtId="0" fontId="13" fillId="8" borderId="17" xfId="0" applyFont="1" applyFill="1" applyBorder="1" applyAlignment="1">
      <alignment horizontal="center" vertical="center"/>
    </xf>
    <xf numFmtId="0" fontId="13" fillId="8" borderId="25" xfId="0" applyFont="1" applyFill="1" applyBorder="1" applyAlignment="1">
      <alignment horizontal="center" vertical="center"/>
    </xf>
    <xf numFmtId="10" fontId="13" fillId="8" borderId="1" xfId="0" applyNumberFormat="1" applyFont="1" applyFill="1" applyBorder="1" applyAlignment="1">
      <alignment horizontal="center" vertical="center"/>
    </xf>
    <xf numFmtId="172" fontId="13" fillId="8" borderId="30" xfId="0" applyNumberFormat="1" applyFont="1" applyFill="1" applyBorder="1" applyAlignment="1">
      <alignment horizontal="center" vertical="center"/>
    </xf>
    <xf numFmtId="172" fontId="13" fillId="8" borderId="17" xfId="0" applyNumberFormat="1" applyFont="1" applyFill="1" applyBorder="1" applyAlignment="1">
      <alignment horizontal="center" vertical="center"/>
    </xf>
    <xf numFmtId="0" fontId="13" fillId="8" borderId="12" xfId="0" applyFont="1" applyFill="1" applyBorder="1" applyAlignment="1">
      <alignment horizontal="justify" vertical="center" wrapText="1"/>
    </xf>
    <xf numFmtId="1" fontId="4" fillId="0" borderId="23" xfId="0" applyNumberFormat="1" applyFont="1" applyBorder="1" applyAlignment="1">
      <alignment horizontal="center" vertical="center"/>
    </xf>
    <xf numFmtId="179" fontId="4" fillId="0" borderId="17" xfId="15" applyNumberFormat="1" applyFont="1" applyFill="1" applyBorder="1" applyAlignment="1">
      <alignment horizontal="center" vertical="center"/>
    </xf>
    <xf numFmtId="1" fontId="11" fillId="0" borderId="8" xfId="0" applyNumberFormat="1" applyFont="1" applyBorder="1"/>
    <xf numFmtId="0" fontId="11" fillId="0" borderId="15" xfId="0" applyFont="1" applyBorder="1"/>
    <xf numFmtId="0" fontId="11" fillId="0" borderId="11" xfId="0" applyFont="1" applyBorder="1"/>
    <xf numFmtId="0" fontId="4" fillId="0" borderId="4" xfId="0" applyFont="1" applyBorder="1" applyAlignment="1">
      <alignment vertical="center" wrapText="1"/>
    </xf>
    <xf numFmtId="0" fontId="11" fillId="2" borderId="8" xfId="0" applyFont="1" applyFill="1" applyBorder="1"/>
    <xf numFmtId="43" fontId="3" fillId="0" borderId="1" xfId="0" applyNumberFormat="1" applyFont="1" applyBorder="1" applyAlignment="1">
      <alignment horizontal="center" vertical="center"/>
    </xf>
    <xf numFmtId="4" fontId="3" fillId="0" borderId="1" xfId="1" applyNumberFormat="1" applyFont="1" applyFill="1" applyBorder="1" applyAlignment="1">
      <alignment horizontal="center" vertical="center"/>
    </xf>
    <xf numFmtId="0" fontId="2" fillId="0" borderId="15" xfId="0" applyFont="1" applyBorder="1" applyAlignment="1">
      <alignment vertical="center" wrapText="1"/>
    </xf>
    <xf numFmtId="1" fontId="4" fillId="0" borderId="4" xfId="0" applyNumberFormat="1" applyFont="1" applyBorder="1" applyAlignment="1">
      <alignment vertical="center" wrapText="1"/>
    </xf>
    <xf numFmtId="0" fontId="4" fillId="0" borderId="8" xfId="0" applyFont="1" applyBorder="1" applyAlignment="1">
      <alignment vertical="center" wrapText="1"/>
    </xf>
    <xf numFmtId="9" fontId="2" fillId="2" borderId="17" xfId="2" applyFont="1" applyFill="1" applyBorder="1" applyAlignment="1">
      <alignment vertical="center"/>
    </xf>
    <xf numFmtId="179" fontId="3" fillId="0" borderId="15" xfId="15" applyNumberFormat="1" applyFont="1" applyFill="1" applyBorder="1" applyAlignment="1">
      <alignment vertical="center"/>
    </xf>
    <xf numFmtId="0" fontId="11" fillId="0" borderId="1" xfId="0" applyFont="1" applyBorder="1" applyAlignment="1">
      <alignment horizontal="justify" vertical="center" wrapText="1"/>
    </xf>
    <xf numFmtId="0" fontId="11" fillId="0" borderId="4" xfId="0" applyFont="1" applyBorder="1" applyAlignment="1">
      <alignment horizontal="justify" vertical="center" wrapText="1"/>
    </xf>
    <xf numFmtId="179" fontId="3" fillId="0" borderId="4" xfId="15" applyNumberFormat="1" applyFont="1" applyFill="1" applyBorder="1" applyAlignment="1">
      <alignment vertical="center"/>
    </xf>
    <xf numFmtId="1" fontId="11" fillId="0" borderId="4"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xf>
    <xf numFmtId="3" fontId="10" fillId="0" borderId="1" xfId="0" applyNumberFormat="1" applyFont="1" applyBorder="1" applyAlignment="1">
      <alignment horizontal="center" vertical="center"/>
    </xf>
    <xf numFmtId="10" fontId="11" fillId="0" borderId="1" xfId="0" applyNumberFormat="1" applyFont="1" applyBorder="1" applyAlignment="1">
      <alignment horizontal="center"/>
    </xf>
    <xf numFmtId="172" fontId="11" fillId="0" borderId="1" xfId="0" applyNumberFormat="1" applyFont="1" applyBorder="1" applyAlignment="1">
      <alignment horizontal="center" vertical="center"/>
    </xf>
    <xf numFmtId="172" fontId="11" fillId="0" borderId="12" xfId="0" applyNumberFormat="1" applyFont="1" applyBorder="1" applyAlignment="1">
      <alignment horizontal="center" vertical="center"/>
    </xf>
    <xf numFmtId="172" fontId="11" fillId="0" borderId="1" xfId="0" applyNumberFormat="1" applyFont="1" applyBorder="1" applyAlignment="1">
      <alignment horizontal="center"/>
    </xf>
    <xf numFmtId="0" fontId="11" fillId="0" borderId="1" xfId="0" applyFont="1" applyBorder="1" applyAlignment="1">
      <alignment horizontal="justify" vertical="center"/>
    </xf>
    <xf numFmtId="4" fontId="11" fillId="2" borderId="0" xfId="1" applyNumberFormat="1" applyFont="1" applyFill="1" applyAlignment="1">
      <alignment horizontal="center" vertical="center"/>
    </xf>
    <xf numFmtId="0" fontId="2" fillId="2" borderId="0" xfId="0" applyFont="1" applyFill="1" applyAlignment="1">
      <alignment horizontal="left" vertical="center"/>
    </xf>
    <xf numFmtId="3" fontId="11" fillId="0" borderId="0" xfId="0" applyNumberFormat="1" applyFont="1"/>
    <xf numFmtId="0" fontId="11" fillId="0" borderId="0" xfId="0" applyFont="1" applyAlignment="1">
      <alignment horizontal="justify" vertical="center" wrapText="1"/>
    </xf>
    <xf numFmtId="171" fontId="11" fillId="0" borderId="0" xfId="0" applyNumberFormat="1" applyFont="1" applyAlignment="1">
      <alignment horizontal="center" vertical="center"/>
    </xf>
    <xf numFmtId="171" fontId="2" fillId="2" borderId="9" xfId="0" applyNumberFormat="1" applyFont="1" applyFill="1" applyBorder="1" applyAlignment="1">
      <alignment vertical="center"/>
    </xf>
    <xf numFmtId="0" fontId="2" fillId="2" borderId="9" xfId="0" applyFont="1" applyFill="1" applyBorder="1" applyAlignment="1">
      <alignment horizontal="justify" vertical="center"/>
    </xf>
    <xf numFmtId="179" fontId="13" fillId="8" borderId="4" xfId="15" applyNumberFormat="1" applyFont="1" applyFill="1" applyBorder="1" applyAlignment="1">
      <alignment horizontal="center" vertical="center" textRotation="180" wrapText="1"/>
    </xf>
    <xf numFmtId="179" fontId="2" fillId="0" borderId="17" xfId="15" applyNumberFormat="1" applyFont="1" applyFill="1" applyBorder="1" applyAlignment="1">
      <alignment horizontal="center" vertical="center"/>
    </xf>
    <xf numFmtId="179" fontId="2" fillId="0" borderId="17" xfId="15" applyNumberFormat="1" applyFont="1" applyBorder="1" applyAlignment="1">
      <alignment horizontal="center" vertical="center"/>
    </xf>
    <xf numFmtId="179" fontId="2" fillId="8" borderId="4" xfId="15" applyNumberFormat="1" applyFont="1" applyFill="1" applyBorder="1" applyAlignment="1">
      <alignment horizontal="center" vertical="center" wrapText="1"/>
    </xf>
    <xf numFmtId="179" fontId="4" fillId="0" borderId="1" xfId="15" applyNumberFormat="1" applyFont="1" applyFill="1" applyBorder="1" applyAlignment="1">
      <alignment horizontal="right" vertical="center" wrapText="1"/>
    </xf>
    <xf numFmtId="179" fontId="2" fillId="0" borderId="1" xfId="15" applyNumberFormat="1" applyFont="1" applyFill="1" applyBorder="1" applyAlignment="1">
      <alignment horizontal="center" vertical="center"/>
    </xf>
    <xf numFmtId="179" fontId="4" fillId="0" borderId="10" xfId="15" applyNumberFormat="1" applyFont="1" applyFill="1" applyBorder="1" applyAlignment="1">
      <alignment horizontal="right" vertical="center" wrapText="1"/>
    </xf>
    <xf numFmtId="179" fontId="4" fillId="0" borderId="8" xfId="15" applyNumberFormat="1" applyFont="1" applyFill="1" applyBorder="1" applyAlignment="1">
      <alignment horizontal="right" vertical="center" wrapText="1"/>
    </xf>
    <xf numFmtId="179" fontId="4" fillId="0" borderId="11" xfId="15" applyNumberFormat="1" applyFont="1" applyFill="1" applyBorder="1" applyAlignment="1">
      <alignment horizontal="right" vertical="center" wrapText="1"/>
    </xf>
    <xf numFmtId="179" fontId="4" fillId="0" borderId="2" xfId="15" applyNumberFormat="1" applyFont="1" applyFill="1" applyBorder="1" applyAlignment="1">
      <alignment horizontal="right" vertical="center" wrapText="1"/>
    </xf>
    <xf numFmtId="179" fontId="2" fillId="0" borderId="17" xfId="15" applyNumberFormat="1" applyFont="1" applyFill="1" applyBorder="1" applyAlignment="1">
      <alignment horizontal="center" vertical="center" wrapText="1"/>
    </xf>
    <xf numFmtId="179" fontId="2" fillId="0" borderId="23" xfId="15" applyNumberFormat="1" applyFont="1" applyFill="1" applyBorder="1" applyAlignment="1">
      <alignment horizontal="center" vertical="center" wrapText="1"/>
    </xf>
    <xf numFmtId="179" fontId="2" fillId="0" borderId="15" xfId="15" applyNumberFormat="1" applyFont="1" applyFill="1" applyBorder="1" applyAlignment="1">
      <alignment horizontal="center" vertical="center" wrapText="1"/>
    </xf>
    <xf numFmtId="179" fontId="2" fillId="0" borderId="4" xfId="15" applyNumberFormat="1" applyFont="1" applyFill="1" applyBorder="1" applyAlignment="1">
      <alignment horizontal="center" vertical="center" wrapText="1"/>
    </xf>
    <xf numFmtId="179" fontId="2" fillId="0" borderId="3" xfId="15" applyNumberFormat="1" applyFont="1" applyFill="1" applyBorder="1" applyAlignment="1">
      <alignment horizontal="center" vertical="center" wrapText="1"/>
    </xf>
    <xf numFmtId="179" fontId="2" fillId="2" borderId="19" xfId="15" applyNumberFormat="1" applyFont="1" applyFill="1" applyBorder="1" applyAlignment="1">
      <alignment vertical="center" wrapText="1"/>
    </xf>
    <xf numFmtId="179" fontId="2" fillId="2" borderId="3" xfId="15" applyNumberFormat="1" applyFont="1" applyFill="1" applyBorder="1" applyAlignment="1">
      <alignment horizontal="center" vertical="center" wrapText="1"/>
    </xf>
    <xf numFmtId="179" fontId="2" fillId="0" borderId="1" xfId="15" applyNumberFormat="1" applyFont="1" applyFill="1" applyBorder="1" applyAlignment="1">
      <alignment vertical="center" wrapText="1"/>
    </xf>
    <xf numFmtId="179" fontId="2" fillId="0" borderId="1" xfId="15" applyNumberFormat="1" applyFont="1" applyFill="1" applyBorder="1" applyAlignment="1">
      <alignment horizontal="center" vertical="center" wrapText="1"/>
    </xf>
    <xf numFmtId="179" fontId="2" fillId="2" borderId="1" xfId="15" applyNumberFormat="1" applyFont="1" applyFill="1" applyBorder="1" applyAlignment="1">
      <alignment horizontal="center" vertical="center" wrapText="1"/>
    </xf>
    <xf numFmtId="179" fontId="2" fillId="2" borderId="15" xfId="15" applyNumberFormat="1" applyFont="1" applyFill="1" applyBorder="1" applyAlignment="1">
      <alignment horizontal="center" vertical="center" wrapText="1"/>
    </xf>
    <xf numFmtId="179" fontId="4" fillId="0" borderId="23" xfId="15" applyNumberFormat="1" applyFont="1" applyFill="1" applyBorder="1" applyAlignment="1">
      <alignment horizontal="right" vertical="center" wrapText="1"/>
    </xf>
    <xf numFmtId="179" fontId="4" fillId="0" borderId="17" xfId="15" applyNumberFormat="1" applyFont="1" applyFill="1" applyBorder="1" applyAlignment="1">
      <alignment horizontal="right" vertical="center" wrapText="1"/>
    </xf>
    <xf numFmtId="179" fontId="4" fillId="0" borderId="25" xfId="15" applyNumberFormat="1" applyFont="1" applyFill="1" applyBorder="1" applyAlignment="1">
      <alignment horizontal="right" vertical="center" wrapText="1"/>
    </xf>
    <xf numFmtId="179" fontId="4" fillId="0" borderId="19" xfId="15" applyNumberFormat="1" applyFont="1" applyFill="1" applyBorder="1" applyAlignment="1">
      <alignment horizontal="right" vertical="center" wrapText="1"/>
    </xf>
    <xf numFmtId="179" fontId="2" fillId="8" borderId="4" xfId="15" applyNumberFormat="1" applyFont="1" applyFill="1" applyBorder="1" applyAlignment="1">
      <alignment vertical="center" wrapText="1"/>
    </xf>
    <xf numFmtId="179" fontId="13" fillId="8" borderId="0" xfId="15" applyNumberFormat="1" applyFont="1" applyFill="1" applyAlignment="1">
      <alignment vertical="center"/>
    </xf>
    <xf numFmtId="179" fontId="3" fillId="0" borderId="4" xfId="15" applyNumberFormat="1" applyFont="1" applyBorder="1" applyAlignment="1">
      <alignment vertical="center"/>
    </xf>
    <xf numFmtId="179" fontId="2" fillId="8" borderId="1" xfId="15" applyNumberFormat="1" applyFont="1" applyFill="1" applyBorder="1" applyAlignment="1">
      <alignment vertical="center"/>
    </xf>
    <xf numFmtId="179" fontId="2" fillId="0" borderId="1" xfId="15" applyNumberFormat="1" applyFont="1" applyBorder="1" applyAlignment="1">
      <alignment vertical="center"/>
    </xf>
    <xf numFmtId="179" fontId="2" fillId="8" borderId="17" xfId="15" applyNumberFormat="1" applyFont="1" applyFill="1" applyBorder="1" applyAlignment="1">
      <alignment vertical="center"/>
    </xf>
    <xf numFmtId="179" fontId="2" fillId="8" borderId="14" xfId="15" applyNumberFormat="1" applyFont="1" applyFill="1" applyBorder="1" applyAlignment="1">
      <alignment vertical="center"/>
    </xf>
    <xf numFmtId="179" fontId="2" fillId="8" borderId="4" xfId="15" applyNumberFormat="1" applyFont="1" applyFill="1" applyBorder="1" applyAlignment="1">
      <alignment vertical="center"/>
    </xf>
    <xf numFmtId="179" fontId="2" fillId="3" borderId="1" xfId="15" applyNumberFormat="1" applyFont="1" applyFill="1" applyBorder="1" applyAlignment="1">
      <alignment vertical="center"/>
    </xf>
    <xf numFmtId="179" fontId="2" fillId="2" borderId="1" xfId="15" applyNumberFormat="1" applyFont="1" applyFill="1" applyBorder="1" applyAlignment="1">
      <alignment vertical="center"/>
    </xf>
    <xf numFmtId="179" fontId="13" fillId="0" borderId="1" xfId="15" applyNumberFormat="1" applyFont="1" applyBorder="1" applyAlignment="1">
      <alignment horizontal="center" vertical="center"/>
    </xf>
    <xf numFmtId="179" fontId="2" fillId="2" borderId="17" xfId="15" applyNumberFormat="1" applyFont="1" applyFill="1" applyBorder="1" applyAlignment="1">
      <alignment horizontal="center" vertical="center"/>
    </xf>
    <xf numFmtId="179" fontId="2" fillId="2" borderId="17" xfId="15" applyNumberFormat="1" applyFont="1" applyFill="1" applyBorder="1" applyAlignment="1">
      <alignment horizontal="center" vertical="center" wrapText="1"/>
    </xf>
    <xf numFmtId="179" fontId="2" fillId="2" borderId="30" xfId="15" applyNumberFormat="1" applyFont="1" applyFill="1" applyBorder="1" applyAlignment="1">
      <alignment horizontal="center" vertical="center"/>
    </xf>
    <xf numFmtId="179" fontId="2" fillId="2" borderId="21" xfId="15" applyNumberFormat="1" applyFont="1" applyFill="1" applyBorder="1" applyAlignment="1">
      <alignment horizontal="center" vertical="center"/>
    </xf>
    <xf numFmtId="179" fontId="2" fillId="2" borderId="19" xfId="15" applyNumberFormat="1" applyFont="1" applyFill="1" applyBorder="1" applyAlignment="1">
      <alignment horizontal="center" vertical="center"/>
    </xf>
    <xf numFmtId="179" fontId="2" fillId="2" borderId="8" xfId="15" applyNumberFormat="1" applyFont="1" applyFill="1" applyBorder="1" applyAlignment="1">
      <alignment horizontal="center" vertical="center"/>
    </xf>
    <xf numFmtId="179" fontId="2" fillId="2" borderId="10" xfId="15" applyNumberFormat="1" applyFont="1" applyFill="1" applyBorder="1" applyAlignment="1">
      <alignment horizontal="center" vertical="center"/>
    </xf>
    <xf numFmtId="179" fontId="2" fillId="2" borderId="1" xfId="15" applyNumberFormat="1" applyFont="1" applyFill="1" applyBorder="1" applyAlignment="1">
      <alignment horizontal="center" vertical="center"/>
    </xf>
    <xf numFmtId="179" fontId="2" fillId="2" borderId="4" xfId="15" applyNumberFormat="1" applyFont="1" applyFill="1" applyBorder="1" applyAlignment="1">
      <alignment horizontal="center" vertical="center"/>
    </xf>
    <xf numFmtId="179" fontId="2" fillId="2" borderId="25" xfId="15" applyNumberFormat="1" applyFont="1" applyFill="1" applyBorder="1" applyAlignment="1">
      <alignment horizontal="center" vertical="center"/>
    </xf>
    <xf numFmtId="179" fontId="2" fillId="8" borderId="1" xfId="15" applyNumberFormat="1" applyFont="1" applyFill="1" applyBorder="1" applyAlignment="1">
      <alignment horizontal="center" vertical="center"/>
    </xf>
    <xf numFmtId="179" fontId="2" fillId="0" borderId="1" xfId="15" applyNumberFormat="1" applyFont="1" applyBorder="1" applyAlignment="1">
      <alignment horizontal="center" vertical="center"/>
    </xf>
    <xf numFmtId="179" fontId="2" fillId="8" borderId="13" xfId="15" applyNumberFormat="1" applyFont="1" applyFill="1" applyBorder="1" applyAlignment="1">
      <alignment horizontal="center" vertical="center"/>
    </xf>
    <xf numFmtId="179" fontId="2" fillId="8" borderId="4" xfId="15" applyNumberFormat="1" applyFont="1" applyFill="1" applyBorder="1" applyAlignment="1">
      <alignment horizontal="center" vertical="center"/>
    </xf>
    <xf numFmtId="179" fontId="2" fillId="2" borderId="13" xfId="15" applyNumberFormat="1" applyFont="1" applyFill="1" applyBorder="1" applyAlignment="1">
      <alignment horizontal="center" vertical="center"/>
    </xf>
    <xf numFmtId="179" fontId="2" fillId="0" borderId="13" xfId="15" applyNumberFormat="1" applyFont="1" applyBorder="1" applyAlignment="1">
      <alignment horizontal="center" vertical="center"/>
    </xf>
    <xf numFmtId="179" fontId="2" fillId="8" borderId="17" xfId="15" applyNumberFormat="1" applyFont="1" applyFill="1" applyBorder="1" applyAlignment="1">
      <alignment horizontal="center" vertical="center"/>
    </xf>
    <xf numFmtId="179" fontId="2" fillId="8" borderId="14" xfId="15" applyNumberFormat="1" applyFont="1" applyFill="1" applyBorder="1" applyAlignment="1">
      <alignment horizontal="center" vertical="center"/>
    </xf>
    <xf numFmtId="179" fontId="2" fillId="0" borderId="8" xfId="15" applyNumberFormat="1" applyFont="1" applyBorder="1" applyAlignment="1">
      <alignment horizontal="center" vertical="center"/>
    </xf>
    <xf numFmtId="179" fontId="2" fillId="0" borderId="23" xfId="15" applyNumberFormat="1" applyFont="1" applyBorder="1" applyAlignment="1">
      <alignment horizontal="center" vertical="center"/>
    </xf>
    <xf numFmtId="179" fontId="2" fillId="3" borderId="1" xfId="15" applyNumberFormat="1" applyFont="1" applyFill="1" applyBorder="1" applyAlignment="1">
      <alignment horizontal="center" vertical="center"/>
    </xf>
    <xf numFmtId="179" fontId="2" fillId="3" borderId="4" xfId="15" applyNumberFormat="1" applyFont="1" applyFill="1" applyBorder="1" applyAlignment="1">
      <alignment horizontal="center" vertical="center"/>
    </xf>
    <xf numFmtId="179" fontId="2" fillId="0" borderId="25" xfId="15" applyNumberFormat="1" applyFont="1" applyBorder="1" applyAlignment="1">
      <alignment horizontal="center" vertical="center"/>
    </xf>
    <xf numFmtId="179" fontId="2" fillId="0" borderId="19" xfId="15" applyNumberFormat="1" applyFont="1" applyBorder="1" applyAlignment="1">
      <alignment horizontal="center" vertical="center"/>
    </xf>
    <xf numFmtId="179" fontId="2" fillId="0" borderId="20" xfId="15" applyNumberFormat="1" applyFont="1" applyBorder="1" applyAlignment="1">
      <alignment horizontal="center" vertical="center"/>
    </xf>
    <xf numFmtId="179" fontId="2" fillId="2" borderId="20" xfId="15" applyNumberFormat="1" applyFont="1" applyFill="1" applyBorder="1" applyAlignment="1">
      <alignment horizontal="center" vertical="center"/>
    </xf>
    <xf numFmtId="179" fontId="2" fillId="2" borderId="32" xfId="15" applyNumberFormat="1" applyFont="1" applyFill="1" applyBorder="1" applyAlignment="1">
      <alignment horizontal="center" vertical="center"/>
    </xf>
    <xf numFmtId="179" fontId="2" fillId="2" borderId="33" xfId="15" applyNumberFormat="1" applyFont="1" applyFill="1" applyBorder="1" applyAlignment="1">
      <alignment horizontal="center" vertical="center"/>
    </xf>
    <xf numFmtId="179" fontId="2" fillId="2" borderId="29" xfId="15" applyNumberFormat="1" applyFont="1" applyFill="1" applyBorder="1" applyAlignment="1">
      <alignment horizontal="center" vertical="center"/>
    </xf>
    <xf numFmtId="179" fontId="2" fillId="2" borderId="9" xfId="15" applyNumberFormat="1" applyFont="1" applyFill="1" applyBorder="1" applyAlignment="1">
      <alignment horizontal="center" vertical="center"/>
    </xf>
    <xf numFmtId="179" fontId="2" fillId="2" borderId="22" xfId="15" applyNumberFormat="1" applyFont="1" applyFill="1" applyBorder="1" applyAlignment="1">
      <alignment horizontal="center" vertical="center"/>
    </xf>
    <xf numFmtId="179" fontId="2" fillId="2" borderId="14" xfId="15" applyNumberFormat="1" applyFont="1" applyFill="1" applyBorder="1" applyAlignment="1">
      <alignment horizontal="center" vertical="center"/>
    </xf>
    <xf numFmtId="179" fontId="2" fillId="2" borderId="2" xfId="15" applyNumberFormat="1" applyFont="1" applyFill="1" applyBorder="1" applyAlignment="1">
      <alignment horizontal="center" vertical="center"/>
    </xf>
    <xf numFmtId="0" fontId="29" fillId="0" borderId="0" xfId="0" applyFont="1" applyAlignment="1">
      <alignment horizontal="center" vertical="center"/>
    </xf>
    <xf numFmtId="0" fontId="25" fillId="0" borderId="54" xfId="0" applyFont="1" applyBorder="1" applyAlignment="1">
      <alignment horizontal="right" vertical="center"/>
    </xf>
    <xf numFmtId="169" fontId="25" fillId="0" borderId="56" xfId="0" applyNumberFormat="1" applyFont="1" applyBorder="1" applyAlignment="1">
      <alignment horizontal="right" vertical="center"/>
    </xf>
    <xf numFmtId="17" fontId="25" fillId="0" borderId="56" xfId="0" applyNumberFormat="1" applyFont="1" applyBorder="1" applyAlignment="1">
      <alignment horizontal="right" vertical="center"/>
    </xf>
    <xf numFmtId="0" fontId="29" fillId="0" borderId="0" xfId="0" applyFont="1" applyAlignment="1">
      <alignment wrapText="1"/>
    </xf>
    <xf numFmtId="3" fontId="25" fillId="5" borderId="56" xfId="0" applyNumberFormat="1" applyFont="1" applyFill="1" applyBorder="1" applyAlignment="1">
      <alignment horizontal="right" vertical="center" wrapText="1"/>
    </xf>
    <xf numFmtId="0" fontId="4" fillId="0" borderId="9" xfId="0" applyFont="1" applyBorder="1" applyAlignment="1">
      <alignment horizontal="center" vertical="center"/>
    </xf>
    <xf numFmtId="43" fontId="4" fillId="0" borderId="9" xfId="17" applyFont="1" applyBorder="1" applyAlignment="1">
      <alignment horizontal="center" vertical="center"/>
    </xf>
    <xf numFmtId="175" fontId="3" fillId="0" borderId="9" xfId="17" applyNumberFormat="1" applyFont="1" applyBorder="1" applyAlignment="1">
      <alignment horizontal="center" vertical="center"/>
    </xf>
    <xf numFmtId="175" fontId="3" fillId="0" borderId="9" xfId="17" applyNumberFormat="1" applyFont="1" applyBorder="1" applyAlignment="1">
      <alignment horizontal="justify" vertical="center" wrapText="1"/>
    </xf>
    <xf numFmtId="0" fontId="4" fillId="0" borderId="59" xfId="0" applyFont="1" applyBorder="1" applyAlignment="1">
      <alignment horizontal="center" vertical="center"/>
    </xf>
    <xf numFmtId="177" fontId="13" fillId="6" borderId="1" xfId="0" applyNumberFormat="1" applyFont="1" applyFill="1" applyBorder="1" applyAlignment="1">
      <alignment vertical="center" wrapText="1"/>
    </xf>
    <xf numFmtId="177" fontId="13" fillId="6" borderId="14" xfId="0" applyNumberFormat="1" applyFont="1" applyFill="1" applyBorder="1" applyAlignment="1">
      <alignment vertical="center" wrapText="1"/>
    </xf>
    <xf numFmtId="177" fontId="13" fillId="6" borderId="4" xfId="0" applyNumberFormat="1" applyFont="1" applyFill="1" applyBorder="1" applyAlignment="1">
      <alignment vertical="center" wrapText="1"/>
    </xf>
    <xf numFmtId="0" fontId="3" fillId="8" borderId="7" xfId="0" applyFont="1" applyFill="1" applyBorder="1" applyAlignment="1">
      <alignment horizontal="left" vertical="center" wrapText="1"/>
    </xf>
    <xf numFmtId="177" fontId="13" fillId="8" borderId="1" xfId="0"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0" fontId="13" fillId="8" borderId="13" xfId="0" applyFont="1" applyFill="1" applyBorder="1" applyAlignment="1">
      <alignment horizontal="justify" vertical="center" wrapText="1"/>
    </xf>
    <xf numFmtId="0" fontId="2" fillId="2" borderId="5" xfId="0" applyFont="1" applyFill="1" applyBorder="1" applyAlignment="1">
      <alignment horizontal="center" vertical="center" wrapText="1"/>
    </xf>
    <xf numFmtId="4" fontId="4" fillId="0" borderId="12" xfId="17" applyNumberFormat="1" applyFont="1" applyFill="1" applyBorder="1" applyAlignment="1">
      <alignment horizontal="right" vertical="center"/>
    </xf>
    <xf numFmtId="4" fontId="4" fillId="0" borderId="1" xfId="17" applyNumberFormat="1" applyFont="1" applyFill="1" applyBorder="1" applyAlignment="1">
      <alignment horizontal="right" vertical="center"/>
    </xf>
    <xf numFmtId="4" fontId="4" fillId="0" borderId="7" xfId="17" applyNumberFormat="1" applyFont="1" applyFill="1" applyBorder="1" applyAlignment="1">
      <alignment horizontal="right" vertical="center"/>
    </xf>
    <xf numFmtId="4" fontId="4" fillId="0" borderId="13" xfId="17" applyNumberFormat="1" applyFont="1" applyFill="1" applyBorder="1" applyAlignment="1">
      <alignment horizontal="right" vertical="center"/>
    </xf>
    <xf numFmtId="1" fontId="2" fillId="0" borderId="13" xfId="0" applyNumberFormat="1" applyFont="1" applyBorder="1" applyAlignment="1">
      <alignment horizontal="center" vertical="center" wrapText="1"/>
    </xf>
    <xf numFmtId="0" fontId="2" fillId="2" borderId="19" xfId="0" applyFont="1" applyFill="1" applyBorder="1" applyAlignment="1" applyProtection="1">
      <alignment horizontal="justify" vertical="center" wrapText="1"/>
      <protection locked="0"/>
    </xf>
    <xf numFmtId="0" fontId="2" fillId="2" borderId="17" xfId="0" applyFont="1" applyFill="1" applyBorder="1" applyAlignment="1" applyProtection="1">
      <alignment horizontal="justify" vertical="center" wrapText="1"/>
      <protection locked="0"/>
    </xf>
    <xf numFmtId="0" fontId="2" fillId="2" borderId="3" xfId="0" applyFont="1" applyFill="1" applyBorder="1" applyAlignment="1" applyProtection="1">
      <alignment horizontal="justify" vertical="center" wrapText="1"/>
      <protection locked="0"/>
    </xf>
    <xf numFmtId="4" fontId="4" fillId="2" borderId="13" xfId="17" applyNumberFormat="1" applyFont="1" applyFill="1" applyBorder="1" applyAlignment="1">
      <alignment horizontal="right" vertical="center"/>
    </xf>
    <xf numFmtId="4" fontId="4" fillId="2" borderId="1" xfId="17" applyNumberFormat="1" applyFont="1" applyFill="1" applyBorder="1" applyAlignment="1">
      <alignment horizontal="right" vertical="center"/>
    </xf>
    <xf numFmtId="0" fontId="2" fillId="2" borderId="10" xfId="0" applyFont="1" applyFill="1" applyBorder="1" applyAlignment="1">
      <alignment horizontal="justify" vertical="center" wrapText="1"/>
    </xf>
    <xf numFmtId="0" fontId="2" fillId="0" borderId="10" xfId="0" applyFont="1" applyBorder="1"/>
    <xf numFmtId="171" fontId="13" fillId="6" borderId="1" xfId="0" applyNumberFormat="1" applyFont="1" applyFill="1" applyBorder="1" applyAlignment="1">
      <alignment vertical="center" wrapText="1"/>
    </xf>
    <xf numFmtId="0" fontId="3" fillId="3" borderId="2" xfId="0" applyFont="1" applyFill="1" applyBorder="1" applyAlignment="1">
      <alignment horizontal="left"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9" xfId="0" applyFont="1" applyFill="1" applyBorder="1" applyAlignment="1">
      <alignment horizontal="justify" vertical="center" wrapText="1"/>
    </xf>
    <xf numFmtId="0" fontId="4" fillId="3" borderId="9" xfId="0" applyFont="1" applyFill="1" applyBorder="1" applyAlignment="1">
      <alignment horizontal="center" vertical="center"/>
    </xf>
    <xf numFmtId="0" fontId="4" fillId="3" borderId="9" xfId="0" applyFont="1" applyFill="1" applyBorder="1" applyAlignment="1">
      <alignment vertical="center"/>
    </xf>
    <xf numFmtId="0" fontId="4" fillId="3" borderId="9" xfId="0" applyFont="1" applyFill="1" applyBorder="1" applyAlignment="1">
      <alignment horizontal="justify" vertical="center"/>
    </xf>
    <xf numFmtId="9" fontId="4" fillId="3" borderId="9" xfId="2"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justify" vertical="center"/>
    </xf>
    <xf numFmtId="0" fontId="3" fillId="0" borderId="5" xfId="0" applyFont="1" applyBorder="1" applyAlignment="1">
      <alignment horizontal="center" vertical="center" wrapText="1"/>
    </xf>
    <xf numFmtId="0" fontId="3" fillId="8" borderId="6" xfId="0" applyFont="1" applyFill="1" applyBorder="1" applyAlignment="1">
      <alignment horizontal="left" vertical="center"/>
    </xf>
    <xf numFmtId="0" fontId="3" fillId="8" borderId="11" xfId="0" applyFont="1" applyFill="1" applyBorder="1" applyAlignment="1">
      <alignment vertical="center" wrapText="1"/>
    </xf>
    <xf numFmtId="0" fontId="3" fillId="8" borderId="11" xfId="0" applyFont="1" applyFill="1" applyBorder="1" applyAlignment="1">
      <alignment horizontal="justify" vertical="center"/>
    </xf>
    <xf numFmtId="166" fontId="3" fillId="8" borderId="11" xfId="3" applyFont="1" applyFill="1" applyBorder="1" applyAlignment="1">
      <alignment horizontal="justify" vertical="center"/>
    </xf>
    <xf numFmtId="9" fontId="3" fillId="8" borderId="11" xfId="2" applyFont="1" applyFill="1" applyBorder="1" applyAlignment="1">
      <alignment horizontal="center" vertical="center"/>
    </xf>
    <xf numFmtId="166" fontId="3" fillId="8" borderId="11" xfId="1" applyFont="1" applyFill="1" applyBorder="1" applyAlignment="1">
      <alignment horizontal="center" vertical="center"/>
    </xf>
    <xf numFmtId="166" fontId="3" fillId="8" borderId="11" xfId="3" applyFont="1" applyFill="1" applyBorder="1" applyAlignment="1">
      <alignment horizontal="center" vertical="center"/>
    </xf>
    <xf numFmtId="166" fontId="3" fillId="8" borderId="11" xfId="1" applyFont="1" applyFill="1" applyBorder="1" applyAlignment="1">
      <alignment horizontal="center" vertical="center" wrapText="1"/>
    </xf>
    <xf numFmtId="166" fontId="4" fillId="8" borderId="11" xfId="3" applyFont="1" applyFill="1" applyBorder="1" applyAlignment="1">
      <alignment horizontal="justify" vertical="center"/>
    </xf>
    <xf numFmtId="166" fontId="3" fillId="8" borderId="12" xfId="3" applyFont="1" applyFill="1" applyBorder="1" applyAlignment="1">
      <alignment horizontal="justify" vertical="center"/>
    </xf>
    <xf numFmtId="0" fontId="3" fillId="0" borderId="2" xfId="0" applyFont="1" applyBorder="1" applyAlignment="1">
      <alignment horizontal="center" vertical="center" wrapText="1"/>
    </xf>
    <xf numFmtId="0" fontId="31" fillId="0" borderId="17" xfId="0" applyFont="1" applyBorder="1" applyAlignment="1">
      <alignment horizontal="center" vertical="center" wrapText="1"/>
    </xf>
    <xf numFmtId="2" fontId="2" fillId="0" borderId="1" xfId="3" applyNumberFormat="1" applyFont="1" applyBorder="1" applyAlignment="1">
      <alignment horizontal="center" vertical="center"/>
    </xf>
    <xf numFmtId="0" fontId="26" fillId="0" borderId="1" xfId="0" applyFont="1" applyBorder="1" applyAlignment="1">
      <alignment vertical="center" wrapText="1"/>
    </xf>
    <xf numFmtId="166" fontId="4" fillId="0" borderId="1" xfId="1" applyFont="1" applyBorder="1" applyAlignment="1">
      <alignment vertical="center"/>
    </xf>
    <xf numFmtId="0" fontId="26" fillId="0" borderId="4" xfId="0" applyFont="1" applyBorder="1" applyAlignment="1">
      <alignment vertical="center" wrapText="1"/>
    </xf>
    <xf numFmtId="0" fontId="2" fillId="2" borderId="8" xfId="0" applyFont="1" applyFill="1" applyBorder="1" applyAlignment="1">
      <alignment horizontal="center" vertical="center"/>
    </xf>
    <xf numFmtId="166" fontId="2" fillId="2" borderId="1" xfId="1" applyFont="1" applyFill="1" applyBorder="1" applyAlignment="1">
      <alignment horizontal="center" vertical="center"/>
    </xf>
    <xf numFmtId="0" fontId="31" fillId="0" borderId="4" xfId="0" applyFont="1" applyBorder="1" applyAlignment="1">
      <alignment horizontal="center" vertical="center" wrapText="1"/>
    </xf>
    <xf numFmtId="0" fontId="2" fillId="2" borderId="12" xfId="0" applyFont="1" applyFill="1" applyBorder="1" applyAlignment="1">
      <alignment vertical="center"/>
    </xf>
    <xf numFmtId="0" fontId="2" fillId="2" borderId="1" xfId="0" applyFont="1" applyFill="1" applyBorder="1" applyAlignment="1">
      <alignment horizontal="justify"/>
    </xf>
    <xf numFmtId="0" fontId="2" fillId="2" borderId="0" xfId="0" applyFont="1" applyFill="1" applyAlignment="1">
      <alignment vertical="center"/>
    </xf>
    <xf numFmtId="0" fontId="2" fillId="2" borderId="0" xfId="0" applyFont="1" applyFill="1" applyAlignment="1">
      <alignment horizontal="justify"/>
    </xf>
    <xf numFmtId="9" fontId="2" fillId="2" borderId="0" xfId="2" applyFont="1" applyFill="1" applyBorder="1" applyAlignment="1">
      <alignment horizontal="center" vertical="center"/>
    </xf>
    <xf numFmtId="166" fontId="13" fillId="0" borderId="0" xfId="0" applyNumberFormat="1" applyFont="1" applyAlignment="1">
      <alignment horizontal="center" vertical="center"/>
    </xf>
    <xf numFmtId="172" fontId="2" fillId="0" borderId="0" xfId="0" applyNumberFormat="1" applyFont="1" applyAlignment="1">
      <alignment horizontal="right" vertical="center"/>
    </xf>
    <xf numFmtId="9" fontId="2" fillId="2" borderId="0" xfId="2" applyFont="1" applyFill="1" applyAlignment="1">
      <alignment horizontal="center" vertical="center"/>
    </xf>
    <xf numFmtId="0" fontId="2" fillId="2" borderId="9" xfId="0" applyFont="1" applyFill="1" applyBorder="1" applyAlignment="1">
      <alignment vertical="center"/>
    </xf>
    <xf numFmtId="0" fontId="13" fillId="0" borderId="0" xfId="0" applyFont="1" applyAlignment="1">
      <alignment horizontal="center"/>
    </xf>
    <xf numFmtId="0" fontId="32" fillId="0" borderId="0" xfId="0" applyFont="1" applyAlignment="1">
      <alignment horizontal="center"/>
    </xf>
    <xf numFmtId="1" fontId="13" fillId="0" borderId="0" xfId="0" applyNumberFormat="1" applyFont="1"/>
    <xf numFmtId="0" fontId="33" fillId="0" borderId="0" xfId="0" applyFont="1" applyAlignment="1">
      <alignment horizontal="center"/>
    </xf>
    <xf numFmtId="1" fontId="10" fillId="0" borderId="0" xfId="0" applyNumberFormat="1" applyFont="1"/>
    <xf numFmtId="0" fontId="10" fillId="0" borderId="0" xfId="0" applyFont="1"/>
    <xf numFmtId="0" fontId="3" fillId="0" borderId="52" xfId="0" applyFont="1" applyBorder="1" applyAlignment="1">
      <alignment horizontal="center"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 xfId="0" applyFont="1" applyBorder="1" applyAlignment="1">
      <alignment horizontal="center" vertical="center"/>
    </xf>
    <xf numFmtId="169" fontId="3" fillId="0" borderId="10" xfId="0" applyNumberFormat="1" applyFont="1" applyBorder="1" applyAlignment="1">
      <alignment horizontal="center" vertical="center"/>
    </xf>
    <xf numFmtId="0" fontId="2" fillId="0" borderId="2" xfId="0" applyFont="1" applyBorder="1" applyAlignment="1">
      <alignment horizontal="center" vertical="center"/>
    </xf>
    <xf numFmtId="17" fontId="3" fillId="0" borderId="10" xfId="0" applyNumberFormat="1" applyFont="1" applyBorder="1" applyAlignment="1">
      <alignment horizontal="center" vertical="center"/>
    </xf>
    <xf numFmtId="0" fontId="3" fillId="0" borderId="9" xfId="0" applyFont="1" applyBorder="1" applyAlignment="1">
      <alignment horizontal="center" vertical="center" wrapText="1"/>
    </xf>
    <xf numFmtId="3" fontId="3" fillId="5" borderId="10"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165" fontId="3" fillId="0" borderId="9" xfId="16" applyFont="1" applyBorder="1" applyAlignment="1">
      <alignment horizontal="center" vertical="center"/>
    </xf>
    <xf numFmtId="0" fontId="4" fillId="0" borderId="2" xfId="0" applyFont="1" applyBorder="1" applyAlignment="1">
      <alignment horizontal="center" vertical="center"/>
    </xf>
    <xf numFmtId="0" fontId="2" fillId="2" borderId="2"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165" fontId="13" fillId="3" borderId="6" xfId="16" applyFont="1" applyFill="1" applyBorder="1" applyAlignment="1">
      <alignment horizontal="center" vertical="center"/>
    </xf>
    <xf numFmtId="0" fontId="13" fillId="3" borderId="7" xfId="0" applyFont="1" applyFill="1" applyBorder="1" applyAlignment="1">
      <alignment horizontal="center" vertical="center"/>
    </xf>
    <xf numFmtId="0" fontId="3" fillId="8" borderId="12"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13" fillId="8" borderId="11" xfId="0" applyFont="1" applyFill="1" applyBorder="1" applyAlignment="1">
      <alignment horizontal="center" vertical="center" wrapText="1"/>
    </xf>
    <xf numFmtId="165" fontId="13" fillId="8" borderId="11" xfId="16" applyFont="1" applyFill="1" applyBorder="1" applyAlignment="1">
      <alignment horizontal="center" vertical="center"/>
    </xf>
    <xf numFmtId="1" fontId="13" fillId="8" borderId="11" xfId="0" applyNumberFormat="1" applyFont="1" applyFill="1" applyBorder="1" applyAlignment="1">
      <alignment horizontal="center" vertical="center"/>
    </xf>
    <xf numFmtId="0" fontId="13" fillId="8" borderId="12" xfId="0" applyFont="1" applyFill="1" applyBorder="1" applyAlignment="1">
      <alignment horizontal="center" vertical="center"/>
    </xf>
    <xf numFmtId="0" fontId="4" fillId="0" borderId="1" xfId="4" applyNumberFormat="1" applyFont="1" applyFill="1" applyBorder="1" applyAlignment="1">
      <alignment horizontal="justify" vertical="center" wrapText="1"/>
    </xf>
    <xf numFmtId="0" fontId="4" fillId="0" borderId="12" xfId="0" applyFont="1" applyBorder="1" applyAlignment="1">
      <alignment horizontal="center" vertical="center" wrapText="1"/>
    </xf>
    <xf numFmtId="179" fontId="4" fillId="0" borderId="4" xfId="15" applyNumberFormat="1" applyFont="1" applyBorder="1" applyAlignment="1">
      <alignment horizontal="center" vertical="center"/>
    </xf>
    <xf numFmtId="179" fontId="4" fillId="0" borderId="1" xfId="15" applyNumberFormat="1" applyFont="1" applyBorder="1" applyAlignment="1">
      <alignment horizontal="center" vertical="center"/>
    </xf>
    <xf numFmtId="0" fontId="2" fillId="0" borderId="5" xfId="0" applyFont="1" applyBorder="1" applyAlignment="1">
      <alignment horizontal="center" vertical="center"/>
    </xf>
    <xf numFmtId="165" fontId="2" fillId="0" borderId="12" xfId="16" applyFont="1" applyBorder="1" applyAlignment="1">
      <alignment horizontal="center" vertical="center"/>
    </xf>
    <xf numFmtId="165" fontId="2" fillId="0" borderId="1" xfId="16" applyFont="1" applyBorder="1" applyAlignment="1">
      <alignment horizontal="center" vertical="center"/>
    </xf>
    <xf numFmtId="0" fontId="13" fillId="8" borderId="1" xfId="0" applyFont="1" applyFill="1" applyBorder="1" applyAlignment="1">
      <alignment horizontal="center" vertical="center" wrapText="1"/>
    </xf>
    <xf numFmtId="179" fontId="13" fillId="8" borderId="11" xfId="15" applyNumberFormat="1" applyFont="1" applyFill="1" applyBorder="1" applyAlignment="1">
      <alignment horizontal="center" vertical="center"/>
    </xf>
    <xf numFmtId="165" fontId="13" fillId="8" borderId="12" xfId="16" applyFont="1" applyFill="1" applyBorder="1" applyAlignment="1">
      <alignment horizontal="center" vertical="center"/>
    </xf>
    <xf numFmtId="165" fontId="13" fillId="8" borderId="1" xfId="16" applyFont="1" applyFill="1" applyBorder="1" applyAlignment="1">
      <alignment horizontal="center" vertical="center"/>
    </xf>
    <xf numFmtId="0" fontId="13" fillId="8" borderId="12" xfId="0" applyFont="1" applyFill="1" applyBorder="1" applyAlignment="1">
      <alignment horizontal="center" vertical="center" wrapText="1"/>
    </xf>
    <xf numFmtId="1" fontId="2" fillId="0" borderId="2" xfId="0" applyNumberFormat="1" applyFont="1" applyBorder="1" applyAlignment="1">
      <alignment horizontal="center" vertical="center"/>
    </xf>
    <xf numFmtId="0" fontId="2" fillId="0" borderId="11" xfId="0" applyFont="1" applyBorder="1" applyAlignment="1">
      <alignment horizontal="center" vertical="center"/>
    </xf>
    <xf numFmtId="179" fontId="2" fillId="0" borderId="30" xfId="15" applyNumberFormat="1" applyFont="1" applyFill="1" applyBorder="1" applyAlignment="1">
      <alignment horizontal="center" vertical="center" wrapText="1"/>
    </xf>
    <xf numFmtId="179" fontId="2" fillId="0" borderId="21" xfId="15" applyNumberFormat="1" applyFont="1" applyFill="1" applyBorder="1" applyAlignment="1">
      <alignment horizontal="center" vertical="center" wrapText="1"/>
    </xf>
    <xf numFmtId="179" fontId="2" fillId="0" borderId="19" xfId="15" applyNumberFormat="1" applyFont="1" applyFill="1" applyBorder="1" applyAlignment="1">
      <alignment horizontal="center" vertical="center" wrapText="1"/>
    </xf>
    <xf numFmtId="1" fontId="13" fillId="0" borderId="30" xfId="0" applyNumberFormat="1" applyFont="1" applyBorder="1" applyAlignment="1">
      <alignment horizontal="center" vertical="center"/>
    </xf>
    <xf numFmtId="0" fontId="13" fillId="0" borderId="25" xfId="0" applyFont="1" applyBorder="1" applyAlignment="1">
      <alignment horizontal="center" vertical="center" wrapText="1"/>
    </xf>
    <xf numFmtId="179" fontId="2" fillId="0" borderId="29" xfId="15" applyNumberFormat="1" applyFont="1" applyFill="1" applyBorder="1" applyAlignment="1">
      <alignment horizontal="center" vertical="center" wrapText="1"/>
    </xf>
    <xf numFmtId="179" fontId="4" fillId="0" borderId="12" xfId="15" applyNumberFormat="1" applyFont="1" applyFill="1" applyBorder="1" applyAlignment="1">
      <alignment horizontal="center" vertical="center" wrapText="1"/>
    </xf>
    <xf numFmtId="179" fontId="4" fillId="0" borderId="17" xfId="15" applyNumberFormat="1" applyFont="1" applyFill="1" applyBorder="1" applyAlignment="1">
      <alignment horizontal="center" vertical="center" wrapText="1"/>
    </xf>
    <xf numFmtId="179" fontId="4" fillId="0" borderId="1" xfId="15" applyNumberFormat="1" applyFont="1" applyFill="1" applyBorder="1" applyAlignment="1">
      <alignment horizontal="center" vertical="center" wrapText="1"/>
    </xf>
    <xf numFmtId="179" fontId="4" fillId="0" borderId="30" xfId="15"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3" fillId="8" borderId="6" xfId="0" applyFont="1" applyFill="1" applyBorder="1" applyAlignment="1">
      <alignment horizontal="center" vertical="center" wrapText="1"/>
    </xf>
    <xf numFmtId="179" fontId="13" fillId="8" borderId="6" xfId="15" applyNumberFormat="1" applyFont="1" applyFill="1" applyBorder="1" applyAlignment="1">
      <alignment horizontal="center" vertical="center"/>
    </xf>
    <xf numFmtId="0" fontId="13" fillId="8" borderId="6" xfId="0" applyFont="1" applyFill="1" applyBorder="1" applyAlignment="1">
      <alignment horizontal="center" vertical="center" wrapText="1"/>
    </xf>
    <xf numFmtId="179" fontId="13" fillId="8" borderId="12" xfId="15" applyNumberFormat="1" applyFont="1" applyFill="1" applyBorder="1" applyAlignment="1">
      <alignment horizontal="center" vertical="center"/>
    </xf>
    <xf numFmtId="179" fontId="13" fillId="8" borderId="1" xfId="15" applyNumberFormat="1" applyFont="1" applyFill="1" applyBorder="1" applyAlignment="1">
      <alignment horizontal="center" vertical="center"/>
    </xf>
    <xf numFmtId="0" fontId="13" fillId="8" borderId="7" xfId="0" applyFont="1" applyFill="1" applyBorder="1" applyAlignment="1">
      <alignment horizontal="center" vertical="center" wrapText="1"/>
    </xf>
    <xf numFmtId="179" fontId="2" fillId="0" borderId="32" xfId="15" applyNumberFormat="1" applyFont="1" applyFill="1" applyBorder="1" applyAlignment="1">
      <alignment horizontal="center" vertical="center"/>
    </xf>
    <xf numFmtId="179" fontId="2" fillId="0" borderId="25" xfId="15" applyNumberFormat="1" applyFont="1" applyFill="1" applyBorder="1" applyAlignment="1">
      <alignment horizontal="center" vertical="center"/>
    </xf>
    <xf numFmtId="179" fontId="2" fillId="0" borderId="22" xfId="15" applyNumberFormat="1" applyFont="1" applyFill="1" applyBorder="1" applyAlignment="1">
      <alignment horizontal="center" vertical="center"/>
    </xf>
    <xf numFmtId="0" fontId="3" fillId="8" borderId="9" xfId="0" applyFont="1" applyFill="1" applyBorder="1" applyAlignment="1">
      <alignment horizontal="center" vertical="center"/>
    </xf>
    <xf numFmtId="0" fontId="3" fillId="8" borderId="9" xfId="0" applyFont="1" applyFill="1" applyBorder="1" applyAlignment="1">
      <alignment horizontal="center" vertical="center" wrapText="1"/>
    </xf>
    <xf numFmtId="0" fontId="4" fillId="8" borderId="9" xfId="0" applyFont="1" applyFill="1" applyBorder="1" applyAlignment="1">
      <alignment horizontal="center" vertical="center"/>
    </xf>
    <xf numFmtId="0" fontId="3" fillId="8" borderId="9" xfId="0" applyFont="1" applyFill="1" applyBorder="1" applyAlignment="1">
      <alignment horizontal="justify" vertical="center" wrapText="1"/>
    </xf>
    <xf numFmtId="170" fontId="13" fillId="8" borderId="9" xfId="0" applyNumberFormat="1" applyFont="1" applyFill="1" applyBorder="1" applyAlignment="1">
      <alignment horizontal="center" vertical="center"/>
    </xf>
    <xf numFmtId="179" fontId="13" fillId="8" borderId="9" xfId="15" applyNumberFormat="1" applyFont="1" applyFill="1" applyBorder="1" applyAlignment="1">
      <alignment horizontal="center" vertical="center"/>
    </xf>
    <xf numFmtId="0" fontId="13" fillId="8" borderId="9" xfId="0" applyFont="1" applyFill="1" applyBorder="1" applyAlignment="1">
      <alignment horizontal="justify" vertical="center" wrapText="1"/>
    </xf>
    <xf numFmtId="1" fontId="13" fillId="8" borderId="9" xfId="0" applyNumberFormat="1" applyFont="1" applyFill="1" applyBorder="1" applyAlignment="1">
      <alignment horizontal="center" vertical="center"/>
    </xf>
    <xf numFmtId="0" fontId="13" fillId="8" borderId="9"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8" borderId="9" xfId="0" applyFont="1" applyFill="1" applyBorder="1" applyAlignment="1">
      <alignment horizontal="center" vertical="center"/>
    </xf>
    <xf numFmtId="172" fontId="13" fillId="8" borderId="9" xfId="0" applyNumberFormat="1" applyFont="1" applyFill="1" applyBorder="1" applyAlignment="1">
      <alignment horizontal="center" vertical="center"/>
    </xf>
    <xf numFmtId="0" fontId="13" fillId="8" borderId="15" xfId="0" applyFont="1" applyFill="1" applyBorder="1" applyAlignment="1">
      <alignment horizontal="center" vertical="center" wrapText="1"/>
    </xf>
    <xf numFmtId="0" fontId="4" fillId="0" borderId="11" xfId="0" applyFont="1" applyBorder="1" applyAlignment="1">
      <alignment horizontal="justify" vertical="center" wrapText="1"/>
    </xf>
    <xf numFmtId="0" fontId="2" fillId="0" borderId="11" xfId="0" applyFont="1" applyBorder="1" applyAlignment="1">
      <alignment horizontal="center" vertical="center" wrapText="1"/>
    </xf>
    <xf numFmtId="0" fontId="4" fillId="0" borderId="27" xfId="0" applyFont="1" applyBorder="1" applyAlignment="1">
      <alignment horizontal="justify" vertical="center" wrapText="1"/>
    </xf>
    <xf numFmtId="179" fontId="4" fillId="0" borderId="17" xfId="15" applyNumberFormat="1" applyFont="1" applyBorder="1" applyAlignment="1">
      <alignment horizontal="center" vertical="center"/>
    </xf>
    <xf numFmtId="0" fontId="3" fillId="8"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3" fillId="3" borderId="11" xfId="0" applyFont="1" applyFill="1" applyBorder="1" applyAlignment="1">
      <alignment horizontal="center" vertical="center" wrapText="1"/>
    </xf>
    <xf numFmtId="179" fontId="13" fillId="3" borderId="11" xfId="15" applyNumberFormat="1" applyFont="1" applyFill="1" applyBorder="1" applyAlignment="1">
      <alignment horizontal="center" vertical="center"/>
    </xf>
    <xf numFmtId="179" fontId="13" fillId="3" borderId="12" xfId="15" applyNumberFormat="1" applyFont="1" applyFill="1" applyBorder="1" applyAlignment="1">
      <alignment horizontal="center" vertical="center"/>
    </xf>
    <xf numFmtId="179" fontId="13" fillId="3" borderId="1" xfId="15" applyNumberFormat="1" applyFont="1" applyFill="1" applyBorder="1" applyAlignment="1">
      <alignment horizontal="center" vertical="center"/>
    </xf>
    <xf numFmtId="0" fontId="13" fillId="3" borderId="1" xfId="0" applyFont="1" applyFill="1" applyBorder="1" applyAlignment="1">
      <alignment horizontal="center" vertical="center" wrapText="1"/>
    </xf>
    <xf numFmtId="0" fontId="2" fillId="0" borderId="15" xfId="0" applyFont="1" applyBorder="1" applyAlignment="1">
      <alignment horizontal="center" vertical="center"/>
    </xf>
    <xf numFmtId="10" fontId="2" fillId="2" borderId="1" xfId="2" applyNumberFormat="1" applyFont="1" applyFill="1" applyBorder="1" applyAlignment="1">
      <alignment horizontal="center" vertical="center"/>
    </xf>
    <xf numFmtId="179" fontId="4" fillId="0" borderId="13" xfId="15" applyNumberFormat="1" applyFont="1" applyBorder="1" applyAlignment="1">
      <alignment horizontal="center" vertical="center"/>
    </xf>
    <xf numFmtId="1" fontId="13" fillId="0" borderId="1" xfId="0" applyNumberFormat="1" applyFont="1" applyBorder="1" applyAlignment="1">
      <alignment horizontal="center" vertical="center"/>
    </xf>
    <xf numFmtId="173" fontId="2" fillId="2" borderId="10" xfId="0" applyNumberFormat="1" applyFont="1" applyFill="1" applyBorder="1" applyAlignment="1">
      <alignment horizontal="center" vertical="center" wrapText="1"/>
    </xf>
    <xf numFmtId="1" fontId="2" fillId="0" borderId="8" xfId="0" applyNumberFormat="1" applyFont="1" applyBorder="1" applyAlignment="1">
      <alignment horizontal="center" vertical="center"/>
    </xf>
    <xf numFmtId="179" fontId="2" fillId="0" borderId="12" xfId="15" applyNumberFormat="1" applyFont="1" applyBorder="1" applyAlignment="1">
      <alignment horizontal="center" vertical="center"/>
    </xf>
    <xf numFmtId="1" fontId="13" fillId="0" borderId="6" xfId="0" applyNumberFormat="1" applyFont="1" applyBorder="1" applyAlignment="1">
      <alignment horizontal="center" vertical="center"/>
    </xf>
    <xf numFmtId="173" fontId="2" fillId="2" borderId="5" xfId="0" applyNumberFormat="1" applyFont="1" applyFill="1" applyBorder="1" applyAlignment="1">
      <alignment horizontal="center" vertical="center" wrapText="1"/>
    </xf>
    <xf numFmtId="0" fontId="13" fillId="3" borderId="12" xfId="0" applyFont="1" applyFill="1" applyBorder="1" applyAlignment="1">
      <alignment horizontal="center" vertical="center" wrapText="1"/>
    </xf>
    <xf numFmtId="0" fontId="4" fillId="0" borderId="17" xfId="4" applyNumberFormat="1" applyFont="1" applyFill="1" applyBorder="1" applyAlignment="1">
      <alignment horizontal="justify" vertical="center" wrapText="1"/>
    </xf>
    <xf numFmtId="179" fontId="26" fillId="0" borderId="25" xfId="15" applyNumberFormat="1" applyFont="1" applyFill="1" applyBorder="1" applyAlignment="1">
      <alignment horizontal="center" vertical="center" wrapText="1"/>
    </xf>
    <xf numFmtId="179" fontId="34" fillId="0" borderId="1" xfId="15" applyNumberFormat="1" applyFont="1" applyFill="1" applyBorder="1" applyAlignment="1">
      <alignment horizontal="center" vertical="center" wrapText="1"/>
    </xf>
    <xf numFmtId="179" fontId="26" fillId="0" borderId="30" xfId="15" applyNumberFormat="1" applyFont="1" applyFill="1" applyBorder="1" applyAlignment="1">
      <alignment horizontal="center" vertical="center" wrapText="1"/>
    </xf>
    <xf numFmtId="0" fontId="26" fillId="0" borderId="19" xfId="4" applyNumberFormat="1" applyFont="1" applyFill="1" applyBorder="1" applyAlignment="1">
      <alignment horizontal="justify" vertical="center" wrapText="1"/>
    </xf>
    <xf numFmtId="179" fontId="26" fillId="0" borderId="17" xfId="15" applyNumberFormat="1" applyFont="1" applyFill="1" applyBorder="1" applyAlignment="1">
      <alignment horizontal="center" vertical="center" wrapText="1"/>
    </xf>
    <xf numFmtId="179" fontId="26" fillId="0" borderId="23" xfId="15" applyNumberFormat="1" applyFont="1" applyFill="1" applyBorder="1" applyAlignment="1">
      <alignment horizontal="center" vertical="center" wrapText="1"/>
    </xf>
    <xf numFmtId="179" fontId="4" fillId="0" borderId="25" xfId="15" applyNumberFormat="1" applyFont="1" applyFill="1" applyBorder="1" applyAlignment="1">
      <alignment horizontal="center" vertical="center" wrapText="1"/>
    </xf>
    <xf numFmtId="179" fontId="2" fillId="0" borderId="1" xfId="15" applyNumberFormat="1" applyFont="1" applyFill="1" applyBorder="1" applyAlignment="1" applyProtection="1">
      <alignment horizontal="center" vertical="center" wrapText="1"/>
    </xf>
    <xf numFmtId="179" fontId="4" fillId="0" borderId="23" xfId="15" applyNumberFormat="1" applyFont="1" applyFill="1" applyBorder="1" applyAlignment="1">
      <alignment horizontal="center" vertical="center" wrapText="1"/>
    </xf>
    <xf numFmtId="0" fontId="4" fillId="0" borderId="6" xfId="0" applyFont="1" applyBorder="1" applyAlignment="1">
      <alignment horizontal="justify" vertical="center" wrapText="1"/>
    </xf>
    <xf numFmtId="179" fontId="4" fillId="0" borderId="25" xfId="15" applyNumberFormat="1" applyFont="1" applyBorder="1" applyAlignment="1">
      <alignment horizontal="center" vertical="center"/>
    </xf>
    <xf numFmtId="0" fontId="2" fillId="0" borderId="25" xfId="0" applyFont="1" applyBorder="1" applyAlignment="1">
      <alignment horizontal="center" vertical="center"/>
    </xf>
    <xf numFmtId="0" fontId="13" fillId="8" borderId="0" xfId="0" applyFont="1" applyFill="1" applyAlignment="1">
      <alignment horizontal="center" vertical="center" wrapText="1"/>
    </xf>
    <xf numFmtId="179" fontId="13" fillId="8" borderId="0" xfId="15" applyNumberFormat="1" applyFont="1" applyFill="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2" fillId="0" borderId="8" xfId="0" applyFont="1" applyBorder="1" applyAlignment="1">
      <alignment horizontal="center" vertical="center"/>
    </xf>
    <xf numFmtId="49" fontId="2" fillId="2" borderId="17" xfId="0" applyNumberFormat="1" applyFont="1" applyFill="1" applyBorder="1" applyAlignment="1">
      <alignment horizontal="center" vertical="center"/>
    </xf>
    <xf numFmtId="0" fontId="13" fillId="0" borderId="4" xfId="0" applyFont="1" applyBorder="1" applyAlignment="1">
      <alignment horizontal="center" vertical="center"/>
    </xf>
    <xf numFmtId="0" fontId="3" fillId="8" borderId="3" xfId="0" applyFont="1" applyFill="1" applyBorder="1" applyAlignment="1">
      <alignment horizontal="center" vertical="center" wrapText="1"/>
    </xf>
    <xf numFmtId="0" fontId="3" fillId="8" borderId="0" xfId="0" applyFont="1" applyFill="1" applyAlignment="1">
      <alignment horizontal="center" vertical="center" wrapText="1"/>
    </xf>
    <xf numFmtId="0" fontId="2" fillId="0" borderId="32" xfId="0" applyFont="1" applyBorder="1" applyAlignment="1">
      <alignment horizontal="center" vertical="center" wrapText="1"/>
    </xf>
    <xf numFmtId="0" fontId="2" fillId="0" borderId="32" xfId="0" applyFont="1" applyBorder="1" applyAlignment="1">
      <alignment horizontal="center" vertical="center"/>
    </xf>
    <xf numFmtId="0" fontId="4" fillId="0" borderId="21" xfId="4" applyNumberFormat="1" applyFont="1" applyFill="1" applyBorder="1">
      <alignment horizontal="center" vertical="center" wrapText="1"/>
    </xf>
    <xf numFmtId="167" fontId="4" fillId="0" borderId="17" xfId="4" applyFont="1" applyFill="1" applyBorder="1" applyAlignment="1">
      <alignment horizontal="justify" vertical="center" wrapText="1"/>
    </xf>
    <xf numFmtId="10" fontId="2" fillId="2" borderId="22" xfId="2" applyNumberFormat="1" applyFont="1" applyFill="1" applyBorder="1" applyAlignment="1">
      <alignment horizontal="center" vertical="center"/>
    </xf>
    <xf numFmtId="167" fontId="4" fillId="0" borderId="32" xfId="4" applyFont="1" applyFill="1" applyBorder="1" applyAlignment="1">
      <alignment horizontal="justify" vertical="center" wrapText="1"/>
    </xf>
    <xf numFmtId="0" fontId="26" fillId="0" borderId="32" xfId="0" applyFont="1" applyBorder="1" applyAlignment="1">
      <alignment horizontal="center" vertical="center" wrapText="1"/>
    </xf>
    <xf numFmtId="179" fontId="4" fillId="0" borderId="23" xfId="15" applyNumberFormat="1" applyFont="1" applyBorder="1" applyAlignment="1">
      <alignment horizontal="center" vertical="center"/>
    </xf>
    <xf numFmtId="0" fontId="26" fillId="0" borderId="25" xfId="0" applyFont="1" applyBorder="1" applyAlignment="1">
      <alignment horizontal="center" vertical="center" wrapText="1"/>
    </xf>
    <xf numFmtId="0" fontId="4" fillId="0" borderId="29" xfId="4" applyNumberFormat="1" applyFont="1" applyFill="1" applyBorder="1">
      <alignment horizontal="center" vertical="center" wrapText="1"/>
    </xf>
    <xf numFmtId="10" fontId="2" fillId="2" borderId="25" xfId="2" applyNumberFormat="1" applyFont="1" applyFill="1" applyBorder="1" applyAlignment="1">
      <alignment horizontal="center" vertical="center"/>
    </xf>
    <xf numFmtId="167" fontId="4" fillId="0" borderId="30" xfId="4" applyFont="1" applyFill="1" applyBorder="1" applyAlignment="1">
      <alignment horizontal="justify" vertical="center" wrapText="1"/>
    </xf>
    <xf numFmtId="0" fontId="4" fillId="0" borderId="30" xfId="4" applyNumberFormat="1" applyFont="1" applyFill="1" applyBorder="1">
      <alignment horizontal="center" vertical="center" wrapText="1"/>
    </xf>
    <xf numFmtId="0" fontId="3" fillId="3" borderId="9" xfId="0" applyFont="1" applyFill="1" applyBorder="1" applyAlignment="1">
      <alignment horizontal="center" vertical="center" wrapText="1"/>
    </xf>
    <xf numFmtId="0" fontId="3" fillId="3" borderId="9" xfId="0" applyFont="1" applyFill="1" applyBorder="1" applyAlignment="1">
      <alignment horizontal="center" vertical="center"/>
    </xf>
    <xf numFmtId="179" fontId="13" fillId="3" borderId="9" xfId="15" applyNumberFormat="1" applyFont="1" applyFill="1" applyBorder="1" applyAlignment="1">
      <alignment horizontal="center" vertical="center"/>
    </xf>
    <xf numFmtId="0" fontId="13" fillId="3" borderId="9" xfId="0" applyFont="1" applyFill="1" applyBorder="1" applyAlignment="1">
      <alignment horizontal="justify" vertical="center" wrapText="1"/>
    </xf>
    <xf numFmtId="179" fontId="4" fillId="0" borderId="10" xfId="15" applyNumberFormat="1" applyFont="1" applyBorder="1" applyAlignment="1">
      <alignment horizontal="center" vertical="center"/>
    </xf>
    <xf numFmtId="179" fontId="4" fillId="0" borderId="12" xfId="15" applyNumberFormat="1" applyFont="1" applyBorder="1" applyAlignment="1">
      <alignment horizontal="center" vertical="center"/>
    </xf>
    <xf numFmtId="179" fontId="3" fillId="0" borderId="1" xfId="15" applyNumberFormat="1" applyFont="1" applyBorder="1" applyAlignment="1">
      <alignment horizontal="center" vertical="center"/>
    </xf>
    <xf numFmtId="0" fontId="2" fillId="0" borderId="10" xfId="0" applyFont="1" applyBorder="1" applyAlignment="1">
      <alignment horizontal="center" vertical="center"/>
    </xf>
    <xf numFmtId="179" fontId="3" fillId="0" borderId="12" xfId="15" applyNumberFormat="1" applyFont="1" applyBorder="1" applyAlignment="1">
      <alignment horizontal="center" vertical="center"/>
    </xf>
    <xf numFmtId="9" fontId="13" fillId="0" borderId="1" xfId="2" applyFont="1" applyBorder="1" applyAlignment="1">
      <alignment horizontal="center" vertical="center"/>
    </xf>
    <xf numFmtId="165" fontId="2" fillId="2" borderId="0" xfId="16" applyFont="1" applyFill="1" applyAlignment="1">
      <alignment horizontal="center" vertical="center"/>
    </xf>
    <xf numFmtId="165" fontId="2" fillId="0" borderId="0" xfId="16" applyFont="1" applyFill="1" applyAlignment="1">
      <alignment horizontal="center" vertical="center"/>
    </xf>
    <xf numFmtId="165" fontId="2" fillId="0" borderId="0" xfId="16" applyFont="1" applyAlignment="1">
      <alignment horizontal="center" vertical="center"/>
    </xf>
    <xf numFmtId="43" fontId="2" fillId="2" borderId="0" xfId="0" applyNumberFormat="1" applyFont="1" applyFill="1" applyAlignment="1">
      <alignment horizontal="center" vertical="center" wrapText="1"/>
    </xf>
    <xf numFmtId="171" fontId="2" fillId="2" borderId="9"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25" fillId="0" borderId="1" xfId="0" applyFont="1" applyBorder="1" applyAlignment="1">
      <alignment horizontal="left" vertical="center"/>
    </xf>
    <xf numFmtId="0" fontId="25" fillId="0" borderId="1" xfId="0" applyFont="1" applyBorder="1" applyAlignment="1">
      <alignment horizontal="right" vertical="center"/>
    </xf>
    <xf numFmtId="0" fontId="29" fillId="2" borderId="0" xfId="0" applyFont="1" applyFill="1"/>
    <xf numFmtId="0" fontId="29" fillId="0" borderId="0" xfId="0" applyFont="1"/>
    <xf numFmtId="0" fontId="25" fillId="0" borderId="1" xfId="0" applyFont="1" applyBorder="1" applyAlignment="1">
      <alignment horizontal="right" vertical="center" wrapText="1"/>
    </xf>
    <xf numFmtId="3" fontId="25" fillId="0" borderId="1" xfId="0" applyNumberFormat="1" applyFont="1" applyBorder="1" applyAlignment="1">
      <alignment horizontal="right" vertical="center" wrapText="1"/>
    </xf>
    <xf numFmtId="0" fontId="4" fillId="2" borderId="0" xfId="0" applyFont="1" applyFill="1"/>
    <xf numFmtId="0" fontId="3" fillId="0" borderId="8" xfId="0" applyFont="1" applyBorder="1" applyAlignment="1">
      <alignment horizontal="justify" vertical="center" wrapText="1"/>
    </xf>
    <xf numFmtId="0" fontId="3" fillId="0" borderId="9" xfId="0" applyFont="1" applyBorder="1" applyAlignment="1">
      <alignment vertical="center"/>
    </xf>
    <xf numFmtId="0" fontId="3" fillId="0" borderId="9" xfId="0" applyFont="1" applyBorder="1" applyAlignment="1">
      <alignment horizontal="justify" vertical="center" wrapText="1"/>
    </xf>
    <xf numFmtId="0" fontId="3" fillId="0" borderId="9" xfId="0" applyFont="1" applyBorder="1" applyAlignment="1">
      <alignment horizontal="left" vertical="center" wrapText="1"/>
    </xf>
    <xf numFmtId="0" fontId="3" fillId="0" borderId="0" xfId="0" applyFont="1" applyAlignment="1">
      <alignment horizontal="right" vertical="center"/>
    </xf>
    <xf numFmtId="0" fontId="3" fillId="0" borderId="15" xfId="0" applyFont="1" applyBorder="1" applyAlignment="1">
      <alignment vertical="center"/>
    </xf>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172" fontId="3" fillId="6" borderId="1" xfId="0" applyNumberFormat="1"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0" fontId="3" fillId="3" borderId="5" xfId="0" applyFont="1" applyFill="1" applyBorder="1" applyAlignment="1">
      <alignment vertical="center"/>
    </xf>
    <xf numFmtId="170" fontId="3" fillId="3" borderId="11" xfId="0" applyNumberFormat="1" applyFont="1" applyFill="1" applyBorder="1" applyAlignment="1">
      <alignment horizontal="center" vertical="center"/>
    </xf>
    <xf numFmtId="171" fontId="3" fillId="3" borderId="11" xfId="0" applyNumberFormat="1" applyFont="1" applyFill="1" applyBorder="1" applyAlignment="1">
      <alignment horizontal="center" vertical="center"/>
    </xf>
    <xf numFmtId="0" fontId="3" fillId="3" borderId="11" xfId="0" applyFont="1" applyFill="1" applyBorder="1" applyAlignment="1">
      <alignment horizontal="left" vertical="center" wrapText="1"/>
    </xf>
    <xf numFmtId="171" fontId="3" fillId="3" borderId="22" xfId="0" applyNumberFormat="1" applyFont="1" applyFill="1" applyBorder="1" applyAlignment="1">
      <alignment horizontal="center" vertical="center"/>
    </xf>
    <xf numFmtId="171" fontId="3" fillId="3" borderId="4" xfId="0" applyNumberFormat="1" applyFont="1" applyFill="1" applyBorder="1" applyAlignment="1">
      <alignment horizontal="right" vertical="center"/>
    </xf>
    <xf numFmtId="1" fontId="3" fillId="3" borderId="9" xfId="0" applyNumberFormat="1" applyFont="1" applyFill="1" applyBorder="1" applyAlignment="1">
      <alignment horizontal="center" vertical="center"/>
    </xf>
    <xf numFmtId="172" fontId="3" fillId="3" borderId="11" xfId="0" applyNumberFormat="1" applyFont="1" applyFill="1" applyBorder="1" applyAlignment="1">
      <alignment horizontal="center" vertical="center"/>
    </xf>
    <xf numFmtId="0" fontId="3" fillId="3" borderId="12" xfId="0" applyFont="1" applyFill="1" applyBorder="1" applyAlignment="1">
      <alignment horizontal="justify" vertical="center"/>
    </xf>
    <xf numFmtId="1" fontId="3" fillId="2"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8" borderId="0" xfId="0" applyFont="1" applyFill="1" applyAlignment="1">
      <alignment horizontal="left" vertical="center"/>
    </xf>
    <xf numFmtId="0" fontId="3" fillId="8" borderId="0" xfId="0" applyFont="1" applyFill="1" applyAlignment="1">
      <alignment vertical="center"/>
    </xf>
    <xf numFmtId="170" fontId="3" fillId="8" borderId="0" xfId="0" applyNumberFormat="1" applyFont="1" applyFill="1" applyAlignment="1">
      <alignment horizontal="center" vertical="center"/>
    </xf>
    <xf numFmtId="171" fontId="3" fillId="8" borderId="0" xfId="0" applyNumberFormat="1" applyFont="1" applyFill="1" applyAlignment="1">
      <alignment horizontal="center" vertical="center"/>
    </xf>
    <xf numFmtId="0" fontId="3" fillId="8" borderId="0" xfId="0" applyFont="1" applyFill="1" applyAlignment="1">
      <alignment horizontal="left" vertical="center" wrapText="1"/>
    </xf>
    <xf numFmtId="171" fontId="3" fillId="8" borderId="17" xfId="0" applyNumberFormat="1" applyFont="1" applyFill="1" applyBorder="1" applyAlignment="1">
      <alignment horizontal="center" vertical="center"/>
    </xf>
    <xf numFmtId="171" fontId="3" fillId="8" borderId="0" xfId="0" applyNumberFormat="1" applyFont="1" applyFill="1" applyAlignment="1">
      <alignment horizontal="right" vertical="center"/>
    </xf>
    <xf numFmtId="1" fontId="3" fillId="8" borderId="0" xfId="0" applyNumberFormat="1" applyFont="1" applyFill="1" applyAlignment="1">
      <alignment horizontal="center" vertical="center"/>
    </xf>
    <xf numFmtId="172" fontId="3" fillId="8" borderId="0" xfId="0" applyNumberFormat="1" applyFont="1" applyFill="1" applyAlignment="1">
      <alignment horizontal="center" vertical="center"/>
    </xf>
    <xf numFmtId="0" fontId="3" fillId="8" borderId="3" xfId="0" applyFont="1" applyFill="1" applyBorder="1" applyAlignment="1">
      <alignment horizontal="justify" vertical="center"/>
    </xf>
    <xf numFmtId="1" fontId="4" fillId="2" borderId="2"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44" fontId="4" fillId="0" borderId="30" xfId="13" applyFont="1" applyFill="1" applyBorder="1" applyAlignment="1">
      <alignment horizontal="center" vertical="center"/>
    </xf>
    <xf numFmtId="182" fontId="4" fillId="2" borderId="17" xfId="0" applyNumberFormat="1" applyFont="1" applyFill="1" applyBorder="1" applyAlignment="1">
      <alignment horizontal="right" vertical="center"/>
    </xf>
    <xf numFmtId="1" fontId="4" fillId="0" borderId="30" xfId="0" applyNumberFormat="1" applyFont="1" applyBorder="1" applyAlignment="1">
      <alignment horizontal="center" vertical="center" wrapText="1"/>
    </xf>
    <xf numFmtId="3" fontId="4" fillId="0" borderId="22" xfId="0" applyNumberFormat="1" applyFont="1" applyBorder="1" applyAlignment="1">
      <alignment horizontal="left" vertical="center" wrapText="1"/>
    </xf>
    <xf numFmtId="44" fontId="4" fillId="0" borderId="17" xfId="13" applyFont="1" applyFill="1" applyBorder="1" applyAlignment="1">
      <alignment horizontal="center" vertical="center"/>
    </xf>
    <xf numFmtId="3" fontId="4" fillId="0" borderId="25" xfId="0" applyNumberFormat="1" applyFont="1" applyBorder="1" applyAlignment="1">
      <alignment horizontal="left" vertical="center" wrapText="1"/>
    </xf>
    <xf numFmtId="1" fontId="3" fillId="2" borderId="5" xfId="0" applyNumberFormat="1" applyFont="1" applyFill="1" applyBorder="1" applyAlignment="1">
      <alignment vertical="center" wrapText="1"/>
    </xf>
    <xf numFmtId="1" fontId="3" fillId="2" borderId="6" xfId="0" applyNumberFormat="1" applyFont="1" applyFill="1" applyBorder="1" applyAlignment="1">
      <alignment vertical="center" wrapText="1"/>
    </xf>
    <xf numFmtId="1" fontId="3" fillId="2" borderId="7" xfId="0" applyNumberFormat="1" applyFont="1" applyFill="1" applyBorder="1" applyAlignment="1">
      <alignment vertical="center" wrapText="1"/>
    </xf>
    <xf numFmtId="0" fontId="3" fillId="8" borderId="12" xfId="0" applyFont="1" applyFill="1" applyBorder="1" applyAlignment="1">
      <alignment horizontal="left" vertical="center" wrapText="1"/>
    </xf>
    <xf numFmtId="0" fontId="3" fillId="8" borderId="11" xfId="0" applyFont="1" applyFill="1" applyBorder="1" applyAlignment="1">
      <alignment horizontal="left" vertical="center"/>
    </xf>
    <xf numFmtId="9" fontId="3" fillId="8" borderId="0" xfId="2" applyFont="1" applyFill="1" applyBorder="1" applyAlignment="1">
      <alignment horizontal="center" vertical="center"/>
    </xf>
    <xf numFmtId="44" fontId="3" fillId="8" borderId="17" xfId="13" applyFont="1" applyFill="1" applyBorder="1" applyAlignment="1">
      <alignment horizontal="center" vertical="center"/>
    </xf>
    <xf numFmtId="44" fontId="3" fillId="8" borderId="0" xfId="13" applyFont="1" applyFill="1" applyBorder="1" applyAlignment="1">
      <alignment horizontal="right" vertical="center"/>
    </xf>
    <xf numFmtId="172" fontId="3" fillId="8" borderId="6" xfId="0" applyNumberFormat="1" applyFont="1" applyFill="1" applyBorder="1" applyAlignment="1">
      <alignment horizontal="center" vertical="center"/>
    </xf>
    <xf numFmtId="0" fontId="3" fillId="8" borderId="7" xfId="0" applyFont="1" applyFill="1" applyBorder="1" applyAlignment="1">
      <alignment horizontal="justify" vertical="center" wrapText="1"/>
    </xf>
    <xf numFmtId="1" fontId="3" fillId="2" borderId="2" xfId="0" applyNumberFormat="1" applyFont="1" applyFill="1" applyBorder="1" applyAlignment="1">
      <alignment vertical="center" wrapText="1"/>
    </xf>
    <xf numFmtId="1" fontId="3" fillId="2" borderId="0" xfId="0" applyNumberFormat="1" applyFont="1" applyFill="1" applyAlignment="1">
      <alignment vertical="center" wrapText="1"/>
    </xf>
    <xf numFmtId="1" fontId="3" fillId="2" borderId="3" xfId="0" applyNumberFormat="1" applyFont="1" applyFill="1" applyBorder="1" applyAlignment="1">
      <alignment vertical="center" wrapText="1"/>
    </xf>
    <xf numFmtId="0" fontId="4" fillId="2" borderId="6" xfId="0" applyFont="1" applyFill="1" applyBorder="1" applyAlignment="1">
      <alignment vertical="center" wrapText="1"/>
    </xf>
    <xf numFmtId="0" fontId="4" fillId="0" borderId="25" xfId="0" applyFont="1" applyBorder="1" applyAlignment="1">
      <alignment horizontal="left" vertical="center" wrapText="1"/>
    </xf>
    <xf numFmtId="182" fontId="4" fillId="2" borderId="17" xfId="0" applyNumberFormat="1" applyFont="1" applyFill="1" applyBorder="1" applyAlignment="1">
      <alignment horizontal="center" vertical="center"/>
    </xf>
    <xf numFmtId="0" fontId="4" fillId="2" borderId="0" xfId="0" applyFont="1" applyFill="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2" borderId="25" xfId="0" applyFont="1" applyFill="1" applyBorder="1" applyAlignment="1">
      <alignment horizontal="left" vertical="center" wrapText="1"/>
    </xf>
    <xf numFmtId="44" fontId="4" fillId="2" borderId="17" xfId="13" applyFont="1" applyFill="1" applyBorder="1" applyAlignment="1">
      <alignment horizontal="center" vertical="center"/>
    </xf>
    <xf numFmtId="1" fontId="4" fillId="2" borderId="30" xfId="0" applyNumberFormat="1" applyFont="1" applyFill="1" applyBorder="1" applyAlignment="1">
      <alignment horizontal="center" vertical="center" wrapText="1"/>
    </xf>
    <xf numFmtId="1" fontId="3" fillId="2" borderId="8" xfId="0" applyNumberFormat="1" applyFont="1" applyFill="1" applyBorder="1" applyAlignment="1">
      <alignment vertical="center" wrapText="1"/>
    </xf>
    <xf numFmtId="1" fontId="3" fillId="2" borderId="9" xfId="0" applyNumberFormat="1" applyFont="1" applyFill="1" applyBorder="1" applyAlignment="1">
      <alignment vertical="center" wrapText="1"/>
    </xf>
    <xf numFmtId="44" fontId="4" fillId="2" borderId="17" xfId="13" applyFont="1" applyFill="1" applyBorder="1" applyAlignment="1">
      <alignment vertical="center"/>
    </xf>
    <xf numFmtId="182" fontId="4" fillId="2" borderId="19" xfId="0" applyNumberFormat="1" applyFont="1" applyFill="1" applyBorder="1" applyAlignment="1">
      <alignment horizontal="center" vertical="center"/>
    </xf>
    <xf numFmtId="0" fontId="3" fillId="8" borderId="9" xfId="0" applyFont="1" applyFill="1" applyBorder="1" applyAlignment="1">
      <alignment horizontal="left" vertical="center"/>
    </xf>
    <xf numFmtId="0" fontId="3" fillId="8" borderId="15" xfId="0" applyFont="1" applyFill="1" applyBorder="1" applyAlignment="1">
      <alignment horizontal="justify" vertical="center" wrapText="1"/>
    </xf>
    <xf numFmtId="9" fontId="3" fillId="8" borderId="9" xfId="2" applyFont="1" applyFill="1" applyBorder="1" applyAlignment="1">
      <alignment horizontal="center" vertical="center"/>
    </xf>
    <xf numFmtId="171" fontId="3" fillId="8" borderId="9" xfId="0" applyNumberFormat="1" applyFont="1" applyFill="1" applyBorder="1" applyAlignment="1">
      <alignment horizontal="center" vertical="center"/>
    </xf>
    <xf numFmtId="0" fontId="3" fillId="8" borderId="9" xfId="0" applyFont="1" applyFill="1" applyBorder="1" applyAlignment="1">
      <alignment horizontal="left" vertical="center" wrapText="1"/>
    </xf>
    <xf numFmtId="44" fontId="3" fillId="8" borderId="25" xfId="13" applyFont="1" applyFill="1" applyBorder="1" applyAlignment="1">
      <alignment horizontal="center" vertical="center"/>
    </xf>
    <xf numFmtId="182" fontId="3" fillId="8" borderId="1" xfId="13" applyNumberFormat="1" applyFont="1" applyFill="1" applyBorder="1" applyAlignment="1">
      <alignment horizontal="right" vertical="center"/>
    </xf>
    <xf numFmtId="172" fontId="3" fillId="8" borderId="11" xfId="0" applyNumberFormat="1" applyFont="1" applyFill="1" applyBorder="1" applyAlignment="1">
      <alignment horizontal="center" vertical="center"/>
    </xf>
    <xf numFmtId="0" fontId="3" fillId="8" borderId="12" xfId="0" applyFont="1" applyFill="1" applyBorder="1" applyAlignment="1">
      <alignment horizontal="justify" vertical="center" wrapText="1"/>
    </xf>
    <xf numFmtId="182" fontId="4" fillId="2" borderId="23"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1" fontId="4" fillId="0" borderId="0" xfId="0" applyNumberFormat="1" applyFont="1"/>
    <xf numFmtId="0" fontId="4" fillId="0" borderId="5" xfId="0" applyFont="1" applyBorder="1" applyAlignment="1">
      <alignment horizontal="left" vertical="center" wrapText="1"/>
    </xf>
    <xf numFmtId="0" fontId="4" fillId="0" borderId="2"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0" fontId="4" fillId="0" borderId="2" xfId="0" applyFont="1" applyBorder="1"/>
    <xf numFmtId="0" fontId="4" fillId="2" borderId="5" xfId="0" applyFont="1" applyFill="1" applyBorder="1" applyAlignment="1">
      <alignment horizontal="justify" vertical="center" wrapText="1"/>
    </xf>
    <xf numFmtId="0" fontId="4" fillId="2" borderId="38" xfId="0" applyFont="1" applyFill="1" applyBorder="1" applyAlignment="1">
      <alignment horizontal="justify" vertical="center" wrapText="1"/>
    </xf>
    <xf numFmtId="44" fontId="4" fillId="2" borderId="30" xfId="13" applyFont="1" applyFill="1" applyBorder="1" applyAlignment="1">
      <alignment horizontal="center" vertical="center"/>
    </xf>
    <xf numFmtId="0" fontId="4" fillId="0" borderId="8" xfId="0" applyFont="1" applyBorder="1"/>
    <xf numFmtId="0" fontId="3" fillId="8" borderId="5" xfId="0" applyFont="1" applyFill="1" applyBorder="1" applyAlignment="1">
      <alignment horizontal="left" vertical="center" wrapText="1"/>
    </xf>
    <xf numFmtId="0" fontId="3" fillId="8" borderId="10" xfId="0" applyFont="1" applyFill="1" applyBorder="1" applyAlignment="1">
      <alignment horizontal="left" vertical="center"/>
    </xf>
    <xf numFmtId="171" fontId="3" fillId="8" borderId="11" xfId="0" applyNumberFormat="1" applyFont="1" applyFill="1" applyBorder="1" applyAlignment="1">
      <alignment horizontal="center" vertical="center"/>
    </xf>
    <xf numFmtId="0" fontId="3" fillId="8" borderId="11" xfId="0" applyFont="1" applyFill="1" applyBorder="1" applyAlignment="1">
      <alignment horizontal="left" vertical="center" wrapText="1"/>
    </xf>
    <xf numFmtId="44" fontId="3" fillId="8" borderId="19" xfId="13" applyFont="1" applyFill="1" applyBorder="1" applyAlignment="1">
      <alignment horizontal="center" vertical="center"/>
    </xf>
    <xf numFmtId="0" fontId="4" fillId="0" borderId="23" xfId="0" applyFont="1" applyBorder="1" applyAlignment="1">
      <alignment horizontal="left" vertical="center" wrapText="1"/>
    </xf>
    <xf numFmtId="182" fontId="4" fillId="0" borderId="23" xfId="0" applyNumberFormat="1" applyFont="1" applyBorder="1" applyAlignment="1">
      <alignment horizontal="center" vertical="center"/>
    </xf>
    <xf numFmtId="0" fontId="4" fillId="0" borderId="17" xfId="0" applyFont="1" applyBorder="1" applyAlignment="1">
      <alignment horizontal="left" vertical="center" wrapText="1"/>
    </xf>
    <xf numFmtId="182" fontId="4" fillId="0" borderId="17" xfId="0" applyNumberFormat="1" applyFont="1" applyBorder="1" applyAlignment="1">
      <alignment horizontal="center" vertical="center"/>
    </xf>
    <xf numFmtId="44" fontId="4" fillId="0" borderId="19" xfId="13" applyFont="1" applyFill="1" applyBorder="1" applyAlignment="1">
      <alignment horizontal="center" vertical="center"/>
    </xf>
    <xf numFmtId="182" fontId="4" fillId="0" borderId="19" xfId="0" applyNumberFormat="1" applyFont="1" applyBorder="1" applyAlignment="1">
      <alignment horizontal="center" vertical="center"/>
    </xf>
    <xf numFmtId="1" fontId="4" fillId="0" borderId="21" xfId="0" applyNumberFormat="1" applyFont="1" applyBorder="1" applyAlignment="1">
      <alignment horizontal="center" vertical="center" wrapText="1"/>
    </xf>
    <xf numFmtId="0" fontId="3" fillId="8" borderId="5" xfId="0" applyFont="1" applyFill="1" applyBorder="1" applyAlignment="1">
      <alignment horizontal="left" vertical="center"/>
    </xf>
    <xf numFmtId="44" fontId="3" fillId="8" borderId="11" xfId="13" applyFont="1" applyFill="1" applyBorder="1" applyAlignment="1">
      <alignment horizontal="center" vertical="center"/>
    </xf>
    <xf numFmtId="44" fontId="3" fillId="8" borderId="11" xfId="13" applyFont="1" applyFill="1" applyBorder="1" applyAlignment="1">
      <alignment horizontal="right" vertical="center"/>
    </xf>
    <xf numFmtId="1" fontId="3" fillId="8" borderId="11" xfId="0" applyNumberFormat="1" applyFont="1" applyFill="1" applyBorder="1" applyAlignment="1">
      <alignment horizontal="center" vertical="center"/>
    </xf>
    <xf numFmtId="1" fontId="3" fillId="2" borderId="18" xfId="0" applyNumberFormat="1" applyFont="1" applyFill="1" applyBorder="1" applyAlignment="1">
      <alignment vertical="center" wrapText="1"/>
    </xf>
    <xf numFmtId="44" fontId="4" fillId="0" borderId="23" xfId="13" applyFont="1" applyFill="1" applyBorder="1" applyAlignment="1">
      <alignment horizontal="center" vertical="center"/>
    </xf>
    <xf numFmtId="1" fontId="4" fillId="0" borderId="29" xfId="0" applyNumberFormat="1" applyFont="1" applyBorder="1" applyAlignment="1">
      <alignment horizontal="center" vertical="center" wrapText="1"/>
    </xf>
    <xf numFmtId="0" fontId="4" fillId="0" borderId="13" xfId="0" applyFont="1" applyBorder="1" applyAlignment="1">
      <alignment horizontal="left" vertical="center" wrapText="1"/>
    </xf>
    <xf numFmtId="44" fontId="4" fillId="0" borderId="1" xfId="13" applyFont="1" applyFill="1" applyBorder="1" applyAlignment="1">
      <alignment horizontal="center" vertical="center" wrapText="1"/>
    </xf>
    <xf numFmtId="172" fontId="4" fillId="0" borderId="19" xfId="0" applyNumberFormat="1" applyFont="1" applyBorder="1" applyAlignment="1">
      <alignment vertical="center"/>
    </xf>
    <xf numFmtId="44" fontId="4" fillId="0" borderId="4" xfId="13" applyFont="1" applyFill="1" applyBorder="1" applyAlignment="1">
      <alignment horizontal="center" vertical="center" wrapText="1"/>
    </xf>
    <xf numFmtId="172" fontId="4" fillId="0" borderId="26" xfId="0" applyNumberFormat="1" applyFont="1" applyBorder="1" applyAlignment="1">
      <alignment vertical="center"/>
    </xf>
    <xf numFmtId="44" fontId="4" fillId="0" borderId="15" xfId="13" applyFont="1" applyFill="1" applyBorder="1" applyAlignment="1">
      <alignment horizontal="center" vertical="center" wrapText="1"/>
    </xf>
    <xf numFmtId="0" fontId="4" fillId="0" borderId="4" xfId="0" applyFont="1" applyBorder="1" applyAlignment="1">
      <alignment horizontal="left" vertical="center" wrapText="1"/>
    </xf>
    <xf numFmtId="182" fontId="4" fillId="2" borderId="69" xfId="0" applyNumberFormat="1" applyFont="1" applyFill="1" applyBorder="1" applyAlignment="1">
      <alignment horizontal="center" vertical="center"/>
    </xf>
    <xf numFmtId="182" fontId="4" fillId="2" borderId="74" xfId="0" applyNumberFormat="1" applyFont="1" applyFill="1" applyBorder="1" applyAlignment="1">
      <alignment horizontal="center" vertical="center"/>
    </xf>
    <xf numFmtId="0" fontId="4" fillId="0" borderId="22" xfId="0" applyFont="1" applyBorder="1" applyAlignment="1">
      <alignment horizontal="left" vertical="center" wrapText="1"/>
    </xf>
    <xf numFmtId="0" fontId="4" fillId="0" borderId="75" xfId="0" applyFont="1" applyBorder="1" applyAlignment="1">
      <alignment horizontal="justify" vertical="center" wrapText="1"/>
    </xf>
    <xf numFmtId="1" fontId="3" fillId="2" borderId="22" xfId="0" applyNumberFormat="1" applyFont="1" applyFill="1" applyBorder="1" applyAlignment="1">
      <alignment vertical="center" wrapText="1"/>
    </xf>
    <xf numFmtId="1" fontId="3" fillId="2" borderId="60" xfId="0" applyNumberFormat="1" applyFont="1" applyFill="1" applyBorder="1" applyAlignment="1">
      <alignment vertical="center" wrapText="1"/>
    </xf>
    <xf numFmtId="1" fontId="3" fillId="2" borderId="15" xfId="0" applyNumberFormat="1" applyFont="1" applyFill="1" applyBorder="1" applyAlignment="1">
      <alignment vertical="center" wrapText="1"/>
    </xf>
    <xf numFmtId="0" fontId="3" fillId="3" borderId="14" xfId="0" applyFont="1" applyFill="1" applyBorder="1" applyAlignment="1">
      <alignment horizontal="left" vertical="center" wrapText="1"/>
    </xf>
    <xf numFmtId="0" fontId="3" fillId="3" borderId="9" xfId="0" applyFont="1" applyFill="1" applyBorder="1" applyAlignment="1">
      <alignment vertical="center"/>
    </xf>
    <xf numFmtId="9" fontId="3" fillId="3" borderId="9" xfId="2" applyFont="1" applyFill="1" applyBorder="1" applyAlignment="1">
      <alignment horizontal="center" vertical="center"/>
    </xf>
    <xf numFmtId="171" fontId="3" fillId="3" borderId="9" xfId="0" applyNumberFormat="1" applyFont="1" applyFill="1" applyBorder="1" applyAlignment="1">
      <alignment horizontal="center" vertical="center"/>
    </xf>
    <xf numFmtId="0" fontId="3" fillId="3" borderId="9" xfId="0" applyFont="1" applyFill="1" applyBorder="1" applyAlignment="1">
      <alignment horizontal="left" vertical="center" wrapText="1"/>
    </xf>
    <xf numFmtId="44" fontId="3" fillId="3" borderId="17" xfId="13" applyFont="1" applyFill="1" applyBorder="1" applyAlignment="1">
      <alignment horizontal="center" vertical="center"/>
    </xf>
    <xf numFmtId="44" fontId="3" fillId="3" borderId="76" xfId="13" applyFont="1" applyFill="1" applyBorder="1" applyAlignment="1">
      <alignment horizontal="right" vertical="center"/>
    </xf>
    <xf numFmtId="44" fontId="3" fillId="3" borderId="77" xfId="13" applyFont="1" applyFill="1" applyBorder="1" applyAlignment="1">
      <alignment horizontal="right" vertical="center"/>
    </xf>
    <xf numFmtId="172" fontId="3" fillId="3" borderId="9" xfId="0" applyNumberFormat="1" applyFont="1" applyFill="1" applyBorder="1" applyAlignment="1">
      <alignment horizontal="center" vertical="center"/>
    </xf>
    <xf numFmtId="0" fontId="3" fillId="3" borderId="15" xfId="0" applyFont="1" applyFill="1" applyBorder="1" applyAlignment="1">
      <alignment horizontal="justify" vertical="center" wrapText="1"/>
    </xf>
    <xf numFmtId="0" fontId="3" fillId="8" borderId="9" xfId="0" applyFont="1" applyFill="1" applyBorder="1" applyAlignment="1">
      <alignment vertical="center"/>
    </xf>
    <xf numFmtId="172" fontId="3" fillId="8" borderId="9" xfId="0" applyNumberFormat="1" applyFont="1" applyFill="1" applyBorder="1" applyAlignment="1">
      <alignment horizontal="center" vertical="center"/>
    </xf>
    <xf numFmtId="9" fontId="4" fillId="2" borderId="1" xfId="2" applyFont="1" applyFill="1" applyBorder="1" applyAlignment="1">
      <alignment horizontal="center" vertical="center" wrapText="1"/>
    </xf>
    <xf numFmtId="0" fontId="4" fillId="2" borderId="10" xfId="0" applyFont="1" applyFill="1" applyBorder="1" applyAlignment="1">
      <alignment horizontal="left" vertical="center" wrapText="1"/>
    </xf>
    <xf numFmtId="1" fontId="4" fillId="2" borderId="13" xfId="15" applyNumberFormat="1" applyFont="1" applyFill="1" applyBorder="1" applyAlignment="1">
      <alignment horizontal="center" vertical="center" wrapText="1"/>
    </xf>
    <xf numFmtId="1" fontId="4" fillId="2" borderId="4" xfId="15" applyNumberFormat="1" applyFont="1" applyFill="1" applyBorder="1" applyAlignment="1">
      <alignment horizontal="center" vertical="center" wrapText="1"/>
    </xf>
    <xf numFmtId="1" fontId="4" fillId="2" borderId="14" xfId="15"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9" fontId="3" fillId="8" borderId="0" xfId="2" applyFont="1" applyFill="1" applyAlignment="1">
      <alignment horizontal="center" vertical="center"/>
    </xf>
    <xf numFmtId="0" fontId="4" fillId="0" borderId="10" xfId="0" applyFont="1" applyBorder="1" applyAlignment="1">
      <alignment horizontal="left" vertical="center" wrapText="1"/>
    </xf>
    <xf numFmtId="0" fontId="4" fillId="0" borderId="38" xfId="0" applyFont="1" applyBorder="1" applyAlignment="1">
      <alignment horizontal="left" vertical="center" wrapText="1"/>
    </xf>
    <xf numFmtId="1" fontId="4" fillId="0" borderId="8" xfId="0" applyNumberFormat="1" applyFont="1" applyBorder="1"/>
    <xf numFmtId="0" fontId="3" fillId="3" borderId="11" xfId="0" applyFont="1" applyFill="1" applyBorder="1" applyAlignment="1">
      <alignment horizontal="left" vertical="center"/>
    </xf>
    <xf numFmtId="9" fontId="3" fillId="3" borderId="11" xfId="2" applyFont="1" applyFill="1" applyBorder="1" applyAlignment="1">
      <alignment horizontal="center" vertical="center"/>
    </xf>
    <xf numFmtId="1" fontId="3" fillId="3" borderId="77" xfId="0" applyNumberFormat="1" applyFont="1" applyFill="1" applyBorder="1" applyAlignment="1">
      <alignment horizontal="center" vertical="center"/>
    </xf>
    <xf numFmtId="0" fontId="3" fillId="3" borderId="12" xfId="0" applyFont="1" applyFill="1" applyBorder="1" applyAlignment="1">
      <alignment horizontal="center" vertical="center"/>
    </xf>
    <xf numFmtId="0" fontId="3" fillId="8" borderId="15" xfId="0" applyFont="1" applyFill="1" applyBorder="1" applyAlignment="1">
      <alignment horizontal="center" vertical="center"/>
    </xf>
    <xf numFmtId="0" fontId="4" fillId="0" borderId="7" xfId="0" applyFont="1" applyBorder="1"/>
    <xf numFmtId="44" fontId="4" fillId="0" borderId="17" xfId="13" applyFont="1" applyFill="1" applyBorder="1" applyAlignment="1">
      <alignment vertical="center"/>
    </xf>
    <xf numFmtId="1" fontId="4" fillId="0" borderId="30" xfId="0" applyNumberFormat="1" applyFont="1" applyBorder="1" applyAlignment="1">
      <alignment horizontal="center" vertical="center"/>
    </xf>
    <xf numFmtId="0" fontId="4" fillId="0" borderId="20" xfId="0" applyFont="1" applyBorder="1" applyAlignment="1">
      <alignment horizontal="center" vertical="center" wrapText="1"/>
    </xf>
    <xf numFmtId="0" fontId="4" fillId="0" borderId="8" xfId="0" applyFont="1" applyBorder="1" applyAlignment="1">
      <alignment horizontal="left" vertical="center" wrapText="1"/>
    </xf>
    <xf numFmtId="182" fontId="4" fillId="0" borderId="25" xfId="0" applyNumberFormat="1" applyFont="1" applyBorder="1" applyAlignment="1">
      <alignment horizontal="center" vertical="center"/>
    </xf>
    <xf numFmtId="44" fontId="4" fillId="0" borderId="19" xfId="13" applyFont="1" applyFill="1" applyBorder="1" applyAlignment="1">
      <alignment vertical="center"/>
    </xf>
    <xf numFmtId="182" fontId="4" fillId="0" borderId="20" xfId="0" applyNumberFormat="1" applyFont="1" applyBorder="1" applyAlignment="1">
      <alignment horizontal="center" vertical="center"/>
    </xf>
    <xf numFmtId="1" fontId="4" fillId="0" borderId="9" xfId="0" applyNumberFormat="1" applyFont="1" applyBorder="1"/>
    <xf numFmtId="1" fontId="4" fillId="0" borderId="15" xfId="0" applyNumberFormat="1" applyFont="1" applyBorder="1"/>
    <xf numFmtId="1" fontId="4" fillId="0" borderId="11" xfId="0" applyNumberFormat="1" applyFont="1" applyBorder="1"/>
    <xf numFmtId="1" fontId="4" fillId="0" borderId="12" xfId="0" applyNumberFormat="1" applyFont="1" applyBorder="1"/>
    <xf numFmtId="0" fontId="4" fillId="0" borderId="1" xfId="0" applyFont="1" applyBorder="1" applyAlignment="1">
      <alignment horizontal="center"/>
    </xf>
    <xf numFmtId="0" fontId="4" fillId="0" borderId="10" xfId="0" applyFont="1" applyBorder="1" applyAlignment="1">
      <alignment horizontal="center"/>
    </xf>
    <xf numFmtId="0" fontId="4" fillId="2" borderId="17" xfId="0" applyFont="1" applyFill="1" applyBorder="1"/>
    <xf numFmtId="0" fontId="4" fillId="2" borderId="23" xfId="0" applyFont="1" applyFill="1" applyBorder="1"/>
    <xf numFmtId="0" fontId="4" fillId="2" borderId="17" xfId="0" applyFont="1" applyFill="1" applyBorder="1" applyAlignment="1">
      <alignment horizontal="center"/>
    </xf>
    <xf numFmtId="170" fontId="4" fillId="2" borderId="17" xfId="0" applyNumberFormat="1" applyFont="1" applyFill="1" applyBorder="1" applyAlignment="1">
      <alignment horizontal="center" vertical="center"/>
    </xf>
    <xf numFmtId="43" fontId="3" fillId="0" borderId="17" xfId="0" applyNumberFormat="1" applyFont="1" applyBorder="1" applyAlignment="1">
      <alignment horizontal="center" vertical="center"/>
    </xf>
    <xf numFmtId="44" fontId="3" fillId="0" borderId="17" xfId="13" applyFont="1" applyBorder="1" applyAlignment="1">
      <alignment horizontal="center" vertical="center"/>
    </xf>
    <xf numFmtId="1" fontId="4" fillId="2" borderId="17" xfId="0" applyNumberFormat="1" applyFont="1" applyFill="1" applyBorder="1" applyAlignment="1">
      <alignment horizontal="center" vertical="center"/>
    </xf>
    <xf numFmtId="0" fontId="4" fillId="0" borderId="17" xfId="0" applyFont="1" applyBorder="1" applyAlignment="1">
      <alignment horizontal="center"/>
    </xf>
    <xf numFmtId="0" fontId="4" fillId="0" borderId="78" xfId="0" applyFont="1" applyBorder="1" applyAlignment="1">
      <alignment horizontal="center"/>
    </xf>
    <xf numFmtId="0" fontId="4" fillId="0" borderId="12" xfId="0" applyFont="1" applyBorder="1" applyAlignment="1">
      <alignment horizontal="center"/>
    </xf>
    <xf numFmtId="172" fontId="4" fillId="0" borderId="1" xfId="0" applyNumberFormat="1" applyFont="1" applyBorder="1" applyAlignment="1">
      <alignment horizontal="center"/>
    </xf>
    <xf numFmtId="0" fontId="4" fillId="0" borderId="1" xfId="0" applyFont="1" applyBorder="1" applyAlignment="1">
      <alignment horizontal="justify" vertical="center"/>
    </xf>
    <xf numFmtId="0" fontId="4" fillId="2" borderId="0" xfId="0" applyFont="1" applyFill="1" applyAlignment="1">
      <alignment horizontal="justify" vertical="center" wrapText="1"/>
    </xf>
    <xf numFmtId="0" fontId="4" fillId="2" borderId="0" xfId="0" applyFont="1" applyFill="1" applyAlignment="1">
      <alignment horizontal="center"/>
    </xf>
    <xf numFmtId="170" fontId="4" fillId="2" borderId="0" xfId="0" applyNumberFormat="1" applyFont="1" applyFill="1" applyAlignment="1">
      <alignment horizontal="center" vertical="center"/>
    </xf>
    <xf numFmtId="171" fontId="4" fillId="2" borderId="0" xfId="0" applyNumberFormat="1" applyFont="1" applyFill="1" applyAlignment="1">
      <alignment horizontal="center" vertical="center"/>
    </xf>
    <xf numFmtId="0" fontId="4" fillId="2" borderId="0" xfId="0" applyFont="1" applyFill="1" applyAlignment="1">
      <alignment horizontal="left" vertical="center" wrapText="1"/>
    </xf>
    <xf numFmtId="174" fontId="4" fillId="2" borderId="0" xfId="0" applyNumberFormat="1" applyFont="1" applyFill="1" applyAlignment="1">
      <alignment horizontal="center" vertical="center"/>
    </xf>
    <xf numFmtId="174" fontId="4" fillId="2" borderId="0" xfId="0" applyNumberFormat="1" applyFont="1" applyFill="1" applyAlignment="1">
      <alignment horizontal="right" vertical="center"/>
    </xf>
    <xf numFmtId="1" fontId="4" fillId="2" borderId="0" xfId="0" applyNumberFormat="1" applyFont="1" applyFill="1" applyAlignment="1">
      <alignment horizontal="center" vertical="center"/>
    </xf>
    <xf numFmtId="172" fontId="4" fillId="0" borderId="0" xfId="0" applyNumberFormat="1" applyFont="1" applyAlignment="1">
      <alignment horizontal="center" vertical="center"/>
    </xf>
    <xf numFmtId="172" fontId="4" fillId="0" borderId="0" xfId="0" applyNumberFormat="1" applyFont="1" applyAlignment="1">
      <alignment horizontal="center"/>
    </xf>
    <xf numFmtId="0" fontId="4" fillId="0" borderId="0" xfId="0" applyFont="1" applyAlignment="1">
      <alignment horizontal="justify" vertical="center"/>
    </xf>
    <xf numFmtId="170" fontId="4" fillId="0" borderId="0" xfId="0" applyNumberFormat="1" applyFont="1" applyAlignment="1">
      <alignment horizontal="center" vertical="center"/>
    </xf>
    <xf numFmtId="4" fontId="3" fillId="0" borderId="0" xfId="0" applyNumberFormat="1" applyFont="1" applyAlignment="1">
      <alignment horizontal="center"/>
    </xf>
    <xf numFmtId="183" fontId="4" fillId="2" borderId="0" xfId="0" applyNumberFormat="1" applyFont="1" applyFill="1" applyAlignment="1">
      <alignment horizontal="justify" vertical="center" wrapText="1"/>
    </xf>
    <xf numFmtId="171" fontId="4" fillId="0" borderId="0" xfId="0" applyNumberFormat="1" applyFont="1" applyAlignment="1">
      <alignment horizontal="center" vertical="center"/>
    </xf>
    <xf numFmtId="171" fontId="4" fillId="2" borderId="9" xfId="0" applyNumberFormat="1" applyFont="1" applyFill="1" applyBorder="1" applyAlignment="1">
      <alignment vertical="center"/>
    </xf>
    <xf numFmtId="0" fontId="4" fillId="2" borderId="9" xfId="0" applyFont="1" applyFill="1" applyBorder="1" applyAlignment="1">
      <alignment horizontal="justify" vertical="center"/>
    </xf>
    <xf numFmtId="0" fontId="4" fillId="0" borderId="9" xfId="0" applyFont="1" applyBorder="1" applyAlignment="1">
      <alignment horizontal="center"/>
    </xf>
    <xf numFmtId="0" fontId="3" fillId="0" borderId="0" xfId="0" applyFont="1"/>
    <xf numFmtId="0" fontId="4" fillId="2" borderId="0" xfId="0" applyFont="1" applyFill="1" applyAlignment="1">
      <alignment horizontal="justify" vertical="center"/>
    </xf>
    <xf numFmtId="44" fontId="4" fillId="0" borderId="0" xfId="0" applyNumberFormat="1" applyFont="1" applyAlignment="1">
      <alignment horizontal="center"/>
    </xf>
    <xf numFmtId="171" fontId="4" fillId="2" borderId="0" xfId="0" applyNumberFormat="1" applyFont="1" applyFill="1" applyAlignment="1">
      <alignment vertical="center"/>
    </xf>
    <xf numFmtId="1" fontId="29" fillId="0" borderId="0" xfId="0" applyNumberFormat="1" applyFont="1"/>
    <xf numFmtId="0" fontId="29" fillId="0" borderId="0" xfId="0" applyFont="1" applyAlignment="1">
      <alignment horizontal="center"/>
    </xf>
    <xf numFmtId="0" fontId="29" fillId="2" borderId="0" xfId="0" applyFont="1" applyFill="1" applyAlignment="1">
      <alignment horizontal="justify" vertical="center" wrapText="1"/>
    </xf>
    <xf numFmtId="0" fontId="29" fillId="2" borderId="0" xfId="0" applyFont="1" applyFill="1" applyAlignment="1">
      <alignment horizontal="center"/>
    </xf>
    <xf numFmtId="170" fontId="29" fillId="2" borderId="0" xfId="0" applyNumberFormat="1" applyFont="1" applyFill="1" applyAlignment="1">
      <alignment horizontal="center" vertical="center"/>
    </xf>
    <xf numFmtId="171" fontId="29" fillId="2" borderId="0" xfId="0" applyNumberFormat="1" applyFont="1" applyFill="1" applyAlignment="1">
      <alignment horizontal="center" vertical="center"/>
    </xf>
    <xf numFmtId="0" fontId="29" fillId="2" borderId="0" xfId="0" applyFont="1" applyFill="1" applyAlignment="1">
      <alignment horizontal="left" vertical="center" wrapText="1"/>
    </xf>
    <xf numFmtId="171" fontId="29" fillId="0" borderId="0" xfId="0" applyNumberFormat="1" applyFont="1" applyAlignment="1">
      <alignment horizontal="center" vertical="center"/>
    </xf>
    <xf numFmtId="171" fontId="29" fillId="0" borderId="0" xfId="0" applyNumberFormat="1" applyFont="1" applyAlignment="1">
      <alignment horizontal="right" vertical="center"/>
    </xf>
    <xf numFmtId="1" fontId="29" fillId="2" borderId="0" xfId="0" applyNumberFormat="1" applyFont="1" applyFill="1" applyAlignment="1">
      <alignment horizontal="center" vertical="center"/>
    </xf>
    <xf numFmtId="172" fontId="29" fillId="0" borderId="0" xfId="0" applyNumberFormat="1" applyFont="1" applyAlignment="1">
      <alignment horizontal="center" vertical="center"/>
    </xf>
    <xf numFmtId="172" fontId="29" fillId="0" borderId="0" xfId="0" applyNumberFormat="1" applyFont="1" applyAlignment="1">
      <alignment horizontal="center"/>
    </xf>
    <xf numFmtId="0" fontId="29" fillId="0" borderId="0" xfId="0" applyFont="1" applyAlignment="1">
      <alignment horizontal="justify" vertical="center"/>
    </xf>
    <xf numFmtId="171" fontId="29" fillId="2" borderId="0" xfId="0" applyNumberFormat="1" applyFont="1" applyFill="1" applyAlignment="1">
      <alignment horizontal="right" vertical="center"/>
    </xf>
    <xf numFmtId="171" fontId="3" fillId="6" borderId="1" xfId="0" applyNumberFormat="1" applyFont="1" applyFill="1" applyBorder="1" applyAlignment="1">
      <alignment horizontal="center" vertical="center" wrapText="1"/>
    </xf>
    <xf numFmtId="175" fontId="3" fillId="6" borderId="13" xfId="17" applyNumberFormat="1" applyFont="1" applyFill="1" applyBorder="1" applyAlignment="1">
      <alignment horizontal="center" vertical="center" wrapText="1"/>
    </xf>
    <xf numFmtId="14" fontId="3" fillId="6" borderId="13"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13" fillId="3" borderId="10" xfId="0" applyFont="1" applyFill="1" applyBorder="1" applyAlignment="1">
      <alignment vertical="center"/>
    </xf>
    <xf numFmtId="0" fontId="13" fillId="3" borderId="17" xfId="0" applyFont="1" applyFill="1" applyBorder="1" applyAlignment="1">
      <alignment vertical="center"/>
    </xf>
    <xf numFmtId="4" fontId="2" fillId="2" borderId="1" xfId="0" applyNumberFormat="1" applyFont="1" applyFill="1" applyBorder="1" applyAlignment="1">
      <alignment horizontal="right" vertical="center" wrapText="1"/>
    </xf>
    <xf numFmtId="4" fontId="2" fillId="0" borderId="1" xfId="13" applyNumberFormat="1" applyFont="1" applyFill="1" applyBorder="1" applyAlignment="1">
      <alignment horizontal="right" vertical="center" wrapText="1"/>
    </xf>
    <xf numFmtId="4" fontId="2" fillId="2" borderId="1" xfId="13" applyNumberFormat="1" applyFont="1" applyFill="1" applyBorder="1" applyAlignment="1">
      <alignment horizontal="right" vertical="center" wrapText="1"/>
    </xf>
    <xf numFmtId="4" fontId="2" fillId="0" borderId="12" xfId="0" applyNumberFormat="1" applyFont="1" applyBorder="1" applyAlignment="1">
      <alignment horizontal="right" vertical="center" wrapText="1"/>
    </xf>
    <xf numFmtId="4" fontId="2" fillId="2" borderId="12" xfId="0" applyNumberFormat="1" applyFont="1" applyFill="1" applyBorder="1" applyAlignment="1">
      <alignment horizontal="right" vertical="center" wrapText="1"/>
    </xf>
    <xf numFmtId="0" fontId="11" fillId="0" borderId="1" xfId="0" applyFont="1" applyBorder="1" applyAlignment="1">
      <alignment horizontal="center" vertical="center" wrapText="1"/>
    </xf>
    <xf numFmtId="0" fontId="2" fillId="0" borderId="1" xfId="19" applyFont="1" applyBorder="1" applyAlignment="1">
      <alignment horizontal="center" vertical="center"/>
    </xf>
    <xf numFmtId="4" fontId="2" fillId="0" borderId="1" xfId="13" applyNumberFormat="1" applyFont="1" applyBorder="1" applyAlignment="1">
      <alignment horizontal="right" vertical="center"/>
    </xf>
    <xf numFmtId="0" fontId="2" fillId="8" borderId="4" xfId="0" applyFont="1" applyFill="1" applyBorder="1"/>
    <xf numFmtId="0" fontId="2" fillId="8" borderId="8" xfId="0" applyFont="1" applyFill="1" applyBorder="1" applyAlignment="1">
      <alignment horizontal="justify" vertical="center" wrapText="1"/>
    </xf>
    <xf numFmtId="0" fontId="2" fillId="8" borderId="4" xfId="0" applyFont="1" applyFill="1" applyBorder="1" applyAlignment="1">
      <alignment horizontal="center"/>
    </xf>
    <xf numFmtId="170" fontId="2" fillId="8" borderId="1" xfId="0" applyNumberFormat="1" applyFont="1" applyFill="1" applyBorder="1" applyAlignment="1">
      <alignment horizontal="center" vertical="center"/>
    </xf>
    <xf numFmtId="43" fontId="2" fillId="8" borderId="4" xfId="0" applyNumberFormat="1" applyFont="1" applyFill="1" applyBorder="1" applyAlignment="1">
      <alignment horizontal="center" vertical="center"/>
    </xf>
    <xf numFmtId="4" fontId="2" fillId="8" borderId="1" xfId="0" applyNumberFormat="1" applyFont="1" applyFill="1" applyBorder="1" applyAlignment="1">
      <alignment horizontal="right" vertical="center"/>
    </xf>
    <xf numFmtId="4" fontId="2" fillId="8" borderId="1" xfId="0" applyNumberFormat="1" applyFont="1" applyFill="1" applyBorder="1"/>
    <xf numFmtId="9" fontId="2" fillId="8" borderId="1" xfId="2" applyFont="1" applyFill="1" applyBorder="1"/>
    <xf numFmtId="0" fontId="2" fillId="8" borderId="1" xfId="0" applyFont="1" applyFill="1" applyBorder="1" applyAlignment="1">
      <alignment horizontal="justify" vertical="center"/>
    </xf>
    <xf numFmtId="14" fontId="2" fillId="8" borderId="1" xfId="0" applyNumberFormat="1" applyFont="1" applyFill="1" applyBorder="1" applyAlignment="1">
      <alignment horizontal="center" vertical="center"/>
    </xf>
    <xf numFmtId="43" fontId="2" fillId="0" borderId="1" xfId="13" applyNumberFormat="1" applyFont="1" applyBorder="1" applyAlignment="1">
      <alignment vertical="center" wrapText="1"/>
    </xf>
    <xf numFmtId="4" fontId="4" fillId="0" borderId="1" xfId="13" applyNumberFormat="1" applyFont="1" applyFill="1" applyBorder="1" applyAlignment="1">
      <alignment horizontal="right" vertical="center" wrapText="1"/>
    </xf>
    <xf numFmtId="4" fontId="2" fillId="0" borderId="1" xfId="0" applyNumberFormat="1" applyFont="1" applyBorder="1"/>
    <xf numFmtId="9" fontId="2" fillId="0" borderId="1" xfId="2" applyFont="1" applyFill="1" applyBorder="1"/>
    <xf numFmtId="14" fontId="2" fillId="0" borderId="1" xfId="0" applyNumberFormat="1" applyFont="1" applyBorder="1" applyAlignment="1">
      <alignment horizontal="center" vertical="center"/>
    </xf>
    <xf numFmtId="9" fontId="13" fillId="0" borderId="1" xfId="2" applyFont="1" applyFill="1" applyBorder="1" applyAlignment="1">
      <alignment horizontal="center" vertical="center"/>
    </xf>
    <xf numFmtId="43" fontId="2" fillId="2" borderId="0" xfId="0" applyNumberFormat="1" applyFont="1" applyFill="1" applyAlignment="1">
      <alignment vertical="center"/>
    </xf>
    <xf numFmtId="1" fontId="38" fillId="0" borderId="0" xfId="0" applyNumberFormat="1" applyFont="1"/>
    <xf numFmtId="0" fontId="2" fillId="8" borderId="15" xfId="0" applyFont="1" applyFill="1" applyBorder="1" applyAlignment="1">
      <alignment horizontal="left" vertical="center" wrapText="1"/>
    </xf>
    <xf numFmtId="0" fontId="2" fillId="2" borderId="12" xfId="0" applyFont="1" applyFill="1" applyBorder="1" applyAlignment="1">
      <alignment horizontal="left" vertical="center" wrapText="1"/>
    </xf>
    <xf numFmtId="1" fontId="2" fillId="2" borderId="2" xfId="0" applyNumberFormat="1" applyFont="1" applyFill="1" applyBorder="1" applyAlignment="1">
      <alignment horizontal="center" vertical="center" wrapText="1"/>
    </xf>
    <xf numFmtId="173" fontId="2" fillId="2" borderId="13" xfId="0" applyNumberFormat="1" applyFont="1" applyFill="1" applyBorder="1" applyAlignment="1">
      <alignment horizontal="center" vertical="center" wrapText="1"/>
    </xf>
    <xf numFmtId="0" fontId="2" fillId="0" borderId="13" xfId="0" applyFont="1" applyBorder="1" applyAlignment="1">
      <alignment horizontal="center" vertical="center"/>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justify" vertical="center" wrapText="1"/>
    </xf>
    <xf numFmtId="1" fontId="13" fillId="2" borderId="5"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3" fontId="13" fillId="6"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4"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2" fillId="2" borderId="23" xfId="0" applyFont="1" applyFill="1" applyBorder="1" applyAlignment="1">
      <alignment horizontal="justify"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0" xfId="0" applyFont="1" applyFill="1" applyAlignment="1">
      <alignment horizontal="center" vertical="center" wrapText="1"/>
    </xf>
    <xf numFmtId="172" fontId="13" fillId="6"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justify" vertical="center" wrapText="1"/>
    </xf>
    <xf numFmtId="0" fontId="4" fillId="0" borderId="8" xfId="0" applyFont="1" applyBorder="1" applyAlignment="1">
      <alignment horizontal="justify" vertical="center" wrapText="1"/>
    </xf>
    <xf numFmtId="9" fontId="2" fillId="2" borderId="17" xfId="2"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0" xfId="0" applyFont="1" applyAlignment="1">
      <alignment horizontal="center"/>
    </xf>
    <xf numFmtId="3" fontId="4" fillId="0" borderId="1" xfId="1" applyNumberFormat="1" applyFont="1" applyFill="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left" vertical="center"/>
    </xf>
    <xf numFmtId="0" fontId="13" fillId="0" borderId="8" xfId="0" applyFont="1" applyBorder="1" applyAlignment="1">
      <alignment vertical="center"/>
    </xf>
    <xf numFmtId="0" fontId="13" fillId="6" borderId="5" xfId="0" applyFont="1" applyFill="1" applyBorder="1" applyAlignment="1">
      <alignment horizontal="center" vertical="center" textRotation="90" wrapText="1"/>
    </xf>
    <xf numFmtId="49" fontId="13" fillId="6" borderId="1" xfId="0" applyNumberFormat="1" applyFont="1" applyFill="1" applyBorder="1" applyAlignment="1">
      <alignment horizontal="center" vertical="center" wrapText="1"/>
    </xf>
    <xf numFmtId="0" fontId="13" fillId="3" borderId="11" xfId="0" applyFont="1" applyFill="1" applyBorder="1" applyAlignment="1">
      <alignment horizontal="justify" vertical="center"/>
    </xf>
    <xf numFmtId="172" fontId="13" fillId="3" borderId="11" xfId="0" applyNumberFormat="1" applyFont="1" applyFill="1" applyBorder="1" applyAlignment="1">
      <alignment vertical="center"/>
    </xf>
    <xf numFmtId="0" fontId="3" fillId="8" borderId="0" xfId="0" applyFont="1" applyFill="1" applyBorder="1" applyAlignment="1">
      <alignment horizontal="center" vertical="center"/>
    </xf>
    <xf numFmtId="0" fontId="13" fillId="8" borderId="11" xfId="0" applyFont="1" applyFill="1" applyBorder="1" applyAlignment="1">
      <alignment vertical="center"/>
    </xf>
    <xf numFmtId="172" fontId="13" fillId="8" borderId="0" xfId="0" applyNumberFormat="1" applyFont="1" applyFill="1" applyAlignment="1">
      <alignment vertical="center"/>
    </xf>
    <xf numFmtId="1" fontId="2"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164" fontId="4" fillId="0" borderId="10" xfId="15" applyFont="1" applyFill="1" applyBorder="1" applyAlignment="1">
      <alignment vertical="center"/>
    </xf>
    <xf numFmtId="164" fontId="4" fillId="0" borderId="1" xfId="15" applyFont="1" applyFill="1" applyBorder="1" applyAlignment="1">
      <alignment vertical="center"/>
    </xf>
    <xf numFmtId="1" fontId="2" fillId="0" borderId="30" xfId="0" applyNumberFormat="1" applyFont="1" applyFill="1" applyBorder="1" applyAlignment="1">
      <alignment horizontal="center" vertical="center" wrapText="1"/>
    </xf>
    <xf numFmtId="0" fontId="2" fillId="0" borderId="17" xfId="0" applyFont="1" applyFill="1" applyBorder="1" applyAlignment="1">
      <alignment horizontal="justify" vertical="center" wrapText="1"/>
    </xf>
    <xf numFmtId="173" fontId="2" fillId="0" borderId="0" xfId="0" applyNumberFormat="1" applyFont="1" applyFill="1" applyAlignment="1">
      <alignment vertical="center" wrapText="1"/>
    </xf>
    <xf numFmtId="0" fontId="2" fillId="0" borderId="0" xfId="0" applyFont="1" applyFill="1"/>
    <xf numFmtId="0" fontId="2" fillId="12" borderId="0" xfId="0" applyFont="1" applyFill="1"/>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164" fontId="4" fillId="0" borderId="8" xfId="15" applyFont="1" applyFill="1" applyBorder="1" applyAlignment="1">
      <alignment vertical="center"/>
    </xf>
    <xf numFmtId="173" fontId="2" fillId="2" borderId="0" xfId="0" applyNumberFormat="1" applyFont="1" applyFill="1" applyAlignment="1">
      <alignment vertical="center" wrapText="1"/>
    </xf>
    <xf numFmtId="1" fontId="2" fillId="2" borderId="2" xfId="0" applyNumberFormat="1" applyFont="1" applyFill="1" applyBorder="1" applyAlignment="1">
      <alignment horizontal="center" vertical="top" wrapText="1"/>
    </xf>
    <xf numFmtId="0" fontId="2" fillId="2" borderId="0" xfId="0" applyFont="1" applyFill="1" applyAlignment="1">
      <alignment horizontal="center" vertical="top" wrapText="1"/>
    </xf>
    <xf numFmtId="0" fontId="2" fillId="2" borderId="3" xfId="0" applyFont="1" applyFill="1" applyBorder="1" applyAlignment="1">
      <alignment horizontal="center" vertical="top" wrapText="1"/>
    </xf>
    <xf numFmtId="0" fontId="2" fillId="2" borderId="0" xfId="0" applyFont="1" applyFill="1" applyAlignment="1">
      <alignment vertical="top"/>
    </xf>
    <xf numFmtId="0" fontId="2" fillId="2" borderId="2" xfId="0" applyFont="1" applyFill="1" applyBorder="1" applyAlignment="1">
      <alignment vertical="top" wrapText="1"/>
    </xf>
    <xf numFmtId="0" fontId="2" fillId="2" borderId="3" xfId="0" applyFont="1" applyFill="1" applyBorder="1" applyAlignment="1">
      <alignment vertical="top" wrapText="1"/>
    </xf>
    <xf numFmtId="173" fontId="2" fillId="2" borderId="0" xfId="0" applyNumberFormat="1" applyFont="1" applyFill="1" applyAlignment="1">
      <alignment vertical="top" wrapText="1"/>
    </xf>
    <xf numFmtId="0" fontId="4" fillId="0" borderId="4" xfId="0" applyFont="1" applyFill="1" applyBorder="1" applyAlignment="1">
      <alignment horizontal="justify" vertical="center" wrapText="1"/>
    </xf>
    <xf numFmtId="0" fontId="4" fillId="0" borderId="12" xfId="0" applyFont="1" applyFill="1" applyBorder="1" applyAlignment="1">
      <alignment horizontal="center" vertical="center" wrapText="1"/>
    </xf>
    <xf numFmtId="0" fontId="2" fillId="2" borderId="83" xfId="0" applyFont="1" applyFill="1" applyBorder="1" applyAlignment="1">
      <alignment horizontal="center" vertical="center" wrapText="1"/>
    </xf>
    <xf numFmtId="3" fontId="2" fillId="0" borderId="10" xfId="0" applyNumberFormat="1" applyFont="1" applyBorder="1" applyAlignment="1">
      <alignment horizontal="justify" vertical="center" wrapText="1"/>
    </xf>
    <xf numFmtId="0" fontId="26" fillId="0" borderId="13" xfId="0" applyFont="1" applyFill="1" applyBorder="1" applyAlignment="1">
      <alignment horizontal="justify" vertical="center" wrapText="1"/>
    </xf>
    <xf numFmtId="164" fontId="13" fillId="8" borderId="11" xfId="15" applyFont="1" applyFill="1" applyBorder="1" applyAlignment="1">
      <alignment vertical="center"/>
    </xf>
    <xf numFmtId="164" fontId="13" fillId="8" borderId="9" xfId="15" applyFont="1" applyFill="1" applyBorder="1" applyAlignment="1">
      <alignment horizontal="center" vertical="center"/>
    </xf>
    <xf numFmtId="164" fontId="13" fillId="8" borderId="1" xfId="15" applyFont="1" applyFill="1" applyBorder="1" applyAlignment="1">
      <alignment horizontal="center" vertical="center"/>
    </xf>
    <xf numFmtId="1" fontId="13" fillId="8" borderId="9"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4" fillId="0" borderId="1" xfId="0" applyFont="1" applyFill="1" applyBorder="1" applyAlignment="1">
      <alignment horizontal="center" vertical="center" wrapText="1"/>
    </xf>
    <xf numFmtId="9" fontId="2" fillId="0" borderId="1" xfId="2"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164" fontId="2" fillId="0" borderId="13" xfId="0" applyNumberFormat="1" applyFont="1" applyBorder="1" applyAlignment="1">
      <alignment horizontal="center" vertical="center"/>
    </xf>
    <xf numFmtId="0" fontId="2" fillId="0" borderId="13" xfId="0" applyNumberFormat="1" applyFont="1" applyBorder="1" applyAlignment="1">
      <alignment horizontal="center" vertical="center"/>
    </xf>
    <xf numFmtId="1" fontId="2" fillId="0" borderId="1" xfId="0" applyNumberFormat="1" applyFont="1" applyBorder="1" applyAlignment="1">
      <alignment horizontal="justify" vertical="center" wrapText="1"/>
    </xf>
    <xf numFmtId="164" fontId="13" fillId="3" borderId="11" xfId="15" applyFont="1" applyFill="1" applyBorder="1" applyAlignment="1">
      <alignment vertical="center"/>
    </xf>
    <xf numFmtId="164" fontId="13" fillId="3" borderId="11" xfId="15" applyFont="1" applyFill="1" applyBorder="1" applyAlignment="1">
      <alignment horizontal="center" vertical="center"/>
    </xf>
    <xf numFmtId="164" fontId="13" fillId="3" borderId="1" xfId="15" applyFont="1" applyFill="1" applyBorder="1" applyAlignment="1">
      <alignment horizontal="center" vertical="center"/>
    </xf>
    <xf numFmtId="1" fontId="13" fillId="3" borderId="11" xfId="0" applyNumberFormat="1" applyFont="1" applyFill="1" applyBorder="1" applyAlignment="1">
      <alignment horizontal="center" vertical="center" wrapText="1"/>
    </xf>
    <xf numFmtId="0" fontId="13" fillId="3" borderId="12" xfId="0" applyFont="1" applyFill="1" applyBorder="1" applyAlignment="1">
      <alignment horizontal="justify" vertical="center" wrapText="1"/>
    </xf>
    <xf numFmtId="164" fontId="13" fillId="8" borderId="11" xfId="15" applyFont="1" applyFill="1" applyBorder="1" applyAlignment="1">
      <alignment horizontal="center" vertical="center"/>
    </xf>
    <xf numFmtId="1" fontId="13" fillId="8" borderId="11" xfId="0" applyNumberFormat="1" applyFont="1" applyFill="1" applyBorder="1" applyAlignment="1">
      <alignment horizontal="center" vertical="center" wrapText="1"/>
    </xf>
    <xf numFmtId="3" fontId="34" fillId="0" borderId="1" xfId="0" applyNumberFormat="1" applyFont="1" applyBorder="1" applyAlignment="1">
      <alignment horizontal="justify" vertical="center" wrapText="1"/>
    </xf>
    <xf numFmtId="0" fontId="2" fillId="0" borderId="1" xfId="0" applyFont="1" applyFill="1" applyBorder="1" applyAlignment="1">
      <alignment horizontal="center" vertical="center" wrapText="1"/>
    </xf>
    <xf numFmtId="164" fontId="13" fillId="8" borderId="6" xfId="15" applyFont="1" applyFill="1" applyBorder="1" applyAlignment="1">
      <alignment horizontal="center" vertical="center"/>
    </xf>
    <xf numFmtId="1" fontId="13" fillId="8" borderId="6" xfId="0" applyNumberFormat="1" applyFont="1" applyFill="1" applyBorder="1" applyAlignment="1">
      <alignment horizontal="center" vertical="center" wrapText="1"/>
    </xf>
    <xf numFmtId="170" fontId="2" fillId="0" borderId="2" xfId="0" applyNumberFormat="1" applyFont="1" applyFill="1" applyBorder="1" applyAlignment="1">
      <alignment horizontal="center" vertical="center"/>
    </xf>
    <xf numFmtId="0" fontId="13" fillId="0" borderId="0" xfId="0" applyFont="1" applyFill="1"/>
    <xf numFmtId="0" fontId="2" fillId="0" borderId="3" xfId="0" applyFont="1" applyFill="1" applyBorder="1" applyAlignment="1">
      <alignment horizontal="justify" vertical="center"/>
    </xf>
    <xf numFmtId="0" fontId="2" fillId="0" borderId="0" xfId="0" applyFont="1" applyFill="1" applyBorder="1"/>
    <xf numFmtId="0" fontId="2" fillId="0" borderId="5" xfId="0" applyFont="1" applyFill="1" applyBorder="1"/>
    <xf numFmtId="0" fontId="2" fillId="0" borderId="7" xfId="0" applyFont="1" applyFill="1" applyBorder="1"/>
    <xf numFmtId="170" fontId="2" fillId="2" borderId="2" xfId="0" applyNumberFormat="1" applyFont="1" applyFill="1" applyBorder="1" applyAlignment="1">
      <alignment horizontal="center" vertical="center"/>
    </xf>
    <xf numFmtId="0" fontId="2" fillId="2" borderId="3" xfId="0" applyFont="1" applyFill="1" applyBorder="1" applyAlignment="1">
      <alignment horizontal="justify" vertical="center"/>
    </xf>
    <xf numFmtId="0" fontId="2" fillId="0" borderId="2" xfId="0" applyFont="1" applyFill="1" applyBorder="1"/>
    <xf numFmtId="0" fontId="2" fillId="0" borderId="3" xfId="0" applyFont="1" applyFill="1" applyBorder="1"/>
    <xf numFmtId="0" fontId="4" fillId="0" borderId="5" xfId="0" applyFont="1" applyFill="1" applyBorder="1" applyAlignment="1">
      <alignment horizontal="justify" vertical="center" wrapText="1"/>
    </xf>
    <xf numFmtId="164" fontId="4" fillId="0" borderId="20" xfId="15" applyFont="1" applyFill="1" applyBorder="1" applyAlignment="1">
      <alignment vertical="center"/>
    </xf>
    <xf numFmtId="166" fontId="4" fillId="0" borderId="1" xfId="3" applyFont="1" applyFill="1" applyBorder="1" applyAlignment="1" applyProtection="1">
      <alignment horizontal="right" vertical="center"/>
      <protection locked="0"/>
    </xf>
    <xf numFmtId="0" fontId="2" fillId="0" borderId="8" xfId="0" applyFont="1" applyFill="1" applyBorder="1"/>
    <xf numFmtId="0" fontId="2" fillId="0" borderId="15" xfId="0" applyFont="1" applyFill="1" applyBorder="1"/>
    <xf numFmtId="0" fontId="2" fillId="0" borderId="10" xfId="0" applyFont="1" applyFill="1" applyBorder="1" applyAlignment="1">
      <alignment horizontal="justify" vertical="center" wrapText="1"/>
    </xf>
    <xf numFmtId="0" fontId="2" fillId="0" borderId="10" xfId="0" applyFont="1" applyFill="1" applyBorder="1" applyAlignment="1">
      <alignment horizontal="center" vertical="center" wrapText="1"/>
    </xf>
    <xf numFmtId="9" fontId="2" fillId="0" borderId="17" xfId="2" applyFont="1" applyFill="1" applyBorder="1" applyAlignment="1">
      <alignment horizontal="center" vertical="center"/>
    </xf>
    <xf numFmtId="0" fontId="4" fillId="0" borderId="10" xfId="0" applyFont="1" applyFill="1" applyBorder="1" applyAlignment="1">
      <alignment horizontal="justify" vertical="center" wrapText="1"/>
    </xf>
    <xf numFmtId="164" fontId="4" fillId="0" borderId="25" xfId="15" applyFont="1" applyFill="1" applyBorder="1" applyAlignment="1">
      <alignment vertical="center"/>
    </xf>
    <xf numFmtId="168" fontId="3" fillId="0" borderId="1" xfId="0" applyNumberFormat="1" applyFont="1" applyBorder="1" applyAlignment="1">
      <alignment vertical="center"/>
    </xf>
    <xf numFmtId="168" fontId="3" fillId="0" borderId="4" xfId="0" applyNumberFormat="1" applyFont="1" applyBorder="1" applyAlignment="1">
      <alignment vertical="center"/>
    </xf>
    <xf numFmtId="168" fontId="0" fillId="0" borderId="0" xfId="0" applyNumberFormat="1"/>
    <xf numFmtId="0" fontId="0" fillId="0" borderId="0" xfId="0" applyAlignment="1">
      <alignment horizontal="center"/>
    </xf>
    <xf numFmtId="0" fontId="4" fillId="0" borderId="1" xfId="0" applyFont="1" applyFill="1" applyBorder="1" applyAlignment="1">
      <alignment horizontal="center" vertical="center"/>
    </xf>
    <xf numFmtId="1" fontId="2" fillId="2" borderId="2" xfId="0" applyNumberFormat="1" applyFont="1" applyFill="1" applyBorder="1" applyAlignment="1">
      <alignment horizontal="center" vertical="center" wrapText="1"/>
    </xf>
    <xf numFmtId="1" fontId="2" fillId="2" borderId="0" xfId="0" applyNumberFormat="1" applyFont="1" applyFill="1" applyAlignment="1">
      <alignment horizontal="center" vertical="center" wrapText="1"/>
    </xf>
    <xf numFmtId="0" fontId="2" fillId="0" borderId="1" xfId="0" applyFont="1" applyBorder="1" applyAlignment="1">
      <alignment horizontal="justify" vertical="center" wrapText="1"/>
    </xf>
    <xf numFmtId="0" fontId="13" fillId="6" borderId="1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25" fillId="0" borderId="52" xfId="0" applyFont="1" applyBorder="1" applyAlignment="1">
      <alignment horizontal="center" vertical="center" wrapText="1"/>
    </xf>
    <xf numFmtId="0" fontId="25" fillId="0" borderId="0" xfId="0" applyFont="1" applyAlignment="1">
      <alignment horizontal="center" vertical="center" wrapText="1"/>
    </xf>
    <xf numFmtId="0" fontId="25" fillId="0" borderId="9"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172"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2" borderId="0" xfId="0" applyFont="1" applyFill="1" applyAlignment="1">
      <alignment horizontal="justify" vertical="center" wrapText="1"/>
    </xf>
    <xf numFmtId="0" fontId="3" fillId="0" borderId="9" xfId="0" applyFont="1" applyBorder="1" applyAlignment="1">
      <alignment horizontal="center" vertical="center" wrapText="1"/>
    </xf>
    <xf numFmtId="9" fontId="4" fillId="0" borderId="13" xfId="2" applyFont="1" applyFill="1" applyBorder="1" applyAlignment="1">
      <alignment horizontal="center" vertical="center" wrapText="1"/>
    </xf>
    <xf numFmtId="0" fontId="2" fillId="0" borderId="3" xfId="0" applyFont="1" applyBorder="1" applyAlignment="1">
      <alignment horizontal="center"/>
    </xf>
    <xf numFmtId="0" fontId="3" fillId="8" borderId="14" xfId="0" applyFont="1" applyFill="1" applyBorder="1" applyAlignment="1">
      <alignment horizontal="left" vertical="center" wrapText="1"/>
    </xf>
    <xf numFmtId="0" fontId="20" fillId="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2" fillId="0" borderId="0" xfId="0" applyFont="1" applyAlignment="1">
      <alignment horizontal="center"/>
    </xf>
    <xf numFmtId="166" fontId="4" fillId="0" borderId="9" xfId="1" applyFont="1" applyBorder="1" applyAlignment="1">
      <alignment horizontal="right" vertical="center"/>
    </xf>
    <xf numFmtId="175" fontId="3" fillId="0" borderId="9" xfId="1" applyNumberFormat="1" applyFont="1" applyBorder="1" applyAlignment="1">
      <alignment horizontal="justify" vertical="center" wrapText="1"/>
    </xf>
    <xf numFmtId="1" fontId="13" fillId="6" borderId="6" xfId="0" applyNumberFormat="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 xfId="0" applyFont="1" applyFill="1" applyBorder="1" applyAlignment="1">
      <alignment horizontal="justify" vertical="center" wrapText="1"/>
    </xf>
    <xf numFmtId="9" fontId="13" fillId="6" borderId="6" xfId="2" applyFont="1" applyFill="1" applyBorder="1" applyAlignment="1">
      <alignment horizontal="center" vertical="center" wrapText="1"/>
    </xf>
    <xf numFmtId="171" fontId="13" fillId="6" borderId="6" xfId="0" applyNumberFormat="1" applyFont="1" applyFill="1" applyBorder="1" applyAlignment="1">
      <alignment horizontal="right" vertical="center" wrapText="1"/>
    </xf>
    <xf numFmtId="171" fontId="13" fillId="6" borderId="0" xfId="0" applyNumberFormat="1" applyFont="1" applyFill="1" applyAlignment="1">
      <alignment vertical="center" wrapText="1"/>
    </xf>
    <xf numFmtId="171" fontId="13" fillId="6" borderId="9" xfId="0" applyNumberFormat="1" applyFont="1" applyFill="1" applyBorder="1" applyAlignment="1">
      <alignment vertical="center" wrapText="1"/>
    </xf>
    <xf numFmtId="3" fontId="13" fillId="6" borderId="6" xfId="0" applyNumberFormat="1" applyFont="1" applyFill="1" applyBorder="1" applyAlignment="1">
      <alignment horizontal="center" vertical="center" wrapText="1"/>
    </xf>
    <xf numFmtId="0" fontId="3" fillId="3" borderId="10" xfId="0" applyFont="1" applyFill="1" applyBorder="1" applyAlignment="1">
      <alignment horizontal="left" vertical="center" wrapText="1"/>
    </xf>
    <xf numFmtId="0" fontId="4" fillId="3" borderId="11" xfId="0" applyFont="1" applyFill="1" applyBorder="1" applyAlignment="1">
      <alignment horizontal="justify" vertical="center" wrapText="1"/>
    </xf>
    <xf numFmtId="9" fontId="4" fillId="3" borderId="11" xfId="2" applyFont="1" applyFill="1" applyBorder="1" applyAlignment="1">
      <alignment horizontal="center" vertical="center"/>
    </xf>
    <xf numFmtId="0" fontId="4" fillId="3" borderId="11" xfId="0" applyFont="1" applyFill="1" applyBorder="1" applyAlignment="1">
      <alignment horizontal="right" vertical="center"/>
    </xf>
    <xf numFmtId="0" fontId="4" fillId="3" borderId="11" xfId="0" applyFont="1" applyFill="1" applyBorder="1" applyAlignment="1">
      <alignment horizontal="justify" vertical="center"/>
    </xf>
    <xf numFmtId="0" fontId="4" fillId="3" borderId="11" xfId="0" applyFont="1" applyFill="1" applyBorder="1" applyAlignment="1">
      <alignment horizontal="center" vertical="center" wrapText="1"/>
    </xf>
    <xf numFmtId="0" fontId="3" fillId="0" borderId="0" xfId="0" applyFont="1" applyAlignment="1">
      <alignment horizontal="left" vertical="center" wrapText="1"/>
    </xf>
    <xf numFmtId="166" fontId="3" fillId="8" borderId="11" xfId="3" applyFont="1" applyFill="1" applyBorder="1" applyAlignment="1">
      <alignment horizontal="justify" vertical="center" wrapText="1"/>
    </xf>
    <xf numFmtId="9" fontId="3" fillId="8" borderId="6" xfId="2" applyFont="1" applyFill="1" applyBorder="1" applyAlignment="1">
      <alignment horizontal="center" vertical="center"/>
    </xf>
    <xf numFmtId="166" fontId="3" fillId="8" borderId="6" xfId="3" applyFont="1" applyFill="1" applyBorder="1" applyAlignment="1">
      <alignment horizontal="right" vertical="center"/>
    </xf>
    <xf numFmtId="0" fontId="3" fillId="8" borderId="11" xfId="0" applyFont="1" applyFill="1" applyBorder="1" applyAlignment="1">
      <alignment horizontal="right" vertical="center" wrapText="1"/>
    </xf>
    <xf numFmtId="0" fontId="3" fillId="8" borderId="11" xfId="3" applyNumberFormat="1" applyFont="1" applyFill="1" applyBorder="1" applyAlignment="1">
      <alignment horizontal="center" vertical="center" wrapText="1"/>
    </xf>
    <xf numFmtId="166" fontId="3" fillId="8" borderId="6" xfId="3"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6" fillId="0" borderId="13" xfId="0" applyFont="1" applyFill="1" applyBorder="1" applyAlignment="1">
      <alignment vertical="center" wrapText="1"/>
    </xf>
    <xf numFmtId="166" fontId="26" fillId="0" borderId="13" xfId="13" applyNumberFormat="1" applyFont="1" applyFill="1" applyBorder="1" applyAlignment="1">
      <alignment horizontal="right" vertical="center"/>
    </xf>
    <xf numFmtId="166" fontId="2" fillId="0" borderId="13" xfId="13" applyNumberFormat="1" applyFont="1" applyFill="1" applyBorder="1" applyAlignment="1">
      <alignment horizontal="right" vertical="center" wrapText="1"/>
    </xf>
    <xf numFmtId="0" fontId="2" fillId="0" borderId="5" xfId="1" applyNumberFormat="1" applyFont="1" applyFill="1" applyBorder="1" applyAlignment="1">
      <alignment horizontal="center" vertical="center" wrapText="1"/>
    </xf>
    <xf numFmtId="166" fontId="2" fillId="0" borderId="17" xfId="1" applyFont="1" applyFill="1" applyBorder="1" applyAlignment="1">
      <alignment vertical="center" wrapText="1"/>
    </xf>
    <xf numFmtId="0" fontId="0" fillId="0" borderId="0" xfId="0" applyFill="1"/>
    <xf numFmtId="0" fontId="2" fillId="0" borderId="2" xfId="0" applyFont="1" applyFill="1" applyBorder="1" applyAlignment="1">
      <alignment horizontal="center" vertical="center" wrapText="1"/>
    </xf>
    <xf numFmtId="166" fontId="26" fillId="0" borderId="17" xfId="13" applyNumberFormat="1" applyFont="1" applyFill="1" applyBorder="1" applyAlignment="1">
      <alignment horizontal="right" vertical="center"/>
    </xf>
    <xf numFmtId="166" fontId="2" fillId="0" borderId="17" xfId="13" applyNumberFormat="1" applyFont="1" applyFill="1" applyBorder="1" applyAlignment="1">
      <alignment horizontal="right" vertical="center" wrapText="1"/>
    </xf>
    <xf numFmtId="166" fontId="2" fillId="0" borderId="7" xfId="13" applyNumberFormat="1" applyFont="1" applyFill="1" applyBorder="1" applyAlignment="1">
      <alignment horizontal="right" vertical="center" wrapText="1"/>
    </xf>
    <xf numFmtId="0" fontId="2" fillId="0" borderId="13" xfId="1" applyNumberFormat="1" applyFont="1" applyFill="1" applyBorder="1" applyAlignment="1">
      <alignment horizontal="center" vertical="center" wrapText="1"/>
    </xf>
    <xf numFmtId="166" fontId="26" fillId="0" borderId="23" xfId="13" applyNumberFormat="1" applyFont="1" applyFill="1" applyBorder="1" applyAlignment="1">
      <alignment horizontal="right" vertical="center"/>
    </xf>
    <xf numFmtId="166" fontId="2" fillId="0" borderId="3" xfId="13" applyNumberFormat="1" applyFont="1" applyFill="1" applyBorder="1" applyAlignment="1">
      <alignment horizontal="right" vertical="center" wrapText="1"/>
    </xf>
    <xf numFmtId="0" fontId="26" fillId="0" borderId="1" xfId="0" applyFont="1" applyFill="1" applyBorder="1" applyAlignment="1">
      <alignment vertical="center" wrapText="1"/>
    </xf>
    <xf numFmtId="166" fontId="26" fillId="0" borderId="4" xfId="13" applyNumberFormat="1" applyFont="1" applyFill="1" applyBorder="1" applyAlignment="1">
      <alignment horizontal="right" vertical="center"/>
    </xf>
    <xf numFmtId="0" fontId="2" fillId="0" borderId="7" xfId="1" applyNumberFormat="1" applyFont="1" applyFill="1" applyBorder="1" applyAlignment="1">
      <alignment horizontal="center" vertical="center" wrapText="1"/>
    </xf>
    <xf numFmtId="0" fontId="26" fillId="0" borderId="4" xfId="0" applyFont="1" applyFill="1" applyBorder="1" applyAlignment="1">
      <alignment vertical="center" wrapText="1"/>
    </xf>
    <xf numFmtId="166" fontId="26" fillId="0" borderId="1" xfId="13" applyNumberFormat="1" applyFont="1" applyFill="1" applyBorder="1" applyAlignment="1">
      <alignment horizontal="right" vertical="center"/>
    </xf>
    <xf numFmtId="166" fontId="2" fillId="0" borderId="14" xfId="13" applyNumberFormat="1" applyFont="1" applyFill="1" applyBorder="1" applyAlignment="1">
      <alignment horizontal="right" vertical="center" wrapText="1"/>
    </xf>
    <xf numFmtId="0" fontId="2" fillId="0" borderId="8" xfId="0" applyFont="1" applyFill="1" applyBorder="1" applyAlignment="1">
      <alignment horizontal="center" vertical="center" wrapText="1"/>
    </xf>
    <xf numFmtId="166" fontId="39" fillId="0" borderId="4" xfId="13" applyNumberFormat="1" applyFont="1" applyFill="1" applyBorder="1" applyAlignment="1">
      <alignment horizontal="right" vertical="center"/>
    </xf>
    <xf numFmtId="166" fontId="2" fillId="0" borderId="13" xfId="1" applyFont="1" applyFill="1" applyBorder="1" applyAlignment="1">
      <alignment vertical="center" wrapText="1"/>
    </xf>
    <xf numFmtId="0" fontId="3" fillId="8" borderId="2" xfId="0" applyFont="1" applyFill="1" applyBorder="1" applyAlignment="1">
      <alignment horizontal="left" vertical="center" wrapText="1"/>
    </xf>
    <xf numFmtId="0" fontId="2" fillId="8" borderId="14"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4" xfId="0" applyFont="1" applyFill="1" applyBorder="1" applyAlignment="1">
      <alignment horizontal="center" vertical="center" wrapText="1"/>
    </xf>
    <xf numFmtId="1" fontId="2" fillId="8" borderId="13" xfId="0" applyNumberFormat="1" applyFont="1" applyFill="1" applyBorder="1" applyAlignment="1">
      <alignment horizontal="justify"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justify" vertical="center" wrapText="1"/>
    </xf>
    <xf numFmtId="9" fontId="2" fillId="8" borderId="0" xfId="2" applyFont="1" applyFill="1" applyBorder="1" applyAlignment="1">
      <alignment horizontal="center" vertical="center" wrapText="1"/>
    </xf>
    <xf numFmtId="166" fontId="2" fillId="8" borderId="0" xfId="1" applyFont="1" applyFill="1" applyBorder="1" applyAlignment="1">
      <alignment horizontal="center" vertical="center" wrapText="1"/>
    </xf>
    <xf numFmtId="0" fontId="2" fillId="8" borderId="6" xfId="0" applyFont="1" applyFill="1" applyBorder="1" applyAlignment="1">
      <alignment vertical="center" wrapText="1"/>
    </xf>
    <xf numFmtId="166" fontId="2" fillId="8" borderId="6" xfId="13" applyNumberFormat="1" applyFont="1" applyFill="1" applyBorder="1" applyAlignment="1">
      <alignment horizontal="right" vertical="center" wrapText="1"/>
    </xf>
    <xf numFmtId="166" fontId="2" fillId="8" borderId="6" xfId="0" applyNumberFormat="1" applyFont="1" applyFill="1" applyBorder="1" applyAlignment="1">
      <alignment horizontal="center" vertical="center" wrapText="1"/>
    </xf>
    <xf numFmtId="0" fontId="4" fillId="0" borderId="25" xfId="0" applyFont="1" applyFill="1" applyBorder="1" applyAlignment="1">
      <alignment vertical="center" wrapText="1"/>
    </xf>
    <xf numFmtId="166" fontId="4" fillId="0" borderId="17" xfId="13" applyNumberFormat="1" applyFont="1" applyFill="1" applyBorder="1" applyAlignment="1">
      <alignment horizontal="right" vertical="center" wrapText="1"/>
    </xf>
    <xf numFmtId="0" fontId="4" fillId="0" borderId="17" xfId="1" applyNumberFormat="1" applyFont="1" applyFill="1" applyBorder="1" applyAlignment="1">
      <alignment horizontal="center" vertical="center" wrapText="1"/>
    </xf>
    <xf numFmtId="166" fontId="4" fillId="0" borderId="17" xfId="1" applyFont="1" applyFill="1" applyBorder="1" applyAlignment="1">
      <alignment vertical="center" wrapText="1"/>
    </xf>
    <xf numFmtId="0" fontId="4" fillId="0" borderId="20" xfId="0" applyFont="1" applyFill="1" applyBorder="1" applyAlignment="1">
      <alignment vertical="center" wrapText="1"/>
    </xf>
    <xf numFmtId="166" fontId="4" fillId="0" borderId="19" xfId="13" applyNumberFormat="1" applyFont="1" applyFill="1" applyBorder="1" applyAlignment="1">
      <alignment horizontal="right" vertical="center" wrapText="1"/>
    </xf>
    <xf numFmtId="0" fontId="4" fillId="0" borderId="19" xfId="1" applyNumberFormat="1" applyFont="1" applyFill="1" applyBorder="1" applyAlignment="1">
      <alignment horizontal="center" vertical="center" wrapText="1"/>
    </xf>
    <xf numFmtId="1" fontId="3" fillId="8" borderId="9" xfId="0" applyNumberFormat="1" applyFont="1" applyFill="1" applyBorder="1" applyAlignment="1">
      <alignment horizontal="center" vertical="center"/>
    </xf>
    <xf numFmtId="166" fontId="3" fillId="8" borderId="9" xfId="1" applyFont="1" applyFill="1" applyBorder="1" applyAlignment="1">
      <alignment horizontal="center" vertical="center"/>
    </xf>
    <xf numFmtId="0" fontId="3" fillId="8" borderId="9" xfId="0" applyFont="1" applyFill="1" applyBorder="1" applyAlignment="1">
      <alignment vertical="center" wrapText="1"/>
    </xf>
    <xf numFmtId="0" fontId="3" fillId="8" borderId="17" xfId="0" applyFont="1" applyFill="1" applyBorder="1" applyAlignment="1">
      <alignment vertical="center" wrapText="1"/>
    </xf>
    <xf numFmtId="166" fontId="3" fillId="8" borderId="17" xfId="13" applyNumberFormat="1" applyFont="1" applyFill="1" applyBorder="1" applyAlignment="1">
      <alignment horizontal="right" vertical="center"/>
    </xf>
    <xf numFmtId="0" fontId="3" fillId="8" borderId="17" xfId="1" applyNumberFormat="1" applyFont="1" applyFill="1" applyBorder="1" applyAlignment="1">
      <alignment horizontal="center" vertical="center" wrapText="1"/>
    </xf>
    <xf numFmtId="166" fontId="3" fillId="8" borderId="0" xfId="1" applyFont="1" applyFill="1" applyBorder="1" applyAlignment="1">
      <alignment horizontal="center" vertical="center" wrapText="1"/>
    </xf>
    <xf numFmtId="166" fontId="3" fillId="8" borderId="9" xfId="0" applyNumberFormat="1" applyFont="1" applyFill="1" applyBorder="1" applyAlignment="1">
      <alignment horizontal="center" vertical="center"/>
    </xf>
    <xf numFmtId="0" fontId="3" fillId="8" borderId="15" xfId="0" applyFont="1" applyFill="1" applyBorder="1" applyAlignment="1">
      <alignment horizontal="center" vertical="center" wrapText="1"/>
    </xf>
    <xf numFmtId="0" fontId="2" fillId="0" borderId="17" xfId="1" applyNumberFormat="1" applyFont="1" applyFill="1" applyBorder="1" applyAlignment="1">
      <alignment horizontal="center" vertical="center" wrapText="1"/>
    </xf>
    <xf numFmtId="166" fontId="2" fillId="0" borderId="30" xfId="1" applyFont="1" applyFill="1" applyBorder="1" applyAlignment="1">
      <alignment vertical="center" wrapText="1"/>
    </xf>
    <xf numFmtId="0" fontId="2" fillId="0" borderId="17" xfId="0" applyFont="1" applyBorder="1" applyAlignment="1">
      <alignment vertical="center" wrapText="1"/>
    </xf>
    <xf numFmtId="166" fontId="2" fillId="2" borderId="17" xfId="13" applyNumberFormat="1" applyFont="1" applyFill="1" applyBorder="1" applyAlignment="1">
      <alignment horizontal="right" vertical="center" wrapText="1"/>
    </xf>
    <xf numFmtId="166" fontId="2" fillId="0" borderId="15" xfId="1" applyFont="1" applyFill="1" applyBorder="1" applyAlignment="1">
      <alignment vertical="center" wrapText="1"/>
    </xf>
    <xf numFmtId="166" fontId="2" fillId="0" borderId="19" xfId="13" applyNumberFormat="1" applyFont="1" applyFill="1" applyBorder="1" applyAlignment="1">
      <alignment horizontal="right" vertical="center" wrapText="1"/>
    </xf>
    <xf numFmtId="0" fontId="2" fillId="0" borderId="19" xfId="1" applyNumberFormat="1" applyFont="1" applyFill="1" applyBorder="1" applyAlignment="1">
      <alignment horizontal="center" vertical="center" wrapText="1"/>
    </xf>
    <xf numFmtId="166" fontId="2" fillId="0" borderId="3" xfId="1" applyFont="1" applyFill="1" applyBorder="1" applyAlignment="1">
      <alignment vertical="center" wrapText="1"/>
    </xf>
    <xf numFmtId="166" fontId="2" fillId="0" borderId="25" xfId="13" applyNumberFormat="1" applyFont="1" applyFill="1" applyBorder="1" applyAlignment="1">
      <alignment horizontal="right" vertical="center" wrapText="1"/>
    </xf>
    <xf numFmtId="0" fontId="2" fillId="0" borderId="23" xfId="0" applyFont="1" applyBorder="1" applyAlignment="1">
      <alignment vertical="center" wrapText="1"/>
    </xf>
    <xf numFmtId="166" fontId="2" fillId="0" borderId="15" xfId="13" applyNumberFormat="1" applyFont="1" applyFill="1" applyBorder="1" applyAlignment="1">
      <alignment horizontal="right" vertical="center" wrapText="1"/>
    </xf>
    <xf numFmtId="0" fontId="2" fillId="0" borderId="4" xfId="1" applyNumberFormat="1" applyFont="1" applyFill="1" applyBorder="1" applyAlignment="1">
      <alignment horizontal="center" vertical="center" wrapText="1"/>
    </xf>
    <xf numFmtId="166" fontId="2" fillId="0" borderId="4" xfId="1" applyFont="1" applyFill="1" applyBorder="1" applyAlignment="1">
      <alignment vertical="center" wrapText="1"/>
    </xf>
    <xf numFmtId="166" fontId="2" fillId="0" borderId="12" xfId="13" applyNumberFormat="1" applyFont="1" applyFill="1" applyBorder="1" applyAlignment="1">
      <alignment horizontal="right" vertical="center" wrapText="1"/>
    </xf>
    <xf numFmtId="166" fontId="26" fillId="0" borderId="1" xfId="13" applyNumberFormat="1" applyFont="1" applyFill="1" applyBorder="1" applyAlignment="1">
      <alignment horizontal="right" vertical="center" wrapText="1"/>
    </xf>
    <xf numFmtId="0" fontId="40" fillId="0" borderId="17" xfId="0" applyFont="1" applyBorder="1" applyAlignment="1">
      <alignment horizontal="center" vertical="center" wrapText="1"/>
    </xf>
    <xf numFmtId="0" fontId="40" fillId="0" borderId="12" xfId="0" applyFont="1" applyBorder="1" applyAlignment="1">
      <alignment vertical="center" wrapText="1"/>
    </xf>
    <xf numFmtId="0" fontId="2" fillId="0" borderId="19" xfId="0" applyFont="1" applyBorder="1" applyAlignment="1">
      <alignment vertical="center" wrapText="1"/>
    </xf>
    <xf numFmtId="166" fontId="26" fillId="0" borderId="13" xfId="13" applyNumberFormat="1" applyFont="1" applyFill="1" applyBorder="1" applyAlignment="1">
      <alignment horizontal="right" vertical="center" wrapText="1"/>
    </xf>
    <xf numFmtId="0" fontId="40" fillId="0" borderId="19" xfId="0" applyFont="1" applyBorder="1" applyAlignment="1">
      <alignment horizontal="center" vertical="center" wrapText="1"/>
    </xf>
    <xf numFmtId="0" fontId="40" fillId="0" borderId="7" xfId="0" applyFont="1" applyBorder="1" applyAlignment="1">
      <alignment vertical="center" wrapText="1"/>
    </xf>
    <xf numFmtId="166" fontId="2" fillId="0" borderId="19" xfId="13" applyNumberFormat="1" applyFont="1" applyFill="1" applyBorder="1" applyAlignment="1">
      <alignment horizontal="right" vertical="center"/>
    </xf>
    <xf numFmtId="166" fontId="26" fillId="0" borderId="17" xfId="13" applyNumberFormat="1" applyFont="1" applyFill="1" applyBorder="1" applyAlignment="1">
      <alignment horizontal="right" vertical="center" wrapText="1"/>
    </xf>
    <xf numFmtId="166" fontId="2" fillId="0" borderId="19" xfId="1" applyFont="1" applyFill="1" applyBorder="1" applyAlignment="1">
      <alignment vertical="center" wrapText="1"/>
    </xf>
    <xf numFmtId="166" fontId="2" fillId="0" borderId="17" xfId="13" applyNumberFormat="1" applyFont="1" applyFill="1" applyBorder="1" applyAlignment="1">
      <alignment horizontal="right" vertical="center"/>
    </xf>
    <xf numFmtId="0" fontId="26" fillId="0" borderId="17" xfId="0" applyFont="1" applyFill="1" applyBorder="1" applyAlignment="1">
      <alignment vertical="center" wrapText="1"/>
    </xf>
    <xf numFmtId="0" fontId="2" fillId="0" borderId="17" xfId="0" applyFont="1" applyFill="1" applyBorder="1" applyAlignment="1">
      <alignment vertical="center" wrapText="1"/>
    </xf>
    <xf numFmtId="166" fontId="4" fillId="0" borderId="19" xfId="1" applyFont="1" applyFill="1" applyBorder="1" applyAlignment="1">
      <alignment vertical="center" wrapText="1"/>
    </xf>
    <xf numFmtId="0" fontId="2" fillId="0" borderId="4" xfId="0" applyFont="1" applyFill="1" applyBorder="1" applyAlignment="1">
      <alignment vertical="center" wrapText="1"/>
    </xf>
    <xf numFmtId="166" fontId="2" fillId="0" borderId="8" xfId="13" applyNumberFormat="1" applyFont="1" applyFill="1" applyBorder="1" applyAlignment="1">
      <alignment horizontal="right" vertical="center"/>
    </xf>
    <xf numFmtId="0" fontId="2" fillId="0" borderId="1" xfId="0" applyFont="1" applyBorder="1" applyAlignment="1">
      <alignment vertical="center" wrapText="1"/>
    </xf>
    <xf numFmtId="166" fontId="2" fillId="0" borderId="10" xfId="13" applyNumberFormat="1" applyFont="1" applyFill="1" applyBorder="1" applyAlignment="1">
      <alignment horizontal="right" vertical="center"/>
    </xf>
    <xf numFmtId="166" fontId="4" fillId="0" borderId="20" xfId="1" applyFont="1" applyFill="1" applyBorder="1" applyAlignment="1">
      <alignment vertical="center" wrapText="1"/>
    </xf>
    <xf numFmtId="0" fontId="0" fillId="12" borderId="0" xfId="0" applyFill="1"/>
    <xf numFmtId="0" fontId="2" fillId="0" borderId="13" xfId="0" applyFont="1" applyBorder="1" applyAlignment="1">
      <alignment vertical="center" wrapText="1"/>
    </xf>
    <xf numFmtId="166" fontId="2" fillId="0" borderId="5" xfId="13" applyNumberFormat="1" applyFont="1" applyFill="1" applyBorder="1" applyAlignment="1">
      <alignment horizontal="right" vertical="center"/>
    </xf>
    <xf numFmtId="166" fontId="2" fillId="0" borderId="25" xfId="1" applyFont="1" applyFill="1" applyBorder="1" applyAlignment="1">
      <alignment vertical="center" wrapText="1"/>
    </xf>
    <xf numFmtId="166" fontId="2" fillId="0" borderId="20" xfId="1" applyFont="1" applyFill="1" applyBorder="1" applyAlignment="1">
      <alignment vertical="center" wrapText="1"/>
    </xf>
    <xf numFmtId="0" fontId="2" fillId="0" borderId="2" xfId="0" applyFont="1" applyBorder="1" applyAlignment="1">
      <alignment horizontal="center"/>
    </xf>
    <xf numFmtId="166" fontId="2" fillId="0" borderId="1" xfId="13" applyNumberFormat="1" applyFont="1" applyFill="1" applyBorder="1" applyAlignment="1">
      <alignment horizontal="right" vertical="center"/>
    </xf>
    <xf numFmtId="166" fontId="2" fillId="0" borderId="32" xfId="13" applyNumberFormat="1" applyFont="1" applyFill="1" applyBorder="1" applyAlignment="1">
      <alignment horizontal="right" vertical="center"/>
    </xf>
    <xf numFmtId="0" fontId="4" fillId="0" borderId="1" xfId="1" applyNumberFormat="1" applyFont="1" applyFill="1" applyBorder="1" applyAlignment="1">
      <alignment horizontal="center" vertical="center" wrapText="1"/>
    </xf>
    <xf numFmtId="166" fontId="4" fillId="0" borderId="10" xfId="1" applyFont="1" applyFill="1" applyBorder="1" applyAlignment="1">
      <alignment vertical="center" wrapText="1"/>
    </xf>
    <xf numFmtId="166" fontId="2" fillId="0" borderId="60" xfId="13" applyNumberFormat="1" applyFont="1" applyFill="1" applyBorder="1" applyAlignment="1">
      <alignment horizontal="right" vertical="center"/>
    </xf>
    <xf numFmtId="166" fontId="2" fillId="0" borderId="22" xfId="13" applyNumberFormat="1" applyFont="1" applyFill="1" applyBorder="1" applyAlignment="1">
      <alignment horizontal="right" vertical="center" wrapText="1"/>
    </xf>
    <xf numFmtId="0" fontId="4" fillId="0" borderId="0" xfId="1" applyNumberFormat="1" applyFont="1" applyFill="1" applyBorder="1" applyAlignment="1">
      <alignment horizontal="center" vertical="center" wrapText="1"/>
    </xf>
    <xf numFmtId="166" fontId="4" fillId="0" borderId="0" xfId="1" applyFont="1" applyFill="1" applyBorder="1" applyAlignment="1">
      <alignment vertical="center" wrapText="1"/>
    </xf>
    <xf numFmtId="166" fontId="2" fillId="0" borderId="23" xfId="13" applyNumberFormat="1" applyFont="1" applyFill="1" applyBorder="1" applyAlignment="1">
      <alignment horizontal="right" vertical="center"/>
    </xf>
    <xf numFmtId="166" fontId="2" fillId="0" borderId="23" xfId="13" applyNumberFormat="1" applyFont="1" applyFill="1" applyBorder="1" applyAlignment="1">
      <alignment horizontal="right" vertical="center" wrapText="1"/>
    </xf>
    <xf numFmtId="0" fontId="2" fillId="0" borderId="23" xfId="1" applyNumberFormat="1" applyFont="1" applyFill="1" applyBorder="1" applyAlignment="1">
      <alignment horizontal="center" vertical="center" wrapText="1"/>
    </xf>
    <xf numFmtId="166" fontId="2" fillId="0" borderId="23" xfId="1" applyFont="1" applyFill="1" applyBorder="1" applyAlignment="1">
      <alignment vertical="center" wrapText="1"/>
    </xf>
    <xf numFmtId="0" fontId="3" fillId="8" borderId="2" xfId="0" applyFont="1" applyFill="1" applyBorder="1" applyAlignment="1">
      <alignment horizontal="left" vertical="center"/>
    </xf>
    <xf numFmtId="0" fontId="2" fillId="8" borderId="0" xfId="0" applyFont="1" applyFill="1"/>
    <xf numFmtId="0" fontId="2" fillId="8" borderId="11"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9" xfId="0" applyFont="1" applyFill="1" applyBorder="1" applyAlignment="1">
      <alignment horizontal="justify" vertical="center" wrapText="1"/>
    </xf>
    <xf numFmtId="1" fontId="2" fillId="8" borderId="9" xfId="0" applyNumberFormat="1" applyFont="1" applyFill="1" applyBorder="1" applyAlignment="1">
      <alignment horizontal="justify" vertical="center" wrapText="1"/>
    </xf>
    <xf numFmtId="0" fontId="2" fillId="8" borderId="11" xfId="0" applyFont="1" applyFill="1" applyBorder="1" applyAlignment="1">
      <alignment horizontal="center"/>
    </xf>
    <xf numFmtId="9" fontId="2" fillId="8" borderId="9" xfId="2" applyFont="1" applyFill="1" applyBorder="1" applyAlignment="1">
      <alignment horizontal="center" vertical="center"/>
    </xf>
    <xf numFmtId="166" fontId="2" fillId="8" borderId="9" xfId="1" applyFont="1" applyFill="1" applyBorder="1" applyAlignment="1">
      <alignment vertical="center"/>
    </xf>
    <xf numFmtId="0" fontId="2" fillId="8" borderId="9" xfId="0" applyFont="1" applyFill="1" applyBorder="1" applyAlignment="1">
      <alignment vertical="center" wrapText="1"/>
    </xf>
    <xf numFmtId="166" fontId="2" fillId="8" borderId="9" xfId="13" applyNumberFormat="1" applyFont="1" applyFill="1" applyBorder="1" applyAlignment="1">
      <alignment horizontal="right" vertical="center"/>
    </xf>
    <xf numFmtId="0" fontId="2" fillId="8" borderId="9" xfId="1" applyNumberFormat="1" applyFont="1" applyFill="1" applyBorder="1" applyAlignment="1">
      <alignment horizontal="center" vertical="center" wrapText="1"/>
    </xf>
    <xf numFmtId="166" fontId="2" fillId="8" borderId="9" xfId="1" applyFont="1" applyFill="1" applyBorder="1" applyAlignment="1">
      <alignment vertical="center" wrapText="1"/>
    </xf>
    <xf numFmtId="0" fontId="2" fillId="8" borderId="9" xfId="0" applyFont="1" applyFill="1" applyBorder="1" applyAlignment="1">
      <alignment horizontal="center" vertical="center"/>
    </xf>
    <xf numFmtId="166" fontId="2" fillId="8" borderId="9"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9" fontId="4" fillId="0" borderId="1" xfId="2" applyFont="1" applyFill="1" applyBorder="1" applyAlignment="1">
      <alignment horizontal="center" vertical="center" wrapText="1"/>
    </xf>
    <xf numFmtId="166" fontId="4" fillId="0" borderId="13" xfId="1" applyNumberFormat="1" applyFont="1" applyFill="1" applyBorder="1" applyAlignment="1">
      <alignment vertical="center" wrapText="1"/>
    </xf>
    <xf numFmtId="0" fontId="4" fillId="0" borderId="10" xfId="0" applyFont="1" applyFill="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66" fontId="4" fillId="0" borderId="1" xfId="13" applyNumberFormat="1" applyFont="1" applyFill="1" applyBorder="1" applyAlignment="1">
      <alignment horizontal="right" vertical="center" wrapText="1"/>
    </xf>
    <xf numFmtId="166" fontId="4" fillId="0" borderId="14" xfId="13" applyNumberFormat="1" applyFont="1" applyFill="1" applyBorder="1" applyAlignment="1">
      <alignment horizontal="right" vertical="center" wrapText="1"/>
    </xf>
    <xf numFmtId="0" fontId="4" fillId="0" borderId="14" xfId="1" applyNumberFormat="1" applyFont="1" applyFill="1" applyBorder="1" applyAlignment="1">
      <alignment horizontal="center" vertical="center" wrapText="1"/>
    </xf>
    <xf numFmtId="166" fontId="4" fillId="0" borderId="14" xfId="1" applyFont="1" applyFill="1" applyBorder="1" applyAlignment="1">
      <alignment vertical="center" wrapText="1"/>
    </xf>
    <xf numFmtId="166" fontId="4" fillId="0" borderId="13" xfId="13" applyNumberFormat="1" applyFont="1" applyFill="1" applyBorder="1" applyAlignment="1">
      <alignment horizontal="center" vertical="center" wrapText="1"/>
    </xf>
    <xf numFmtId="14" fontId="4" fillId="0" borderId="13" xfId="0" applyNumberFormat="1" applyFont="1" applyFill="1" applyBorder="1" applyAlignment="1">
      <alignment horizontal="center" vertical="center" wrapText="1"/>
    </xf>
    <xf numFmtId="166" fontId="2" fillId="0" borderId="1" xfId="13" applyNumberFormat="1" applyFont="1" applyFill="1" applyBorder="1" applyAlignment="1">
      <alignment horizontal="right" vertical="center" wrapText="1"/>
    </xf>
    <xf numFmtId="0" fontId="2" fillId="0" borderId="1" xfId="1" applyNumberFormat="1" applyFont="1" applyFill="1" applyBorder="1" applyAlignment="1">
      <alignment horizontal="center" vertical="center" wrapText="1"/>
    </xf>
    <xf numFmtId="166" fontId="2" fillId="0" borderId="1" xfId="1" applyFont="1" applyFill="1" applyBorder="1" applyAlignment="1">
      <alignment vertical="center" wrapText="1"/>
    </xf>
    <xf numFmtId="0" fontId="4" fillId="0" borderId="84" xfId="0" applyFont="1" applyBorder="1" applyAlignment="1">
      <alignment vertical="center" wrapText="1"/>
    </xf>
    <xf numFmtId="166" fontId="26" fillId="0" borderId="12" xfId="13" applyNumberFormat="1" applyFont="1" applyFill="1" applyBorder="1" applyAlignment="1">
      <alignment horizontal="right" vertical="center" wrapText="1"/>
    </xf>
    <xf numFmtId="0" fontId="4" fillId="0" borderId="85" xfId="0" applyFont="1" applyBorder="1" applyAlignment="1">
      <alignment vertical="center" wrapText="1"/>
    </xf>
    <xf numFmtId="166" fontId="26" fillId="0" borderId="15" xfId="13" applyNumberFormat="1" applyFont="1" applyFill="1" applyBorder="1" applyAlignment="1">
      <alignment horizontal="right" vertical="center" wrapText="1"/>
    </xf>
    <xf numFmtId="0" fontId="4" fillId="0" borderId="17" xfId="0" applyFont="1" applyFill="1" applyBorder="1" applyAlignment="1">
      <alignment vertical="center" wrapText="1"/>
    </xf>
    <xf numFmtId="166" fontId="4" fillId="0" borderId="23" xfId="13" applyNumberFormat="1" applyFont="1" applyFill="1" applyBorder="1" applyAlignment="1">
      <alignment horizontal="right" vertical="center" wrapText="1"/>
    </xf>
    <xf numFmtId="0" fontId="4" fillId="0" borderId="13" xfId="1" applyNumberFormat="1" applyFont="1" applyFill="1" applyBorder="1" applyAlignment="1">
      <alignment horizontal="center" vertical="center" wrapText="1"/>
    </xf>
    <xf numFmtId="166" fontId="4" fillId="0" borderId="13" xfId="1" applyFont="1" applyFill="1" applyBorder="1" applyAlignment="1">
      <alignment vertical="center" wrapText="1"/>
    </xf>
    <xf numFmtId="0" fontId="4" fillId="0" borderId="19" xfId="0" applyFont="1" applyFill="1" applyBorder="1" applyAlignment="1">
      <alignment vertical="center" wrapText="1"/>
    </xf>
    <xf numFmtId="0" fontId="4" fillId="0" borderId="17" xfId="0" applyFont="1" applyBorder="1" applyAlignment="1">
      <alignment vertical="center" wrapText="1"/>
    </xf>
    <xf numFmtId="166" fontId="4" fillId="0" borderId="25" xfId="13" applyNumberFormat="1" applyFont="1" applyFill="1" applyBorder="1" applyAlignment="1">
      <alignment horizontal="right" vertical="center" wrapText="1"/>
    </xf>
    <xf numFmtId="0" fontId="4" fillId="0" borderId="19" xfId="0" applyFont="1" applyBorder="1" applyAlignment="1">
      <alignment vertical="center" wrapText="1"/>
    </xf>
    <xf numFmtId="166" fontId="4" fillId="0" borderId="20" xfId="13" applyNumberFormat="1" applyFont="1" applyFill="1" applyBorder="1" applyAlignment="1">
      <alignment horizontal="right" vertical="center" wrapText="1"/>
    </xf>
    <xf numFmtId="0" fontId="2" fillId="8" borderId="9" xfId="0" applyFont="1" applyFill="1" applyBorder="1"/>
    <xf numFmtId="1" fontId="2" fillId="8" borderId="9" xfId="0" applyNumberFormat="1" applyFont="1" applyFill="1" applyBorder="1" applyAlignment="1">
      <alignment horizontal="center"/>
    </xf>
    <xf numFmtId="0" fontId="2" fillId="8" borderId="9" xfId="0" applyFont="1" applyFill="1" applyBorder="1" applyAlignment="1">
      <alignment horizontal="center"/>
    </xf>
    <xf numFmtId="0" fontId="2" fillId="8" borderId="0" xfId="0" applyFont="1" applyFill="1" applyAlignment="1">
      <alignment vertical="center" wrapText="1"/>
    </xf>
    <xf numFmtId="166" fontId="2" fillId="8" borderId="0" xfId="13" applyNumberFormat="1" applyFont="1" applyFill="1" applyBorder="1" applyAlignment="1">
      <alignment horizontal="right" vertical="center"/>
    </xf>
    <xf numFmtId="0" fontId="2" fillId="8" borderId="0" xfId="1" applyNumberFormat="1" applyFont="1" applyFill="1" applyBorder="1" applyAlignment="1">
      <alignment horizontal="center" vertical="center" wrapText="1"/>
    </xf>
    <xf numFmtId="166" fontId="2" fillId="8" borderId="0" xfId="1" applyFont="1" applyFill="1" applyBorder="1" applyAlignment="1">
      <alignment vertical="center" wrapText="1"/>
    </xf>
    <xf numFmtId="185" fontId="2" fillId="0" borderId="86" xfId="20" applyNumberFormat="1" applyFont="1" applyFill="1" applyBorder="1" applyAlignment="1">
      <alignment horizontal="center" vertical="center"/>
    </xf>
    <xf numFmtId="0" fontId="4" fillId="0" borderId="23" xfId="1" applyNumberFormat="1" applyFont="1" applyFill="1" applyBorder="1" applyAlignment="1">
      <alignment horizontal="center" vertical="center" wrapText="1"/>
    </xf>
    <xf numFmtId="185" fontId="2" fillId="0" borderId="14" xfId="20" applyNumberFormat="1" applyFont="1" applyFill="1" applyBorder="1" applyAlignment="1">
      <alignment horizontal="center" vertical="center"/>
    </xf>
    <xf numFmtId="185" fontId="2" fillId="0" borderId="39" xfId="20" applyNumberFormat="1" applyFont="1" applyFill="1" applyBorder="1" applyAlignment="1">
      <alignment horizontal="center" vertical="center"/>
    </xf>
    <xf numFmtId="0" fontId="4" fillId="0" borderId="23" xfId="0" applyFont="1" applyBorder="1" applyAlignment="1">
      <alignment vertical="center" wrapText="1"/>
    </xf>
    <xf numFmtId="166" fontId="4" fillId="2" borderId="29" xfId="13" applyNumberFormat="1" applyFont="1" applyFill="1" applyBorder="1" applyAlignment="1">
      <alignment horizontal="right" vertical="center" wrapText="1"/>
    </xf>
    <xf numFmtId="166" fontId="4" fillId="2" borderId="23" xfId="13" applyNumberFormat="1" applyFont="1" applyFill="1" applyBorder="1" applyAlignment="1">
      <alignment horizontal="right" vertical="center" wrapText="1"/>
    </xf>
    <xf numFmtId="0" fontId="4" fillId="0" borderId="23" xfId="1" applyNumberFormat="1" applyFont="1" applyBorder="1" applyAlignment="1">
      <alignment horizontal="center" vertical="center" wrapText="1"/>
    </xf>
    <xf numFmtId="166" fontId="4" fillId="0" borderId="17" xfId="1" applyFont="1" applyBorder="1" applyAlignment="1">
      <alignment vertical="center" wrapText="1"/>
    </xf>
    <xf numFmtId="166" fontId="4" fillId="2" borderId="30" xfId="13" applyNumberFormat="1" applyFont="1" applyFill="1" applyBorder="1" applyAlignment="1">
      <alignment horizontal="right" vertical="center" wrapText="1"/>
    </xf>
    <xf numFmtId="166" fontId="4" fillId="2" borderId="17" xfId="13" applyNumberFormat="1" applyFont="1" applyFill="1" applyBorder="1" applyAlignment="1">
      <alignment horizontal="right" vertical="center" wrapText="1"/>
    </xf>
    <xf numFmtId="0" fontId="4" fillId="0" borderId="17" xfId="1" applyNumberFormat="1" applyFont="1" applyBorder="1" applyAlignment="1">
      <alignment horizontal="center" vertical="center" wrapText="1"/>
    </xf>
    <xf numFmtId="166" fontId="2" fillId="0" borderId="22" xfId="13" applyNumberFormat="1" applyFont="1" applyFill="1" applyBorder="1" applyAlignment="1">
      <alignment horizontal="right" vertical="center"/>
    </xf>
    <xf numFmtId="166" fontId="2" fillId="0" borderId="25" xfId="13" applyNumberFormat="1" applyFont="1" applyFill="1" applyBorder="1" applyAlignment="1">
      <alignment horizontal="right" vertical="center"/>
    </xf>
    <xf numFmtId="166" fontId="4" fillId="0" borderId="1" xfId="13" applyNumberFormat="1" applyFont="1" applyFill="1" applyBorder="1" applyAlignment="1">
      <alignment horizontal="right" vertical="center"/>
    </xf>
    <xf numFmtId="166" fontId="4" fillId="0" borderId="13" xfId="13" applyNumberFormat="1" applyFont="1" applyFill="1" applyBorder="1" applyAlignment="1">
      <alignment horizontal="right" vertical="center" wrapText="1"/>
    </xf>
    <xf numFmtId="0" fontId="2" fillId="0" borderId="30" xfId="1" applyNumberFormat="1" applyFont="1" applyFill="1" applyBorder="1" applyAlignment="1">
      <alignment horizontal="center" vertical="center" wrapText="1"/>
    </xf>
    <xf numFmtId="166" fontId="2" fillId="0" borderId="4" xfId="13" applyNumberFormat="1" applyFont="1" applyFill="1" applyBorder="1" applyAlignment="1">
      <alignment horizontal="right" vertical="center" wrapText="1"/>
    </xf>
    <xf numFmtId="0" fontId="4" fillId="0" borderId="19" xfId="0" applyFont="1" applyFill="1" applyBorder="1" applyAlignment="1" applyProtection="1">
      <alignment vertical="center" wrapText="1"/>
      <protection locked="0"/>
    </xf>
    <xf numFmtId="166" fontId="4" fillId="0" borderId="25" xfId="13" applyNumberFormat="1" applyFont="1" applyFill="1" applyBorder="1" applyAlignment="1" applyProtection="1">
      <alignment horizontal="right" vertical="center" wrapText="1"/>
      <protection locked="0"/>
    </xf>
    <xf numFmtId="166" fontId="4" fillId="0" borderId="17" xfId="13" applyNumberFormat="1" applyFont="1" applyFill="1" applyBorder="1" applyAlignment="1" applyProtection="1">
      <alignment horizontal="right" vertical="center" wrapText="1"/>
      <protection locked="0"/>
    </xf>
    <xf numFmtId="0" fontId="4" fillId="0" borderId="17" xfId="1" applyNumberFormat="1" applyFont="1" applyFill="1" applyBorder="1" applyAlignment="1" applyProtection="1">
      <alignment horizontal="center" vertical="center" wrapText="1"/>
      <protection locked="0"/>
    </xf>
    <xf numFmtId="166" fontId="4" fillId="0" borderId="17" xfId="1" applyFont="1" applyFill="1" applyBorder="1" applyAlignment="1" applyProtection="1">
      <alignment vertical="center" wrapText="1"/>
      <protection locked="0"/>
    </xf>
    <xf numFmtId="166" fontId="4" fillId="0" borderId="32" xfId="13" applyNumberFormat="1" applyFont="1" applyFill="1" applyBorder="1" applyAlignment="1" applyProtection="1">
      <alignment horizontal="right" vertical="center" wrapText="1"/>
      <protection locked="0"/>
    </xf>
    <xf numFmtId="166" fontId="4" fillId="0" borderId="19" xfId="13" applyNumberFormat="1" applyFont="1" applyFill="1" applyBorder="1" applyAlignment="1" applyProtection="1">
      <alignment horizontal="right" vertical="center" wrapText="1"/>
      <protection locked="0"/>
    </xf>
    <xf numFmtId="0" fontId="4" fillId="0" borderId="30" xfId="1"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166" fontId="26" fillId="0" borderId="7" xfId="13" applyNumberFormat="1" applyFont="1" applyFill="1" applyBorder="1" applyAlignment="1">
      <alignment horizontal="right" vertical="center" wrapText="1"/>
    </xf>
    <xf numFmtId="0" fontId="4" fillId="0" borderId="17" xfId="0" applyFont="1" applyFill="1" applyBorder="1" applyAlignment="1" applyProtection="1">
      <alignment vertical="center" wrapText="1"/>
      <protection locked="0"/>
    </xf>
    <xf numFmtId="166" fontId="4" fillId="0" borderId="20" xfId="13" applyNumberFormat="1" applyFont="1" applyFill="1" applyBorder="1" applyAlignment="1" applyProtection="1">
      <alignment horizontal="right" vertical="center" wrapText="1"/>
      <protection locked="0"/>
    </xf>
    <xf numFmtId="0" fontId="4" fillId="0" borderId="25" xfId="0" applyFont="1" applyFill="1" applyBorder="1" applyAlignment="1" applyProtection="1">
      <alignment vertical="center" wrapText="1"/>
      <protection locked="0"/>
    </xf>
    <xf numFmtId="166" fontId="4" fillId="0" borderId="1" xfId="13" applyNumberFormat="1" applyFont="1" applyFill="1" applyBorder="1" applyAlignment="1" applyProtection="1">
      <alignment horizontal="right" vertical="center" wrapText="1"/>
      <protection locked="0"/>
    </xf>
    <xf numFmtId="166" fontId="4" fillId="0" borderId="22" xfId="13" applyNumberFormat="1" applyFont="1" applyFill="1" applyBorder="1" applyAlignment="1" applyProtection="1">
      <alignment horizontal="right" vertical="center" wrapText="1"/>
      <protection locked="0"/>
    </xf>
    <xf numFmtId="166" fontId="4" fillId="0" borderId="23" xfId="13" applyNumberFormat="1" applyFont="1" applyFill="1" applyBorder="1" applyAlignment="1" applyProtection="1">
      <alignment horizontal="right" vertical="center" wrapText="1"/>
      <protection locked="0"/>
    </xf>
    <xf numFmtId="0" fontId="4" fillId="0" borderId="19" xfId="1" applyNumberFormat="1" applyFont="1" applyFill="1" applyBorder="1" applyAlignment="1" applyProtection="1">
      <alignment horizontal="center" vertical="center" wrapText="1"/>
      <protection locked="0"/>
    </xf>
    <xf numFmtId="166" fontId="4" fillId="0" borderId="19" xfId="1" applyFont="1" applyFill="1" applyBorder="1" applyAlignment="1" applyProtection="1">
      <alignment vertical="center" wrapText="1"/>
      <protection locked="0"/>
    </xf>
    <xf numFmtId="0" fontId="4" fillId="0" borderId="23" xfId="0" applyFont="1" applyFill="1" applyBorder="1" applyAlignment="1" applyProtection="1">
      <alignment vertical="center" wrapText="1"/>
      <protection locked="0"/>
    </xf>
    <xf numFmtId="0" fontId="2" fillId="0" borderId="1" xfId="0" applyFont="1" applyFill="1" applyBorder="1" applyAlignment="1">
      <alignment vertical="center"/>
    </xf>
    <xf numFmtId="0" fontId="4" fillId="0" borderId="23" xfId="1" applyNumberFormat="1" applyFont="1" applyFill="1" applyBorder="1" applyAlignment="1" applyProtection="1">
      <alignment horizontal="center" vertical="center" wrapText="1"/>
      <protection locked="0"/>
    </xf>
    <xf numFmtId="166" fontId="4" fillId="0" borderId="23" xfId="1" applyFont="1" applyFill="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2" fillId="8" borderId="11" xfId="0" applyFont="1" applyFill="1" applyBorder="1" applyAlignment="1">
      <alignment vertical="center" wrapText="1"/>
    </xf>
    <xf numFmtId="166" fontId="2" fillId="8" borderId="9" xfId="13" applyNumberFormat="1" applyFont="1" applyFill="1" applyBorder="1" applyAlignment="1">
      <alignment horizontal="center" vertical="center"/>
    </xf>
    <xf numFmtId="166" fontId="4" fillId="0" borderId="23" xfId="13" applyNumberFormat="1" applyFont="1" applyBorder="1" applyAlignment="1">
      <alignment horizontal="right" vertical="center" wrapText="1"/>
    </xf>
    <xf numFmtId="0" fontId="2" fillId="0" borderId="23" xfId="1" applyNumberFormat="1" applyFont="1" applyBorder="1" applyAlignment="1">
      <alignment horizontal="center" vertical="center" wrapText="1"/>
    </xf>
    <xf numFmtId="166" fontId="4" fillId="0" borderId="17" xfId="13" applyNumberFormat="1" applyFont="1" applyBorder="1" applyAlignment="1">
      <alignment horizontal="right" vertical="center" wrapText="1"/>
    </xf>
    <xf numFmtId="0" fontId="2" fillId="0" borderId="17" xfId="1" applyNumberFormat="1" applyFont="1" applyBorder="1" applyAlignment="1">
      <alignment horizontal="center" vertical="center" wrapText="1"/>
    </xf>
    <xf numFmtId="0" fontId="3" fillId="3" borderId="9" xfId="0" applyFont="1" applyFill="1" applyBorder="1" applyAlignment="1">
      <alignment horizontal="justify" vertical="center"/>
    </xf>
    <xf numFmtId="1" fontId="3" fillId="3" borderId="9" xfId="0" applyNumberFormat="1" applyFont="1" applyFill="1" applyBorder="1" applyAlignment="1">
      <alignment horizontal="justify" vertical="center" wrapText="1"/>
    </xf>
    <xf numFmtId="166" fontId="3" fillId="3" borderId="9" xfId="1" applyFont="1" applyFill="1" applyBorder="1" applyAlignment="1">
      <alignment vertical="center"/>
    </xf>
    <xf numFmtId="0" fontId="3" fillId="3" borderId="9" xfId="0" applyFont="1" applyFill="1" applyBorder="1" applyAlignment="1">
      <alignment vertical="center" wrapText="1"/>
    </xf>
    <xf numFmtId="166" fontId="3" fillId="3" borderId="9" xfId="13" applyNumberFormat="1" applyFont="1" applyFill="1" applyBorder="1" applyAlignment="1">
      <alignment horizontal="right" vertical="center"/>
    </xf>
    <xf numFmtId="0" fontId="3" fillId="3" borderId="9" xfId="1" applyNumberFormat="1" applyFont="1" applyFill="1" applyBorder="1" applyAlignment="1">
      <alignment horizontal="center" vertical="center" wrapText="1"/>
    </xf>
    <xf numFmtId="166" fontId="3" fillId="3" borderId="9" xfId="1" applyFont="1" applyFill="1" applyBorder="1" applyAlignment="1">
      <alignment vertical="center" wrapText="1"/>
    </xf>
    <xf numFmtId="166" fontId="3" fillId="3" borderId="9" xfId="13" applyNumberFormat="1" applyFont="1" applyFill="1" applyBorder="1" applyAlignment="1">
      <alignment horizontal="center" vertical="center"/>
    </xf>
    <xf numFmtId="0" fontId="3" fillId="8" borderId="6" xfId="0" applyFont="1" applyFill="1" applyBorder="1" applyAlignment="1">
      <alignment horizontal="left" vertical="center" wrapText="1"/>
    </xf>
    <xf numFmtId="0" fontId="2" fillId="8" borderId="6" xfId="0" applyFont="1" applyFill="1" applyBorder="1"/>
    <xf numFmtId="1" fontId="2" fillId="8" borderId="6" xfId="0" applyNumberFormat="1" applyFont="1" applyFill="1" applyBorder="1" applyAlignment="1">
      <alignment horizontal="justify" vertical="center" wrapText="1"/>
    </xf>
    <xf numFmtId="0" fontId="2" fillId="8" borderId="6" xfId="0" applyFont="1" applyFill="1" applyBorder="1" applyAlignment="1">
      <alignment horizontal="center" vertical="center"/>
    </xf>
    <xf numFmtId="170" fontId="2" fillId="8" borderId="6" xfId="0" applyNumberFormat="1" applyFont="1" applyFill="1" applyBorder="1" applyAlignment="1">
      <alignment horizontal="justify" vertical="center" wrapText="1"/>
    </xf>
    <xf numFmtId="9" fontId="2" fillId="8" borderId="6" xfId="2" applyFont="1" applyFill="1" applyBorder="1" applyAlignment="1">
      <alignment horizontal="center" vertical="center"/>
    </xf>
    <xf numFmtId="166" fontId="2" fillId="8" borderId="6" xfId="1" applyFont="1" applyFill="1" applyBorder="1" applyAlignment="1">
      <alignment vertical="center"/>
    </xf>
    <xf numFmtId="170" fontId="2" fillId="8" borderId="6" xfId="0" applyNumberFormat="1" applyFont="1" applyFill="1" applyBorder="1" applyAlignment="1">
      <alignment vertical="center" wrapText="1"/>
    </xf>
    <xf numFmtId="166" fontId="2" fillId="8" borderId="6" xfId="13" applyNumberFormat="1" applyFont="1" applyFill="1" applyBorder="1" applyAlignment="1">
      <alignment horizontal="right" vertical="center"/>
    </xf>
    <xf numFmtId="0" fontId="2" fillId="8" borderId="6" xfId="1" applyNumberFormat="1" applyFont="1" applyFill="1" applyBorder="1" applyAlignment="1">
      <alignment horizontal="center" vertical="center" wrapText="1"/>
    </xf>
    <xf numFmtId="166" fontId="2" fillId="8" borderId="6" xfId="1" applyFont="1" applyFill="1" applyBorder="1" applyAlignment="1">
      <alignment vertical="center" wrapText="1"/>
    </xf>
    <xf numFmtId="166" fontId="2" fillId="8" borderId="6" xfId="13" applyNumberFormat="1" applyFont="1" applyFill="1" applyBorder="1" applyAlignment="1">
      <alignment horizontal="center" vertical="center"/>
    </xf>
    <xf numFmtId="170" fontId="2" fillId="8" borderId="6" xfId="0" applyNumberFormat="1" applyFont="1" applyFill="1" applyBorder="1" applyAlignment="1">
      <alignment horizontal="center" vertical="center"/>
    </xf>
    <xf numFmtId="170" fontId="2" fillId="8" borderId="6" xfId="0" applyNumberFormat="1" applyFont="1" applyFill="1" applyBorder="1" applyAlignment="1">
      <alignment horizontal="center" vertical="center" wrapText="1"/>
    </xf>
    <xf numFmtId="0" fontId="0" fillId="0" borderId="6" xfId="0" applyBorder="1"/>
    <xf numFmtId="166" fontId="2" fillId="0" borderId="17" xfId="13" applyNumberFormat="1" applyFont="1" applyBorder="1" applyAlignment="1">
      <alignment horizontal="right" vertical="center" wrapText="1"/>
    </xf>
    <xf numFmtId="0" fontId="0" fillId="0" borderId="0" xfId="0" applyBorder="1"/>
    <xf numFmtId="0" fontId="0" fillId="0" borderId="9" xfId="0" applyBorder="1"/>
    <xf numFmtId="0" fontId="2" fillId="0" borderId="7" xfId="0" applyFont="1" applyBorder="1"/>
    <xf numFmtId="0" fontId="2" fillId="8" borderId="11" xfId="0" applyFont="1" applyFill="1" applyBorder="1" applyAlignment="1">
      <alignment horizontal="justify" vertical="center" wrapText="1"/>
    </xf>
    <xf numFmtId="0" fontId="2" fillId="8" borderId="11" xfId="0" applyFont="1" applyFill="1" applyBorder="1"/>
    <xf numFmtId="1" fontId="2" fillId="8" borderId="11" xfId="0" applyNumberFormat="1" applyFont="1" applyFill="1" applyBorder="1" applyAlignment="1">
      <alignment horizontal="center" vertical="center"/>
    </xf>
    <xf numFmtId="0" fontId="2" fillId="8" borderId="11" xfId="0" applyFont="1" applyFill="1" applyBorder="1" applyAlignment="1">
      <alignment horizontal="center" vertical="center"/>
    </xf>
    <xf numFmtId="170" fontId="2" fillId="8" borderId="11" xfId="0" applyNumberFormat="1" applyFont="1" applyFill="1" applyBorder="1" applyAlignment="1">
      <alignment horizontal="justify" vertical="center" wrapText="1"/>
    </xf>
    <xf numFmtId="9" fontId="2" fillId="8" borderId="11" xfId="2" applyFont="1" applyFill="1" applyBorder="1" applyAlignment="1">
      <alignment horizontal="center" vertical="center"/>
    </xf>
    <xf numFmtId="166" fontId="2" fillId="8" borderId="11" xfId="1" applyFont="1" applyFill="1" applyBorder="1" applyAlignment="1">
      <alignment vertical="center"/>
    </xf>
    <xf numFmtId="170" fontId="2" fillId="8" borderId="11" xfId="0" applyNumberFormat="1" applyFont="1" applyFill="1" applyBorder="1" applyAlignment="1">
      <alignment vertical="center" wrapText="1"/>
    </xf>
    <xf numFmtId="166" fontId="2" fillId="8" borderId="11" xfId="13" applyNumberFormat="1" applyFont="1" applyFill="1" applyBorder="1" applyAlignment="1">
      <alignment horizontal="right" vertical="center"/>
    </xf>
    <xf numFmtId="0" fontId="2" fillId="8" borderId="11" xfId="1" applyNumberFormat="1" applyFont="1" applyFill="1" applyBorder="1" applyAlignment="1">
      <alignment horizontal="center" vertical="center" wrapText="1"/>
    </xf>
    <xf numFmtId="166" fontId="2" fillId="8" borderId="11" xfId="1" applyFont="1" applyFill="1" applyBorder="1" applyAlignment="1">
      <alignment vertical="center" wrapText="1"/>
    </xf>
    <xf numFmtId="166" fontId="2" fillId="8" borderId="11" xfId="13" applyNumberFormat="1" applyFont="1" applyFill="1" applyBorder="1" applyAlignment="1">
      <alignment horizontal="center" vertical="center"/>
    </xf>
    <xf numFmtId="170" fontId="2" fillId="8" borderId="11" xfId="0" applyNumberFormat="1" applyFont="1" applyFill="1" applyBorder="1" applyAlignment="1">
      <alignment horizontal="center" vertical="center"/>
    </xf>
    <xf numFmtId="170" fontId="2" fillId="8" borderId="11" xfId="0" applyNumberFormat="1" applyFont="1" applyFill="1" applyBorder="1" applyAlignment="1">
      <alignment horizontal="center" vertical="center" wrapText="1"/>
    </xf>
    <xf numFmtId="0" fontId="2" fillId="0" borderId="10" xfId="0" applyFont="1" applyFill="1" applyBorder="1"/>
    <xf numFmtId="0" fontId="2" fillId="0" borderId="11" xfId="0" applyFont="1" applyFill="1" applyBorder="1"/>
    <xf numFmtId="0" fontId="2" fillId="0" borderId="12" xfId="0" applyFont="1" applyFill="1" applyBorder="1"/>
    <xf numFmtId="166" fontId="4" fillId="0" borderId="4" xfId="1" applyFont="1" applyFill="1" applyBorder="1" applyAlignment="1">
      <alignment vertical="center" wrapText="1"/>
    </xf>
    <xf numFmtId="0" fontId="4" fillId="0" borderId="13" xfId="0" applyFont="1" applyFill="1" applyBorder="1" applyAlignment="1">
      <alignment vertical="center" wrapText="1"/>
    </xf>
    <xf numFmtId="3" fontId="2" fillId="0" borderId="1" xfId="0" applyNumberFormat="1" applyFont="1" applyFill="1" applyBorder="1" applyAlignment="1">
      <alignment horizontal="center" vertical="center"/>
    </xf>
    <xf numFmtId="166" fontId="2" fillId="0" borderId="1" xfId="13"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12" xfId="0" applyFont="1" applyBorder="1" applyAlignment="1">
      <alignment horizontal="center"/>
    </xf>
    <xf numFmtId="166" fontId="13" fillId="0" borderId="1" xfId="0" applyNumberFormat="1" applyFont="1" applyBorder="1" applyAlignment="1">
      <alignment vertical="center"/>
    </xf>
    <xf numFmtId="0" fontId="2" fillId="0" borderId="1" xfId="0" applyFont="1" applyBorder="1" applyAlignment="1">
      <alignment vertical="center"/>
    </xf>
    <xf numFmtId="166" fontId="13" fillId="0" borderId="1" xfId="0" applyNumberFormat="1" applyFont="1" applyBorder="1" applyAlignment="1">
      <alignment horizontal="right" vertical="center"/>
    </xf>
    <xf numFmtId="0" fontId="13" fillId="6" borderId="13" xfId="0" applyFont="1" applyFill="1" applyBorder="1" applyAlignment="1">
      <alignment horizontal="center" vertical="center" wrapText="1"/>
    </xf>
    <xf numFmtId="0" fontId="25" fillId="0" borderId="52" xfId="0" applyFont="1" applyBorder="1" applyAlignment="1">
      <alignment horizontal="center" vertical="center" wrapText="1"/>
    </xf>
    <xf numFmtId="0" fontId="25" fillId="0" borderId="9"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1" fontId="13" fillId="6" borderId="3" xfId="0" applyNumberFormat="1" applyFont="1" applyFill="1" applyBorder="1" applyAlignment="1">
      <alignment horizontal="center" vertical="center" wrapText="1"/>
    </xf>
    <xf numFmtId="1" fontId="13" fillId="2" borderId="5"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13" fillId="2" borderId="0" xfId="0" applyFont="1" applyFill="1" applyAlignment="1">
      <alignment horizontal="center"/>
    </xf>
    <xf numFmtId="1" fontId="2" fillId="2" borderId="17" xfId="0" applyNumberFormat="1" applyFont="1" applyFill="1" applyBorder="1" applyAlignment="1">
      <alignment horizontal="center" vertical="center" wrapText="1"/>
    </xf>
    <xf numFmtId="0" fontId="2" fillId="2" borderId="17" xfId="0" applyFont="1" applyFill="1" applyBorder="1" applyAlignment="1">
      <alignment horizontal="justify" vertical="center" wrapText="1"/>
    </xf>
    <xf numFmtId="0" fontId="2" fillId="2" borderId="4" xfId="0" applyFont="1" applyFill="1" applyBorder="1" applyAlignment="1">
      <alignment horizontal="justify" vertical="center" wrapText="1"/>
    </xf>
    <xf numFmtId="1" fontId="2" fillId="2" borderId="4" xfId="0" applyNumberFormat="1"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xf>
    <xf numFmtId="0" fontId="4" fillId="2" borderId="4" xfId="0" applyFont="1" applyFill="1" applyBorder="1" applyAlignment="1">
      <alignment horizontal="justify" vertical="center" wrapText="1"/>
    </xf>
    <xf numFmtId="3" fontId="2" fillId="2" borderId="13"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3" fontId="2" fillId="0" borderId="4"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9"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4" fillId="0" borderId="30" xfId="0" applyFont="1" applyBorder="1" applyAlignment="1">
      <alignment horizontal="center" vertical="center" wrapText="1"/>
    </xf>
    <xf numFmtId="0" fontId="4" fillId="0" borderId="12"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0" xfId="0" applyFont="1" applyAlignment="1">
      <alignment horizontal="center" vertical="center" wrapText="1"/>
    </xf>
    <xf numFmtId="0" fontId="25" fillId="0" borderId="9" xfId="0" applyFont="1" applyBorder="1" applyAlignment="1">
      <alignment horizontal="center" vertical="center" wrapText="1"/>
    </xf>
    <xf numFmtId="0" fontId="4" fillId="0" borderId="25"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15" xfId="0" applyFont="1" applyBorder="1" applyAlignment="1">
      <alignment horizontal="center" vertical="center" wrapText="1"/>
    </xf>
    <xf numFmtId="0" fontId="4" fillId="0" borderId="1" xfId="0" applyFont="1" applyBorder="1" applyAlignment="1">
      <alignment horizontal="justify" vertical="center" wrapText="1"/>
    </xf>
    <xf numFmtId="0" fontId="2" fillId="2" borderId="4" xfId="0" applyFont="1" applyFill="1" applyBorder="1" applyAlignment="1">
      <alignment horizontal="center" vertical="center" wrapText="1"/>
    </xf>
    <xf numFmtId="0" fontId="4" fillId="2" borderId="17" xfId="0" applyFont="1" applyFill="1" applyBorder="1" applyAlignment="1">
      <alignment horizontal="justify" vertical="center" wrapText="1"/>
    </xf>
    <xf numFmtId="9" fontId="2" fillId="2" borderId="4" xfId="2" applyFont="1" applyFill="1" applyBorder="1" applyAlignment="1">
      <alignment horizontal="center" vertical="center"/>
    </xf>
    <xf numFmtId="0" fontId="2" fillId="2" borderId="4" xfId="0" applyFont="1" applyFill="1" applyBorder="1" applyAlignment="1">
      <alignment horizontal="center" vertical="center"/>
    </xf>
    <xf numFmtId="9" fontId="2" fillId="0" borderId="1" xfId="2" applyFont="1" applyBorder="1" applyAlignment="1">
      <alignment horizontal="center" vertical="center"/>
    </xf>
    <xf numFmtId="0" fontId="2" fillId="2" borderId="0" xfId="0" applyFont="1" applyFill="1" applyAlignment="1">
      <alignment horizontal="justify" vertical="center" wrapText="1"/>
    </xf>
    <xf numFmtId="0" fontId="4" fillId="0" borderId="3" xfId="0" applyFont="1" applyBorder="1" applyAlignment="1">
      <alignment horizontal="justify" vertical="center" wrapText="1"/>
    </xf>
    <xf numFmtId="0" fontId="4" fillId="2" borderId="14" xfId="0" applyFont="1" applyFill="1" applyBorder="1" applyAlignment="1">
      <alignment horizontal="justify" vertical="center" wrapText="1"/>
    </xf>
    <xf numFmtId="0" fontId="4" fillId="2" borderId="0" xfId="0" applyFont="1" applyFill="1" applyAlignment="1">
      <alignment horizontal="center" vertical="center" wrapText="1"/>
    </xf>
    <xf numFmtId="0" fontId="4" fillId="2" borderId="1" xfId="0" applyFont="1" applyFill="1" applyBorder="1" applyAlignment="1">
      <alignment horizontal="justify" vertical="center" wrapText="1"/>
    </xf>
    <xf numFmtId="0" fontId="4" fillId="2" borderId="25" xfId="0" applyFont="1" applyFill="1" applyBorder="1" applyAlignment="1">
      <alignment horizontal="justify" vertical="center" wrapText="1"/>
    </xf>
    <xf numFmtId="9" fontId="4" fillId="2" borderId="17" xfId="2" applyFont="1" applyFill="1" applyBorder="1" applyAlignment="1">
      <alignment horizontal="center" vertical="center" wrapText="1"/>
    </xf>
    <xf numFmtId="0" fontId="2" fillId="0" borderId="25" xfId="0" applyFont="1" applyBorder="1" applyAlignment="1">
      <alignment horizontal="justify" vertical="center" wrapText="1"/>
    </xf>
    <xf numFmtId="0" fontId="4" fillId="0" borderId="62" xfId="0" applyFont="1" applyBorder="1" applyAlignment="1">
      <alignment horizontal="justify" vertical="center" wrapText="1"/>
    </xf>
    <xf numFmtId="0" fontId="2" fillId="2" borderId="1" xfId="0" applyFont="1" applyFill="1" applyBorder="1" applyAlignment="1">
      <alignment horizontal="center" vertical="center"/>
    </xf>
    <xf numFmtId="0" fontId="4" fillId="2" borderId="19"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13" xfId="0" applyFont="1" applyFill="1" applyBorder="1" applyAlignment="1">
      <alignment horizontal="center" vertical="center" wrapText="1"/>
    </xf>
    <xf numFmtId="0" fontId="4" fillId="0" borderId="14" xfId="0" applyFont="1" applyFill="1" applyBorder="1" applyAlignment="1">
      <alignment horizontal="justify" vertical="center"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4" fillId="0" borderId="15" xfId="0" applyFont="1" applyFill="1" applyBorder="1" applyAlignment="1">
      <alignment horizontal="center" vertical="center" wrapText="1"/>
    </xf>
    <xf numFmtId="0" fontId="2" fillId="0" borderId="4" xfId="0" applyFont="1" applyFill="1" applyBorder="1" applyAlignment="1">
      <alignment horizontal="center" vertical="center" wrapText="1"/>
    </xf>
    <xf numFmtId="9" fontId="4" fillId="0" borderId="17" xfId="2" applyFont="1" applyBorder="1" applyAlignment="1">
      <alignment horizontal="center" vertical="center" wrapText="1"/>
    </xf>
    <xf numFmtId="0" fontId="2" fillId="0" borderId="1" xfId="0" applyFont="1" applyFill="1" applyBorder="1" applyAlignment="1">
      <alignment horizontal="justify" vertical="center" wrapText="1"/>
    </xf>
    <xf numFmtId="0" fontId="2" fillId="0" borderId="15" xfId="0" applyFont="1" applyBorder="1" applyAlignment="1">
      <alignment horizontal="center" vertical="center"/>
    </xf>
    <xf numFmtId="4" fontId="11" fillId="0" borderId="0" xfId="0" applyNumberFormat="1" applyFont="1"/>
    <xf numFmtId="4" fontId="11" fillId="2" borderId="0" xfId="0" applyNumberFormat="1" applyFont="1" applyFill="1"/>
    <xf numFmtId="0" fontId="25" fillId="0" borderId="0" xfId="0" applyFont="1" applyBorder="1" applyAlignment="1">
      <alignment horizontal="center" vertical="center" wrapText="1"/>
    </xf>
    <xf numFmtId="0" fontId="3" fillId="0" borderId="0" xfId="0" applyFont="1" applyFill="1" applyBorder="1" applyAlignment="1">
      <alignment vertical="center"/>
    </xf>
    <xf numFmtId="14" fontId="3" fillId="0" borderId="0"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4" fontId="2" fillId="2" borderId="0" xfId="0" applyNumberFormat="1" applyFont="1" applyFill="1"/>
    <xf numFmtId="0" fontId="3" fillId="3" borderId="5" xfId="0" applyNumberFormat="1" applyFont="1" applyFill="1" applyBorder="1" applyAlignment="1">
      <alignment horizontal="left" vertical="center" wrapText="1"/>
    </xf>
    <xf numFmtId="0" fontId="3" fillId="3" borderId="6" xfId="0" applyNumberFormat="1" applyFont="1" applyFill="1" applyBorder="1" applyAlignment="1">
      <alignment horizontal="left" vertical="center"/>
    </xf>
    <xf numFmtId="0" fontId="2" fillId="0" borderId="0" xfId="0" applyFont="1" applyBorder="1"/>
    <xf numFmtId="0" fontId="3" fillId="8" borderId="7" xfId="0" applyNumberFormat="1" applyFont="1" applyFill="1" applyBorder="1" applyAlignment="1">
      <alignment horizontal="left" vertical="center"/>
    </xf>
    <xf numFmtId="171" fontId="13" fillId="8" borderId="13" xfId="0" applyNumberFormat="1" applyFont="1" applyFill="1" applyBorder="1" applyAlignment="1">
      <alignment vertical="center"/>
    </xf>
    <xf numFmtId="177" fontId="13" fillId="8" borderId="13" xfId="0" applyNumberFormat="1" applyFont="1" applyFill="1" applyBorder="1" applyAlignment="1">
      <alignment horizontal="center" vertical="center"/>
    </xf>
    <xf numFmtId="0" fontId="2" fillId="2" borderId="0" xfId="0" applyFont="1" applyFill="1" applyBorder="1"/>
    <xf numFmtId="177" fontId="4" fillId="2" borderId="17" xfId="17" applyNumberFormat="1" applyFont="1" applyFill="1" applyBorder="1" applyAlignment="1">
      <alignment horizontal="right" vertical="center"/>
    </xf>
    <xf numFmtId="177" fontId="4" fillId="0" borderId="17" xfId="17" applyNumberFormat="1" applyFont="1" applyFill="1" applyBorder="1" applyAlignment="1">
      <alignment horizontal="right" vertical="center"/>
    </xf>
    <xf numFmtId="0" fontId="2" fillId="0" borderId="30" xfId="0" applyFont="1" applyFill="1" applyBorder="1" applyAlignment="1">
      <alignment horizontal="justify" vertical="center" wrapText="1"/>
    </xf>
    <xf numFmtId="3" fontId="2" fillId="2" borderId="7" xfId="0" applyNumberFormat="1" applyFont="1" applyFill="1" applyBorder="1" applyAlignment="1">
      <alignment horizontal="center" vertical="center" wrapText="1"/>
    </xf>
    <xf numFmtId="1" fontId="13" fillId="2" borderId="0" xfId="0" applyNumberFormat="1" applyFont="1" applyFill="1" applyBorder="1" applyAlignment="1">
      <alignment vertical="center" textRotation="180" wrapText="1"/>
    </xf>
    <xf numFmtId="0" fontId="1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1" fontId="2" fillId="0" borderId="17" xfId="0" applyNumberFormat="1" applyFont="1" applyFill="1" applyBorder="1" applyAlignment="1">
      <alignment horizontal="center" vertical="center" wrapText="1"/>
    </xf>
    <xf numFmtId="0" fontId="26" fillId="0" borderId="12" xfId="0" applyFont="1" applyFill="1" applyBorder="1" applyAlignment="1">
      <alignment horizontal="justify" vertical="center" wrapText="1"/>
    </xf>
    <xf numFmtId="0" fontId="26" fillId="0" borderId="17" xfId="0" applyFont="1" applyFill="1" applyBorder="1" applyAlignment="1">
      <alignment horizontal="center" vertical="center" wrapText="1"/>
    </xf>
    <xf numFmtId="0" fontId="26" fillId="0" borderId="7" xfId="0" applyFont="1" applyFill="1" applyBorder="1" applyAlignment="1">
      <alignment horizontal="justify" vertical="center" wrapText="1"/>
    </xf>
    <xf numFmtId="177" fontId="4" fillId="2" borderId="19" xfId="17" applyNumberFormat="1" applyFont="1" applyFill="1" applyBorder="1" applyAlignment="1">
      <alignment horizontal="right" vertical="center"/>
    </xf>
    <xf numFmtId="0" fontId="2" fillId="0" borderId="21" xfId="0" applyFont="1" applyFill="1" applyBorder="1" applyAlignment="1">
      <alignment horizontal="justify" vertical="center" wrapText="1"/>
    </xf>
    <xf numFmtId="177" fontId="4" fillId="0" borderId="20" xfId="17" applyNumberFormat="1" applyFont="1" applyFill="1" applyBorder="1" applyAlignment="1">
      <alignment horizontal="right" vertical="center"/>
    </xf>
    <xf numFmtId="177" fontId="4" fillId="2" borderId="1" xfId="17" applyNumberFormat="1" applyFont="1" applyFill="1" applyBorder="1" applyAlignment="1">
      <alignment horizontal="right" vertical="center"/>
    </xf>
    <xf numFmtId="0" fontId="4" fillId="0" borderId="12" xfId="0" applyFont="1" applyFill="1" applyBorder="1" applyAlignment="1">
      <alignment horizontal="center" vertical="center" wrapText="1"/>
    </xf>
    <xf numFmtId="0" fontId="4" fillId="0" borderId="10" xfId="0" applyFont="1" applyFill="1" applyBorder="1" applyAlignment="1">
      <alignment horizontal="justify" vertical="center" wrapText="1"/>
    </xf>
    <xf numFmtId="0" fontId="41" fillId="10" borderId="1" xfId="0" applyFont="1" applyFill="1" applyBorder="1" applyAlignment="1">
      <alignment horizontal="justify" vertical="center" wrapText="1"/>
    </xf>
    <xf numFmtId="177" fontId="26" fillId="0" borderId="25" xfId="16" applyNumberFormat="1" applyFont="1" applyFill="1" applyBorder="1" applyAlignment="1">
      <alignment horizontal="center" vertical="center" wrapText="1"/>
    </xf>
    <xf numFmtId="177" fontId="26" fillId="0" borderId="1" xfId="16" applyNumberFormat="1" applyFont="1" applyFill="1" applyBorder="1" applyAlignment="1">
      <alignment horizontal="center" vertical="center" wrapText="1"/>
    </xf>
    <xf numFmtId="1" fontId="2" fillId="0" borderId="60" xfId="0" applyNumberFormat="1" applyFont="1" applyFill="1" applyBorder="1" applyAlignment="1">
      <alignment horizontal="center" vertical="center"/>
    </xf>
    <xf numFmtId="4" fontId="2" fillId="0" borderId="0" xfId="0" applyNumberFormat="1" applyFont="1" applyFill="1"/>
    <xf numFmtId="0" fontId="13" fillId="0" borderId="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10" borderId="14"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1" fillId="10" borderId="13" xfId="0" applyFont="1" applyFill="1" applyBorder="1" applyAlignment="1">
      <alignment horizontal="justify" vertical="center" wrapText="1"/>
    </xf>
    <xf numFmtId="0" fontId="4" fillId="0" borderId="21" xfId="0" applyFont="1" applyFill="1" applyBorder="1" applyAlignment="1">
      <alignment horizontal="justify" vertical="center" wrapText="1"/>
    </xf>
    <xf numFmtId="177" fontId="4" fillId="0" borderId="25" xfId="16" applyNumberFormat="1" applyFont="1" applyFill="1" applyBorder="1" applyAlignment="1">
      <alignment horizontal="center" vertical="center" wrapText="1"/>
    </xf>
    <xf numFmtId="177" fontId="4" fillId="0" borderId="1" xfId="16" applyNumberFormat="1" applyFont="1" applyFill="1" applyBorder="1" applyAlignment="1">
      <alignment horizontal="center" vertical="center" wrapText="1"/>
    </xf>
    <xf numFmtId="1" fontId="2" fillId="0" borderId="30" xfId="0" applyNumberFormat="1" applyFont="1" applyFill="1" applyBorder="1" applyAlignment="1">
      <alignment horizontal="center" vertical="center"/>
    </xf>
    <xf numFmtId="177" fontId="4" fillId="0" borderId="32" xfId="16"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9" fontId="2" fillId="2" borderId="8" xfId="2" applyFont="1" applyFill="1" applyBorder="1" applyAlignment="1">
      <alignment horizontal="center" vertical="center"/>
    </xf>
    <xf numFmtId="43" fontId="2" fillId="2" borderId="17" xfId="0" applyNumberFormat="1" applyFont="1" applyFill="1" applyBorder="1" applyAlignment="1">
      <alignment vertical="center"/>
    </xf>
    <xf numFmtId="0" fontId="2" fillId="0" borderId="12" xfId="0" applyFont="1" applyFill="1" applyBorder="1" applyAlignment="1">
      <alignment horizontal="justify" vertical="center" wrapText="1"/>
    </xf>
    <xf numFmtId="0" fontId="4" fillId="2" borderId="10" xfId="0" applyFont="1" applyFill="1" applyBorder="1" applyAlignment="1">
      <alignment horizontal="justify" vertical="center" wrapText="1"/>
    </xf>
    <xf numFmtId="177" fontId="4" fillId="0" borderId="18" xfId="18" applyNumberFormat="1" applyFont="1" applyFill="1" applyBorder="1" applyAlignment="1">
      <alignment horizontal="justify" vertical="center"/>
    </xf>
    <xf numFmtId="177" fontId="4" fillId="0" borderId="1" xfId="18" applyNumberFormat="1" applyFont="1" applyFill="1" applyBorder="1" applyAlignment="1">
      <alignment horizontal="justify" vertical="center"/>
    </xf>
    <xf numFmtId="3" fontId="2" fillId="0" borderId="15" xfId="0" applyNumberFormat="1" applyFont="1" applyBorder="1" applyAlignment="1">
      <alignment horizontal="center" vertical="center"/>
    </xf>
    <xf numFmtId="3" fontId="2" fillId="0" borderId="4" xfId="0" applyNumberFormat="1" applyFont="1" applyBorder="1" applyAlignment="1">
      <alignment horizontal="center" vertical="center"/>
    </xf>
    <xf numFmtId="14" fontId="2" fillId="0" borderId="4" xfId="0" applyNumberFormat="1" applyFont="1" applyFill="1" applyBorder="1" applyAlignment="1">
      <alignment horizontal="center" vertical="center"/>
    </xf>
    <xf numFmtId="4" fontId="2" fillId="0" borderId="0" xfId="0" applyNumberFormat="1" applyFont="1"/>
    <xf numFmtId="177" fontId="4" fillId="2" borderId="1" xfId="18" applyNumberFormat="1" applyFont="1" applyFill="1" applyBorder="1" applyAlignment="1">
      <alignment horizontal="right" vertical="center"/>
    </xf>
    <xf numFmtId="177" fontId="26" fillId="2" borderId="1" xfId="16" applyNumberFormat="1" applyFont="1" applyFill="1" applyBorder="1" applyAlignment="1">
      <alignment horizontal="right" vertical="center" wrapText="1"/>
    </xf>
    <xf numFmtId="0" fontId="3" fillId="8" borderId="3" xfId="0" applyNumberFormat="1" applyFont="1" applyFill="1" applyBorder="1" applyAlignment="1">
      <alignment horizontal="left" vertical="center" wrapText="1"/>
    </xf>
    <xf numFmtId="0" fontId="2" fillId="8" borderId="13" xfId="0" applyFont="1" applyFill="1" applyBorder="1" applyAlignment="1">
      <alignment horizontal="center"/>
    </xf>
    <xf numFmtId="170" fontId="2" fillId="8" borderId="13" xfId="0" applyNumberFormat="1" applyFont="1" applyFill="1" applyBorder="1" applyAlignment="1">
      <alignment horizontal="center" vertical="center"/>
    </xf>
    <xf numFmtId="43" fontId="2" fillId="8" borderId="13" xfId="0" applyNumberFormat="1" applyFont="1" applyFill="1" applyBorder="1" applyAlignment="1">
      <alignment vertical="center"/>
    </xf>
    <xf numFmtId="0" fontId="4" fillId="8" borderId="13" xfId="0" applyFont="1" applyFill="1" applyBorder="1" applyAlignment="1">
      <alignment horizontal="justify" vertical="center" wrapText="1"/>
    </xf>
    <xf numFmtId="177" fontId="2" fillId="8" borderId="2" xfId="0" applyNumberFormat="1" applyFont="1" applyFill="1" applyBorder="1" applyAlignment="1">
      <alignment horizontal="center" vertical="center"/>
    </xf>
    <xf numFmtId="177" fontId="2" fillId="8" borderId="0" xfId="0" applyNumberFormat="1" applyFont="1" applyFill="1" applyBorder="1" applyAlignment="1">
      <alignment horizontal="center" vertical="center"/>
    </xf>
    <xf numFmtId="1" fontId="2" fillId="8" borderId="30" xfId="0" applyNumberFormat="1" applyFont="1" applyFill="1" applyBorder="1" applyAlignment="1">
      <alignment horizontal="center" vertical="center"/>
    </xf>
    <xf numFmtId="0" fontId="2" fillId="8" borderId="19" xfId="0" applyFont="1" applyFill="1" applyBorder="1" applyAlignment="1">
      <alignment horizontal="justify" vertical="center" wrapText="1"/>
    </xf>
    <xf numFmtId="3" fontId="2" fillId="8" borderId="12" xfId="0" applyNumberFormat="1" applyFont="1" applyFill="1" applyBorder="1" applyAlignment="1">
      <alignment horizontal="center"/>
    </xf>
    <xf numFmtId="3" fontId="2" fillId="8" borderId="1" xfId="0" applyNumberFormat="1" applyFont="1" applyFill="1" applyBorder="1" applyAlignment="1">
      <alignment horizontal="center"/>
    </xf>
    <xf numFmtId="14" fontId="2" fillId="8" borderId="1" xfId="0" applyNumberFormat="1" applyFont="1" applyFill="1" applyBorder="1" applyAlignment="1">
      <alignment horizontal="center"/>
    </xf>
    <xf numFmtId="172" fontId="2" fillId="8" borderId="1" xfId="0" applyNumberFormat="1" applyFont="1" applyFill="1" applyBorder="1" applyAlignment="1">
      <alignment horizontal="center"/>
    </xf>
    <xf numFmtId="0" fontId="2" fillId="8" borderId="1"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0" fontId="4" fillId="0" borderId="7" xfId="0" applyFont="1" applyFill="1" applyBorder="1" applyAlignment="1">
      <alignment horizontal="justify" vertical="center" wrapText="1"/>
    </xf>
    <xf numFmtId="0" fontId="2" fillId="0" borderId="1" xfId="0" applyFont="1" applyFill="1" applyBorder="1" applyAlignment="1">
      <alignment horizontal="center" vertical="center"/>
    </xf>
    <xf numFmtId="177" fontId="2" fillId="0" borderId="17" xfId="0" applyNumberFormat="1" applyFont="1" applyFill="1" applyBorder="1" applyAlignment="1">
      <alignment horizontal="center" vertical="center"/>
    </xf>
    <xf numFmtId="0" fontId="42" fillId="0" borderId="1" xfId="0" applyFont="1" applyFill="1" applyBorder="1" applyAlignment="1">
      <alignment horizontal="center" vertical="center" wrapText="1"/>
    </xf>
    <xf numFmtId="177" fontId="2" fillId="0" borderId="19" xfId="0" applyNumberFormat="1" applyFont="1" applyFill="1" applyBorder="1" applyAlignment="1">
      <alignment horizontal="center" vertical="center"/>
    </xf>
    <xf numFmtId="0" fontId="4" fillId="0" borderId="15" xfId="0" applyFont="1" applyFill="1" applyBorder="1" applyAlignment="1">
      <alignment horizontal="justify" vertical="center" wrapText="1"/>
    </xf>
    <xf numFmtId="177" fontId="2" fillId="0" borderId="25"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 fontId="2" fillId="0" borderId="32" xfId="0" applyNumberFormat="1" applyFont="1" applyFill="1" applyBorder="1" applyAlignment="1">
      <alignment horizontal="center" vertical="center"/>
    </xf>
    <xf numFmtId="177" fontId="2" fillId="0" borderId="25" xfId="0"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1" fontId="2" fillId="2" borderId="32" xfId="0" applyNumberFormat="1" applyFont="1" applyFill="1" applyBorder="1" applyAlignment="1">
      <alignment horizontal="center" vertical="center"/>
    </xf>
    <xf numFmtId="1" fontId="2" fillId="0" borderId="8" xfId="0" applyNumberFormat="1" applyFont="1" applyFill="1" applyBorder="1"/>
    <xf numFmtId="0" fontId="2" fillId="0" borderId="9" xfId="0" applyFont="1" applyFill="1" applyBorder="1"/>
    <xf numFmtId="0" fontId="2" fillId="0" borderId="1" xfId="0" applyFont="1" applyFill="1" applyBorder="1"/>
    <xf numFmtId="0" fontId="2" fillId="0" borderId="4" xfId="0" applyFont="1" applyFill="1" applyBorder="1" applyAlignment="1">
      <alignment horizontal="center"/>
    </xf>
    <xf numFmtId="0" fontId="2" fillId="0" borderId="4" xfId="0" applyFont="1" applyFill="1" applyBorder="1" applyAlignment="1">
      <alignment horizontal="justify" vertical="center"/>
    </xf>
    <xf numFmtId="170" fontId="2" fillId="0" borderId="4" xfId="0" applyNumberFormat="1" applyFont="1" applyFill="1" applyBorder="1" applyAlignment="1">
      <alignment horizontal="center" vertical="center"/>
    </xf>
    <xf numFmtId="43" fontId="13" fillId="0" borderId="4"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0" fontId="2" fillId="0" borderId="23" xfId="0" applyFont="1" applyFill="1" applyBorder="1"/>
    <xf numFmtId="3" fontId="2" fillId="0" borderId="12" xfId="0" applyNumberFormat="1" applyFont="1" applyFill="1" applyBorder="1" applyAlignment="1">
      <alignment horizontal="center"/>
    </xf>
    <xf numFmtId="3" fontId="2" fillId="0" borderId="1" xfId="0" applyNumberFormat="1" applyFont="1" applyFill="1" applyBorder="1" applyAlignment="1">
      <alignment horizontal="center"/>
    </xf>
    <xf numFmtId="3" fontId="13" fillId="0" borderId="1" xfId="0" applyNumberFormat="1" applyFont="1" applyFill="1" applyBorder="1" applyAlignment="1">
      <alignment horizontal="center"/>
    </xf>
    <xf numFmtId="9" fontId="13" fillId="0" borderId="1" xfId="2" applyFont="1" applyFill="1" applyBorder="1" applyAlignment="1">
      <alignment horizontal="center"/>
    </xf>
    <xf numFmtId="172" fontId="2" fillId="0" borderId="1" xfId="0" applyNumberFormat="1" applyFont="1" applyFill="1" applyBorder="1" applyAlignment="1">
      <alignment horizontal="center" vertical="center"/>
    </xf>
    <xf numFmtId="172" fontId="2" fillId="0" borderId="1" xfId="0" applyNumberFormat="1" applyFont="1" applyFill="1" applyBorder="1" applyAlignment="1">
      <alignment horizontal="center"/>
    </xf>
    <xf numFmtId="0" fontId="2" fillId="0" borderId="1" xfId="0" applyFont="1" applyFill="1" applyBorder="1" applyAlignment="1">
      <alignment horizontal="justify" vertical="center"/>
    </xf>
    <xf numFmtId="0" fontId="11" fillId="0" borderId="0" xfId="0" applyFont="1" applyFill="1" applyBorder="1" applyAlignment="1">
      <alignment horizontal="justify" vertical="center"/>
    </xf>
    <xf numFmtId="177" fontId="11" fillId="0" borderId="0" xfId="0" applyNumberFormat="1" applyFont="1" applyFill="1" applyBorder="1" applyAlignment="1">
      <alignment horizontal="center" vertical="center"/>
    </xf>
    <xf numFmtId="172" fontId="11" fillId="0" borderId="0" xfId="0" applyNumberFormat="1" applyFont="1" applyFill="1" applyAlignment="1">
      <alignment horizontal="center" vertical="center"/>
    </xf>
    <xf numFmtId="4" fontId="3" fillId="0" borderId="0" xfId="0" applyNumberFormat="1" applyFont="1" applyFill="1" applyBorder="1" applyAlignment="1"/>
    <xf numFmtId="0" fontId="11" fillId="0" borderId="0" xfId="0" applyFont="1" applyBorder="1"/>
    <xf numFmtId="0" fontId="11" fillId="0" borderId="0" xfId="0" applyFont="1" applyFill="1" applyAlignment="1">
      <alignment horizontal="justify" vertical="center"/>
    </xf>
    <xf numFmtId="177" fontId="11" fillId="0" borderId="0" xfId="0" applyNumberFormat="1" applyFont="1" applyFill="1" applyAlignment="1">
      <alignment horizontal="center" vertical="center"/>
    </xf>
    <xf numFmtId="49" fontId="13" fillId="6" borderId="13" xfId="0" applyNumberFormat="1" applyFont="1" applyFill="1" applyBorder="1" applyAlignment="1">
      <alignment horizontal="center" vertical="center"/>
    </xf>
    <xf numFmtId="0" fontId="4" fillId="3" borderId="11" xfId="0" applyFont="1" applyFill="1" applyBorder="1" applyAlignment="1">
      <alignment horizontal="left" vertical="center"/>
    </xf>
    <xf numFmtId="9" fontId="4" fillId="3" borderId="11" xfId="2" applyFont="1" applyFill="1" applyBorder="1" applyAlignment="1">
      <alignment horizontal="justify" vertical="center" wrapText="1"/>
    </xf>
    <xf numFmtId="177" fontId="4" fillId="3" borderId="11" xfId="0" applyNumberFormat="1" applyFont="1" applyFill="1" applyBorder="1" applyAlignment="1">
      <alignment horizontal="justify" vertical="center" wrapText="1"/>
    </xf>
    <xf numFmtId="177" fontId="4" fillId="3" borderId="11" xfId="0" applyNumberFormat="1" applyFont="1" applyFill="1" applyBorder="1" applyAlignment="1">
      <alignment horizontal="right" vertical="center"/>
    </xf>
    <xf numFmtId="49" fontId="4" fillId="3" borderId="11" xfId="0" applyNumberFormat="1" applyFont="1" applyFill="1" applyBorder="1" applyAlignment="1">
      <alignment horizontal="right" vertical="center" wrapText="1"/>
    </xf>
    <xf numFmtId="0" fontId="4" fillId="3" borderId="0" xfId="0" applyFont="1" applyFill="1" applyAlignment="1">
      <alignment horizontal="center" vertical="center"/>
    </xf>
    <xf numFmtId="9" fontId="4" fillId="3" borderId="0" xfId="2" applyFont="1" applyFill="1" applyBorder="1" applyAlignment="1">
      <alignment horizontal="center" vertical="center"/>
    </xf>
    <xf numFmtId="0" fontId="4" fillId="3" borderId="0" xfId="0" applyFont="1" applyFill="1" applyAlignment="1">
      <alignment horizontal="center" vertical="center" wrapText="1"/>
    </xf>
    <xf numFmtId="0" fontId="4" fillId="3" borderId="15" xfId="0" applyFont="1" applyFill="1" applyBorder="1" applyAlignment="1">
      <alignment horizontal="center" vertical="center"/>
    </xf>
    <xf numFmtId="0" fontId="4" fillId="8" borderId="11" xfId="0" applyFont="1" applyFill="1" applyBorder="1" applyAlignment="1">
      <alignment horizontal="justify" vertical="center" wrapText="1"/>
    </xf>
    <xf numFmtId="43" fontId="3" fillId="8" borderId="11" xfId="17" applyFont="1" applyFill="1" applyBorder="1" applyAlignment="1">
      <alignment horizontal="justify" vertical="center"/>
    </xf>
    <xf numFmtId="9" fontId="3" fillId="8" borderId="11" xfId="2" applyFont="1" applyFill="1" applyBorder="1" applyAlignment="1">
      <alignment horizontal="justify" vertical="center" wrapText="1"/>
    </xf>
    <xf numFmtId="43" fontId="3" fillId="8" borderId="11" xfId="17" applyFont="1" applyFill="1" applyBorder="1" applyAlignment="1">
      <alignment horizontal="center" vertical="center"/>
    </xf>
    <xf numFmtId="43" fontId="3" fillId="8" borderId="11" xfId="17" applyFont="1" applyFill="1" applyBorder="1" applyAlignment="1">
      <alignment horizontal="center" vertical="center" wrapText="1"/>
    </xf>
    <xf numFmtId="43" fontId="3" fillId="8" borderId="11" xfId="17" applyFont="1" applyFill="1" applyBorder="1" applyAlignment="1">
      <alignment horizontal="justify" vertical="center" wrapText="1"/>
    </xf>
    <xf numFmtId="177" fontId="3" fillId="8" borderId="11" xfId="0" applyNumberFormat="1" applyFont="1" applyFill="1" applyBorder="1" applyAlignment="1">
      <alignment horizontal="justify" vertical="center" wrapText="1"/>
    </xf>
    <xf numFmtId="177" fontId="3" fillId="8" borderId="11" xfId="0" applyNumberFormat="1" applyFont="1" applyFill="1" applyBorder="1" applyAlignment="1">
      <alignment horizontal="right" vertical="center" wrapText="1"/>
    </xf>
    <xf numFmtId="49" fontId="3" fillId="8" borderId="11" xfId="17" applyNumberFormat="1" applyFont="1" applyFill="1" applyBorder="1" applyAlignment="1">
      <alignment horizontal="right" vertical="center" wrapText="1"/>
    </xf>
    <xf numFmtId="43" fontId="4" fillId="8" borderId="6" xfId="17" applyFont="1" applyFill="1" applyBorder="1" applyAlignment="1">
      <alignment horizontal="center" vertical="center"/>
    </xf>
    <xf numFmtId="43" fontId="3" fillId="8" borderId="9" xfId="17" applyFont="1" applyFill="1" applyBorder="1" applyAlignment="1">
      <alignment horizontal="center" vertical="center"/>
    </xf>
    <xf numFmtId="43" fontId="3" fillId="8" borderId="12" xfId="17" applyFont="1" applyFill="1" applyBorder="1" applyAlignment="1">
      <alignment horizontal="center" vertical="center"/>
    </xf>
    <xf numFmtId="166" fontId="4" fillId="0" borderId="11" xfId="18" applyNumberFormat="1" applyFont="1" applyFill="1" applyBorder="1" applyAlignment="1">
      <alignment horizontal="right" vertical="center"/>
    </xf>
    <xf numFmtId="166" fontId="2" fillId="0" borderId="1" xfId="0" applyNumberFormat="1" applyFont="1" applyFill="1" applyBorder="1" applyAlignment="1">
      <alignment horizontal="right" vertical="center"/>
    </xf>
    <xf numFmtId="49" fontId="2" fillId="0" borderId="1" xfId="17" applyNumberFormat="1" applyFont="1" applyFill="1" applyBorder="1" applyAlignment="1">
      <alignment horizontal="center" vertical="center" wrapText="1"/>
    </xf>
    <xf numFmtId="0" fontId="43" fillId="0" borderId="30" xfId="0" applyFont="1" applyFill="1" applyBorder="1" applyAlignment="1">
      <alignment vertical="center" wrapText="1"/>
    </xf>
    <xf numFmtId="0" fontId="43" fillId="0" borderId="21" xfId="0" applyFont="1" applyFill="1" applyBorder="1" applyAlignment="1">
      <alignment vertical="center" wrapText="1"/>
    </xf>
    <xf numFmtId="166" fontId="4" fillId="0" borderId="25" xfId="18" applyNumberFormat="1" applyFont="1" applyFill="1" applyBorder="1" applyAlignment="1">
      <alignment horizontal="right" vertical="center"/>
    </xf>
    <xf numFmtId="175" fontId="4" fillId="0" borderId="30" xfId="18" applyNumberFormat="1" applyFont="1" applyFill="1" applyBorder="1" applyAlignment="1">
      <alignment vertical="center" wrapText="1"/>
    </xf>
    <xf numFmtId="166" fontId="4" fillId="0" borderId="20" xfId="18" applyNumberFormat="1" applyFont="1" applyFill="1" applyBorder="1" applyAlignment="1">
      <alignment horizontal="right" vertical="center"/>
    </xf>
    <xf numFmtId="175" fontId="4" fillId="0" borderId="29" xfId="18" applyNumberFormat="1" applyFont="1" applyFill="1" applyBorder="1" applyAlignment="1">
      <alignment vertical="center" wrapText="1"/>
    </xf>
    <xf numFmtId="166" fontId="2" fillId="0" borderId="25" xfId="0" applyNumberFormat="1" applyFont="1" applyFill="1" applyBorder="1" applyAlignment="1">
      <alignment horizontal="right" vertical="center"/>
    </xf>
    <xf numFmtId="0" fontId="4" fillId="0" borderId="11" xfId="0" applyFont="1" applyFill="1" applyBorder="1" applyAlignment="1">
      <alignment horizontal="center" vertical="center" wrapText="1"/>
    </xf>
    <xf numFmtId="9" fontId="4" fillId="0" borderId="1" xfId="2" applyFont="1" applyBorder="1" applyAlignment="1">
      <alignment horizontal="center" vertical="center" wrapText="1"/>
    </xf>
    <xf numFmtId="166" fontId="4" fillId="0" borderId="22" xfId="18" applyNumberFormat="1" applyFont="1" applyFill="1" applyBorder="1" applyAlignment="1">
      <alignment horizontal="right" vertical="center"/>
    </xf>
    <xf numFmtId="166" fontId="4" fillId="0" borderId="25" xfId="0" applyNumberFormat="1" applyFont="1" applyFill="1" applyBorder="1" applyAlignment="1">
      <alignment horizontal="right" vertical="center" wrapText="1"/>
    </xf>
    <xf numFmtId="166" fontId="4" fillId="0" borderId="20" xfId="0" applyNumberFormat="1" applyFont="1" applyFill="1" applyBorder="1" applyAlignment="1">
      <alignment horizontal="right" vertical="center" wrapText="1"/>
    </xf>
    <xf numFmtId="0" fontId="43" fillId="0" borderId="29" xfId="0" applyFont="1" applyFill="1" applyBorder="1" applyAlignment="1">
      <alignment vertical="center" wrapText="1"/>
    </xf>
    <xf numFmtId="166" fontId="4" fillId="0" borderId="1" xfId="0" applyNumberFormat="1" applyFont="1" applyFill="1" applyBorder="1" applyAlignment="1">
      <alignment horizontal="right" vertical="center"/>
    </xf>
    <xf numFmtId="166" fontId="4" fillId="0" borderId="25" xfId="17" applyNumberFormat="1" applyFont="1" applyFill="1" applyBorder="1" applyAlignment="1">
      <alignment horizontal="right" vertical="center"/>
    </xf>
    <xf numFmtId="166" fontId="2" fillId="0" borderId="1" xfId="0" applyNumberFormat="1" applyFont="1" applyFill="1" applyBorder="1" applyAlignment="1">
      <alignment horizontal="center" vertical="center"/>
    </xf>
    <xf numFmtId="43" fontId="2" fillId="0" borderId="30" xfId="17" applyFont="1" applyFill="1" applyBorder="1" applyAlignment="1">
      <alignment vertical="center" wrapText="1"/>
    </xf>
    <xf numFmtId="0" fontId="4" fillId="0" borderId="30" xfId="0" applyFont="1" applyFill="1" applyBorder="1" applyAlignment="1">
      <alignment horizontal="justify" vertical="center" wrapText="1"/>
    </xf>
    <xf numFmtId="166" fontId="4" fillId="0" borderId="20" xfId="17" applyNumberFormat="1" applyFont="1" applyFill="1" applyBorder="1" applyAlignment="1">
      <alignment horizontal="right" vertical="center"/>
    </xf>
    <xf numFmtId="166" fontId="2" fillId="0" borderId="13" xfId="0" applyNumberFormat="1" applyFont="1" applyFill="1" applyBorder="1" applyAlignment="1">
      <alignment horizontal="right" vertical="center"/>
    </xf>
    <xf numFmtId="0" fontId="4" fillId="0" borderId="32" xfId="0" applyFont="1" applyFill="1" applyBorder="1" applyAlignment="1">
      <alignment horizontal="justify" vertical="center" wrapText="1"/>
    </xf>
    <xf numFmtId="166" fontId="4" fillId="0" borderId="1" xfId="17" applyNumberFormat="1" applyFont="1" applyFill="1" applyBorder="1" applyAlignment="1">
      <alignment horizontal="right" vertical="center"/>
    </xf>
    <xf numFmtId="166" fontId="4" fillId="0" borderId="22" xfId="17" applyNumberFormat="1" applyFont="1" applyFill="1" applyBorder="1" applyAlignment="1">
      <alignment horizontal="right" vertical="center"/>
    </xf>
    <xf numFmtId="166" fontId="2" fillId="0" borderId="4" xfId="0" applyNumberFormat="1" applyFont="1" applyFill="1" applyBorder="1" applyAlignment="1">
      <alignment horizontal="right" vertical="center"/>
    </xf>
    <xf numFmtId="43" fontId="2" fillId="0" borderId="21" xfId="17" applyFont="1" applyFill="1" applyBorder="1" applyAlignment="1">
      <alignment vertical="center" wrapText="1"/>
    </xf>
    <xf numFmtId="166" fontId="4" fillId="0" borderId="10" xfId="17" applyNumberFormat="1" applyFont="1" applyFill="1" applyBorder="1" applyAlignment="1">
      <alignment horizontal="right" vertical="center"/>
    </xf>
    <xf numFmtId="166" fontId="4" fillId="0" borderId="25" xfId="17" applyNumberFormat="1" applyFont="1" applyFill="1" applyBorder="1" applyAlignment="1">
      <alignment horizontal="right" vertical="center" wrapText="1"/>
    </xf>
    <xf numFmtId="175" fontId="4" fillId="0" borderId="21" xfId="18" applyNumberFormat="1" applyFont="1" applyFill="1" applyBorder="1" applyAlignment="1">
      <alignment vertical="center" wrapText="1"/>
    </xf>
    <xf numFmtId="166" fontId="4" fillId="0" borderId="11" xfId="17" applyNumberFormat="1" applyFont="1" applyFill="1" applyBorder="1" applyAlignment="1">
      <alignment horizontal="right" vertical="center" wrapText="1"/>
    </xf>
    <xf numFmtId="166" fontId="4" fillId="0" borderId="6" xfId="17" applyNumberFormat="1" applyFont="1" applyFill="1" applyBorder="1" applyAlignment="1">
      <alignment horizontal="right" vertical="center" wrapText="1"/>
    </xf>
    <xf numFmtId="0" fontId="11" fillId="0" borderId="1" xfId="0" applyFont="1" applyFill="1" applyBorder="1" applyAlignment="1">
      <alignment horizontal="center" vertical="center"/>
    </xf>
    <xf numFmtId="0" fontId="11" fillId="2" borderId="1" xfId="0" applyFont="1" applyFill="1" applyBorder="1" applyAlignment="1">
      <alignment horizontal="center" vertical="center"/>
    </xf>
    <xf numFmtId="166" fontId="4" fillId="0" borderId="10" xfId="17" applyNumberFormat="1" applyFont="1" applyFill="1" applyBorder="1" applyAlignment="1">
      <alignment horizontal="right" vertical="center" wrapText="1"/>
    </xf>
    <xf numFmtId="166" fontId="4" fillId="0" borderId="9" xfId="17" applyNumberFormat="1" applyFont="1" applyFill="1" applyBorder="1" applyAlignment="1">
      <alignment horizontal="right" vertical="center" wrapText="1"/>
    </xf>
    <xf numFmtId="0" fontId="4" fillId="0" borderId="0" xfId="0" applyFont="1" applyFill="1" applyAlignment="1">
      <alignment horizontal="center" vertical="center" wrapText="1"/>
    </xf>
    <xf numFmtId="0" fontId="4" fillId="2" borderId="26" xfId="0" applyFont="1" applyFill="1" applyBorder="1" applyAlignment="1">
      <alignment horizontal="justify" vertical="center" wrapText="1"/>
    </xf>
    <xf numFmtId="2" fontId="11" fillId="2" borderId="1" xfId="0" applyNumberFormat="1" applyFont="1" applyFill="1" applyBorder="1" applyAlignment="1">
      <alignment horizontal="center" vertical="center"/>
    </xf>
    <xf numFmtId="9" fontId="4" fillId="2" borderId="9" xfId="2" applyFont="1" applyFill="1" applyBorder="1" applyAlignment="1">
      <alignment horizontal="center" vertical="center" wrapText="1"/>
    </xf>
    <xf numFmtId="166" fontId="4" fillId="0" borderId="10" xfId="0" applyNumberFormat="1" applyFont="1" applyFill="1" applyBorder="1" applyAlignment="1">
      <alignment horizontal="right" vertical="center"/>
    </xf>
    <xf numFmtId="9" fontId="4" fillId="2" borderId="0" xfId="2" applyFont="1" applyFill="1" applyBorder="1" applyAlignment="1">
      <alignment horizontal="center" vertical="center" wrapText="1"/>
    </xf>
    <xf numFmtId="9" fontId="4" fillId="2" borderId="11" xfId="2" applyFont="1" applyFill="1" applyBorder="1" applyAlignment="1">
      <alignment horizontal="center" vertical="center" wrapText="1"/>
    </xf>
    <xf numFmtId="0" fontId="3" fillId="13" borderId="11" xfId="0" applyFont="1" applyFill="1" applyBorder="1" applyAlignment="1">
      <alignment horizontal="center" vertical="center" wrapText="1"/>
    </xf>
    <xf numFmtId="43" fontId="3" fillId="8" borderId="9" xfId="17" applyFont="1" applyFill="1" applyBorder="1" applyAlignment="1">
      <alignment horizontal="justify" vertical="center" wrapText="1"/>
    </xf>
    <xf numFmtId="9" fontId="3" fillId="8" borderId="11" xfId="2" applyFont="1" applyFill="1" applyBorder="1" applyAlignment="1">
      <alignment horizontal="center" vertical="center" wrapText="1"/>
    </xf>
    <xf numFmtId="166" fontId="3" fillId="8" borderId="11" xfId="0" applyNumberFormat="1" applyFont="1" applyFill="1" applyBorder="1" applyAlignment="1">
      <alignment horizontal="right" vertical="center" wrapText="1"/>
    </xf>
    <xf numFmtId="166" fontId="3" fillId="8" borderId="11" xfId="1" applyNumberFormat="1" applyFont="1" applyFill="1" applyBorder="1" applyAlignment="1">
      <alignment horizontal="right" vertical="center" wrapText="1"/>
    </xf>
    <xf numFmtId="49" fontId="3" fillId="8" borderId="1" xfId="17" applyNumberFormat="1" applyFont="1" applyFill="1" applyBorder="1" applyAlignment="1">
      <alignment horizontal="center" vertical="center" wrapText="1"/>
    </xf>
    <xf numFmtId="43" fontId="4" fillId="8" borderId="6" xfId="17" applyFont="1" applyFill="1" applyBorder="1" applyAlignment="1">
      <alignment vertical="center" wrapText="1"/>
    </xf>
    <xf numFmtId="0" fontId="4" fillId="8" borderId="11" xfId="0" applyFont="1" applyFill="1" applyBorder="1" applyAlignment="1">
      <alignment horizontal="justify" vertical="center"/>
    </xf>
    <xf numFmtId="9" fontId="4" fillId="8" borderId="11" xfId="2" applyFont="1" applyFill="1" applyBorder="1" applyAlignment="1">
      <alignment horizontal="justify" vertical="center"/>
    </xf>
    <xf numFmtId="0" fontId="4" fillId="8" borderId="12" xfId="0" applyFont="1" applyFill="1" applyBorder="1" applyAlignment="1">
      <alignment horizontal="justify" vertical="center"/>
    </xf>
    <xf numFmtId="0" fontId="4" fillId="0" borderId="38" xfId="0" applyFont="1" applyFill="1" applyBorder="1" applyAlignment="1">
      <alignment horizontal="justify" vertical="center" wrapText="1"/>
    </xf>
    <xf numFmtId="49" fontId="2" fillId="0" borderId="1" xfId="0" applyNumberFormat="1" applyFont="1" applyFill="1" applyBorder="1" applyAlignment="1">
      <alignment horizontal="center" vertical="center" wrapText="1"/>
    </xf>
    <xf numFmtId="9" fontId="4" fillId="2" borderId="8" xfId="2" applyFont="1" applyFill="1" applyBorder="1" applyAlignment="1">
      <alignment horizontal="center" vertical="center" wrapText="1"/>
    </xf>
    <xf numFmtId="0" fontId="4" fillId="0" borderId="8" xfId="0" applyFont="1" applyFill="1" applyBorder="1" applyAlignment="1">
      <alignment horizontal="justify" vertical="center" wrapText="1"/>
    </xf>
    <xf numFmtId="175" fontId="4" fillId="0" borderId="1" xfId="18" applyNumberFormat="1" applyFont="1" applyFill="1" applyBorder="1" applyAlignment="1">
      <alignment vertical="center" wrapText="1"/>
    </xf>
    <xf numFmtId="166" fontId="2" fillId="0" borderId="18" xfId="0" applyNumberFormat="1" applyFont="1" applyFill="1" applyBorder="1" applyAlignment="1">
      <alignment horizontal="right" vertical="center"/>
    </xf>
    <xf numFmtId="0" fontId="2" fillId="0" borderId="21" xfId="0" applyFont="1" applyFill="1" applyBorder="1" applyAlignment="1">
      <alignment vertical="center" wrapText="1"/>
    </xf>
    <xf numFmtId="49" fontId="2" fillId="0" borderId="30" xfId="0" applyNumberFormat="1" applyFont="1" applyFill="1" applyBorder="1" applyAlignment="1">
      <alignment vertical="center" wrapText="1"/>
    </xf>
    <xf numFmtId="0" fontId="4" fillId="0" borderId="11" xfId="0" applyFont="1" applyFill="1" applyBorder="1" applyAlignment="1">
      <alignment horizontal="justify" vertical="center" wrapText="1"/>
    </xf>
    <xf numFmtId="166" fontId="4" fillId="0" borderId="22" xfId="0" applyNumberFormat="1" applyFont="1" applyFill="1" applyBorder="1" applyAlignment="1">
      <alignment horizontal="right" vertical="center" wrapText="1"/>
    </xf>
    <xf numFmtId="0" fontId="4" fillId="0" borderId="6" xfId="0" applyFont="1" applyFill="1" applyBorder="1" applyAlignment="1">
      <alignment horizontal="justify" vertical="center" wrapText="1"/>
    </xf>
    <xf numFmtId="166" fontId="2" fillId="0" borderId="60" xfId="0" applyNumberFormat="1" applyFont="1" applyFill="1" applyBorder="1" applyAlignment="1">
      <alignment horizontal="right" vertical="center"/>
    </xf>
    <xf numFmtId="0" fontId="2" fillId="0" borderId="30" xfId="0" applyFont="1" applyFill="1" applyBorder="1" applyAlignment="1">
      <alignment vertical="center" wrapText="1"/>
    </xf>
    <xf numFmtId="166" fontId="2" fillId="0" borderId="32" xfId="0" applyNumberFormat="1" applyFont="1" applyFill="1" applyBorder="1" applyAlignment="1">
      <alignment horizontal="right" vertical="center"/>
    </xf>
    <xf numFmtId="166" fontId="4" fillId="0" borderId="8" xfId="0" applyNumberFormat="1" applyFont="1" applyFill="1" applyBorder="1" applyAlignment="1">
      <alignment horizontal="right" vertical="center" wrapText="1"/>
    </xf>
    <xf numFmtId="166" fontId="4" fillId="0" borderId="5" xfId="0" applyNumberFormat="1" applyFont="1" applyFill="1" applyBorder="1" applyAlignment="1">
      <alignment horizontal="right" vertical="center" wrapText="1"/>
    </xf>
    <xf numFmtId="166" fontId="4" fillId="0" borderId="8" xfId="18" applyNumberFormat="1" applyFont="1" applyFill="1" applyBorder="1" applyAlignment="1">
      <alignment horizontal="right" vertical="center"/>
    </xf>
    <xf numFmtId="49" fontId="4" fillId="0" borderId="15" xfId="18" applyNumberFormat="1" applyFont="1" applyFill="1" applyBorder="1" applyAlignment="1">
      <alignment vertical="center" wrapText="1"/>
    </xf>
    <xf numFmtId="49" fontId="4" fillId="0" borderId="12" xfId="18" applyNumberFormat="1" applyFont="1" applyFill="1" applyBorder="1" applyAlignment="1">
      <alignment vertical="center" wrapText="1"/>
    </xf>
    <xf numFmtId="166" fontId="4" fillId="0" borderId="10" xfId="18" applyNumberFormat="1" applyFont="1" applyFill="1" applyBorder="1" applyAlignment="1">
      <alignment horizontal="right" vertical="center"/>
    </xf>
    <xf numFmtId="49" fontId="4" fillId="0" borderId="1" xfId="0" applyNumberFormat="1" applyFont="1" applyFill="1" applyBorder="1" applyAlignment="1">
      <alignment horizontal="center" vertical="center" wrapText="1"/>
    </xf>
    <xf numFmtId="49" fontId="4" fillId="0" borderId="7" xfId="18" applyNumberFormat="1" applyFont="1" applyFill="1" applyBorder="1" applyAlignment="1">
      <alignment vertical="center" wrapText="1"/>
    </xf>
    <xf numFmtId="9" fontId="4" fillId="2" borderId="61" xfId="2" applyFont="1" applyFill="1" applyBorder="1" applyAlignment="1">
      <alignment horizontal="center" vertical="center" wrapText="1"/>
    </xf>
    <xf numFmtId="49" fontId="4" fillId="0" borderId="30" xfId="18" applyNumberFormat="1" applyFont="1" applyFill="1" applyBorder="1" applyAlignment="1">
      <alignment vertical="center" wrapText="1"/>
    </xf>
    <xf numFmtId="166" fontId="4" fillId="0" borderId="5" xfId="17" applyNumberFormat="1" applyFont="1" applyFill="1" applyBorder="1" applyAlignment="1">
      <alignment horizontal="right" vertical="center" wrapText="1"/>
    </xf>
    <xf numFmtId="175" fontId="4" fillId="0" borderId="3" xfId="18" applyNumberFormat="1" applyFont="1" applyFill="1" applyBorder="1" applyAlignment="1">
      <alignment vertical="center" wrapText="1"/>
    </xf>
    <xf numFmtId="175" fontId="4" fillId="0" borderId="24" xfId="18" applyNumberFormat="1" applyFont="1" applyFill="1" applyBorder="1" applyAlignment="1">
      <alignment vertical="center" wrapText="1"/>
    </xf>
    <xf numFmtId="0" fontId="4" fillId="2" borderId="32" xfId="0" applyFont="1" applyFill="1" applyBorder="1" applyAlignment="1">
      <alignment horizontal="center" vertical="center" wrapText="1"/>
    </xf>
    <xf numFmtId="2" fontId="4" fillId="0" borderId="17" xfId="0" applyNumberFormat="1" applyFont="1" applyFill="1" applyBorder="1" applyAlignment="1">
      <alignment horizontal="center" vertical="center" wrapText="1"/>
    </xf>
    <xf numFmtId="166" fontId="4" fillId="0" borderId="8" xfId="17" applyNumberFormat="1" applyFont="1" applyFill="1" applyBorder="1" applyAlignment="1">
      <alignment horizontal="right" vertical="center" wrapText="1"/>
    </xf>
    <xf numFmtId="0" fontId="26" fillId="0" borderId="30" xfId="0" applyFont="1" applyFill="1" applyBorder="1" applyAlignment="1">
      <alignment vertical="center" wrapText="1"/>
    </xf>
    <xf numFmtId="0" fontId="4" fillId="0" borderId="12" xfId="0" applyFont="1" applyFill="1" applyBorder="1" applyAlignment="1">
      <alignment horizontal="justify" vertical="center" wrapText="1"/>
    </xf>
    <xf numFmtId="0" fontId="26" fillId="0" borderId="21" xfId="0" applyFont="1" applyFill="1" applyBorder="1" applyAlignment="1">
      <alignment vertical="center" wrapText="1"/>
    </xf>
    <xf numFmtId="166" fontId="4" fillId="0" borderId="5" xfId="18" applyNumberFormat="1" applyFont="1" applyFill="1" applyBorder="1" applyAlignment="1">
      <alignment horizontal="right" vertical="center"/>
    </xf>
    <xf numFmtId="166" fontId="4" fillId="0" borderId="32" xfId="18" applyNumberFormat="1" applyFont="1" applyFill="1" applyBorder="1" applyAlignment="1">
      <alignment horizontal="right" vertical="center"/>
    </xf>
    <xf numFmtId="166" fontId="4" fillId="0" borderId="2" xfId="18" applyNumberFormat="1" applyFont="1" applyFill="1" applyBorder="1" applyAlignment="1">
      <alignment horizontal="right" vertical="center"/>
    </xf>
    <xf numFmtId="166" fontId="4" fillId="0" borderId="11" xfId="17" applyNumberFormat="1" applyFont="1" applyFill="1" applyBorder="1" applyAlignment="1">
      <alignment horizontal="right" vertical="center"/>
    </xf>
    <xf numFmtId="0" fontId="4" fillId="0" borderId="26" xfId="0" applyFont="1" applyFill="1" applyBorder="1" applyAlignment="1">
      <alignment horizontal="justify" vertical="center" wrapText="1"/>
    </xf>
    <xf numFmtId="49" fontId="4" fillId="0" borderId="21" xfId="18" applyNumberFormat="1" applyFont="1" applyFill="1" applyBorder="1" applyAlignment="1">
      <alignment vertical="center" wrapText="1"/>
    </xf>
    <xf numFmtId="166" fontId="4" fillId="0" borderId="1" xfId="17" applyNumberFormat="1" applyFont="1" applyFill="1" applyBorder="1" applyAlignment="1">
      <alignment horizontal="right" vertical="center" wrapText="1"/>
    </xf>
    <xf numFmtId="0" fontId="3" fillId="13" borderId="6" xfId="0" applyFont="1" applyFill="1" applyBorder="1" applyAlignment="1">
      <alignment horizontal="center" vertical="center" wrapText="1"/>
    </xf>
    <xf numFmtId="43" fontId="3" fillId="8" borderId="6" xfId="17" applyFont="1" applyFill="1" applyBorder="1" applyAlignment="1">
      <alignment horizontal="justify" vertical="center" wrapText="1"/>
    </xf>
    <xf numFmtId="9" fontId="3" fillId="8" borderId="6" xfId="2" applyFont="1" applyFill="1" applyBorder="1" applyAlignment="1">
      <alignment horizontal="center" vertical="center" wrapText="1"/>
    </xf>
    <xf numFmtId="0" fontId="4" fillId="8" borderId="6" xfId="0" applyFont="1" applyFill="1" applyBorder="1" applyAlignment="1">
      <alignment horizontal="justify" vertical="center" wrapText="1"/>
    </xf>
    <xf numFmtId="166" fontId="3" fillId="8" borderId="6" xfId="0" applyNumberFormat="1" applyFont="1" applyFill="1" applyBorder="1" applyAlignment="1">
      <alignment horizontal="right" vertical="center" wrapText="1"/>
    </xf>
    <xf numFmtId="166" fontId="3" fillId="8" borderId="6" xfId="1" applyNumberFormat="1" applyFont="1" applyFill="1" applyBorder="1" applyAlignment="1">
      <alignment horizontal="right" vertical="center" wrapText="1"/>
    </xf>
    <xf numFmtId="177" fontId="3" fillId="8" borderId="6" xfId="0" applyNumberFormat="1" applyFont="1" applyFill="1" applyBorder="1" applyAlignment="1">
      <alignment horizontal="center" vertical="center" wrapText="1"/>
    </xf>
    <xf numFmtId="43" fontId="4" fillId="8" borderId="0" xfId="17" applyFont="1" applyFill="1" applyBorder="1" applyAlignment="1">
      <alignment vertical="center" wrapText="1"/>
    </xf>
    <xf numFmtId="0" fontId="4" fillId="8" borderId="6" xfId="0" applyFont="1" applyFill="1" applyBorder="1" applyAlignment="1">
      <alignment horizontal="justify" vertical="center"/>
    </xf>
    <xf numFmtId="9" fontId="4" fillId="8" borderId="6" xfId="2" applyFont="1" applyFill="1" applyBorder="1" applyAlignment="1">
      <alignment horizontal="justify" vertical="center"/>
    </xf>
    <xf numFmtId="0" fontId="4" fillId="8" borderId="7" xfId="0" applyFont="1" applyFill="1" applyBorder="1" applyAlignment="1">
      <alignment horizontal="justify" vertical="center"/>
    </xf>
    <xf numFmtId="166" fontId="2" fillId="0" borderId="10" xfId="17" applyNumberFormat="1" applyFont="1" applyFill="1" applyBorder="1" applyAlignment="1">
      <alignment horizontal="right" vertical="center"/>
    </xf>
    <xf numFmtId="0" fontId="2" fillId="0" borderId="12" xfId="0" applyFont="1" applyFill="1" applyBorder="1" applyAlignment="1">
      <alignment vertical="center" wrapText="1"/>
    </xf>
    <xf numFmtId="175" fontId="4" fillId="0" borderId="12" xfId="18" applyNumberFormat="1" applyFont="1" applyFill="1" applyBorder="1" applyAlignment="1">
      <alignment vertical="center" wrapText="1"/>
    </xf>
    <xf numFmtId="166" fontId="4" fillId="0" borderId="5" xfId="17" applyNumberFormat="1" applyFont="1" applyFill="1" applyBorder="1" applyAlignment="1">
      <alignment horizontal="right" vertical="center"/>
    </xf>
    <xf numFmtId="175" fontId="4" fillId="0" borderId="7" xfId="18" applyNumberFormat="1" applyFont="1" applyFill="1" applyBorder="1" applyAlignment="1">
      <alignment vertical="center" wrapText="1"/>
    </xf>
    <xf numFmtId="0" fontId="4" fillId="0" borderId="30" xfId="0" applyFont="1" applyFill="1" applyBorder="1" applyAlignment="1">
      <alignment vertical="center" wrapText="1"/>
    </xf>
    <xf numFmtId="166" fontId="4" fillId="0" borderId="32" xfId="17" applyNumberFormat="1" applyFont="1" applyFill="1" applyBorder="1" applyAlignment="1">
      <alignment horizontal="right" vertical="center"/>
    </xf>
    <xf numFmtId="166" fontId="2" fillId="0" borderId="9" xfId="0" applyNumberFormat="1" applyFont="1" applyFill="1" applyBorder="1" applyAlignment="1">
      <alignment horizontal="right" vertical="center"/>
    </xf>
    <xf numFmtId="0" fontId="2" fillId="0" borderId="15" xfId="0" applyFont="1" applyFill="1" applyBorder="1" applyAlignment="1">
      <alignment vertical="center" wrapText="1"/>
    </xf>
    <xf numFmtId="166" fontId="2" fillId="0" borderId="2" xfId="0" applyNumberFormat="1" applyFont="1" applyFill="1" applyBorder="1" applyAlignment="1">
      <alignment horizontal="right" vertical="center"/>
    </xf>
    <xf numFmtId="43" fontId="13" fillId="2" borderId="1" xfId="17"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166" fontId="13" fillId="2" borderId="8" xfId="17" applyNumberFormat="1" applyFont="1" applyFill="1" applyBorder="1" applyAlignment="1">
      <alignment horizontal="right" vertical="center"/>
    </xf>
    <xf numFmtId="166" fontId="13" fillId="2" borderId="1" xfId="0" applyNumberFormat="1" applyFont="1" applyFill="1" applyBorder="1" applyAlignment="1">
      <alignment horizontal="right" vertical="center"/>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justify" vertical="center" wrapText="1"/>
    </xf>
    <xf numFmtId="174" fontId="13" fillId="0" borderId="1" xfId="0" applyNumberFormat="1" applyFont="1" applyBorder="1" applyAlignment="1">
      <alignment vertical="center"/>
    </xf>
    <xf numFmtId="0" fontId="2" fillId="0" borderId="1" xfId="0" applyFont="1" applyBorder="1" applyAlignment="1">
      <alignment wrapText="1"/>
    </xf>
    <xf numFmtId="0" fontId="11" fillId="2" borderId="0" xfId="0" applyFont="1" applyFill="1" applyAlignment="1">
      <alignment vertical="center"/>
    </xf>
    <xf numFmtId="177" fontId="2" fillId="2" borderId="0" xfId="0" applyNumberFormat="1" applyFont="1" applyFill="1" applyAlignment="1">
      <alignment horizontal="right" vertical="center"/>
    </xf>
    <xf numFmtId="171" fontId="2" fillId="2" borderId="0" xfId="0" applyNumberFormat="1" applyFont="1" applyFill="1" applyAlignment="1">
      <alignment horizontal="right" vertical="center"/>
    </xf>
    <xf numFmtId="9" fontId="11" fillId="0" borderId="0" xfId="2" applyFont="1"/>
    <xf numFmtId="0" fontId="11" fillId="0" borderId="0" xfId="0" applyFont="1" applyAlignment="1">
      <alignment wrapText="1"/>
    </xf>
    <xf numFmtId="171" fontId="11" fillId="2" borderId="0" xfId="0" applyNumberFormat="1" applyFont="1" applyFill="1" applyAlignment="1">
      <alignment horizontal="right" vertical="center"/>
    </xf>
    <xf numFmtId="166" fontId="11" fillId="0" borderId="0" xfId="1" applyFont="1"/>
    <xf numFmtId="174" fontId="11" fillId="2" borderId="0" xfId="0" applyNumberFormat="1" applyFont="1" applyFill="1" applyAlignment="1">
      <alignment horizontal="right" vertical="center"/>
    </xf>
    <xf numFmtId="166" fontId="11" fillId="0" borderId="0" xfId="0" applyNumberFormat="1" applyFont="1"/>
    <xf numFmtId="1" fontId="2" fillId="2" borderId="2" xfId="0" applyNumberFormat="1" applyFont="1" applyFill="1" applyBorder="1" applyAlignment="1">
      <alignment horizontal="center" vertical="center" wrapText="1"/>
    </xf>
    <xf numFmtId="0" fontId="13" fillId="2" borderId="0" xfId="0" applyFont="1" applyFill="1" applyAlignment="1">
      <alignment horizontal="center"/>
    </xf>
    <xf numFmtId="0" fontId="2" fillId="2" borderId="17" xfId="0" applyFont="1" applyFill="1" applyBorder="1" applyAlignment="1">
      <alignment horizontal="center" vertical="center" wrapText="1"/>
    </xf>
    <xf numFmtId="0" fontId="4"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171" fontId="13" fillId="6" borderId="1" xfId="0" applyNumberFormat="1" applyFont="1" applyFill="1" applyBorder="1" applyAlignment="1">
      <alignment horizontal="center" vertical="center" wrapText="1"/>
    </xf>
    <xf numFmtId="0" fontId="25" fillId="0" borderId="52" xfId="0" applyFont="1" applyBorder="1" applyAlignment="1">
      <alignment horizontal="center" vertical="center" wrapText="1"/>
    </xf>
    <xf numFmtId="0" fontId="25" fillId="0" borderId="9"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2" fillId="2" borderId="3" xfId="0" applyFont="1" applyFill="1" applyBorder="1" applyAlignment="1">
      <alignment horizontal="center" vertical="center" wrapText="1"/>
    </xf>
    <xf numFmtId="0" fontId="4" fillId="2" borderId="17"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3" fillId="0" borderId="8" xfId="0" applyFont="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justify" vertical="center" wrapText="1"/>
    </xf>
    <xf numFmtId="0" fontId="4" fillId="0" borderId="1" xfId="0" applyFont="1" applyBorder="1" applyAlignment="1">
      <alignment horizontal="center" vertical="center"/>
    </xf>
    <xf numFmtId="0" fontId="4" fillId="2" borderId="17" xfId="0" applyFont="1" applyFill="1" applyBorder="1" applyAlignment="1">
      <alignment horizontal="center" vertical="center" wrapText="1"/>
    </xf>
    <xf numFmtId="0" fontId="25" fillId="0" borderId="0" xfId="0" applyFont="1" applyBorder="1" applyAlignment="1">
      <alignment horizontal="center" vertical="center" wrapText="1"/>
    </xf>
    <xf numFmtId="0" fontId="2" fillId="2" borderId="0" xfId="0" applyFont="1" applyFill="1" applyBorder="1" applyAlignment="1">
      <alignment horizontal="center" vertical="center" wrapText="1"/>
    </xf>
    <xf numFmtId="0" fontId="4" fillId="0" borderId="10" xfId="0" applyFont="1" applyFill="1" applyBorder="1" applyAlignment="1">
      <alignment horizontal="justify" vertical="center" wrapText="1"/>
    </xf>
    <xf numFmtId="9" fontId="2" fillId="0" borderId="26" xfId="2"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4" xfId="0" applyFont="1" applyFill="1" applyBorder="1" applyAlignment="1">
      <alignment horizontal="justify" vertical="center" wrapText="1"/>
    </xf>
    <xf numFmtId="0" fontId="13" fillId="0" borderId="0" xfId="0" applyFont="1" applyAlignment="1">
      <alignment horizontal="center" vertical="center"/>
    </xf>
    <xf numFmtId="9" fontId="2" fillId="2" borderId="23" xfId="2" applyFont="1" applyFill="1" applyBorder="1" applyAlignment="1">
      <alignment horizontal="center" vertical="center"/>
    </xf>
    <xf numFmtId="9" fontId="2" fillId="2" borderId="17" xfId="2" applyFont="1" applyFill="1" applyBorder="1" applyAlignment="1">
      <alignment horizontal="center" vertical="center"/>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14" fontId="2" fillId="2" borderId="17" xfId="0" applyNumberFormat="1" applyFont="1" applyFill="1" applyBorder="1" applyAlignment="1">
      <alignment horizontal="center" vertical="center"/>
    </xf>
    <xf numFmtId="1" fontId="2" fillId="2" borderId="17"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0" xfId="0" applyFont="1" applyAlignment="1">
      <alignment horizontal="center"/>
    </xf>
    <xf numFmtId="0" fontId="4" fillId="0" borderId="1" xfId="0" applyFont="1" applyFill="1" applyBorder="1" applyAlignment="1">
      <alignment horizontal="justify" vertical="center" wrapText="1"/>
    </xf>
    <xf numFmtId="9" fontId="2" fillId="0" borderId="1" xfId="2" applyFont="1" applyFill="1" applyBorder="1" applyAlignment="1">
      <alignment horizontal="center" vertical="center"/>
    </xf>
    <xf numFmtId="0" fontId="2" fillId="0" borderId="13"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 fillId="0" borderId="1" xfId="0" applyFont="1" applyFill="1" applyBorder="1" applyAlignment="1">
      <alignment horizontal="justify" vertical="center" wrapText="1"/>
    </xf>
    <xf numFmtId="49" fontId="2" fillId="2" borderId="4" xfId="0" applyNumberFormat="1" applyFont="1" applyFill="1" applyBorder="1" applyAlignment="1">
      <alignment horizontal="center" vertical="center"/>
    </xf>
    <xf numFmtId="0" fontId="13"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5" xfId="0" applyFont="1" applyBorder="1" applyAlignment="1">
      <alignment horizontal="center" vertical="center" wrapText="1"/>
    </xf>
    <xf numFmtId="0" fontId="3" fillId="0" borderId="58" xfId="0" applyFont="1" applyBorder="1" applyAlignment="1">
      <alignment horizontal="center" vertical="center"/>
    </xf>
    <xf numFmtId="0" fontId="3" fillId="0" borderId="6" xfId="0" applyFont="1" applyBorder="1" applyAlignment="1">
      <alignment horizontal="center" vertical="center"/>
    </xf>
    <xf numFmtId="0" fontId="3" fillId="0" borderId="5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 fontId="13" fillId="6" borderId="7" xfId="0" applyNumberFormat="1" applyFont="1" applyFill="1" applyBorder="1" applyAlignment="1">
      <alignment horizontal="center" vertical="center" wrapText="1"/>
    </xf>
    <xf numFmtId="1" fontId="13" fillId="6" borderId="3"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172" fontId="13" fillId="6" borderId="5" xfId="0" applyNumberFormat="1" applyFont="1" applyFill="1" applyBorder="1" applyAlignment="1">
      <alignment horizontal="center" vertical="center" wrapText="1"/>
    </xf>
    <xf numFmtId="172" fontId="13" fillId="6" borderId="7" xfId="0" applyNumberFormat="1" applyFont="1" applyFill="1" applyBorder="1" applyAlignment="1">
      <alignment horizontal="center" vertical="center" wrapText="1"/>
    </xf>
    <xf numFmtId="172" fontId="13" fillId="6" borderId="8" xfId="0" applyNumberFormat="1" applyFont="1" applyFill="1" applyBorder="1" applyAlignment="1">
      <alignment horizontal="center" vertical="center" wrapText="1"/>
    </xf>
    <xf numFmtId="172" fontId="13" fillId="6" borderId="15" xfId="0" applyNumberFormat="1" applyFont="1" applyFill="1" applyBorder="1" applyAlignment="1">
      <alignment horizontal="center" vertical="center" wrapText="1"/>
    </xf>
    <xf numFmtId="3" fontId="13" fillId="6" borderId="1" xfId="0" applyNumberFormat="1" applyFont="1" applyFill="1" applyBorder="1" applyAlignment="1">
      <alignment horizontal="center" vertical="center" wrapText="1"/>
    </xf>
    <xf numFmtId="171" fontId="13" fillId="6" borderId="13" xfId="0" applyNumberFormat="1" applyFont="1" applyFill="1" applyBorder="1" applyAlignment="1">
      <alignment horizontal="center" vertical="center" wrapText="1"/>
    </xf>
    <xf numFmtId="171" fontId="13" fillId="6" borderId="4" xfId="0" applyNumberFormat="1" applyFont="1" applyFill="1" applyBorder="1" applyAlignment="1">
      <alignment horizontal="center" vertical="center" wrapText="1"/>
    </xf>
    <xf numFmtId="1" fontId="13" fillId="6" borderId="13" xfId="0" applyNumberFormat="1" applyFont="1" applyFill="1" applyBorder="1" applyAlignment="1">
      <alignment horizontal="center" vertical="center" wrapText="1"/>
    </xf>
    <xf numFmtId="1" fontId="13" fillId="6" borderId="14" xfId="0" applyNumberFormat="1" applyFont="1" applyFill="1" applyBorder="1" applyAlignment="1">
      <alignment horizontal="center" vertical="center" wrapText="1"/>
    </xf>
    <xf numFmtId="1" fontId="13" fillId="6" borderId="4" xfId="0" applyNumberFormat="1" applyFont="1" applyFill="1" applyBorder="1" applyAlignment="1">
      <alignment horizontal="center" vertical="center" wrapText="1"/>
    </xf>
    <xf numFmtId="3" fontId="3" fillId="7" borderId="10" xfId="0" applyNumberFormat="1" applyFont="1" applyFill="1" applyBorder="1" applyAlignment="1">
      <alignment horizontal="center" vertical="center" wrapText="1"/>
    </xf>
    <xf numFmtId="3" fontId="3" fillId="7" borderId="11" xfId="0" applyNumberFormat="1" applyFont="1" applyFill="1" applyBorder="1" applyAlignment="1">
      <alignment horizontal="center" vertical="center" wrapText="1"/>
    </xf>
    <xf numFmtId="3" fontId="3" fillId="7" borderId="12" xfId="0" applyNumberFormat="1"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 xfId="0" applyFont="1" applyFill="1" applyBorder="1" applyAlignment="1">
      <alignment horizontal="center" vertical="center"/>
    </xf>
    <xf numFmtId="3" fontId="3" fillId="11" borderId="10" xfId="0" applyNumberFormat="1" applyFont="1" applyFill="1" applyBorder="1" applyAlignment="1">
      <alignment horizontal="center" vertical="center" textRotation="90" wrapText="1"/>
    </xf>
    <xf numFmtId="3" fontId="3" fillId="11" borderId="12" xfId="0" applyNumberFormat="1" applyFont="1" applyFill="1" applyBorder="1" applyAlignment="1">
      <alignment horizontal="center" vertical="center" textRotation="90" wrapText="1"/>
    </xf>
    <xf numFmtId="0" fontId="3" fillId="11" borderId="10" xfId="0" applyFont="1" applyFill="1" applyBorder="1" applyAlignment="1">
      <alignment horizontal="center" vertical="center" textRotation="90" wrapText="1"/>
    </xf>
    <xf numFmtId="0" fontId="3" fillId="11" borderId="12" xfId="0" applyFont="1" applyFill="1" applyBorder="1" applyAlignment="1">
      <alignment horizontal="center" vertical="center" textRotation="90" wrapText="1"/>
    </xf>
    <xf numFmtId="170" fontId="13" fillId="6" borderId="5" xfId="0" applyNumberFormat="1" applyFont="1" applyFill="1" applyBorder="1" applyAlignment="1">
      <alignment horizontal="center" vertical="center" wrapText="1"/>
    </xf>
    <xf numFmtId="170" fontId="13" fillId="6" borderId="2" xfId="0" applyNumberFormat="1" applyFont="1" applyFill="1" applyBorder="1" applyAlignment="1">
      <alignment horizontal="center" vertical="center" wrapText="1"/>
    </xf>
    <xf numFmtId="171" fontId="13" fillId="6" borderId="5" xfId="0" applyNumberFormat="1" applyFont="1" applyFill="1" applyBorder="1" applyAlignment="1">
      <alignment horizontal="center" vertical="center" wrapText="1"/>
    </xf>
    <xf numFmtId="171" fontId="13" fillId="6" borderId="2" xfId="0" applyNumberFormat="1" applyFont="1" applyFill="1" applyBorder="1" applyAlignment="1">
      <alignment horizontal="center" vertical="center" wrapText="1"/>
    </xf>
    <xf numFmtId="171" fontId="13" fillId="6" borderId="1" xfId="0" applyNumberFormat="1" applyFont="1" applyFill="1" applyBorder="1" applyAlignment="1">
      <alignment horizontal="center" vertical="center" wrapText="1"/>
    </xf>
    <xf numFmtId="3"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9" fontId="3" fillId="9" borderId="1" xfId="7"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4" xfId="0" applyFont="1" applyFill="1" applyBorder="1" applyAlignment="1">
      <alignment horizontal="center" vertical="center" wrapText="1"/>
    </xf>
    <xf numFmtId="1" fontId="13" fillId="2" borderId="5" xfId="0" applyNumberFormat="1" applyFont="1" applyFill="1" applyBorder="1" applyAlignment="1">
      <alignment horizontal="center" vertical="center" wrapText="1"/>
    </xf>
    <xf numFmtId="1" fontId="13" fillId="2" borderId="6" xfId="0" applyNumberFormat="1" applyFont="1" applyFill="1" applyBorder="1" applyAlignment="1">
      <alignment horizontal="center" vertical="center" wrapText="1"/>
    </xf>
    <xf numFmtId="1" fontId="13" fillId="2" borderId="7" xfId="0" applyNumberFormat="1" applyFont="1" applyFill="1" applyBorder="1" applyAlignment="1">
      <alignment horizontal="center" vertical="center" wrapText="1"/>
    </xf>
    <xf numFmtId="0" fontId="3" fillId="11" borderId="1" xfId="0" applyFont="1" applyFill="1" applyBorder="1" applyAlignment="1">
      <alignment horizontal="center" vertical="center" textRotation="90"/>
    </xf>
    <xf numFmtId="0" fontId="3" fillId="7" borderId="1" xfId="0" applyFont="1" applyFill="1" applyBorder="1" applyAlignment="1">
      <alignment horizontal="center" vertical="center" textRotation="90" wrapText="1"/>
    </xf>
    <xf numFmtId="176" fontId="3" fillId="6" borderId="50" xfId="12" applyFont="1" applyFill="1" applyBorder="1" applyAlignment="1">
      <alignment horizontal="center" vertical="center"/>
    </xf>
    <xf numFmtId="176" fontId="3" fillId="6" borderId="49" xfId="12" applyFont="1" applyFill="1" applyBorder="1" applyAlignment="1">
      <alignment horizontal="center" vertical="center"/>
    </xf>
    <xf numFmtId="176" fontId="3" fillId="6" borderId="48" xfId="12" applyFont="1" applyFill="1" applyBorder="1" applyAlignment="1">
      <alignment horizontal="center" vertical="center"/>
    </xf>
    <xf numFmtId="0" fontId="13" fillId="6" borderId="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9" fontId="2" fillId="2" borderId="13" xfId="2" applyFont="1" applyFill="1" applyBorder="1" applyAlignment="1">
      <alignment horizontal="center" vertical="center" wrapText="1"/>
    </xf>
    <xf numFmtId="9" fontId="2" fillId="2" borderId="14" xfId="2" applyFont="1" applyFill="1" applyBorder="1" applyAlignment="1">
      <alignment horizontal="center" vertical="center" wrapText="1"/>
    </xf>
    <xf numFmtId="4" fontId="4" fillId="2" borderId="13" xfId="16" applyNumberFormat="1" applyFont="1" applyFill="1" applyBorder="1" applyAlignment="1">
      <alignment horizontal="center" vertical="center"/>
    </xf>
    <xf numFmtId="4" fontId="4" fillId="2" borderId="14" xfId="16" applyNumberFormat="1" applyFont="1" applyFill="1" applyBorder="1" applyAlignment="1">
      <alignment horizontal="center" vertical="center"/>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39"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3" fontId="2" fillId="2" borderId="13" xfId="0" applyNumberFormat="1" applyFont="1" applyFill="1" applyBorder="1" applyAlignment="1">
      <alignment horizontal="center" vertical="center"/>
    </xf>
    <xf numFmtId="0" fontId="2" fillId="2" borderId="14" xfId="0" applyFont="1" applyFill="1" applyBorder="1" applyAlignment="1">
      <alignment horizontal="center" vertical="center"/>
    </xf>
    <xf numFmtId="3"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9" xfId="0" applyFont="1" applyBorder="1" applyAlignment="1">
      <alignment horizontal="center" vertical="center"/>
    </xf>
    <xf numFmtId="4" fontId="2" fillId="0" borderId="13" xfId="0" applyNumberFormat="1" applyFont="1" applyBorder="1" applyAlignment="1">
      <alignment horizontal="center" vertical="center"/>
    </xf>
    <xf numFmtId="4" fontId="2" fillId="0" borderId="14" xfId="0" applyNumberFormat="1" applyFont="1" applyBorder="1" applyAlignment="1">
      <alignment horizontal="center" vertical="center"/>
    </xf>
    <xf numFmtId="4" fontId="2" fillId="0" borderId="39" xfId="0" applyNumberFormat="1" applyFont="1" applyBorder="1" applyAlignment="1">
      <alignment horizontal="center" vertical="center"/>
    </xf>
    <xf numFmtId="0" fontId="2" fillId="0" borderId="17" xfId="0" applyFont="1" applyBorder="1" applyAlignment="1">
      <alignment horizontal="justify" vertical="center" wrapText="1"/>
    </xf>
    <xf numFmtId="9" fontId="2" fillId="2" borderId="17" xfId="2" applyFont="1" applyFill="1" applyBorder="1" applyAlignment="1">
      <alignment horizontal="center" vertical="center" wrapText="1"/>
    </xf>
    <xf numFmtId="4" fontId="2" fillId="0" borderId="17" xfId="16" applyNumberFormat="1" applyFont="1" applyBorder="1" applyAlignment="1">
      <alignment horizontal="center" vertical="center"/>
    </xf>
    <xf numFmtId="0" fontId="2" fillId="0" borderId="30" xfId="0" applyFont="1" applyBorder="1" applyAlignment="1">
      <alignment horizontal="center" vertical="center"/>
    </xf>
    <xf numFmtId="173" fontId="2" fillId="2" borderId="13" xfId="0" applyNumberFormat="1" applyFont="1" applyFill="1" applyBorder="1" applyAlignment="1">
      <alignment horizontal="center" vertical="center"/>
    </xf>
    <xf numFmtId="173" fontId="2" fillId="2" borderId="14" xfId="0" applyNumberFormat="1" applyFont="1" applyFill="1" applyBorder="1" applyAlignment="1">
      <alignment horizontal="center" vertical="center"/>
    </xf>
    <xf numFmtId="173" fontId="2" fillId="2" borderId="39" xfId="0" applyNumberFormat="1" applyFont="1" applyFill="1" applyBorder="1" applyAlignment="1">
      <alignment horizontal="center" vertical="center"/>
    </xf>
    <xf numFmtId="1" fontId="2" fillId="2" borderId="13" xfId="0" applyNumberFormat="1" applyFont="1" applyFill="1" applyBorder="1" applyAlignment="1">
      <alignment horizontal="justify" vertical="center" wrapText="1"/>
    </xf>
    <xf numFmtId="1" fontId="2" fillId="2" borderId="14" xfId="0" applyNumberFormat="1" applyFont="1" applyFill="1" applyBorder="1" applyAlignment="1">
      <alignment horizontal="justify"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2" fillId="2" borderId="17" xfId="0" applyFont="1" applyFill="1" applyBorder="1" applyAlignment="1">
      <alignment horizontal="center" vertical="center" wrapText="1"/>
    </xf>
    <xf numFmtId="0" fontId="2" fillId="0" borderId="17" xfId="0" applyFont="1" applyBorder="1" applyAlignment="1">
      <alignment horizontal="center" vertical="center" wrapText="1"/>
    </xf>
    <xf numFmtId="9" fontId="2" fillId="0" borderId="13" xfId="2" applyFont="1" applyBorder="1" applyAlignment="1">
      <alignment horizontal="center" vertical="center"/>
    </xf>
    <xf numFmtId="9" fontId="2" fillId="0" borderId="14" xfId="2" applyFont="1" applyBorder="1" applyAlignment="1">
      <alignment horizontal="center" vertical="center"/>
    </xf>
    <xf numFmtId="9" fontId="2" fillId="0" borderId="39" xfId="2" applyFont="1" applyBorder="1" applyAlignment="1">
      <alignment horizontal="center" vertical="center"/>
    </xf>
    <xf numFmtId="0" fontId="2" fillId="0" borderId="39" xfId="0" applyFont="1" applyBorder="1" applyAlignment="1">
      <alignment horizontal="justify" vertical="center" wrapText="1"/>
    </xf>
    <xf numFmtId="173" fontId="2" fillId="2" borderId="13" xfId="0" applyNumberFormat="1" applyFont="1" applyFill="1" applyBorder="1" applyAlignment="1">
      <alignment horizontal="center" vertical="center" wrapText="1"/>
    </xf>
    <xf numFmtId="173" fontId="2" fillId="2" borderId="14" xfId="0" applyNumberFormat="1" applyFont="1" applyFill="1" applyBorder="1" applyAlignment="1">
      <alignment horizontal="center" vertical="center" wrapText="1"/>
    </xf>
    <xf numFmtId="173" fontId="2" fillId="2" borderId="39" xfId="0" applyNumberFormat="1" applyFont="1" applyFill="1" applyBorder="1" applyAlignment="1">
      <alignment horizontal="center" vertical="center" wrapTex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23" xfId="0" applyFont="1" applyBorder="1" applyAlignment="1">
      <alignment horizontal="center" vertical="center"/>
    </xf>
    <xf numFmtId="173" fontId="2" fillId="2" borderId="19" xfId="0" applyNumberFormat="1" applyFont="1" applyFill="1" applyBorder="1" applyAlignment="1">
      <alignment horizontal="center" vertical="center" wrapText="1"/>
    </xf>
    <xf numFmtId="173" fontId="2" fillId="2" borderId="26" xfId="0" applyNumberFormat="1" applyFont="1" applyFill="1" applyBorder="1" applyAlignment="1">
      <alignment horizontal="center" vertical="center" wrapText="1"/>
    </xf>
    <xf numFmtId="173" fontId="2" fillId="2" borderId="23" xfId="0" applyNumberFormat="1" applyFont="1" applyFill="1" applyBorder="1" applyAlignment="1">
      <alignment horizontal="center" vertical="center" wrapText="1"/>
    </xf>
    <xf numFmtId="1" fontId="2" fillId="2" borderId="17" xfId="0" applyNumberFormat="1" applyFont="1" applyFill="1" applyBorder="1" applyAlignment="1">
      <alignment horizontal="justify" vertical="center" wrapText="1"/>
    </xf>
    <xf numFmtId="4" fontId="2" fillId="0" borderId="19" xfId="0" applyNumberFormat="1" applyFont="1" applyBorder="1" applyAlignment="1">
      <alignment horizontal="center" vertical="center"/>
    </xf>
    <xf numFmtId="4" fontId="2" fillId="0" borderId="26" xfId="0" applyNumberFormat="1" applyFont="1" applyBorder="1" applyAlignment="1">
      <alignment horizontal="center" vertical="center"/>
    </xf>
    <xf numFmtId="4" fontId="2" fillId="0" borderId="23" xfId="0" applyNumberFormat="1" applyFont="1" applyBorder="1" applyAlignment="1">
      <alignment horizontal="center" vertical="center"/>
    </xf>
    <xf numFmtId="9" fontId="2" fillId="0" borderId="19" xfId="2" applyFont="1" applyBorder="1" applyAlignment="1">
      <alignment horizontal="center" vertical="center"/>
    </xf>
    <xf numFmtId="9" fontId="2" fillId="0" borderId="26" xfId="2" applyFont="1" applyBorder="1" applyAlignment="1">
      <alignment horizontal="center" vertical="center"/>
    </xf>
    <xf numFmtId="9" fontId="2" fillId="0" borderId="23" xfId="2" applyFont="1" applyBorder="1" applyAlignment="1">
      <alignment horizontal="center" vertical="center"/>
    </xf>
    <xf numFmtId="0" fontId="2" fillId="0" borderId="19" xfId="0" applyFont="1" applyBorder="1" applyAlignment="1">
      <alignment horizontal="justify" vertical="center" wrapText="1"/>
    </xf>
    <xf numFmtId="0" fontId="2" fillId="0" borderId="26" xfId="0" applyFont="1" applyBorder="1" applyAlignment="1">
      <alignment horizontal="justify" vertical="center" wrapText="1"/>
    </xf>
    <xf numFmtId="1" fontId="2" fillId="2" borderId="2" xfId="0" applyNumberFormat="1" applyFont="1" applyFill="1" applyBorder="1" applyAlignment="1">
      <alignment horizontal="center" vertical="center" wrapText="1"/>
    </xf>
    <xf numFmtId="1" fontId="2" fillId="2" borderId="0" xfId="0" applyNumberFormat="1" applyFont="1" applyFill="1" applyAlignment="1">
      <alignment horizontal="center" vertical="center" wrapText="1"/>
    </xf>
    <xf numFmtId="1" fontId="2" fillId="2" borderId="3" xfId="0" applyNumberFormat="1" applyFont="1" applyFill="1" applyBorder="1" applyAlignment="1">
      <alignment horizontal="center" vertical="center" wrapText="1"/>
    </xf>
    <xf numFmtId="0" fontId="13" fillId="2" borderId="0" xfId="0" applyFont="1" applyFill="1" applyAlignment="1">
      <alignment horizontal="center"/>
    </xf>
    <xf numFmtId="0" fontId="2" fillId="0" borderId="65"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66" xfId="0" applyFont="1" applyBorder="1" applyAlignment="1">
      <alignment horizontal="justify" vertical="center" wrapText="1"/>
    </xf>
    <xf numFmtId="173" fontId="2" fillId="2" borderId="17" xfId="0" applyNumberFormat="1" applyFont="1" applyFill="1" applyBorder="1" applyAlignment="1">
      <alignment horizontal="center" vertical="center" wrapText="1"/>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15" xfId="0" applyFont="1" applyBorder="1" applyAlignment="1">
      <alignment horizontal="center" vertical="center"/>
    </xf>
    <xf numFmtId="0" fontId="13" fillId="6" borderId="13" xfId="0" applyFont="1" applyFill="1" applyBorder="1" applyAlignment="1">
      <alignment horizontal="justify" vertical="center" wrapText="1"/>
    </xf>
    <xf numFmtId="0" fontId="13" fillId="6" borderId="14" xfId="0" applyFont="1" applyFill="1" applyBorder="1" applyAlignment="1">
      <alignment horizontal="justify" vertical="center" wrapText="1"/>
    </xf>
    <xf numFmtId="0" fontId="20" fillId="6" borderId="13"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20" fillId="6" borderId="4" xfId="0" applyFont="1" applyFill="1" applyBorder="1" applyAlignment="1">
      <alignment horizontal="center" vertical="center" wrapText="1"/>
    </xf>
    <xf numFmtId="3" fontId="13" fillId="6" borderId="13" xfId="0" applyNumberFormat="1" applyFont="1" applyFill="1" applyBorder="1" applyAlignment="1">
      <alignment horizontal="center" vertical="center" wrapText="1"/>
    </xf>
    <xf numFmtId="3" fontId="13" fillId="6" borderId="14" xfId="0" applyNumberFormat="1" applyFont="1" applyFill="1" applyBorder="1" applyAlignment="1">
      <alignment horizontal="center" vertical="center" wrapText="1"/>
    </xf>
    <xf numFmtId="0" fontId="3" fillId="7" borderId="5" xfId="0" applyFont="1" applyFill="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8"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172" fontId="13" fillId="6" borderId="2" xfId="0" applyNumberFormat="1" applyFont="1" applyFill="1" applyBorder="1" applyAlignment="1">
      <alignment horizontal="center" vertical="center" wrapText="1"/>
    </xf>
    <xf numFmtId="172" fontId="13" fillId="6" borderId="3" xfId="0" applyNumberFormat="1" applyFont="1" applyFill="1" applyBorder="1" applyAlignment="1">
      <alignment horizontal="center" vertical="center" wrapText="1"/>
    </xf>
    <xf numFmtId="0" fontId="13" fillId="6" borderId="10" xfId="0" applyFont="1" applyFill="1" applyBorder="1" applyAlignment="1">
      <alignment horizontal="center" vertical="center" textRotation="90" wrapText="1"/>
    </xf>
    <xf numFmtId="0" fontId="13" fillId="6" borderId="12" xfId="0" applyFont="1" applyFill="1" applyBorder="1" applyAlignment="1">
      <alignment horizontal="center" vertical="center" textRotation="90" wrapText="1"/>
    </xf>
    <xf numFmtId="9" fontId="21" fillId="9" borderId="1" xfId="7" applyFont="1" applyFill="1" applyBorder="1" applyAlignment="1">
      <alignment horizontal="center" vertical="center" wrapText="1"/>
    </xf>
    <xf numFmtId="1" fontId="2" fillId="2" borderId="17" xfId="0" applyNumberFormat="1" applyFont="1" applyFill="1" applyBorder="1" applyAlignment="1">
      <alignment horizontal="center" vertical="center" wrapText="1"/>
    </xf>
    <xf numFmtId="1" fontId="2" fillId="2" borderId="19" xfId="0" applyNumberFormat="1" applyFont="1" applyFill="1" applyBorder="1" applyAlignment="1">
      <alignment horizontal="center" vertical="center" wrapText="1"/>
    </xf>
    <xf numFmtId="1" fontId="2" fillId="2" borderId="26"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72" fontId="2" fillId="0" borderId="17" xfId="0" applyNumberFormat="1" applyFont="1" applyBorder="1" applyAlignment="1">
      <alignment horizontal="center" vertical="center"/>
    </xf>
    <xf numFmtId="1" fontId="2" fillId="2" borderId="19" xfId="0" applyNumberFormat="1" applyFont="1" applyFill="1" applyBorder="1" applyAlignment="1">
      <alignment horizontal="justify" vertical="center" wrapText="1"/>
    </xf>
    <xf numFmtId="1" fontId="2" fillId="2" borderId="26" xfId="0" applyNumberFormat="1" applyFont="1" applyFill="1" applyBorder="1" applyAlignment="1">
      <alignment horizontal="justify" vertical="center" wrapText="1"/>
    </xf>
    <xf numFmtId="1" fontId="2" fillId="2" borderId="23" xfId="0" applyNumberFormat="1" applyFont="1" applyFill="1" applyBorder="1" applyAlignment="1">
      <alignment horizontal="justify" vertical="center" wrapText="1"/>
    </xf>
    <xf numFmtId="0" fontId="4" fillId="0" borderId="4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7" xfId="0" applyFont="1" applyBorder="1" applyAlignment="1">
      <alignment horizontal="justify" vertical="center" wrapText="1"/>
    </xf>
    <xf numFmtId="9" fontId="2" fillId="0" borderId="17" xfId="0" applyNumberFormat="1" applyFont="1" applyBorder="1" applyAlignment="1">
      <alignment horizontal="center" vertical="center"/>
    </xf>
    <xf numFmtId="179" fontId="2" fillId="0" borderId="17" xfId="15" applyNumberFormat="1" applyFont="1" applyBorder="1" applyAlignment="1">
      <alignment horizontal="center" vertical="center"/>
    </xf>
    <xf numFmtId="0" fontId="2" fillId="2" borderId="17" xfId="0" applyFont="1" applyFill="1" applyBorder="1" applyAlignment="1">
      <alignment horizontal="justify" vertical="center" wrapText="1"/>
    </xf>
    <xf numFmtId="0" fontId="13" fillId="6" borderId="8" xfId="0" applyFont="1" applyFill="1" applyBorder="1" applyAlignment="1">
      <alignment horizontal="center" vertical="center" wrapText="1"/>
    </xf>
    <xf numFmtId="0" fontId="13" fillId="6" borderId="15" xfId="0" applyFont="1" applyFill="1" applyBorder="1" applyAlignment="1">
      <alignment horizontal="center" vertical="center" wrapText="1"/>
    </xf>
    <xf numFmtId="179" fontId="2" fillId="2" borderId="19" xfId="15" applyNumberFormat="1" applyFont="1" applyFill="1" applyBorder="1" applyAlignment="1">
      <alignment horizontal="center" vertical="center" wrapText="1"/>
    </xf>
    <xf numFmtId="179" fontId="2" fillId="2" borderId="26" xfId="15" applyNumberFormat="1" applyFont="1" applyFill="1" applyBorder="1" applyAlignment="1">
      <alignment horizontal="center" vertical="center" wrapText="1"/>
    </xf>
    <xf numFmtId="179" fontId="2" fillId="2" borderId="23" xfId="15" applyNumberFormat="1" applyFont="1" applyFill="1" applyBorder="1" applyAlignment="1">
      <alignment horizontal="center"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4" xfId="0" applyFont="1" applyBorder="1" applyAlignment="1">
      <alignment horizontal="justify" vertical="center" wrapText="1"/>
    </xf>
    <xf numFmtId="9" fontId="2" fillId="2" borderId="4" xfId="2"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79" fontId="2" fillId="2" borderId="13" xfId="15" applyNumberFormat="1" applyFont="1" applyFill="1" applyBorder="1" applyAlignment="1">
      <alignment horizontal="center" vertical="center" wrapText="1"/>
    </xf>
    <xf numFmtId="179" fontId="2" fillId="2" borderId="14" xfId="15" applyNumberFormat="1" applyFont="1" applyFill="1" applyBorder="1" applyAlignment="1">
      <alignment horizontal="center" vertical="center" wrapText="1"/>
    </xf>
    <xf numFmtId="179" fontId="2" fillId="2" borderId="4" xfId="15" applyNumberFormat="1" applyFont="1" applyFill="1" applyBorder="1" applyAlignment="1">
      <alignment horizontal="center" vertical="center" wrapText="1"/>
    </xf>
    <xf numFmtId="0" fontId="21" fillId="9" borderId="1" xfId="0" applyFont="1" applyFill="1" applyBorder="1" applyAlignment="1">
      <alignment horizontal="center" vertical="center" wrapText="1"/>
    </xf>
    <xf numFmtId="0" fontId="13" fillId="6" borderId="8" xfId="0" applyFont="1" applyFill="1" applyBorder="1" applyAlignment="1">
      <alignment horizontal="center" vertical="center" textRotation="90" wrapText="1"/>
    </xf>
    <xf numFmtId="0" fontId="13" fillId="6" borderId="15" xfId="0" applyFont="1" applyFill="1" applyBorder="1" applyAlignment="1">
      <alignment horizontal="center" vertical="center" textRotation="90" wrapText="1"/>
    </xf>
    <xf numFmtId="177" fontId="13" fillId="6" borderId="13" xfId="0" applyNumberFormat="1" applyFont="1" applyFill="1" applyBorder="1" applyAlignment="1">
      <alignment horizontal="center" vertical="center" wrapText="1"/>
    </xf>
    <xf numFmtId="177" fontId="13" fillId="6" borderId="14" xfId="0" applyNumberFormat="1" applyFont="1" applyFill="1" applyBorder="1" applyAlignment="1">
      <alignment horizontal="center" vertical="center" wrapText="1"/>
    </xf>
    <xf numFmtId="0" fontId="15" fillId="0" borderId="27" xfId="0" applyFont="1" applyBorder="1" applyAlignment="1">
      <alignment horizontal="justify" vertical="center" wrapText="1"/>
    </xf>
    <xf numFmtId="0" fontId="15" fillId="0" borderId="35" xfId="0" applyFont="1" applyBorder="1" applyAlignment="1">
      <alignment horizontal="justify" vertical="center" wrapText="1"/>
    </xf>
    <xf numFmtId="0" fontId="2" fillId="2" borderId="13"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4" xfId="0" applyFont="1" applyFill="1" applyBorder="1" applyAlignment="1">
      <alignment horizontal="justify" vertical="center" wrapText="1"/>
    </xf>
    <xf numFmtId="9" fontId="2" fillId="2" borderId="19" xfId="2" applyFont="1" applyFill="1" applyBorder="1" applyAlignment="1">
      <alignment horizontal="center" vertical="center" wrapText="1"/>
    </xf>
    <xf numFmtId="9" fontId="2" fillId="2" borderId="26" xfId="2" applyFont="1" applyFill="1" applyBorder="1" applyAlignment="1">
      <alignment horizontal="center" vertical="center" wrapText="1"/>
    </xf>
    <xf numFmtId="9" fontId="2" fillId="2" borderId="23" xfId="2" applyFont="1" applyFill="1" applyBorder="1" applyAlignment="1">
      <alignment horizontal="center" vertical="center" wrapText="1"/>
    </xf>
    <xf numFmtId="49" fontId="13" fillId="6" borderId="10" xfId="0" applyNumberFormat="1" applyFont="1" applyFill="1" applyBorder="1" applyAlignment="1">
      <alignment horizontal="center" vertical="center" textRotation="90" wrapText="1"/>
    </xf>
    <xf numFmtId="49" fontId="13" fillId="6" borderId="12" xfId="0" applyNumberFormat="1" applyFont="1" applyFill="1" applyBorder="1" applyAlignment="1">
      <alignment horizontal="center" vertical="center" textRotation="90"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2" borderId="23"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2" fillId="0" borderId="29" xfId="0" applyFont="1" applyBorder="1" applyAlignment="1">
      <alignment horizontal="justify" vertical="center" wrapText="1"/>
    </xf>
    <xf numFmtId="0" fontId="2" fillId="0" borderId="30" xfId="0" applyFont="1" applyBorder="1" applyAlignment="1">
      <alignment horizontal="justify" vertical="center" wrapText="1"/>
    </xf>
    <xf numFmtId="0" fontId="2" fillId="2" borderId="2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4" xfId="0" applyFont="1" applyBorder="1" applyAlignment="1">
      <alignment horizontal="center" vertical="center" wrapText="1"/>
    </xf>
    <xf numFmtId="179" fontId="4" fillId="0" borderId="13" xfId="15" applyNumberFormat="1" applyFont="1" applyBorder="1" applyAlignment="1">
      <alignment horizontal="center" vertical="center" wrapText="1"/>
    </xf>
    <xf numFmtId="179" fontId="4" fillId="0" borderId="14" xfId="15" applyNumberFormat="1" applyFont="1" applyBorder="1" applyAlignment="1">
      <alignment horizontal="center" vertical="center" wrapText="1"/>
    </xf>
    <xf numFmtId="0" fontId="2" fillId="2" borderId="2" xfId="0" applyFont="1" applyFill="1" applyBorder="1" applyAlignment="1">
      <alignment horizontal="justify" vertical="center" wrapText="1"/>
    </xf>
    <xf numFmtId="179" fontId="4" fillId="0" borderId="13" xfId="15" applyNumberFormat="1" applyFont="1" applyFill="1" applyBorder="1" applyAlignment="1">
      <alignment horizontal="center" vertical="center" wrapText="1"/>
    </xf>
    <xf numFmtId="179" fontId="4" fillId="0" borderId="14" xfId="15" applyNumberFormat="1" applyFont="1" applyFill="1" applyBorder="1" applyAlignment="1">
      <alignment horizontal="center" vertical="center" wrapText="1"/>
    </xf>
    <xf numFmtId="179" fontId="4" fillId="0" borderId="4" xfId="15" applyNumberFormat="1" applyFont="1" applyFill="1" applyBorder="1" applyAlignment="1">
      <alignment horizontal="center" vertical="center" wrapText="1"/>
    </xf>
    <xf numFmtId="0" fontId="15" fillId="0" borderId="17" xfId="0" applyFont="1" applyBorder="1" applyAlignment="1">
      <alignment horizontal="justify" vertical="center" wrapText="1"/>
    </xf>
    <xf numFmtId="0" fontId="2" fillId="2" borderId="1" xfId="0"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73" fontId="2" fillId="2" borderId="4" xfId="0" applyNumberFormat="1" applyFont="1" applyFill="1" applyBorder="1" applyAlignment="1">
      <alignment horizontal="center" vertical="center" wrapText="1"/>
    </xf>
    <xf numFmtId="1" fontId="2" fillId="2" borderId="4" xfId="0" applyNumberFormat="1" applyFont="1" applyFill="1" applyBorder="1" applyAlignment="1">
      <alignment horizontal="justify" vertical="center" wrapText="1"/>
    </xf>
    <xf numFmtId="179" fontId="4" fillId="0" borderId="4" xfId="15" applyNumberFormat="1" applyFont="1" applyBorder="1" applyAlignment="1">
      <alignment horizontal="center" vertical="center" wrapText="1"/>
    </xf>
    <xf numFmtId="0" fontId="2" fillId="2" borderId="39" xfId="0" applyFont="1" applyFill="1" applyBorder="1" applyAlignment="1">
      <alignment horizontal="justify" vertical="center" wrapText="1"/>
    </xf>
    <xf numFmtId="0" fontId="15" fillId="0" borderId="14"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13" xfId="0" applyFont="1" applyBorder="1" applyAlignment="1">
      <alignment horizontal="justify" vertical="center" wrapText="1"/>
    </xf>
    <xf numFmtId="1" fontId="2" fillId="2" borderId="13" xfId="0" applyNumberFormat="1" applyFont="1" applyFill="1" applyBorder="1" applyAlignment="1">
      <alignment horizontal="center" vertical="center"/>
    </xf>
    <xf numFmtId="1" fontId="2" fillId="2" borderId="14"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xf numFmtId="172" fontId="2" fillId="0" borderId="13" xfId="0" applyNumberFormat="1" applyFont="1" applyBorder="1" applyAlignment="1">
      <alignment horizontal="center" vertical="center"/>
    </xf>
    <xf numFmtId="172" fontId="2" fillId="0" borderId="14" xfId="0" applyNumberFormat="1" applyFont="1" applyBorder="1" applyAlignment="1">
      <alignment horizontal="center" vertical="center"/>
    </xf>
    <xf numFmtId="172" fontId="2" fillId="0" borderId="4"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23" xfId="0" applyFont="1" applyBorder="1" applyAlignment="1">
      <alignment horizontal="justify" vertical="center" wrapText="1"/>
    </xf>
    <xf numFmtId="0" fontId="4" fillId="0" borderId="19" xfId="0" applyFont="1" applyBorder="1" applyAlignment="1">
      <alignment horizontal="justify" vertical="center" wrapText="1"/>
    </xf>
    <xf numFmtId="0" fontId="2" fillId="2" borderId="3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Border="1" applyAlignment="1">
      <alignment horizontal="center" vertical="center" wrapText="1"/>
    </xf>
    <xf numFmtId="179" fontId="2" fillId="2" borderId="38" xfId="15" applyNumberFormat="1" applyFont="1" applyFill="1" applyBorder="1" applyAlignment="1">
      <alignment horizontal="center" vertical="center" wrapText="1"/>
    </xf>
    <xf numFmtId="179" fontId="2" fillId="2" borderId="37" xfId="15" applyNumberFormat="1" applyFont="1" applyFill="1" applyBorder="1" applyAlignment="1">
      <alignment horizontal="center" vertical="center" wrapText="1"/>
    </xf>
    <xf numFmtId="179" fontId="2" fillId="2" borderId="36" xfId="15" applyNumberFormat="1" applyFont="1" applyFill="1" applyBorder="1" applyAlignment="1">
      <alignment horizontal="center" vertical="center" wrapText="1"/>
    </xf>
    <xf numFmtId="0" fontId="15" fillId="0" borderId="44" xfId="0" applyFont="1" applyBorder="1" applyAlignment="1">
      <alignment horizontal="justify" vertical="center" wrapText="1"/>
    </xf>
    <xf numFmtId="0" fontId="15" fillId="0" borderId="28" xfId="0" applyFont="1" applyBorder="1" applyAlignment="1">
      <alignment horizontal="justify" vertical="center" wrapText="1"/>
    </xf>
    <xf numFmtId="0" fontId="15" fillId="0" borderId="43" xfId="0" applyFont="1" applyBorder="1" applyAlignment="1">
      <alignment horizontal="justify" vertical="center" wrapText="1"/>
    </xf>
    <xf numFmtId="0" fontId="15" fillId="0" borderId="42" xfId="0" applyFont="1" applyBorder="1" applyAlignment="1">
      <alignment horizontal="justify" vertical="center" wrapText="1"/>
    </xf>
    <xf numFmtId="0" fontId="4" fillId="0" borderId="19" xfId="4" applyNumberFormat="1" applyFont="1" applyFill="1" applyBorder="1" applyAlignment="1">
      <alignment horizontal="justify" vertical="center" wrapText="1"/>
    </xf>
    <xf numFmtId="0" fontId="4" fillId="0" borderId="26" xfId="4" applyNumberFormat="1" applyFont="1" applyFill="1" applyBorder="1" applyAlignment="1">
      <alignment horizontal="justify" vertical="center" wrapText="1"/>
    </xf>
    <xf numFmtId="0" fontId="4" fillId="0" borderId="23" xfId="4" applyNumberFormat="1" applyFont="1" applyFill="1" applyBorder="1" applyAlignment="1">
      <alignment horizontal="justify" vertical="center" wrapText="1"/>
    </xf>
    <xf numFmtId="0" fontId="2" fillId="0" borderId="20"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22" xfId="0" applyFont="1" applyBorder="1" applyAlignment="1">
      <alignment horizontal="justify" vertical="center" wrapText="1"/>
    </xf>
    <xf numFmtId="1" fontId="2" fillId="2" borderId="30" xfId="0" applyNumberFormat="1" applyFont="1" applyFill="1" applyBorder="1" applyAlignment="1">
      <alignment horizontal="center" vertical="center" wrapText="1"/>
    </xf>
    <xf numFmtId="0" fontId="4" fillId="0" borderId="25"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36" xfId="0" applyFont="1" applyBorder="1" applyAlignment="1">
      <alignment horizontal="justify" vertical="center" wrapText="1"/>
    </xf>
    <xf numFmtId="0" fontId="2" fillId="2" borderId="19"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4" fillId="0" borderId="26" xfId="0" applyFont="1" applyBorder="1" applyAlignment="1">
      <alignment horizontal="justify" vertical="center" wrapText="1"/>
    </xf>
    <xf numFmtId="0" fontId="17" fillId="0" borderId="19" xfId="0" applyFont="1" applyBorder="1" applyAlignment="1">
      <alignment horizontal="justify" vertical="center" wrapText="1"/>
    </xf>
    <xf numFmtId="0" fontId="17" fillId="0" borderId="26" xfId="0" applyFont="1" applyBorder="1" applyAlignment="1">
      <alignment horizontal="justify" vertical="center" wrapText="1"/>
    </xf>
    <xf numFmtId="0" fontId="17" fillId="0" borderId="23" xfId="0" applyFont="1" applyBorder="1" applyAlignment="1">
      <alignment horizontal="justify" vertical="center" wrapText="1"/>
    </xf>
    <xf numFmtId="179" fontId="2" fillId="2" borderId="7" xfId="15" applyNumberFormat="1" applyFont="1" applyFill="1" applyBorder="1" applyAlignment="1">
      <alignment horizontal="center" vertical="center" wrapText="1"/>
    </xf>
    <xf numFmtId="179" fontId="2" fillId="2" borderId="3" xfId="15" applyNumberFormat="1" applyFont="1" applyFill="1" applyBorder="1" applyAlignment="1">
      <alignment horizontal="center" vertical="center" wrapText="1"/>
    </xf>
    <xf numFmtId="179" fontId="2" fillId="2" borderId="17" xfId="15" applyNumberFormat="1" applyFont="1" applyFill="1" applyBorder="1" applyAlignment="1">
      <alignment horizontal="center" vertical="center" wrapText="1"/>
    </xf>
    <xf numFmtId="179" fontId="2" fillId="2" borderId="30" xfId="15" applyNumberFormat="1" applyFont="1" applyFill="1" applyBorder="1" applyAlignment="1">
      <alignment horizontal="center" vertical="center" wrapText="1"/>
    </xf>
    <xf numFmtId="9" fontId="2" fillId="2" borderId="30" xfId="2" applyFont="1" applyFill="1" applyBorder="1" applyAlignment="1">
      <alignment horizontal="center" vertical="center" wrapText="1"/>
    </xf>
    <xf numFmtId="0" fontId="3" fillId="7" borderId="1"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4" xfId="0" applyFont="1" applyFill="1" applyBorder="1" applyAlignment="1">
      <alignment horizontal="center" vertical="center" wrapText="1"/>
    </xf>
    <xf numFmtId="176" fontId="20" fillId="6" borderId="50" xfId="12" applyFont="1" applyFill="1" applyBorder="1" applyAlignment="1">
      <alignment horizontal="center" vertical="center"/>
    </xf>
    <xf numFmtId="176" fontId="20" fillId="6" borderId="49" xfId="12" applyFont="1" applyFill="1" applyBorder="1" applyAlignment="1">
      <alignment horizontal="center" vertical="center"/>
    </xf>
    <xf numFmtId="176" fontId="20" fillId="6" borderId="48" xfId="12" applyFont="1" applyFill="1" applyBorder="1" applyAlignment="1">
      <alignment horizontal="center" vertical="center"/>
    </xf>
    <xf numFmtId="3" fontId="21" fillId="9" borderId="1" xfId="0" applyNumberFormat="1" applyFont="1" applyFill="1" applyBorder="1" applyAlignment="1">
      <alignment horizontal="center" vertical="center" wrapText="1"/>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13" fillId="0" borderId="0" xfId="0" applyFont="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5" xfId="0" applyFont="1" applyBorder="1" applyAlignment="1">
      <alignment horizontal="center" vertical="center" wrapText="1"/>
    </xf>
    <xf numFmtId="1" fontId="2" fillId="2" borderId="30" xfId="0" applyNumberFormat="1" applyFont="1" applyFill="1" applyBorder="1" applyAlignment="1">
      <alignment horizontal="justify" vertical="center" wrapText="1"/>
    </xf>
    <xf numFmtId="1" fontId="2" fillId="2" borderId="39" xfId="0" applyNumberFormat="1" applyFont="1" applyFill="1" applyBorder="1" applyAlignment="1">
      <alignment horizontal="justify" vertical="center" wrapText="1"/>
    </xf>
    <xf numFmtId="9" fontId="2" fillId="2" borderId="7" xfId="2" applyFont="1" applyFill="1" applyBorder="1" applyAlignment="1">
      <alignment horizontal="center" vertical="center" wrapText="1"/>
    </xf>
    <xf numFmtId="9" fontId="2" fillId="2" borderId="3" xfId="2" applyFont="1" applyFill="1" applyBorder="1" applyAlignment="1">
      <alignment horizontal="center" vertical="center" wrapText="1"/>
    </xf>
    <xf numFmtId="1" fontId="2" fillId="2" borderId="7" xfId="0" applyNumberFormat="1" applyFont="1" applyFill="1" applyBorder="1" applyAlignment="1">
      <alignment horizontal="justify" vertical="center" wrapText="1"/>
    </xf>
    <xf numFmtId="1" fontId="2" fillId="2" borderId="3" xfId="0" applyNumberFormat="1" applyFont="1" applyFill="1" applyBorder="1" applyAlignment="1">
      <alignment horizontal="justify" vertical="center" wrapText="1"/>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8" xfId="0" applyFont="1" applyBorder="1" applyAlignment="1">
      <alignment horizontal="center" vertical="center"/>
    </xf>
    <xf numFmtId="177" fontId="13" fillId="6" borderId="1" xfId="0" applyNumberFormat="1"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5" xfId="0" applyFont="1" applyFill="1" applyBorder="1" applyAlignment="1">
      <alignment horizontal="center" vertical="center" wrapText="1"/>
    </xf>
    <xf numFmtId="172" fontId="13" fillId="6" borderId="1" xfId="0" applyNumberFormat="1" applyFont="1" applyFill="1" applyBorder="1" applyAlignment="1">
      <alignment horizontal="center" vertical="center" wrapText="1"/>
    </xf>
    <xf numFmtId="3" fontId="13" fillId="6" borderId="4"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5"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3" fillId="8" borderId="13" xfId="0" applyFont="1" applyFill="1" applyBorder="1" applyAlignment="1">
      <alignment horizontal="left" vertical="center" wrapText="1"/>
    </xf>
    <xf numFmtId="0" fontId="3" fillId="8" borderId="1" xfId="0" applyFont="1" applyFill="1" applyBorder="1" applyAlignment="1">
      <alignment horizontal="left" vertical="center" wrapText="1"/>
    </xf>
    <xf numFmtId="0" fontId="13"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 xfId="0" applyFont="1" applyFill="1" applyBorder="1" applyAlignment="1" applyProtection="1">
      <alignment horizontal="justify" vertical="center" wrapText="1"/>
      <protection locked="0"/>
    </xf>
    <xf numFmtId="0" fontId="2" fillId="2" borderId="3" xfId="0" applyFont="1" applyFill="1" applyBorder="1" applyAlignment="1" applyProtection="1">
      <alignment horizontal="justify" vertical="center" wrapText="1"/>
      <protection locked="0"/>
    </xf>
    <xf numFmtId="1" fontId="4" fillId="2" borderId="19" xfId="0" applyNumberFormat="1" applyFont="1" applyFill="1" applyBorder="1" applyAlignment="1">
      <alignment horizontal="center" vertical="center" wrapText="1"/>
    </xf>
    <xf numFmtId="1" fontId="4" fillId="2" borderId="26" xfId="0" applyNumberFormat="1" applyFont="1" applyFill="1" applyBorder="1" applyAlignment="1">
      <alignment horizontal="center" vertical="center" wrapText="1"/>
    </xf>
    <xf numFmtId="1" fontId="4" fillId="2" borderId="23" xfId="0" applyNumberFormat="1" applyFont="1" applyFill="1" applyBorder="1" applyAlignment="1">
      <alignment horizontal="center" vertical="center" wrapText="1"/>
    </xf>
    <xf numFmtId="43" fontId="2" fillId="2" borderId="6" xfId="0" applyNumberFormat="1" applyFont="1" applyFill="1" applyBorder="1" applyAlignment="1">
      <alignment horizontal="center" vertical="center"/>
    </xf>
    <xf numFmtId="43" fontId="2" fillId="2" borderId="0" xfId="0" applyNumberFormat="1" applyFont="1" applyFill="1" applyAlignment="1">
      <alignment horizontal="center" vertical="center"/>
    </xf>
    <xf numFmtId="0" fontId="2" fillId="2" borderId="19" xfId="0" applyFont="1" applyFill="1" applyBorder="1" applyAlignment="1">
      <alignment horizontal="justify" vertical="center" wrapText="1"/>
    </xf>
    <xf numFmtId="3" fontId="2" fillId="2" borderId="25" xfId="0" applyNumberFormat="1" applyFont="1" applyFill="1" applyBorder="1" applyAlignment="1">
      <alignment horizontal="justify" vertical="center" wrapText="1"/>
    </xf>
    <xf numFmtId="3" fontId="2" fillId="2" borderId="20" xfId="0" applyNumberFormat="1" applyFont="1" applyFill="1" applyBorder="1" applyAlignment="1">
      <alignment horizontal="justify" vertical="center" wrapText="1"/>
    </xf>
    <xf numFmtId="3" fontId="2" fillId="2" borderId="19" xfId="0" applyNumberFormat="1" applyFont="1" applyFill="1" applyBorder="1" applyAlignment="1">
      <alignment horizontal="justify" vertical="center" wrapText="1"/>
    </xf>
    <xf numFmtId="0" fontId="2" fillId="2" borderId="17" xfId="0" applyFont="1" applyFill="1" applyBorder="1" applyAlignment="1" applyProtection="1">
      <alignment horizontal="justify" vertical="center" wrapText="1"/>
      <protection locked="0"/>
    </xf>
    <xf numFmtId="0" fontId="2" fillId="2" borderId="19" xfId="0" applyFont="1" applyFill="1" applyBorder="1" applyAlignment="1" applyProtection="1">
      <alignment horizontal="justify" vertical="center" wrapText="1"/>
      <protection locked="0"/>
    </xf>
    <xf numFmtId="1" fontId="4" fillId="2" borderId="17" xfId="0" applyNumberFormat="1" applyFont="1" applyFill="1" applyBorder="1" applyAlignment="1">
      <alignment horizontal="center" vertical="center" wrapText="1"/>
    </xf>
    <xf numFmtId="14" fontId="2" fillId="2" borderId="17"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0" fontId="2" fillId="2" borderId="30" xfId="0" applyFont="1" applyFill="1" applyBorder="1" applyAlignment="1" applyProtection="1">
      <alignment horizontal="justify" vertical="center" wrapText="1"/>
      <protection locked="0"/>
    </xf>
    <xf numFmtId="0" fontId="2" fillId="2" borderId="25" xfId="0" applyFont="1" applyFill="1" applyBorder="1" applyAlignment="1">
      <alignment horizontal="center" vertical="center" wrapText="1"/>
    </xf>
    <xf numFmtId="4" fontId="4" fillId="2" borderId="19" xfId="0" applyNumberFormat="1" applyFont="1" applyFill="1" applyBorder="1" applyAlignment="1">
      <alignment horizontal="center" vertical="center" wrapText="1"/>
    </xf>
    <xf numFmtId="4" fontId="4" fillId="2" borderId="26" xfId="0" applyNumberFormat="1" applyFont="1" applyFill="1" applyBorder="1" applyAlignment="1">
      <alignment horizontal="center" vertical="center" wrapText="1"/>
    </xf>
    <xf numFmtId="4" fontId="4" fillId="2" borderId="23" xfId="0" applyNumberFormat="1" applyFont="1" applyFill="1" applyBorder="1" applyAlignment="1">
      <alignment horizontal="center" vertical="center" wrapText="1"/>
    </xf>
    <xf numFmtId="9" fontId="4" fillId="2" borderId="19" xfId="2" applyFont="1" applyFill="1" applyBorder="1" applyAlignment="1">
      <alignment horizontal="center" vertical="center" wrapText="1"/>
    </xf>
    <xf numFmtId="9" fontId="4" fillId="2" borderId="26" xfId="2" applyFont="1" applyFill="1" applyBorder="1" applyAlignment="1">
      <alignment horizontal="center" vertical="center" wrapText="1"/>
    </xf>
    <xf numFmtId="9" fontId="4" fillId="2" borderId="23" xfId="2" applyFont="1" applyFill="1" applyBorder="1" applyAlignment="1">
      <alignment horizontal="center" vertical="center" wrapText="1"/>
    </xf>
    <xf numFmtId="1" fontId="4" fillId="2" borderId="19" xfId="0" applyNumberFormat="1" applyFont="1" applyFill="1" applyBorder="1" applyAlignment="1">
      <alignment horizontal="justify" vertical="center" wrapText="1"/>
    </xf>
    <xf numFmtId="1" fontId="4" fillId="2" borderId="26" xfId="0" applyNumberFormat="1" applyFont="1" applyFill="1" applyBorder="1" applyAlignment="1">
      <alignment horizontal="justify" vertical="center" wrapText="1"/>
    </xf>
    <xf numFmtId="1" fontId="4" fillId="2" borderId="23" xfId="0" applyNumberFormat="1" applyFont="1" applyFill="1" applyBorder="1" applyAlignment="1">
      <alignment horizontal="justify" vertical="center" wrapText="1"/>
    </xf>
    <xf numFmtId="1" fontId="4" fillId="2" borderId="24" xfId="0" applyNumberFormat="1" applyFont="1" applyFill="1" applyBorder="1" applyAlignment="1">
      <alignment horizontal="justify" vertical="center" wrapText="1"/>
    </xf>
    <xf numFmtId="0" fontId="4" fillId="2" borderId="25" xfId="0" applyFont="1" applyFill="1" applyBorder="1" applyAlignment="1">
      <alignment horizontal="center" vertical="center" wrapText="1"/>
    </xf>
    <xf numFmtId="43" fontId="2" fillId="2" borderId="17" xfId="0" applyNumberFormat="1" applyFont="1" applyFill="1" applyBorder="1" applyAlignment="1">
      <alignment horizontal="center" vertical="center"/>
    </xf>
    <xf numFmtId="14" fontId="2" fillId="2" borderId="26" xfId="0" applyNumberFormat="1" applyFont="1" applyFill="1" applyBorder="1" applyAlignment="1">
      <alignment horizontal="center" vertical="center" wrapText="1"/>
    </xf>
    <xf numFmtId="14" fontId="2" fillId="2" borderId="23" xfId="0" applyNumberFormat="1" applyFont="1" applyFill="1" applyBorder="1" applyAlignment="1">
      <alignment horizontal="center" vertical="center" wrapText="1"/>
    </xf>
    <xf numFmtId="0" fontId="2" fillId="2" borderId="26" xfId="0" applyFont="1" applyFill="1" applyBorder="1" applyAlignment="1">
      <alignment horizontal="justify" vertical="center" wrapText="1"/>
    </xf>
    <xf numFmtId="0" fontId="2" fillId="2" borderId="23" xfId="0" applyFont="1" applyFill="1" applyBorder="1" applyAlignment="1">
      <alignment horizontal="justify" vertical="center" wrapText="1"/>
    </xf>
    <xf numFmtId="3" fontId="2" fillId="2" borderId="26" xfId="0" applyNumberFormat="1" applyFont="1" applyFill="1" applyBorder="1" applyAlignment="1">
      <alignment horizontal="justify" vertical="center" wrapText="1"/>
    </xf>
    <xf numFmtId="3" fontId="2" fillId="2" borderId="23" xfId="0" applyNumberFormat="1" applyFont="1" applyFill="1" applyBorder="1" applyAlignment="1">
      <alignment horizontal="justify" vertical="center" wrapText="1"/>
    </xf>
    <xf numFmtId="0" fontId="2" fillId="2" borderId="43" xfId="0" applyFont="1" applyFill="1" applyBorder="1" applyAlignment="1" applyProtection="1">
      <alignment horizontal="justify" vertical="center" wrapText="1"/>
      <protection locked="0"/>
    </xf>
    <xf numFmtId="0" fontId="2" fillId="2" borderId="41" xfId="0" applyFont="1" applyFill="1" applyBorder="1" applyAlignment="1" applyProtection="1">
      <alignment horizontal="justify" vertical="center" wrapText="1"/>
      <protection locked="0"/>
    </xf>
    <xf numFmtId="0" fontId="2" fillId="2" borderId="42" xfId="0" applyFont="1" applyFill="1" applyBorder="1" applyAlignment="1" applyProtection="1">
      <alignment horizontal="justify" vertical="center" wrapText="1"/>
      <protection locked="0"/>
    </xf>
    <xf numFmtId="1" fontId="4" fillId="2" borderId="25" xfId="0" applyNumberFormat="1" applyFont="1" applyFill="1" applyBorder="1" applyAlignment="1">
      <alignment horizontal="center" vertical="center" wrapText="1"/>
    </xf>
    <xf numFmtId="0" fontId="13" fillId="2" borderId="0" xfId="0" applyFont="1" applyFill="1" applyAlignment="1">
      <alignment horizontal="left" wrapText="1"/>
    </xf>
    <xf numFmtId="0" fontId="13" fillId="2" borderId="0" xfId="0" applyFont="1" applyFill="1" applyAlignment="1">
      <alignment horizontal="left"/>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0" xfId="0" applyFont="1" applyAlignment="1">
      <alignment horizontal="center" vertical="center" wrapText="1"/>
    </xf>
    <xf numFmtId="0" fontId="3" fillId="0" borderId="57" xfId="0" applyFont="1" applyBorder="1" applyAlignment="1">
      <alignment horizontal="center" vertical="center" wrapText="1"/>
    </xf>
    <xf numFmtId="0" fontId="3" fillId="0" borderId="9" xfId="0" applyFont="1" applyBorder="1" applyAlignment="1">
      <alignment horizontal="center" vertical="center" wrapText="1"/>
    </xf>
    <xf numFmtId="3" fontId="13" fillId="6" borderId="10" xfId="0" applyNumberFormat="1" applyFont="1" applyFill="1" applyBorder="1" applyAlignment="1">
      <alignment horizontal="center" vertical="center" wrapText="1"/>
    </xf>
    <xf numFmtId="165" fontId="13" fillId="6" borderId="13" xfId="16" applyFont="1" applyFill="1" applyBorder="1" applyAlignment="1">
      <alignment horizontal="center" vertical="center" wrapText="1"/>
    </xf>
    <xf numFmtId="165" fontId="13" fillId="6" borderId="4" xfId="16" applyFont="1" applyFill="1" applyBorder="1" applyAlignment="1">
      <alignment horizontal="center" vertical="center" wrapText="1"/>
    </xf>
    <xf numFmtId="165" fontId="13" fillId="6" borderId="5" xfId="16" applyFont="1" applyFill="1" applyBorder="1" applyAlignment="1">
      <alignment horizontal="center" vertical="center" wrapText="1"/>
    </xf>
    <xf numFmtId="165" fontId="13" fillId="6" borderId="2" xfId="16" applyFont="1" applyFill="1" applyBorder="1" applyAlignment="1">
      <alignment horizontal="center" vertical="center" wrapText="1"/>
    </xf>
    <xf numFmtId="165" fontId="3" fillId="9" borderId="1" xfId="16"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2" fillId="0" borderId="1" xfId="12" applyNumberFormat="1"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35" xfId="0" applyFont="1" applyBorder="1" applyAlignment="1">
      <alignment horizontal="center" vertical="center"/>
    </xf>
    <xf numFmtId="172" fontId="13" fillId="0" borderId="13" xfId="0" applyNumberFormat="1" applyFont="1" applyBorder="1" applyAlignment="1">
      <alignment horizontal="center" vertical="center"/>
    </xf>
    <xf numFmtId="172" fontId="13" fillId="0" borderId="14" xfId="0" applyNumberFormat="1" applyFont="1" applyBorder="1" applyAlignment="1">
      <alignment horizontal="center" vertical="center"/>
    </xf>
    <xf numFmtId="172" fontId="13" fillId="0" borderId="4" xfId="0" applyNumberFormat="1" applyFont="1" applyBorder="1" applyAlignment="1">
      <alignment horizontal="center" vertical="center"/>
    </xf>
    <xf numFmtId="0" fontId="4" fillId="0" borderId="20" xfId="0" applyFont="1" applyBorder="1" applyAlignment="1">
      <alignment horizontal="justify" vertical="center" wrapText="1"/>
    </xf>
    <xf numFmtId="0" fontId="4" fillId="0" borderId="22" xfId="0" applyFont="1" applyBorder="1" applyAlignment="1">
      <alignment horizontal="justify" vertical="center" wrapText="1"/>
    </xf>
    <xf numFmtId="179" fontId="2" fillId="0" borderId="13" xfId="15" applyNumberFormat="1" applyFont="1" applyBorder="1" applyAlignment="1">
      <alignment horizontal="center" vertical="center"/>
    </xf>
    <xf numFmtId="179" fontId="2" fillId="0" borderId="14" xfId="15" applyNumberFormat="1" applyFont="1" applyBorder="1" applyAlignment="1">
      <alignment horizontal="center" vertical="center"/>
    </xf>
    <xf numFmtId="179" fontId="2" fillId="0" borderId="4" xfId="15" applyNumberFormat="1" applyFont="1" applyBorder="1" applyAlignment="1">
      <alignment horizontal="center" vertical="center"/>
    </xf>
    <xf numFmtId="9" fontId="2" fillId="0" borderId="1" xfId="2" applyFont="1" applyBorder="1" applyAlignment="1">
      <alignment horizontal="center" vertical="center"/>
    </xf>
    <xf numFmtId="1" fontId="2"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13" fillId="0" borderId="10" xfId="0" applyFont="1" applyBorder="1" applyAlignment="1">
      <alignment horizontal="center" vertical="center"/>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2" fillId="2" borderId="6" xfId="0" applyFont="1" applyFill="1" applyBorder="1" applyAlignment="1">
      <alignment horizontal="justify" vertical="center" wrapText="1"/>
    </xf>
    <xf numFmtId="0" fontId="2" fillId="2" borderId="0" xfId="0" applyFont="1" applyFill="1" applyAlignment="1">
      <alignment horizontal="justify" vertical="center" wrapText="1"/>
    </xf>
    <xf numFmtId="0" fontId="2" fillId="2" borderId="9" xfId="0" applyFont="1" applyFill="1" applyBorder="1" applyAlignment="1">
      <alignment horizontal="justify" vertical="center" wrapText="1"/>
    </xf>
    <xf numFmtId="0" fontId="2" fillId="0" borderId="17" xfId="12" applyNumberFormat="1" applyFont="1" applyBorder="1" applyAlignment="1">
      <alignment horizontal="center" vertical="center"/>
    </xf>
    <xf numFmtId="0" fontId="2" fillId="0" borderId="19" xfId="12" applyNumberFormat="1" applyFont="1" applyBorder="1" applyAlignment="1">
      <alignment horizontal="center" vertical="center"/>
    </xf>
    <xf numFmtId="0" fontId="2" fillId="0" borderId="26" xfId="12" applyNumberFormat="1"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justify" vertical="center" wrapText="1"/>
    </xf>
    <xf numFmtId="0" fontId="4" fillId="0" borderId="0" xfId="0" applyFont="1" applyAlignment="1">
      <alignment horizontal="justify" vertical="center" wrapText="1"/>
    </xf>
    <xf numFmtId="0" fontId="4" fillId="0" borderId="9" xfId="0" applyFont="1" applyBorder="1" applyAlignment="1">
      <alignment horizontal="justify" vertical="center" wrapText="1"/>
    </xf>
    <xf numFmtId="0" fontId="2" fillId="0" borderId="13" xfId="12" applyNumberFormat="1" applyFont="1" applyBorder="1" applyAlignment="1">
      <alignment horizontal="center" vertical="center"/>
    </xf>
    <xf numFmtId="0" fontId="2" fillId="0" borderId="14" xfId="12" applyNumberFormat="1" applyFont="1" applyBorder="1" applyAlignment="1">
      <alignment horizontal="center" vertical="center"/>
    </xf>
    <xf numFmtId="0" fontId="2" fillId="0" borderId="4" xfId="12" applyNumberFormat="1"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wrapText="1"/>
    </xf>
    <xf numFmtId="9" fontId="2" fillId="0" borderId="4" xfId="2" applyFont="1" applyBorder="1" applyAlignment="1">
      <alignment horizontal="center" vertical="center"/>
    </xf>
    <xf numFmtId="1" fontId="2" fillId="0" borderId="13" xfId="0" applyNumberFormat="1" applyFont="1" applyBorder="1" applyAlignment="1">
      <alignment horizontal="center" vertical="center"/>
    </xf>
    <xf numFmtId="1" fontId="2" fillId="0" borderId="14" xfId="0" applyNumberFormat="1" applyFont="1" applyBorder="1" applyAlignment="1">
      <alignment horizontal="center" vertical="center"/>
    </xf>
    <xf numFmtId="1" fontId="2" fillId="0" borderId="4" xfId="0" applyNumberFormat="1" applyFont="1" applyBorder="1" applyAlignment="1">
      <alignment horizontal="center" vertical="center"/>
    </xf>
    <xf numFmtId="0" fontId="2" fillId="0" borderId="20" xfId="12" applyNumberFormat="1" applyFont="1" applyBorder="1" applyAlignment="1">
      <alignment horizontal="center" vertical="center"/>
    </xf>
    <xf numFmtId="0" fontId="2" fillId="0" borderId="18" xfId="12" applyNumberFormat="1" applyFont="1" applyBorder="1" applyAlignment="1">
      <alignment horizontal="center" vertical="center"/>
    </xf>
    <xf numFmtId="172" fontId="2" fillId="0" borderId="1" xfId="0" applyNumberFormat="1" applyFont="1" applyBorder="1" applyAlignment="1">
      <alignment horizontal="center" vertical="center"/>
    </xf>
    <xf numFmtId="1" fontId="2"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xf>
    <xf numFmtId="0" fontId="4" fillId="0" borderId="17" xfId="4" applyNumberFormat="1" applyFont="1" applyFill="1" applyBorder="1" applyAlignment="1">
      <alignment horizontal="justify" vertical="center" wrapText="1"/>
    </xf>
    <xf numFmtId="172" fontId="2" fillId="0" borderId="30" xfId="0" applyNumberFormat="1" applyFont="1" applyBorder="1" applyAlignment="1">
      <alignment horizontal="center" vertical="center"/>
    </xf>
    <xf numFmtId="172" fontId="2" fillId="0" borderId="19" xfId="0" applyNumberFormat="1" applyFont="1" applyBorder="1" applyAlignment="1">
      <alignment horizontal="center" vertical="center"/>
    </xf>
    <xf numFmtId="172" fontId="2" fillId="0" borderId="26" xfId="0" applyNumberFormat="1" applyFont="1" applyBorder="1" applyAlignment="1">
      <alignment horizontal="center" vertical="center"/>
    </xf>
    <xf numFmtId="172" fontId="2" fillId="0" borderId="23" xfId="0" applyNumberFormat="1" applyFont="1" applyBorder="1" applyAlignment="1">
      <alignment horizontal="center" vertical="center"/>
    </xf>
    <xf numFmtId="0" fontId="2" fillId="0" borderId="17" xfId="12" applyNumberFormat="1" applyFont="1" applyBorder="1" applyAlignment="1">
      <alignment horizontal="center" vertical="center" wrapText="1"/>
    </xf>
    <xf numFmtId="0" fontId="2" fillId="0" borderId="19" xfId="12" applyNumberFormat="1" applyFont="1" applyBorder="1" applyAlignment="1">
      <alignment horizontal="center" vertical="center" wrapText="1"/>
    </xf>
    <xf numFmtId="9" fontId="2" fillId="2" borderId="27" xfId="2" applyFont="1" applyFill="1" applyBorder="1" applyAlignment="1">
      <alignment horizontal="center" vertical="center"/>
    </xf>
    <xf numFmtId="9" fontId="2" fillId="2" borderId="26" xfId="2" applyFont="1" applyFill="1" applyBorder="1" applyAlignment="1">
      <alignment horizontal="center" vertical="center"/>
    </xf>
    <xf numFmtId="9" fontId="2" fillId="2" borderId="35" xfId="2" applyFont="1" applyFill="1" applyBorder="1" applyAlignment="1">
      <alignment horizontal="center" vertical="center"/>
    </xf>
    <xf numFmtId="179" fontId="2" fillId="0" borderId="1" xfId="15" applyNumberFormat="1"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9" fontId="2" fillId="0" borderId="17" xfId="2" applyFont="1" applyBorder="1" applyAlignment="1">
      <alignment horizontal="center" vertical="center"/>
    </xf>
    <xf numFmtId="172" fontId="2" fillId="0" borderId="1" xfId="0" applyNumberFormat="1" applyFont="1" applyBorder="1" applyAlignment="1">
      <alignment horizontal="center" vertical="center" wrapText="1"/>
    </xf>
    <xf numFmtId="179" fontId="4" fillId="0" borderId="17" xfId="15" applyNumberFormat="1" applyFont="1" applyBorder="1" applyAlignment="1">
      <alignment horizontal="center" vertical="center"/>
    </xf>
    <xf numFmtId="0" fontId="2" fillId="2" borderId="44" xfId="0" applyFont="1" applyFill="1" applyBorder="1" applyAlignment="1">
      <alignment horizontal="justify" vertical="center" wrapText="1"/>
    </xf>
    <xf numFmtId="0" fontId="2" fillId="2" borderId="18" xfId="0" applyFont="1" applyFill="1" applyBorder="1" applyAlignment="1">
      <alignment horizontal="justify" vertical="center" wrapText="1"/>
    </xf>
    <xf numFmtId="0" fontId="2" fillId="2" borderId="28" xfId="0" applyFont="1" applyFill="1" applyBorder="1" applyAlignment="1">
      <alignment horizontal="justify"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179" fontId="13" fillId="0" borderId="13" xfId="15" applyNumberFormat="1" applyFont="1" applyBorder="1" applyAlignment="1">
      <alignment horizontal="center" vertical="center"/>
    </xf>
    <xf numFmtId="179" fontId="13" fillId="0" borderId="14" xfId="15" applyNumberFormat="1" applyFont="1" applyBorder="1" applyAlignment="1">
      <alignment horizontal="center" vertical="center"/>
    </xf>
    <xf numFmtId="179" fontId="13" fillId="0" borderId="4" xfId="15" applyNumberFormat="1" applyFont="1" applyBorder="1" applyAlignment="1">
      <alignment horizontal="center" vertical="center"/>
    </xf>
    <xf numFmtId="0" fontId="2" fillId="0" borderId="0" xfId="0" applyFont="1" applyAlignment="1">
      <alignment horizontal="center" vertical="center"/>
    </xf>
    <xf numFmtId="9" fontId="2" fillId="2" borderId="13" xfId="2" applyFont="1" applyFill="1" applyBorder="1" applyAlignment="1">
      <alignment horizontal="center" vertical="center"/>
    </xf>
    <xf numFmtId="9" fontId="2" fillId="2" borderId="14" xfId="2" applyFont="1" applyFill="1" applyBorder="1" applyAlignment="1">
      <alignment horizontal="center" vertical="center"/>
    </xf>
    <xf numFmtId="9" fontId="2" fillId="2" borderId="4" xfId="2" applyFont="1" applyFill="1" applyBorder="1" applyAlignment="1">
      <alignment horizontal="center" vertical="center"/>
    </xf>
    <xf numFmtId="179" fontId="4" fillId="0" borderId="13" xfId="15" applyNumberFormat="1" applyFont="1" applyBorder="1" applyAlignment="1">
      <alignment horizontal="center" vertical="center"/>
    </xf>
    <xf numFmtId="179" fontId="4" fillId="0" borderId="14" xfId="15" applyNumberFormat="1" applyFont="1" applyBorder="1" applyAlignment="1">
      <alignment horizontal="center" vertical="center"/>
    </xf>
    <xf numFmtId="179" fontId="4" fillId="0" borderId="4" xfId="15" applyNumberFormat="1" applyFont="1" applyBorder="1" applyAlignment="1">
      <alignment horizontal="center" vertical="center"/>
    </xf>
    <xf numFmtId="0" fontId="2" fillId="2" borderId="5"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4" fillId="0" borderId="17" xfId="17" applyNumberFormat="1" applyFont="1" applyFill="1" applyBorder="1" applyAlignment="1">
      <alignment horizontal="center" vertical="center" wrapText="1"/>
    </xf>
    <xf numFmtId="0" fontId="4" fillId="0" borderId="7" xfId="17" applyNumberFormat="1" applyFont="1" applyFill="1" applyBorder="1" applyAlignment="1">
      <alignment horizontal="center" vertical="center" wrapText="1"/>
    </xf>
    <xf numFmtId="0" fontId="4" fillId="0" borderId="3" xfId="17" applyNumberFormat="1" applyFont="1" applyFill="1" applyBorder="1" applyAlignment="1">
      <alignment horizontal="center" vertical="center" wrapText="1"/>
    </xf>
    <xf numFmtId="0" fontId="4" fillId="0" borderId="15" xfId="17" applyNumberFormat="1" applyFont="1" applyFill="1" applyBorder="1" applyAlignment="1">
      <alignment horizontal="center" vertical="center" wrapText="1"/>
    </xf>
    <xf numFmtId="0" fontId="4" fillId="2" borderId="13" xfId="4" applyNumberFormat="1" applyFont="1" applyFill="1" applyBorder="1" applyAlignment="1">
      <alignment horizontal="justify" vertical="center" wrapText="1"/>
    </xf>
    <xf numFmtId="0" fontId="4" fillId="2" borderId="14" xfId="4" applyNumberFormat="1" applyFont="1" applyFill="1" applyBorder="1" applyAlignment="1">
      <alignment horizontal="justify" vertical="center" wrapText="1"/>
    </xf>
    <xf numFmtId="0" fontId="4" fillId="2" borderId="4" xfId="4" applyNumberFormat="1" applyFont="1" applyFill="1" applyBorder="1" applyAlignment="1">
      <alignment horizontal="justify" vertical="center" wrapText="1"/>
    </xf>
    <xf numFmtId="0" fontId="2" fillId="2" borderId="4" xfId="0" applyFont="1" applyFill="1" applyBorder="1" applyAlignment="1">
      <alignment horizontal="center" vertical="center"/>
    </xf>
    <xf numFmtId="0" fontId="4" fillId="0" borderId="30" xfId="17" applyNumberFormat="1" applyFont="1" applyBorder="1" applyAlignment="1">
      <alignment horizontal="center" vertical="center" wrapText="1"/>
    </xf>
    <xf numFmtId="0" fontId="4" fillId="0" borderId="25" xfId="17" applyNumberFormat="1" applyFont="1" applyBorder="1" applyAlignment="1">
      <alignment horizontal="center" vertical="center" wrapText="1"/>
    </xf>
    <xf numFmtId="179" fontId="34" fillId="0" borderId="13" xfId="15" applyNumberFormat="1" applyFont="1" applyFill="1" applyBorder="1" applyAlignment="1">
      <alignment horizontal="center" vertical="center"/>
    </xf>
    <xf numFmtId="179" fontId="34" fillId="0" borderId="14" xfId="15" applyNumberFormat="1" applyFont="1" applyFill="1" applyBorder="1" applyAlignment="1">
      <alignment horizontal="center" vertical="center"/>
    </xf>
    <xf numFmtId="179" fontId="34" fillId="0" borderId="4" xfId="15" applyNumberFormat="1" applyFont="1" applyFill="1" applyBorder="1" applyAlignment="1">
      <alignment horizontal="center" vertical="center"/>
    </xf>
    <xf numFmtId="1" fontId="2" fillId="2" borderId="65" xfId="0" applyNumberFormat="1" applyFont="1" applyFill="1" applyBorder="1" applyAlignment="1">
      <alignment horizontal="center" vertical="center" wrapText="1"/>
    </xf>
    <xf numFmtId="1" fontId="2" fillId="2" borderId="37" xfId="0" applyNumberFormat="1" applyFont="1" applyFill="1" applyBorder="1" applyAlignment="1">
      <alignment horizontal="center" vertical="center" wrapText="1"/>
    </xf>
    <xf numFmtId="1" fontId="2" fillId="2" borderId="36" xfId="0" applyNumberFormat="1" applyFont="1" applyFill="1" applyBorder="1" applyAlignment="1">
      <alignment horizontal="center" vertical="center" wrapText="1"/>
    </xf>
    <xf numFmtId="0" fontId="2" fillId="2" borderId="30" xfId="0" applyFont="1" applyFill="1" applyBorder="1" applyAlignment="1">
      <alignment horizontal="justify" vertical="center" wrapText="1"/>
    </xf>
    <xf numFmtId="10" fontId="2" fillId="2" borderId="25" xfId="2" applyNumberFormat="1" applyFont="1" applyFill="1" applyBorder="1" applyAlignment="1">
      <alignment horizontal="center" vertical="center"/>
    </xf>
    <xf numFmtId="179" fontId="4" fillId="0" borderId="70" xfId="15" applyNumberFormat="1" applyFont="1" applyBorder="1" applyAlignment="1">
      <alignment horizontal="center" vertical="center"/>
    </xf>
    <xf numFmtId="179" fontId="4" fillId="0" borderId="71" xfId="15" applyNumberFormat="1" applyFont="1" applyBorder="1" applyAlignment="1">
      <alignment horizontal="center" vertical="center"/>
    </xf>
    <xf numFmtId="179" fontId="4" fillId="0" borderId="72" xfId="15" applyNumberFormat="1" applyFont="1" applyBorder="1" applyAlignment="1">
      <alignment horizontal="center" vertical="center"/>
    </xf>
    <xf numFmtId="0" fontId="4" fillId="0" borderId="21"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17" xfId="17" applyNumberFormat="1" applyFont="1" applyBorder="1" applyAlignment="1">
      <alignment horizontal="center" vertical="center" wrapText="1"/>
    </xf>
    <xf numFmtId="0" fontId="4" fillId="0" borderId="44" xfId="0" applyFont="1" applyBorder="1" applyAlignment="1">
      <alignment horizontal="center" vertical="center"/>
    </xf>
    <xf numFmtId="0" fontId="4" fillId="0" borderId="22" xfId="0" applyFont="1" applyBorder="1" applyAlignment="1">
      <alignment horizontal="center" vertical="center"/>
    </xf>
    <xf numFmtId="0" fontId="2" fillId="2" borderId="4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4" fillId="2" borderId="32" xfId="0" applyFont="1" applyFill="1" applyBorder="1" applyAlignment="1">
      <alignment horizontal="justify" vertical="center" wrapText="1"/>
    </xf>
    <xf numFmtId="0" fontId="2" fillId="0" borderId="1" xfId="0" applyFont="1" applyBorder="1" applyAlignment="1">
      <alignment horizontal="center" vertical="center"/>
    </xf>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4" xfId="0" applyFont="1" applyBorder="1" applyAlignment="1">
      <alignment horizontal="justify" vertical="center" wrapText="1"/>
    </xf>
    <xf numFmtId="0" fontId="4" fillId="0" borderId="18" xfId="0" applyFont="1" applyBorder="1" applyAlignment="1">
      <alignment horizontal="justify" vertical="center" wrapText="1"/>
    </xf>
    <xf numFmtId="0" fontId="4" fillId="0" borderId="35" xfId="0" applyFont="1" applyBorder="1" applyAlignment="1">
      <alignment horizontal="justify" vertical="center" wrapText="1"/>
    </xf>
    <xf numFmtId="10" fontId="2" fillId="2" borderId="17" xfId="2" applyNumberFormat="1" applyFont="1" applyFill="1" applyBorder="1" applyAlignment="1">
      <alignment horizontal="center" vertical="center"/>
    </xf>
    <xf numFmtId="179" fontId="4" fillId="0" borderId="19" xfId="15" applyNumberFormat="1" applyFont="1" applyBorder="1" applyAlignment="1">
      <alignment horizontal="center" vertical="center"/>
    </xf>
    <xf numFmtId="179" fontId="4" fillId="0" borderId="26" xfId="15" applyNumberFormat="1" applyFont="1" applyBorder="1" applyAlignment="1">
      <alignment horizontal="center" vertical="center"/>
    </xf>
    <xf numFmtId="179" fontId="4" fillId="0" borderId="23" xfId="15" applyNumberFormat="1" applyFont="1" applyBorder="1" applyAlignment="1">
      <alignment horizontal="center" vertical="center"/>
    </xf>
    <xf numFmtId="0" fontId="4" fillId="0" borderId="30" xfId="4" applyNumberFormat="1" applyFont="1" applyFill="1" applyBorder="1">
      <alignment horizontal="center" vertical="center" wrapText="1"/>
    </xf>
    <xf numFmtId="0" fontId="4" fillId="0" borderId="21" xfId="4" applyNumberFormat="1" applyFont="1" applyFill="1" applyBorder="1">
      <alignment horizontal="center" vertical="center" wrapText="1"/>
    </xf>
    <xf numFmtId="0" fontId="4" fillId="0" borderId="24" xfId="4" applyNumberFormat="1" applyFont="1" applyFill="1" applyBorder="1">
      <alignment horizontal="center" vertical="center" wrapText="1"/>
    </xf>
    <xf numFmtId="0" fontId="4" fillId="0" borderId="29" xfId="4" applyNumberFormat="1" applyFont="1" applyFill="1" applyBorder="1">
      <alignment horizontal="center" vertical="center" wrapText="1"/>
    </xf>
    <xf numFmtId="167" fontId="4" fillId="0" borderId="19" xfId="4" applyFont="1" applyFill="1" applyBorder="1" applyAlignment="1">
      <alignment horizontal="justify" vertical="center" wrapText="1"/>
    </xf>
    <xf numFmtId="167" fontId="4" fillId="0" borderId="26" xfId="4" applyFont="1" applyFill="1" applyBorder="1" applyAlignment="1">
      <alignment horizontal="justify" vertical="center" wrapText="1"/>
    </xf>
    <xf numFmtId="167" fontId="4" fillId="0" borderId="23" xfId="4" applyFont="1" applyFill="1" applyBorder="1" applyAlignment="1">
      <alignment horizontal="justify" vertical="center" wrapText="1"/>
    </xf>
    <xf numFmtId="0" fontId="2" fillId="2" borderId="69"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5" xfId="0" applyFont="1" applyFill="1" applyBorder="1" applyAlignment="1">
      <alignment horizontal="center" vertical="center"/>
    </xf>
    <xf numFmtId="10" fontId="2" fillId="2" borderId="20" xfId="2" applyNumberFormat="1" applyFont="1" applyFill="1" applyBorder="1" applyAlignment="1">
      <alignment horizontal="center" vertical="center"/>
    </xf>
    <xf numFmtId="10" fontId="2" fillId="2" borderId="18" xfId="2" applyNumberFormat="1" applyFont="1" applyFill="1" applyBorder="1" applyAlignment="1">
      <alignment horizontal="center" vertical="center"/>
    </xf>
    <xf numFmtId="10" fontId="2" fillId="2" borderId="22" xfId="2" applyNumberFormat="1" applyFont="1" applyFill="1" applyBorder="1" applyAlignment="1">
      <alignment horizontal="center" vertical="center"/>
    </xf>
    <xf numFmtId="167" fontId="4" fillId="0" borderId="33" xfId="4" applyFont="1" applyFill="1" applyBorder="1" applyAlignment="1">
      <alignment horizontal="justify" vertical="center" wrapText="1"/>
    </xf>
    <xf numFmtId="167" fontId="4" fillId="0" borderId="0" xfId="4" applyFont="1" applyFill="1" applyBorder="1" applyAlignment="1">
      <alignment horizontal="justify" vertical="center" wrapText="1"/>
    </xf>
    <xf numFmtId="167" fontId="4" fillId="0" borderId="29" xfId="4" applyFont="1" applyFill="1" applyBorder="1" applyAlignment="1">
      <alignment horizontal="justify" vertical="center" wrapText="1"/>
    </xf>
    <xf numFmtId="0" fontId="4" fillId="0" borderId="17" xfId="4" applyNumberFormat="1" applyFont="1" applyFill="1" applyBorder="1">
      <alignment horizontal="center" vertical="center" wrapText="1"/>
    </xf>
    <xf numFmtId="9" fontId="2" fillId="0" borderId="38" xfId="2" applyFont="1" applyBorder="1" applyAlignment="1">
      <alignment horizontal="center" vertical="center"/>
    </xf>
    <xf numFmtId="9" fontId="2" fillId="0" borderId="36" xfId="2" applyFont="1" applyBorder="1" applyAlignment="1">
      <alignment horizontal="center" vertical="center"/>
    </xf>
    <xf numFmtId="1" fontId="2" fillId="0" borderId="43" xfId="0" applyNumberFormat="1" applyFont="1" applyBorder="1" applyAlignment="1">
      <alignment horizontal="center" vertical="center"/>
    </xf>
    <xf numFmtId="1" fontId="2" fillId="0" borderId="42" xfId="0" applyNumberFormat="1" applyFont="1" applyBorder="1" applyAlignment="1">
      <alignment horizontal="center" vertical="center"/>
    </xf>
    <xf numFmtId="173" fontId="2" fillId="2" borderId="1"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0" fontId="37" fillId="0" borderId="0" xfId="0" applyFont="1" applyAlignment="1">
      <alignment horizontal="center" vertical="center" wrapText="1"/>
    </xf>
    <xf numFmtId="0" fontId="37" fillId="0" borderId="3"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5" xfId="0" applyFont="1" applyBorder="1" applyAlignment="1">
      <alignment horizontal="center" vertical="center" wrapText="1"/>
    </xf>
    <xf numFmtId="1" fontId="3" fillId="6" borderId="7" xfId="0" applyNumberFormat="1" applyFont="1" applyFill="1" applyBorder="1" applyAlignment="1">
      <alignment horizontal="center" vertical="center" wrapText="1"/>
    </xf>
    <xf numFmtId="1" fontId="3" fillId="6" borderId="3" xfId="0" applyNumberFormat="1" applyFont="1" applyFill="1" applyBorder="1" applyAlignment="1">
      <alignment horizontal="center" vertical="center" wrapText="1"/>
    </xf>
    <xf numFmtId="1" fontId="3" fillId="6" borderId="15" xfId="0" applyNumberFormat="1" applyFont="1" applyFill="1" applyBorder="1" applyAlignment="1">
      <alignment horizontal="center" vertical="center" wrapText="1"/>
    </xf>
    <xf numFmtId="172" fontId="3" fillId="6" borderId="5" xfId="0" applyNumberFormat="1" applyFont="1" applyFill="1" applyBorder="1" applyAlignment="1">
      <alignment horizontal="center" vertical="center" wrapText="1"/>
    </xf>
    <xf numFmtId="172" fontId="3" fillId="6" borderId="7" xfId="0" applyNumberFormat="1" applyFont="1" applyFill="1" applyBorder="1" applyAlignment="1">
      <alignment horizontal="center" vertical="center" wrapText="1"/>
    </xf>
    <xf numFmtId="172" fontId="3" fillId="6" borderId="8" xfId="0" applyNumberFormat="1" applyFont="1" applyFill="1" applyBorder="1" applyAlignment="1">
      <alignment horizontal="center" vertical="center" wrapText="1"/>
    </xf>
    <xf numFmtId="172" fontId="3" fillId="6" borderId="15" xfId="0" applyNumberFormat="1" applyFont="1" applyFill="1" applyBorder="1" applyAlignment="1">
      <alignment horizontal="center" vertical="center" wrapText="1"/>
    </xf>
    <xf numFmtId="3" fontId="3" fillId="6" borderId="13" xfId="0" applyNumberFormat="1" applyFont="1" applyFill="1" applyBorder="1" applyAlignment="1">
      <alignment horizontal="center" vertical="center" wrapText="1"/>
    </xf>
    <xf numFmtId="3" fontId="3" fillId="6" borderId="14" xfId="0" applyNumberFormat="1" applyFont="1" applyFill="1" applyBorder="1" applyAlignment="1">
      <alignment horizontal="center" vertical="center" wrapText="1"/>
    </xf>
    <xf numFmtId="171" fontId="3" fillId="6" borderId="1" xfId="0" applyNumberFormat="1" applyFont="1" applyFill="1" applyBorder="1" applyAlignment="1">
      <alignment horizontal="center" vertical="center" wrapText="1"/>
    </xf>
    <xf numFmtId="171" fontId="3" fillId="6" borderId="13" xfId="0" applyNumberFormat="1" applyFont="1" applyFill="1" applyBorder="1" applyAlignment="1">
      <alignment horizontal="center" vertical="center" wrapText="1"/>
    </xf>
    <xf numFmtId="171" fontId="3" fillId="6" borderId="4" xfId="0" applyNumberFormat="1" applyFont="1" applyFill="1" applyBorder="1" applyAlignment="1">
      <alignment horizontal="center" vertical="center" wrapText="1"/>
    </xf>
    <xf numFmtId="0" fontId="3" fillId="6" borderId="10" xfId="0" applyFont="1" applyFill="1" applyBorder="1" applyAlignment="1">
      <alignment horizontal="center" vertical="center" textRotation="90" wrapText="1"/>
    </xf>
    <xf numFmtId="0" fontId="3" fillId="6" borderId="12" xfId="0" applyFont="1" applyFill="1" applyBorder="1" applyAlignment="1">
      <alignment horizontal="center" vertical="center" textRotation="90" wrapText="1"/>
    </xf>
    <xf numFmtId="49" fontId="3" fillId="6" borderId="10" xfId="0" applyNumberFormat="1" applyFont="1" applyFill="1" applyBorder="1" applyAlignment="1">
      <alignment horizontal="center" vertical="center" textRotation="90" wrapText="1"/>
    </xf>
    <xf numFmtId="49" fontId="3" fillId="6" borderId="12" xfId="0" applyNumberFormat="1" applyFont="1" applyFill="1" applyBorder="1" applyAlignment="1">
      <alignment horizontal="center" vertical="center" textRotation="90" wrapText="1"/>
    </xf>
    <xf numFmtId="1" fontId="3" fillId="6" borderId="1" xfId="0" applyNumberFormat="1"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5" xfId="0" applyFont="1" applyFill="1" applyBorder="1" applyAlignment="1">
      <alignment horizontal="center" vertical="center" wrapText="1"/>
    </xf>
    <xf numFmtId="171" fontId="3" fillId="6" borderId="11" xfId="0" applyNumberFormat="1" applyFont="1" applyFill="1" applyBorder="1" applyAlignment="1">
      <alignment horizontal="center" vertical="center" wrapText="1"/>
    </xf>
    <xf numFmtId="171" fontId="3" fillId="6" borderId="1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6" xfId="0" applyFont="1" applyFill="1" applyBorder="1" applyAlignment="1">
      <alignment horizontal="center" vertical="center" wrapText="1"/>
    </xf>
    <xf numFmtId="170" fontId="3" fillId="6" borderId="1"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8" xfId="0" applyFont="1" applyFill="1" applyBorder="1" applyAlignment="1">
      <alignment horizontal="center" vertical="center" wrapText="1"/>
    </xf>
    <xf numFmtId="9" fontId="4" fillId="0" borderId="25" xfId="2" applyFont="1" applyFill="1" applyBorder="1" applyAlignment="1">
      <alignment horizontal="center" vertical="center" wrapText="1"/>
    </xf>
    <xf numFmtId="181" fontId="4" fillId="0" borderId="17" xfId="0" applyNumberFormat="1" applyFont="1" applyBorder="1" applyAlignment="1">
      <alignment horizontal="center" vertical="center"/>
    </xf>
    <xf numFmtId="43" fontId="4" fillId="0" borderId="17" xfId="0" applyNumberFormat="1" applyFont="1" applyBorder="1" applyAlignment="1">
      <alignment horizontal="center" vertical="center"/>
    </xf>
    <xf numFmtId="3" fontId="4" fillId="0" borderId="25" xfId="0" applyNumberFormat="1" applyFont="1" applyBorder="1" applyAlignment="1">
      <alignment horizontal="justify" vertical="center" wrapText="1"/>
    </xf>
    <xf numFmtId="3" fontId="4" fillId="0" borderId="17" xfId="0" applyNumberFormat="1" applyFont="1" applyBorder="1" applyAlignment="1">
      <alignment horizontal="left" vertical="center" wrapText="1"/>
    </xf>
    <xf numFmtId="1" fontId="4" fillId="2" borderId="13" xfId="0" applyNumberFormat="1" applyFont="1" applyFill="1" applyBorder="1" applyAlignment="1">
      <alignment horizontal="justify" vertical="center" wrapText="1"/>
    </xf>
    <xf numFmtId="1" fontId="4" fillId="2" borderId="14" xfId="0" applyNumberFormat="1" applyFont="1" applyFill="1" applyBorder="1" applyAlignment="1">
      <alignment horizontal="justify" vertical="center" wrapText="1"/>
    </xf>
    <xf numFmtId="172" fontId="4" fillId="0" borderId="13" xfId="0" applyNumberFormat="1" applyFont="1" applyBorder="1" applyAlignment="1">
      <alignment horizontal="center" vertical="center"/>
    </xf>
    <xf numFmtId="172" fontId="4" fillId="0" borderId="14" xfId="0" applyNumberFormat="1" applyFont="1" applyBorder="1" applyAlignment="1">
      <alignment horizontal="center" vertical="center"/>
    </xf>
    <xf numFmtId="1" fontId="4" fillId="2" borderId="13" xfId="0" applyNumberFormat="1" applyFont="1" applyFill="1" applyBorder="1" applyAlignment="1">
      <alignment horizontal="center" vertical="center" wrapText="1"/>
    </xf>
    <xf numFmtId="1" fontId="4" fillId="2" borderId="14" xfId="0" applyNumberFormat="1" applyFont="1" applyFill="1" applyBorder="1" applyAlignment="1">
      <alignment horizontal="center" vertical="center" wrapText="1"/>
    </xf>
    <xf numFmtId="1" fontId="4" fillId="2" borderId="43" xfId="0" applyNumberFormat="1" applyFont="1" applyFill="1" applyBorder="1" applyAlignment="1">
      <alignment horizontal="center" vertical="center" wrapText="1"/>
    </xf>
    <xf numFmtId="1" fontId="4" fillId="2" borderId="41" xfId="0" applyNumberFormat="1" applyFont="1" applyFill="1" applyBorder="1" applyAlignment="1">
      <alignment horizontal="center" vertical="center" wrapText="1"/>
    </xf>
    <xf numFmtId="179" fontId="4" fillId="2" borderId="13" xfId="15" applyNumberFormat="1" applyFont="1" applyFill="1" applyBorder="1" applyAlignment="1">
      <alignment horizontal="center" vertical="center" wrapText="1"/>
    </xf>
    <xf numFmtId="179" fontId="4" fillId="2" borderId="14" xfId="15" applyNumberFormat="1" applyFont="1" applyFill="1" applyBorder="1" applyAlignment="1">
      <alignment horizontal="center" vertical="center" wrapText="1"/>
    </xf>
    <xf numFmtId="9" fontId="4" fillId="2" borderId="13" xfId="2" applyFont="1" applyFill="1" applyBorder="1" applyAlignment="1">
      <alignment horizontal="center" vertical="center" wrapText="1"/>
    </xf>
    <xf numFmtId="9" fontId="4" fillId="2" borderId="14" xfId="2" applyFont="1" applyFill="1" applyBorder="1" applyAlignment="1">
      <alignment horizontal="center" vertical="center" wrapText="1"/>
    </xf>
    <xf numFmtId="1" fontId="4" fillId="2" borderId="62" xfId="0" applyNumberFormat="1" applyFont="1" applyFill="1" applyBorder="1" applyAlignment="1">
      <alignment horizontal="center" vertical="center" wrapText="1"/>
    </xf>
    <xf numFmtId="3" fontId="4" fillId="0" borderId="17" xfId="0" applyNumberFormat="1" applyFont="1" applyBorder="1" applyAlignment="1">
      <alignment horizontal="justify" vertical="center" wrapText="1"/>
    </xf>
    <xf numFmtId="1" fontId="4" fillId="2" borderId="17" xfId="15" applyNumberFormat="1" applyFont="1" applyFill="1" applyBorder="1" applyAlignment="1">
      <alignment horizontal="center" vertical="center" wrapText="1"/>
    </xf>
    <xf numFmtId="1" fontId="4" fillId="2" borderId="19" xfId="15" applyNumberFormat="1" applyFont="1" applyFill="1" applyBorder="1" applyAlignment="1">
      <alignment horizontal="center" vertical="center" wrapText="1"/>
    </xf>
    <xf numFmtId="1" fontId="4" fillId="2" borderId="23" xfId="15" applyNumberFormat="1" applyFont="1" applyFill="1" applyBorder="1" applyAlignment="1">
      <alignment horizontal="center" vertical="center" wrapText="1"/>
    </xf>
    <xf numFmtId="9" fontId="4" fillId="0" borderId="17" xfId="2" applyFont="1" applyFill="1" applyBorder="1" applyAlignment="1">
      <alignment horizontal="center" vertical="center"/>
    </xf>
    <xf numFmtId="9" fontId="4" fillId="0" borderId="17" xfId="2"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3" xfId="0" applyFont="1" applyBorder="1" applyAlignment="1">
      <alignment horizontal="left" vertical="center" wrapText="1"/>
    </xf>
    <xf numFmtId="1" fontId="4" fillId="2" borderId="65" xfId="0" applyNumberFormat="1" applyFont="1" applyFill="1" applyBorder="1" applyAlignment="1">
      <alignment horizontal="center" vertical="center" wrapText="1"/>
    </xf>
    <xf numFmtId="1" fontId="4" fillId="2" borderId="37" xfId="0" applyNumberFormat="1" applyFont="1" applyFill="1" applyBorder="1" applyAlignment="1">
      <alignment horizontal="center" vertical="center" wrapText="1"/>
    </xf>
    <xf numFmtId="1" fontId="4" fillId="2" borderId="43" xfId="0" applyNumberFormat="1" applyFont="1" applyFill="1" applyBorder="1" applyAlignment="1">
      <alignment horizontal="justify" vertical="center" wrapText="1"/>
    </xf>
    <xf numFmtId="1" fontId="4" fillId="2" borderId="41" xfId="0" applyNumberFormat="1" applyFont="1" applyFill="1" applyBorder="1" applyAlignment="1">
      <alignment horizontal="justify" vertical="center" wrapText="1"/>
    </xf>
    <xf numFmtId="1" fontId="4" fillId="2" borderId="43" xfId="15" applyNumberFormat="1" applyFont="1" applyFill="1" applyBorder="1" applyAlignment="1">
      <alignment horizontal="center" vertical="center" wrapText="1"/>
    </xf>
    <xf numFmtId="1" fontId="4" fillId="2" borderId="41" xfId="15" applyNumberFormat="1" applyFont="1" applyFill="1" applyBorder="1" applyAlignment="1">
      <alignment horizontal="center" vertical="center" wrapText="1"/>
    </xf>
    <xf numFmtId="1" fontId="4" fillId="2" borderId="26" xfId="15" applyNumberFormat="1" applyFont="1" applyFill="1" applyBorder="1" applyAlignment="1">
      <alignment horizontal="center" vertical="center" wrapText="1"/>
    </xf>
    <xf numFmtId="1" fontId="4" fillId="2" borderId="73" xfId="0" applyNumberFormat="1" applyFont="1" applyFill="1" applyBorder="1" applyAlignment="1">
      <alignment horizontal="center" vertical="center" wrapText="1"/>
    </xf>
    <xf numFmtId="1" fontId="4" fillId="2" borderId="69" xfId="0" applyNumberFormat="1" applyFont="1" applyFill="1" applyBorder="1" applyAlignment="1">
      <alignment horizontal="center" vertical="center" wrapText="1"/>
    </xf>
    <xf numFmtId="0" fontId="4" fillId="0" borderId="30" xfId="17"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1" fontId="4" fillId="2" borderId="38" xfId="0" applyNumberFormat="1" applyFont="1" applyFill="1" applyBorder="1" applyAlignment="1">
      <alignment horizontal="center" vertical="center" wrapText="1"/>
    </xf>
    <xf numFmtId="1" fontId="4" fillId="2" borderId="25" xfId="15" applyNumberFormat="1" applyFont="1" applyFill="1" applyBorder="1" applyAlignment="1">
      <alignment horizontal="center" vertical="center" wrapText="1"/>
    </xf>
    <xf numFmtId="179" fontId="4" fillId="2" borderId="43" xfId="15" applyNumberFormat="1" applyFont="1" applyFill="1" applyBorder="1" applyAlignment="1">
      <alignment horizontal="center" vertical="center" wrapText="1"/>
    </xf>
    <xf numFmtId="179" fontId="4" fillId="2" borderId="41" xfId="15" applyNumberFormat="1" applyFont="1" applyFill="1" applyBorder="1" applyAlignment="1">
      <alignment horizontal="center" vertical="center" wrapText="1"/>
    </xf>
    <xf numFmtId="179" fontId="4" fillId="2" borderId="13" xfId="2" applyNumberFormat="1" applyFont="1" applyFill="1" applyBorder="1" applyAlignment="1">
      <alignment horizontal="center" vertical="center" wrapText="1"/>
    </xf>
    <xf numFmtId="179" fontId="4" fillId="2" borderId="14" xfId="2" applyNumberFormat="1" applyFont="1" applyFill="1" applyBorder="1" applyAlignment="1">
      <alignment horizontal="center" vertical="center" wrapText="1"/>
    </xf>
    <xf numFmtId="1" fontId="4" fillId="0" borderId="38" xfId="0" applyNumberFormat="1" applyFont="1" applyBorder="1" applyAlignment="1">
      <alignment horizontal="center" vertical="center" wrapText="1"/>
    </xf>
    <xf numFmtId="1" fontId="4" fillId="0" borderId="37" xfId="0" applyNumberFormat="1"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15" xfId="0" applyFont="1" applyFill="1" applyBorder="1" applyAlignment="1">
      <alignment horizontal="center" vertical="center" wrapText="1"/>
    </xf>
    <xf numFmtId="1" fontId="4" fillId="0" borderId="65" xfId="0" applyNumberFormat="1" applyFont="1" applyBorder="1" applyAlignment="1">
      <alignment horizontal="center" vertical="center" wrapText="1"/>
    </xf>
    <xf numFmtId="172" fontId="4" fillId="0" borderId="43" xfId="0" applyNumberFormat="1" applyFont="1" applyBorder="1" applyAlignment="1">
      <alignment horizontal="justify" vertical="center" wrapText="1"/>
    </xf>
    <xf numFmtId="172" fontId="4" fillId="0" borderId="41" xfId="0" applyNumberFormat="1" applyFont="1" applyBorder="1" applyAlignment="1">
      <alignment horizontal="justify" vertical="center" wrapText="1"/>
    </xf>
    <xf numFmtId="0" fontId="4" fillId="2" borderId="14" xfId="0" applyFont="1" applyFill="1" applyBorder="1" applyAlignment="1">
      <alignment horizontal="justify" vertical="center" wrapText="1"/>
    </xf>
    <xf numFmtId="9" fontId="4" fillId="0" borderId="13" xfId="2" applyFont="1" applyFill="1" applyBorder="1" applyAlignment="1">
      <alignment horizontal="center" vertical="center" wrapText="1"/>
    </xf>
    <xf numFmtId="9" fontId="4" fillId="0" borderId="14" xfId="2" applyFont="1" applyFill="1" applyBorder="1" applyAlignment="1">
      <alignment horizontal="center" vertical="center" wrapText="1"/>
    </xf>
    <xf numFmtId="9" fontId="4" fillId="0" borderId="4" xfId="2" applyFont="1" applyFill="1" applyBorder="1" applyAlignment="1">
      <alignment horizontal="center" vertical="center" wrapText="1"/>
    </xf>
    <xf numFmtId="181" fontId="4" fillId="0" borderId="13" xfId="0" applyNumberFormat="1" applyFont="1" applyBorder="1" applyAlignment="1">
      <alignment horizontal="center" vertical="center"/>
    </xf>
    <xf numFmtId="43" fontId="4" fillId="0" borderId="14" xfId="0" applyNumberFormat="1" applyFont="1" applyBorder="1" applyAlignment="1">
      <alignment horizontal="center" vertical="center"/>
    </xf>
    <xf numFmtId="43" fontId="4" fillId="2" borderId="14" xfId="0" applyNumberFormat="1" applyFont="1" applyFill="1" applyBorder="1" applyAlignment="1">
      <alignment horizontal="center" vertical="center"/>
    </xf>
    <xf numFmtId="0" fontId="4" fillId="0" borderId="13" xfId="4" applyNumberFormat="1" applyFont="1" applyFill="1" applyBorder="1">
      <alignment horizontal="center" vertical="center" wrapText="1"/>
    </xf>
    <xf numFmtId="0" fontId="4" fillId="0" borderId="14" xfId="4" applyNumberFormat="1" applyFont="1" applyFill="1" applyBorder="1">
      <alignment horizontal="center" vertical="center" wrapText="1"/>
    </xf>
    <xf numFmtId="0" fontId="4" fillId="0" borderId="4" xfId="4" applyNumberFormat="1" applyFont="1" applyFill="1" applyBorder="1">
      <alignment horizontal="center" vertical="center" wrapText="1"/>
    </xf>
    <xf numFmtId="0" fontId="4" fillId="2" borderId="13" xfId="0" applyFont="1" applyFill="1" applyBorder="1" applyAlignment="1">
      <alignment horizontal="justify" vertical="center" wrapText="1"/>
    </xf>
    <xf numFmtId="0" fontId="4" fillId="2" borderId="4" xfId="0" applyFont="1" applyFill="1" applyBorder="1" applyAlignment="1">
      <alignment horizontal="justify" vertical="center" wrapText="1"/>
    </xf>
    <xf numFmtId="9" fontId="4" fillId="2" borderId="17" xfId="2" applyFont="1" applyFill="1" applyBorder="1" applyAlignment="1">
      <alignment horizontal="center" vertical="center" wrapText="1"/>
    </xf>
    <xf numFmtId="181" fontId="4" fillId="2" borderId="17" xfId="0" applyNumberFormat="1" applyFont="1" applyFill="1" applyBorder="1" applyAlignment="1">
      <alignment horizontal="center" vertical="center"/>
    </xf>
    <xf numFmtId="43" fontId="4" fillId="2" borderId="17" xfId="0" applyNumberFormat="1" applyFont="1" applyFill="1" applyBorder="1" applyAlignment="1">
      <alignment horizontal="center" vertical="center"/>
    </xf>
    <xf numFmtId="3" fontId="4" fillId="2" borderId="17" xfId="0" applyNumberFormat="1" applyFont="1" applyFill="1" applyBorder="1" applyAlignment="1">
      <alignment horizontal="justify" vertical="center" wrapText="1"/>
    </xf>
    <xf numFmtId="1" fontId="4" fillId="2" borderId="13" xfId="0" applyNumberFormat="1" applyFont="1" applyFill="1" applyBorder="1" applyAlignment="1">
      <alignment vertical="center" wrapText="1"/>
    </xf>
    <xf numFmtId="1" fontId="4" fillId="2" borderId="14" xfId="0" applyNumberFormat="1" applyFont="1" applyFill="1" applyBorder="1" applyAlignment="1">
      <alignment vertical="center" wrapText="1"/>
    </xf>
    <xf numFmtId="3" fontId="4" fillId="0" borderId="13" xfId="0" applyNumberFormat="1" applyFont="1" applyBorder="1" applyAlignment="1">
      <alignment horizontal="justify" vertical="center" wrapText="1"/>
    </xf>
    <xf numFmtId="3" fontId="4" fillId="0" borderId="14" xfId="0" applyNumberFormat="1" applyFont="1" applyBorder="1" applyAlignment="1">
      <alignment horizontal="justify" vertical="center" wrapText="1"/>
    </xf>
    <xf numFmtId="3" fontId="4" fillId="2" borderId="14" xfId="0" applyNumberFormat="1" applyFont="1" applyFill="1" applyBorder="1" applyAlignment="1">
      <alignment horizontal="justify" vertical="center" wrapText="1"/>
    </xf>
    <xf numFmtId="3" fontId="4" fillId="2" borderId="2" xfId="0" applyNumberFormat="1" applyFont="1" applyFill="1" applyBorder="1" applyAlignment="1">
      <alignment horizontal="justify" vertical="center" wrapText="1"/>
    </xf>
    <xf numFmtId="3" fontId="4" fillId="0" borderId="2" xfId="0" applyNumberFormat="1" applyFont="1" applyBorder="1" applyAlignment="1">
      <alignment horizontal="justify" vertical="center" wrapText="1"/>
    </xf>
    <xf numFmtId="0" fontId="4" fillId="2" borderId="8" xfId="0" applyFont="1" applyFill="1" applyBorder="1" applyAlignment="1">
      <alignment horizontal="justify" vertical="center" wrapText="1"/>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2" borderId="38" xfId="0" applyFont="1" applyFill="1" applyBorder="1" applyAlignment="1">
      <alignment horizontal="justify" vertical="center" wrapText="1"/>
    </xf>
    <xf numFmtId="0" fontId="4" fillId="2" borderId="36" xfId="0" applyFont="1" applyFill="1" applyBorder="1" applyAlignment="1">
      <alignment horizontal="justify" vertical="center" wrapText="1"/>
    </xf>
    <xf numFmtId="0" fontId="4" fillId="2" borderId="25" xfId="0" applyFont="1" applyFill="1" applyBorder="1" applyAlignment="1">
      <alignment horizontal="justify" vertical="center" wrapText="1"/>
    </xf>
    <xf numFmtId="179" fontId="4" fillId="2" borderId="13" xfId="0" applyNumberFormat="1" applyFont="1" applyFill="1" applyBorder="1" applyAlignment="1">
      <alignment horizontal="center" vertical="center" wrapText="1"/>
    </xf>
    <xf numFmtId="179" fontId="4" fillId="2" borderId="14" xfId="0" applyNumberFormat="1" applyFont="1" applyFill="1" applyBorder="1" applyAlignment="1">
      <alignment horizontal="center" vertical="center" wrapText="1"/>
    </xf>
    <xf numFmtId="1" fontId="4" fillId="0" borderId="13" xfId="0" applyNumberFormat="1" applyFont="1" applyBorder="1" applyAlignment="1">
      <alignment horizontal="center" vertical="center" wrapText="1"/>
    </xf>
    <xf numFmtId="1" fontId="4" fillId="0" borderId="14" xfId="0" applyNumberFormat="1" applyFont="1" applyBorder="1" applyAlignment="1">
      <alignment horizontal="center" vertical="center" wrapText="1"/>
    </xf>
    <xf numFmtId="0" fontId="4" fillId="2" borderId="1" xfId="0" applyFont="1" applyFill="1" applyBorder="1" applyAlignment="1">
      <alignment horizontal="justify" vertical="center" wrapText="1"/>
    </xf>
    <xf numFmtId="0" fontId="4" fillId="0" borderId="2"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9" fontId="4" fillId="0" borderId="23" xfId="2" applyFont="1" applyFill="1" applyBorder="1" applyAlignment="1">
      <alignment horizontal="center" vertical="center" wrapText="1"/>
    </xf>
    <xf numFmtId="9" fontId="4" fillId="0" borderId="19" xfId="2" applyFont="1" applyFill="1" applyBorder="1" applyAlignment="1">
      <alignment horizontal="center" vertical="center" wrapText="1"/>
    </xf>
    <xf numFmtId="43" fontId="4" fillId="0" borderId="23" xfId="0" applyNumberFormat="1" applyFont="1" applyBorder="1" applyAlignment="1">
      <alignment horizontal="center" vertical="center"/>
    </xf>
    <xf numFmtId="43" fontId="4" fillId="0" borderId="19" xfId="0" applyNumberFormat="1" applyFont="1" applyBorder="1" applyAlignment="1">
      <alignment horizontal="center" vertical="center"/>
    </xf>
    <xf numFmtId="3" fontId="4" fillId="0" borderId="23" xfId="0" applyNumberFormat="1" applyFont="1" applyBorder="1" applyAlignment="1">
      <alignment horizontal="justify" vertical="center" wrapText="1"/>
    </xf>
    <xf numFmtId="3" fontId="4" fillId="0" borderId="19" xfId="0" applyNumberFormat="1" applyFont="1" applyBorder="1" applyAlignment="1">
      <alignment horizontal="justify" vertical="center" wrapText="1"/>
    </xf>
    <xf numFmtId="0" fontId="4" fillId="0" borderId="5" xfId="0" applyFont="1" applyBorder="1" applyAlignment="1">
      <alignment horizontal="justify" vertical="center" wrapText="1"/>
    </xf>
    <xf numFmtId="0" fontId="4" fillId="0" borderId="8" xfId="0" applyFont="1" applyBorder="1" applyAlignment="1">
      <alignment horizontal="justify" vertical="center" wrapText="1"/>
    </xf>
    <xf numFmtId="1" fontId="3" fillId="2" borderId="0" xfId="0" applyNumberFormat="1" applyFont="1" applyFill="1" applyAlignment="1">
      <alignment horizontal="center" vertical="center" wrapText="1"/>
    </xf>
    <xf numFmtId="1" fontId="3" fillId="2" borderId="3"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172" fontId="4" fillId="0" borderId="26" xfId="0" applyNumberFormat="1" applyFont="1" applyBorder="1" applyAlignment="1">
      <alignment horizontal="center" vertical="center"/>
    </xf>
    <xf numFmtId="1" fontId="4" fillId="0" borderId="26" xfId="0" applyNumberFormat="1" applyFont="1" applyBorder="1" applyAlignment="1">
      <alignment horizontal="center" vertical="center" wrapText="1"/>
    </xf>
    <xf numFmtId="181" fontId="4" fillId="0" borderId="23" xfId="0" applyNumberFormat="1" applyFont="1" applyBorder="1" applyAlignment="1">
      <alignment horizontal="center" vertical="center"/>
    </xf>
    <xf numFmtId="172" fontId="4" fillId="0" borderId="23" xfId="0" applyNumberFormat="1" applyFont="1" applyBorder="1" applyAlignment="1">
      <alignment horizontal="center" vertical="center"/>
    </xf>
    <xf numFmtId="172" fontId="4" fillId="0" borderId="17" xfId="0" applyNumberFormat="1" applyFont="1" applyBorder="1" applyAlignment="1">
      <alignment horizontal="center" vertical="center"/>
    </xf>
    <xf numFmtId="172" fontId="4" fillId="0" borderId="19" xfId="0" applyNumberFormat="1" applyFont="1" applyBorder="1" applyAlignment="1">
      <alignment horizontal="center" vertical="center"/>
    </xf>
    <xf numFmtId="1" fontId="4" fillId="2" borderId="45" xfId="0" applyNumberFormat="1" applyFont="1" applyFill="1" applyBorder="1" applyAlignment="1">
      <alignment horizontal="center" vertical="center" wrapText="1"/>
    </xf>
    <xf numFmtId="1" fontId="4" fillId="2" borderId="18" xfId="15" applyNumberFormat="1" applyFont="1" applyFill="1" applyBorder="1" applyAlignment="1">
      <alignment horizontal="center" vertical="center" wrapText="1"/>
    </xf>
    <xf numFmtId="179" fontId="4" fillId="2" borderId="4" xfId="15" applyNumberFormat="1" applyFont="1" applyFill="1" applyBorder="1" applyAlignment="1">
      <alignment horizontal="center" vertical="center" wrapText="1"/>
    </xf>
    <xf numFmtId="9" fontId="4" fillId="2" borderId="4" xfId="2" applyFont="1" applyFill="1" applyBorder="1" applyAlignment="1">
      <alignment horizontal="center" vertical="center" wrapText="1"/>
    </xf>
    <xf numFmtId="1" fontId="4" fillId="2" borderId="36" xfId="0" applyNumberFormat="1" applyFont="1" applyFill="1" applyBorder="1" applyAlignment="1">
      <alignment horizontal="center" vertical="center" wrapText="1"/>
    </xf>
    <xf numFmtId="172" fontId="4" fillId="0" borderId="29" xfId="0" applyNumberFormat="1" applyFont="1" applyBorder="1" applyAlignment="1">
      <alignment horizontal="justify" vertical="center" wrapText="1"/>
    </xf>
    <xf numFmtId="172" fontId="4" fillId="0" borderId="30" xfId="0" applyNumberFormat="1" applyFont="1" applyBorder="1" applyAlignment="1">
      <alignment horizontal="justify" vertical="center" wrapText="1"/>
    </xf>
    <xf numFmtId="172" fontId="4" fillId="0" borderId="21" xfId="0" applyNumberFormat="1" applyFont="1" applyBorder="1" applyAlignment="1">
      <alignment horizontal="justify" vertical="center" wrapText="1"/>
    </xf>
    <xf numFmtId="1" fontId="4" fillId="2" borderId="42" xfId="0" applyNumberFormat="1"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39" xfId="0" applyFont="1" applyBorder="1" applyAlignment="1">
      <alignment horizontal="left" vertical="center" wrapText="1"/>
    </xf>
    <xf numFmtId="0" fontId="4" fillId="0" borderId="69" xfId="0" applyFont="1" applyBorder="1" applyAlignment="1">
      <alignment horizontal="left" vertical="center" wrapText="1"/>
    </xf>
    <xf numFmtId="0" fontId="4" fillId="0" borderId="42" xfId="0" applyFont="1" applyBorder="1" applyAlignment="1">
      <alignment horizontal="left"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0" borderId="4" xfId="0" applyFont="1" applyFill="1" applyBorder="1" applyAlignment="1">
      <alignment horizontal="center" vertical="center" wrapText="1"/>
    </xf>
    <xf numFmtId="1" fontId="4" fillId="2" borderId="4" xfId="0" applyNumberFormat="1" applyFont="1" applyFill="1" applyBorder="1" applyAlignment="1">
      <alignment horizontal="justify" vertical="center" wrapText="1"/>
    </xf>
    <xf numFmtId="172" fontId="4" fillId="0" borderId="30" xfId="0" applyNumberFormat="1" applyFont="1" applyBorder="1" applyAlignment="1">
      <alignment horizontal="center" vertical="center"/>
    </xf>
    <xf numFmtId="172" fontId="4" fillId="0" borderId="35" xfId="0" applyNumberFormat="1" applyFont="1" applyBorder="1" applyAlignment="1">
      <alignment horizontal="center" vertical="center"/>
    </xf>
    <xf numFmtId="1" fontId="4" fillId="0" borderId="19" xfId="0" applyNumberFormat="1" applyFont="1" applyBorder="1" applyAlignment="1">
      <alignment horizontal="center" vertical="center" wrapText="1"/>
    </xf>
    <xf numFmtId="1" fontId="4" fillId="0" borderId="23"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72" fontId="4" fillId="0" borderId="27" xfId="0" applyNumberFormat="1" applyFont="1" applyBorder="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15" xfId="0" applyFont="1" applyBorder="1" applyAlignment="1">
      <alignment horizontal="center"/>
    </xf>
    <xf numFmtId="0" fontId="4" fillId="2" borderId="4" xfId="0" applyFont="1" applyFill="1" applyBorder="1" applyAlignment="1">
      <alignment horizontal="center" vertical="center" wrapText="1"/>
    </xf>
    <xf numFmtId="43" fontId="4" fillId="2" borderId="13" xfId="0" applyNumberFormat="1" applyFont="1" applyFill="1" applyBorder="1" applyAlignment="1">
      <alignment horizontal="center" vertical="center"/>
    </xf>
    <xf numFmtId="43" fontId="4" fillId="2" borderId="4" xfId="0" applyNumberFormat="1" applyFont="1" applyFill="1" applyBorder="1" applyAlignment="1">
      <alignment horizontal="center" vertical="center"/>
    </xf>
    <xf numFmtId="3" fontId="4" fillId="2" borderId="13" xfId="0" applyNumberFormat="1" applyFont="1" applyFill="1" applyBorder="1" applyAlignment="1">
      <alignment horizontal="justify" vertical="center" wrapText="1"/>
    </xf>
    <xf numFmtId="3" fontId="4" fillId="2" borderId="4" xfId="0" applyNumberFormat="1" applyFont="1" applyFill="1" applyBorder="1" applyAlignment="1">
      <alignment horizontal="justify" vertical="center" wrapText="1"/>
    </xf>
    <xf numFmtId="1" fontId="4" fillId="2" borderId="66" xfId="0" applyNumberFormat="1" applyFont="1" applyFill="1" applyBorder="1" applyAlignment="1">
      <alignment horizontal="center" vertical="center" wrapText="1"/>
    </xf>
    <xf numFmtId="1" fontId="4" fillId="2" borderId="27" xfId="0" applyNumberFormat="1" applyFont="1" applyFill="1" applyBorder="1" applyAlignment="1">
      <alignment horizontal="justify" vertical="center" wrapText="1"/>
    </xf>
    <xf numFmtId="1" fontId="4" fillId="0" borderId="23" xfId="0" applyNumberFormat="1" applyFont="1" applyBorder="1" applyAlignment="1">
      <alignment horizontal="center" vertical="center"/>
    </xf>
    <xf numFmtId="1" fontId="4" fillId="2" borderId="13" xfId="15" applyNumberFormat="1" applyFont="1" applyFill="1" applyBorder="1" applyAlignment="1">
      <alignment horizontal="center" vertical="center" wrapText="1"/>
    </xf>
    <xf numFmtId="1" fontId="4" fillId="2" borderId="4" xfId="15" applyNumberFormat="1" applyFont="1" applyFill="1" applyBorder="1" applyAlignment="1">
      <alignment horizontal="center" vertical="center" wrapText="1"/>
    </xf>
    <xf numFmtId="1" fontId="4" fillId="2" borderId="7" xfId="15" applyNumberFormat="1" applyFont="1" applyFill="1" applyBorder="1" applyAlignment="1">
      <alignment horizontal="center" vertical="center" wrapText="1"/>
    </xf>
    <xf numFmtId="1" fontId="4" fillId="2" borderId="15" xfId="15" applyNumberFormat="1" applyFont="1" applyFill="1" applyBorder="1" applyAlignment="1">
      <alignment horizontal="center" vertical="center" wrapText="1"/>
    </xf>
    <xf numFmtId="1" fontId="4" fillId="2" borderId="43" xfId="15" applyNumberFormat="1" applyFont="1" applyFill="1" applyBorder="1" applyAlignment="1">
      <alignment horizontal="justify" vertical="center" wrapText="1"/>
    </xf>
    <xf numFmtId="1" fontId="4" fillId="2" borderId="42" xfId="15" applyNumberFormat="1" applyFont="1" applyFill="1" applyBorder="1" applyAlignment="1">
      <alignment horizontal="justify" vertical="center" wrapText="1"/>
    </xf>
    <xf numFmtId="172" fontId="4" fillId="0" borderId="4" xfId="0" applyNumberFormat="1" applyFont="1" applyBorder="1" applyAlignment="1">
      <alignment horizontal="center" vertical="center"/>
    </xf>
    <xf numFmtId="1" fontId="4" fillId="2" borderId="14" xfId="15" applyNumberFormat="1" applyFont="1" applyFill="1" applyBorder="1" applyAlignment="1">
      <alignment horizontal="center" vertical="center" wrapText="1"/>
    </xf>
    <xf numFmtId="3" fontId="4" fillId="0" borderId="7" xfId="0" applyNumberFormat="1" applyFont="1" applyBorder="1" applyAlignment="1">
      <alignment horizontal="justify" vertical="center" wrapText="1"/>
    </xf>
    <xf numFmtId="3" fontId="4" fillId="0" borderId="3" xfId="0" applyNumberFormat="1" applyFont="1" applyBorder="1" applyAlignment="1">
      <alignment horizontal="justify" vertical="center" wrapText="1"/>
    </xf>
    <xf numFmtId="3" fontId="4" fillId="0" borderId="15" xfId="0" applyNumberFormat="1" applyFont="1" applyBorder="1" applyAlignment="1">
      <alignment horizontal="justify" vertical="center" wrapText="1"/>
    </xf>
    <xf numFmtId="1" fontId="4" fillId="2" borderId="1" xfId="15" applyNumberFormat="1" applyFont="1" applyFill="1" applyBorder="1" applyAlignment="1">
      <alignment horizontal="center" vertical="center" wrapText="1"/>
    </xf>
    <xf numFmtId="1" fontId="4" fillId="2" borderId="45" xfId="15" applyNumberFormat="1" applyFont="1" applyFill="1" applyBorder="1" applyAlignment="1">
      <alignment horizontal="center" vertical="center" wrapText="1"/>
    </xf>
    <xf numFmtId="1" fontId="4" fillId="2" borderId="39" xfId="15" applyNumberFormat="1" applyFont="1" applyFill="1" applyBorder="1" applyAlignment="1">
      <alignment horizontal="center" vertical="center" wrapText="1"/>
    </xf>
    <xf numFmtId="0" fontId="4" fillId="2" borderId="7"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0" borderId="2" xfId="0" applyFont="1" applyBorder="1" applyAlignment="1">
      <alignment horizontal="justify" vertical="center" wrapText="1"/>
    </xf>
    <xf numFmtId="9" fontId="4" fillId="0" borderId="26" xfId="2" applyFont="1" applyFill="1" applyBorder="1" applyAlignment="1">
      <alignment horizontal="center" vertical="center" wrapText="1"/>
    </xf>
    <xf numFmtId="0" fontId="4" fillId="0" borderId="39" xfId="0" applyFont="1" applyBorder="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1" fontId="4" fillId="2" borderId="27" xfId="0" applyNumberFormat="1" applyFont="1" applyFill="1" applyBorder="1" applyAlignment="1">
      <alignment horizontal="center" vertical="center" wrapText="1"/>
    </xf>
    <xf numFmtId="1" fontId="4" fillId="2" borderId="35" xfId="0" applyNumberFormat="1" applyFont="1" applyFill="1" applyBorder="1" applyAlignment="1">
      <alignment horizontal="center" vertical="center" wrapText="1"/>
    </xf>
    <xf numFmtId="1" fontId="4" fillId="2" borderId="42" xfId="15" applyNumberFormat="1" applyFont="1" applyFill="1" applyBorder="1" applyAlignment="1">
      <alignment horizontal="center" vertical="center" wrapText="1"/>
    </xf>
    <xf numFmtId="0" fontId="4" fillId="0" borderId="27" xfId="0" applyFont="1" applyBorder="1" applyAlignment="1">
      <alignment horizontal="left" vertical="center" wrapText="1"/>
    </xf>
    <xf numFmtId="1" fontId="4" fillId="2" borderId="44" xfId="0" applyNumberFormat="1" applyFont="1" applyFill="1" applyBorder="1" applyAlignment="1">
      <alignment horizontal="center" vertical="center" wrapText="1"/>
    </xf>
    <xf numFmtId="1" fontId="4" fillId="2" borderId="18" xfId="0" applyNumberFormat="1" applyFont="1" applyFill="1" applyBorder="1" applyAlignment="1">
      <alignment horizontal="center" vertical="center" wrapText="1"/>
    </xf>
    <xf numFmtId="1" fontId="4" fillId="2" borderId="28"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0" fontId="4" fillId="0" borderId="7"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179" fontId="4" fillId="0" borderId="13" xfId="0" applyNumberFormat="1" applyFont="1" applyBorder="1" applyAlignment="1">
      <alignment horizontal="center" vertical="center"/>
    </xf>
    <xf numFmtId="179" fontId="4" fillId="0" borderId="14" xfId="0" applyNumberFormat="1" applyFont="1" applyBorder="1" applyAlignment="1">
      <alignment horizontal="center" vertical="center"/>
    </xf>
    <xf numFmtId="179" fontId="4" fillId="0" borderId="4" xfId="0" applyNumberFormat="1" applyFont="1" applyBorder="1" applyAlignment="1">
      <alignment horizontal="center" vertical="center"/>
    </xf>
    <xf numFmtId="9" fontId="4" fillId="0" borderId="13" xfId="2" applyFont="1" applyBorder="1" applyAlignment="1">
      <alignment horizontal="center" vertical="center"/>
    </xf>
    <xf numFmtId="9" fontId="4" fillId="0" borderId="14" xfId="2" applyFont="1" applyBorder="1" applyAlignment="1">
      <alignment horizontal="center" vertical="center"/>
    </xf>
    <xf numFmtId="9" fontId="4" fillId="0" borderId="4" xfId="2" applyFont="1" applyBorder="1" applyAlignment="1">
      <alignment horizontal="center" vertical="center"/>
    </xf>
    <xf numFmtId="0" fontId="4" fillId="0" borderId="4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1" fontId="4" fillId="0" borderId="4" xfId="0" applyNumberFormat="1" applyFont="1" applyBorder="1" applyAlignment="1">
      <alignment horizontal="center" vertical="center" wrapText="1"/>
    </xf>
    <xf numFmtId="181" fontId="4" fillId="0" borderId="14" xfId="0" applyNumberFormat="1" applyFont="1" applyBorder="1" applyAlignment="1">
      <alignment horizontal="center" vertical="center"/>
    </xf>
    <xf numFmtId="43" fontId="4" fillId="0" borderId="4" xfId="0" applyNumberFormat="1" applyFont="1" applyBorder="1" applyAlignment="1">
      <alignment horizontal="center" vertical="center"/>
    </xf>
    <xf numFmtId="9" fontId="4" fillId="0" borderId="13" xfId="2" applyFont="1" applyFill="1" applyBorder="1" applyAlignment="1">
      <alignment horizontal="center" vertical="center"/>
    </xf>
    <xf numFmtId="9" fontId="4" fillId="0" borderId="14" xfId="2" applyFont="1" applyFill="1" applyBorder="1" applyAlignment="1">
      <alignment horizontal="center" vertical="center"/>
    </xf>
    <xf numFmtId="9" fontId="4" fillId="0" borderId="4" xfId="2" applyFont="1" applyFill="1" applyBorder="1" applyAlignment="1">
      <alignment horizontal="center" vertical="center"/>
    </xf>
    <xf numFmtId="1" fontId="4" fillId="0" borderId="13" xfId="0" applyNumberFormat="1" applyFont="1" applyBorder="1" applyAlignment="1">
      <alignment horizontal="center" vertical="center"/>
    </xf>
    <xf numFmtId="1" fontId="4" fillId="0" borderId="2" xfId="0" applyNumberFormat="1" applyFont="1" applyBorder="1" applyAlignment="1">
      <alignment horizontal="center"/>
    </xf>
    <xf numFmtId="0" fontId="4" fillId="0" borderId="8" xfId="0" applyFont="1" applyBorder="1" applyAlignment="1">
      <alignment horizontal="center"/>
    </xf>
    <xf numFmtId="9" fontId="4" fillId="0" borderId="13" xfId="2" applyFont="1" applyBorder="1" applyAlignment="1">
      <alignment horizontal="center" vertical="center" wrapText="1"/>
    </xf>
    <xf numFmtId="9" fontId="4" fillId="0" borderId="14" xfId="2" applyFont="1" applyBorder="1" applyAlignment="1">
      <alignment horizontal="center" vertical="center" wrapText="1"/>
    </xf>
    <xf numFmtId="9" fontId="4" fillId="0" borderId="4" xfId="2" applyFont="1" applyBorder="1" applyAlignment="1">
      <alignment horizontal="center" vertical="center" wrapText="1"/>
    </xf>
    <xf numFmtId="1" fontId="4" fillId="2" borderId="39" xfId="0" applyNumberFormat="1" applyFont="1" applyFill="1" applyBorder="1" applyAlignment="1">
      <alignment horizontal="center" vertical="center" wrapText="1"/>
    </xf>
    <xf numFmtId="43" fontId="4" fillId="0" borderId="13" xfId="0" applyNumberFormat="1" applyFont="1" applyBorder="1" applyAlignment="1">
      <alignment horizontal="center" vertical="center"/>
    </xf>
    <xf numFmtId="0" fontId="4" fillId="0" borderId="38"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43" xfId="0" applyFont="1" applyBorder="1" applyAlignment="1">
      <alignment horizontal="center" vertical="center" wrapText="1"/>
    </xf>
    <xf numFmtId="0" fontId="4" fillId="0" borderId="41" xfId="0" applyFont="1" applyBorder="1" applyAlignment="1">
      <alignment horizontal="center" vertical="center" wrapText="1"/>
    </xf>
    <xf numFmtId="181" fontId="4" fillId="0" borderId="13" xfId="0" applyNumberFormat="1" applyFont="1" applyBorder="1" applyAlignment="1">
      <alignment horizontal="center" vertical="center" wrapText="1"/>
    </xf>
    <xf numFmtId="181" fontId="4" fillId="0" borderId="14" xfId="0" applyNumberFormat="1" applyFont="1" applyBorder="1" applyAlignment="1">
      <alignment horizontal="center" vertical="center" wrapText="1"/>
    </xf>
    <xf numFmtId="43" fontId="4" fillId="0" borderId="14"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5" xfId="4" applyNumberFormat="1" applyFont="1" applyFill="1" applyBorder="1">
      <alignment horizontal="center" vertical="center" wrapText="1"/>
    </xf>
    <xf numFmtId="0" fontId="4" fillId="0" borderId="2" xfId="4" applyNumberFormat="1" applyFont="1" applyFill="1" applyBorder="1">
      <alignment horizontal="center" vertical="center" wrapText="1"/>
    </xf>
    <xf numFmtId="0" fontId="4" fillId="0" borderId="8" xfId="4" applyNumberFormat="1" applyFont="1" applyFill="1" applyBorder="1">
      <alignment horizontal="center" vertical="center" wrapText="1"/>
    </xf>
    <xf numFmtId="0" fontId="4" fillId="0" borderId="20" xfId="0" applyFont="1" applyBorder="1" applyAlignment="1">
      <alignment horizontal="center" vertical="center" wrapText="1"/>
    </xf>
    <xf numFmtId="9" fontId="4" fillId="0" borderId="38" xfId="2" applyFont="1" applyBorder="1" applyAlignment="1">
      <alignment horizontal="center" vertical="center" wrapText="1"/>
    </xf>
    <xf numFmtId="9" fontId="4" fillId="0" borderId="37" xfId="2" applyFont="1" applyBorder="1" applyAlignment="1">
      <alignment horizontal="center" vertical="center" wrapText="1"/>
    </xf>
    <xf numFmtId="9" fontId="4" fillId="0" borderId="36" xfId="2" applyFont="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2" borderId="0" xfId="0" applyFont="1" applyFill="1" applyAlignment="1">
      <alignment horizontal="center" wrapText="1"/>
    </xf>
    <xf numFmtId="0" fontId="4" fillId="2" borderId="13" xfId="17" applyNumberFormat="1" applyFont="1" applyFill="1" applyBorder="1" applyAlignment="1">
      <alignment horizontal="center" vertical="center" wrapText="1"/>
    </xf>
    <xf numFmtId="0" fontId="4" fillId="2" borderId="4" xfId="17" applyNumberFormat="1" applyFont="1" applyFill="1" applyBorder="1" applyAlignment="1">
      <alignment horizontal="center" vertical="center" wrapText="1"/>
    </xf>
    <xf numFmtId="0" fontId="4" fillId="0" borderId="13" xfId="17" applyNumberFormat="1" applyFont="1" applyFill="1" applyBorder="1" applyAlignment="1">
      <alignment horizontal="center" vertical="center" wrapText="1"/>
    </xf>
    <xf numFmtId="0" fontId="4" fillId="0" borderId="4" xfId="17" applyNumberFormat="1" applyFont="1" applyFill="1" applyBorder="1" applyAlignment="1">
      <alignment horizontal="center" vertical="center" wrapText="1"/>
    </xf>
    <xf numFmtId="0" fontId="4" fillId="0" borderId="1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2" fillId="0" borderId="1" xfId="0" applyFont="1" applyFill="1" applyBorder="1" applyAlignment="1">
      <alignment horizontal="center" vertical="center"/>
    </xf>
    <xf numFmtId="3" fontId="2" fillId="0" borderId="43" xfId="0" applyNumberFormat="1" applyFont="1" applyBorder="1" applyAlignment="1">
      <alignment horizontal="center" vertical="center" wrapText="1"/>
    </xf>
    <xf numFmtId="3" fontId="2" fillId="0" borderId="41" xfId="0" applyNumberFormat="1" applyFont="1" applyBorder="1" applyAlignment="1">
      <alignment horizontal="center" vertical="center"/>
    </xf>
    <xf numFmtId="3" fontId="2" fillId="0" borderId="42" xfId="0" applyNumberFormat="1" applyFont="1" applyBorder="1" applyAlignment="1">
      <alignment horizontal="center" vertical="center"/>
    </xf>
    <xf numFmtId="14" fontId="2" fillId="0" borderId="43" xfId="0" applyNumberFormat="1" applyFont="1" applyBorder="1" applyAlignment="1">
      <alignment horizontal="center" vertical="center"/>
    </xf>
    <xf numFmtId="14" fontId="2" fillId="0" borderId="41" xfId="0" applyNumberFormat="1" applyFont="1" applyBorder="1" applyAlignment="1">
      <alignment horizontal="center" vertical="center"/>
    </xf>
    <xf numFmtId="14" fontId="2" fillId="0" borderId="42" xfId="0" applyNumberFormat="1" applyFont="1" applyBorder="1" applyAlignment="1">
      <alignment horizontal="center" vertical="center"/>
    </xf>
    <xf numFmtId="3" fontId="2" fillId="0" borderId="43" xfId="0" applyNumberFormat="1" applyFont="1" applyBorder="1" applyAlignment="1">
      <alignment horizontal="center" vertical="center"/>
    </xf>
    <xf numFmtId="1" fontId="2" fillId="2" borderId="13" xfId="0" applyNumberFormat="1" applyFont="1" applyFill="1" applyBorder="1" applyAlignment="1">
      <alignment horizontal="left" vertical="center" wrapText="1"/>
    </xf>
    <xf numFmtId="1" fontId="2" fillId="2" borderId="14" xfId="0" applyNumberFormat="1" applyFont="1" applyFill="1" applyBorder="1" applyAlignment="1">
      <alignment horizontal="left" vertical="center" wrapText="1"/>
    </xf>
    <xf numFmtId="1" fontId="2" fillId="2" borderId="4" xfId="0" applyNumberFormat="1" applyFont="1" applyFill="1" applyBorder="1" applyAlignment="1">
      <alignment horizontal="left" vertical="center" wrapText="1"/>
    </xf>
    <xf numFmtId="9" fontId="2" fillId="0" borderId="43" xfId="2" applyFont="1" applyBorder="1" applyAlignment="1">
      <alignment horizontal="center" vertical="center"/>
    </xf>
    <xf numFmtId="9" fontId="2" fillId="0" borderId="41" xfId="2" applyFont="1" applyBorder="1" applyAlignment="1">
      <alignment horizontal="center" vertical="center"/>
    </xf>
    <xf numFmtId="9" fontId="2" fillId="0" borderId="42" xfId="2" applyFont="1" applyBorder="1" applyAlignment="1">
      <alignment horizontal="center" vertical="center"/>
    </xf>
    <xf numFmtId="3" fontId="2" fillId="0" borderId="43" xfId="0" applyNumberFormat="1" applyFont="1" applyFill="1" applyBorder="1" applyAlignment="1">
      <alignment horizontal="center" vertical="center" wrapText="1"/>
    </xf>
    <xf numFmtId="3" fontId="2" fillId="0" borderId="41" xfId="0" applyNumberFormat="1" applyFont="1" applyFill="1" applyBorder="1" applyAlignment="1">
      <alignment horizontal="center" vertical="center"/>
    </xf>
    <xf numFmtId="3" fontId="2" fillId="0" borderId="4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9" fontId="2" fillId="2" borderId="17" xfId="2" applyNumberFormat="1" applyFont="1" applyFill="1" applyBorder="1" applyAlignment="1">
      <alignment horizontal="center" vertical="center"/>
    </xf>
    <xf numFmtId="43" fontId="2" fillId="2" borderId="30" xfId="0" applyNumberFormat="1" applyFont="1" applyFill="1" applyBorder="1" applyAlignment="1">
      <alignment horizontal="center" vertical="center"/>
    </xf>
    <xf numFmtId="9" fontId="2" fillId="2" borderId="23" xfId="2"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0" borderId="14" xfId="17" applyNumberFormat="1" applyFont="1" applyFill="1" applyBorder="1" applyAlignment="1">
      <alignment horizontal="center" vertical="center" wrapText="1"/>
    </xf>
    <xf numFmtId="0" fontId="4" fillId="0" borderId="5" xfId="17" applyNumberFormat="1" applyFont="1" applyFill="1" applyBorder="1" applyAlignment="1">
      <alignment horizontal="center" vertical="center" wrapText="1"/>
    </xf>
    <xf numFmtId="0" fontId="4" fillId="0" borderId="2" xfId="17" applyNumberFormat="1" applyFont="1" applyFill="1" applyBorder="1" applyAlignment="1">
      <alignment horizontal="center" vertical="center" wrapText="1"/>
    </xf>
    <xf numFmtId="0" fontId="4" fillId="0" borderId="8" xfId="17" applyNumberFormat="1" applyFont="1" applyFill="1" applyBorder="1" applyAlignment="1">
      <alignment horizontal="center" vertical="center" wrapText="1"/>
    </xf>
    <xf numFmtId="0" fontId="4" fillId="0" borderId="17"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3" fontId="2" fillId="0" borderId="1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13" xfId="0" applyNumberFormat="1" applyFont="1" applyBorder="1" applyAlignment="1">
      <alignment horizontal="center" vertical="center"/>
    </xf>
    <xf numFmtId="3" fontId="2" fillId="0" borderId="4" xfId="0" applyNumberFormat="1" applyFont="1" applyBorder="1" applyAlignment="1">
      <alignment horizontal="center" vertical="center"/>
    </xf>
    <xf numFmtId="14" fontId="2" fillId="0" borderId="13" xfId="0" applyNumberFormat="1" applyFont="1" applyBorder="1" applyAlignment="1">
      <alignment horizontal="center" vertical="center"/>
    </xf>
    <xf numFmtId="14" fontId="2" fillId="0" borderId="4" xfId="0" applyNumberFormat="1" applyFont="1" applyBorder="1" applyAlignment="1">
      <alignment horizontal="center" vertical="center"/>
    </xf>
    <xf numFmtId="43" fontId="2" fillId="2" borderId="14" xfId="0" applyNumberFormat="1" applyFont="1" applyFill="1" applyBorder="1" applyAlignment="1">
      <alignment horizontal="center" vertical="center"/>
    </xf>
    <xf numFmtId="43" fontId="2" fillId="2" borderId="4"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25" xfId="0" applyFont="1" applyFill="1" applyBorder="1" applyAlignment="1">
      <alignment horizontal="justify" vertical="center" wrapText="1"/>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3" xfId="0" applyFont="1" applyFill="1" applyBorder="1" applyAlignment="1">
      <alignment horizontal="center" vertical="center"/>
    </xf>
    <xf numFmtId="3" fontId="26" fillId="0" borderId="19" xfId="8" applyNumberFormat="1" applyFont="1" applyFill="1" applyBorder="1" applyAlignment="1">
      <alignment horizontal="center" vertical="center"/>
    </xf>
    <xf numFmtId="3" fontId="26" fillId="0" borderId="26" xfId="8" applyNumberFormat="1" applyFont="1" applyFill="1" applyBorder="1" applyAlignment="1">
      <alignment horizontal="center" vertical="center"/>
    </xf>
    <xf numFmtId="3" fontId="26" fillId="0" borderId="23" xfId="8" applyNumberFormat="1" applyFont="1" applyFill="1" applyBorder="1" applyAlignment="1">
      <alignment horizontal="center" vertical="center"/>
    </xf>
    <xf numFmtId="14" fontId="26" fillId="0" borderId="19" xfId="8" applyNumberFormat="1" applyFont="1" applyFill="1" applyBorder="1" applyAlignment="1">
      <alignment horizontal="center" vertical="center"/>
    </xf>
    <xf numFmtId="14" fontId="26" fillId="0" borderId="26" xfId="8" applyNumberFormat="1" applyFont="1" applyFill="1" applyBorder="1" applyAlignment="1">
      <alignment horizontal="center" vertical="center"/>
    </xf>
    <xf numFmtId="14" fontId="26" fillId="0" borderId="23" xfId="8" applyNumberFormat="1" applyFont="1" applyFill="1" applyBorder="1" applyAlignment="1">
      <alignment horizontal="center" vertical="center"/>
    </xf>
    <xf numFmtId="3" fontId="26" fillId="0" borderId="19" xfId="8" applyNumberFormat="1" applyFont="1" applyFill="1" applyBorder="1" applyAlignment="1">
      <alignment horizontal="left" vertical="center"/>
    </xf>
    <xf numFmtId="3" fontId="26" fillId="0" borderId="26" xfId="8" applyNumberFormat="1" applyFont="1" applyFill="1" applyBorder="1" applyAlignment="1">
      <alignment horizontal="left" vertical="center"/>
    </xf>
    <xf numFmtId="3" fontId="26" fillId="0" borderId="23" xfId="8" applyNumberFormat="1" applyFont="1" applyFill="1" applyBorder="1" applyAlignment="1">
      <alignment horizontal="left" vertical="center"/>
    </xf>
    <xf numFmtId="3" fontId="26" fillId="0" borderId="19" xfId="8" applyNumberFormat="1" applyFont="1" applyFill="1" applyBorder="1" applyAlignment="1">
      <alignment horizontal="center" vertical="center" wrapText="1"/>
    </xf>
    <xf numFmtId="3" fontId="26" fillId="0" borderId="26" xfId="8" applyNumberFormat="1" applyFont="1" applyFill="1" applyBorder="1" applyAlignment="1">
      <alignment horizontal="center" vertical="center" wrapText="1"/>
    </xf>
    <xf numFmtId="3" fontId="26" fillId="0" borderId="23" xfId="8" applyNumberFormat="1" applyFont="1" applyFill="1" applyBorder="1" applyAlignment="1">
      <alignment horizontal="center" vertical="center" wrapText="1"/>
    </xf>
    <xf numFmtId="3" fontId="26" fillId="0" borderId="17" xfId="8" applyNumberFormat="1" applyFont="1" applyFill="1" applyBorder="1" applyAlignment="1">
      <alignment horizontal="center" vertical="center"/>
    </xf>
    <xf numFmtId="0" fontId="4" fillId="0" borderId="10" xfId="0" applyFont="1" applyFill="1" applyBorder="1" applyAlignment="1">
      <alignment horizontal="justify" vertical="center" wrapText="1"/>
    </xf>
    <xf numFmtId="9" fontId="2" fillId="0" borderId="19" xfId="2" applyNumberFormat="1" applyFont="1" applyFill="1" applyBorder="1" applyAlignment="1">
      <alignment horizontal="center" vertical="center"/>
    </xf>
    <xf numFmtId="9" fontId="2" fillId="0" borderId="26" xfId="2" applyNumberFormat="1" applyFont="1" applyFill="1" applyBorder="1" applyAlignment="1">
      <alignment horizontal="center" vertical="center"/>
    </xf>
    <xf numFmtId="9" fontId="2" fillId="0" borderId="23" xfId="2" applyNumberFormat="1" applyFont="1" applyFill="1" applyBorder="1" applyAlignment="1">
      <alignment horizontal="center" vertical="center"/>
    </xf>
    <xf numFmtId="43" fontId="2" fillId="0" borderId="17" xfId="0" applyNumberFormat="1" applyFont="1" applyFill="1" applyBorder="1" applyAlignment="1">
      <alignment horizontal="center" vertical="center"/>
    </xf>
    <xf numFmtId="0" fontId="2" fillId="0" borderId="3"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3" fontId="26" fillId="0" borderId="30" xfId="8" applyNumberFormat="1" applyFont="1" applyFill="1" applyBorder="1" applyAlignment="1">
      <alignment horizontal="center" vertical="center"/>
    </xf>
    <xf numFmtId="0" fontId="4" fillId="0" borderId="21" xfId="0" applyFont="1" applyFill="1" applyBorder="1" applyAlignment="1">
      <alignment horizontal="justify" vertical="center" wrapText="1"/>
    </xf>
    <xf numFmtId="0" fontId="4" fillId="0" borderId="46"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20" xfId="0" applyFont="1" applyFill="1" applyBorder="1" applyAlignment="1">
      <alignment horizontal="justify" vertical="center" wrapText="1"/>
    </xf>
    <xf numFmtId="0" fontId="2" fillId="0" borderId="26" xfId="0" applyFont="1" applyFill="1" applyBorder="1" applyAlignment="1">
      <alignment horizontal="center" vertical="center"/>
    </xf>
    <xf numFmtId="0" fontId="2" fillId="0" borderId="17" xfId="0" applyFont="1" applyFill="1" applyBorder="1" applyAlignment="1">
      <alignment horizontal="justify" vertical="center" wrapText="1"/>
    </xf>
    <xf numFmtId="0" fontId="4" fillId="0" borderId="12" xfId="0"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9" xfId="0" applyFont="1" applyFill="1" applyBorder="1" applyAlignment="1">
      <alignment horizontal="justify" vertical="center" wrapText="1"/>
    </xf>
    <xf numFmtId="0" fontId="4" fillId="0" borderId="22" xfId="0" applyFont="1" applyFill="1" applyBorder="1" applyAlignment="1">
      <alignment horizontal="justify" vertical="center" wrapText="1"/>
    </xf>
    <xf numFmtId="3" fontId="2" fillId="2" borderId="13"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3" fontId="2" fillId="2" borderId="39" xfId="0" applyNumberFormat="1"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14" fontId="2" fillId="2" borderId="14" xfId="0" applyNumberFormat="1" applyFont="1" applyFill="1" applyBorder="1" applyAlignment="1">
      <alignment horizontal="center" vertical="center" wrapText="1"/>
    </xf>
    <xf numFmtId="14" fontId="2" fillId="2" borderId="39"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9" fontId="2" fillId="2" borderId="25" xfId="2" applyNumberFormat="1" applyFont="1" applyFill="1" applyBorder="1" applyAlignment="1">
      <alignment horizontal="center" vertical="center" wrapText="1"/>
    </xf>
    <xf numFmtId="9" fontId="2" fillId="2" borderId="20" xfId="2"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2" fillId="0" borderId="39" xfId="0" applyNumberFormat="1" applyFont="1" applyFill="1" applyBorder="1" applyAlignment="1">
      <alignment horizontal="center" vertical="center" wrapText="1"/>
    </xf>
    <xf numFmtId="9" fontId="2" fillId="2" borderId="39" xfId="2" applyFont="1" applyFill="1" applyBorder="1" applyAlignment="1">
      <alignment horizontal="center" vertical="center" wrapText="1"/>
    </xf>
    <xf numFmtId="43" fontId="2" fillId="2" borderId="19" xfId="0" applyNumberFormat="1" applyFont="1" applyFill="1" applyBorder="1" applyAlignment="1">
      <alignment horizontal="center" vertical="center"/>
    </xf>
    <xf numFmtId="3" fontId="2" fillId="2" borderId="17" xfId="0" applyNumberFormat="1" applyFont="1" applyFill="1" applyBorder="1" applyAlignment="1">
      <alignment horizontal="justify" vertical="center" wrapText="1"/>
    </xf>
    <xf numFmtId="3" fontId="2" fillId="2" borderId="7"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3" fillId="7" borderId="4" xfId="0" applyFont="1" applyFill="1" applyBorder="1" applyAlignment="1">
      <alignment horizontal="center" vertical="center"/>
    </xf>
    <xf numFmtId="0" fontId="3" fillId="7" borderId="9"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4" xfId="0" applyFont="1" applyFill="1" applyBorder="1" applyAlignment="1">
      <alignment horizontal="center" vertical="center" wrapText="1"/>
    </xf>
    <xf numFmtId="3" fontId="16" fillId="9" borderId="1" xfId="0" applyNumberFormat="1" applyFont="1" applyFill="1" applyBorder="1" applyAlignment="1">
      <alignment horizontal="center" vertical="center" wrapText="1"/>
    </xf>
    <xf numFmtId="9" fontId="16" fillId="9" borderId="1" xfId="7" applyFont="1" applyFill="1" applyBorder="1" applyAlignment="1">
      <alignment horizontal="center" vertical="center" wrapText="1"/>
    </xf>
    <xf numFmtId="3" fontId="3" fillId="7" borderId="8" xfId="0" applyNumberFormat="1" applyFont="1" applyFill="1" applyBorder="1" applyAlignment="1">
      <alignment horizontal="center" vertical="center" wrapText="1"/>
    </xf>
    <xf numFmtId="3" fontId="3" fillId="7" borderId="9" xfId="0" applyNumberFormat="1" applyFont="1" applyFill="1" applyBorder="1" applyAlignment="1">
      <alignment horizontal="center" vertical="center" wrapText="1"/>
    </xf>
    <xf numFmtId="3" fontId="3" fillId="7" borderId="15" xfId="0" applyNumberFormat="1" applyFont="1" applyFill="1" applyBorder="1" applyAlignment="1">
      <alignment horizontal="center" vertical="center" wrapText="1"/>
    </xf>
    <xf numFmtId="0" fontId="25" fillId="0" borderId="0" xfId="0" applyFont="1" applyBorder="1" applyAlignment="1">
      <alignment horizontal="center" vertical="center" wrapText="1"/>
    </xf>
    <xf numFmtId="176" fontId="28" fillId="6" borderId="8" xfId="12" applyFont="1" applyFill="1" applyBorder="1" applyAlignment="1">
      <alignment horizontal="center" vertical="center"/>
    </xf>
    <xf numFmtId="176" fontId="28" fillId="6" borderId="9" xfId="12" applyFont="1" applyFill="1" applyBorder="1" applyAlignment="1">
      <alignment horizontal="center" vertical="center"/>
    </xf>
    <xf numFmtId="176" fontId="28" fillId="6" borderId="15" xfId="12" applyFont="1" applyFill="1" applyBorder="1" applyAlignment="1">
      <alignment horizontal="center" vertical="center"/>
    </xf>
    <xf numFmtId="172" fontId="13" fillId="6" borderId="0" xfId="0" applyNumberFormat="1" applyFont="1" applyFill="1" applyBorder="1" applyAlignment="1">
      <alignment horizontal="center" vertical="center" wrapText="1"/>
    </xf>
    <xf numFmtId="172" fontId="13" fillId="6" borderId="9"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11" xfId="0" applyFont="1" applyBorder="1" applyAlignment="1">
      <alignment horizontal="center" vertical="center"/>
    </xf>
    <xf numFmtId="1" fontId="13" fillId="6" borderId="15" xfId="0" applyNumberFormat="1" applyFont="1" applyFill="1" applyBorder="1" applyAlignment="1">
      <alignment horizontal="center" vertical="center" wrapText="1"/>
    </xf>
    <xf numFmtId="171" fontId="13" fillId="6" borderId="14" xfId="0" applyNumberFormat="1" applyFont="1" applyFill="1" applyBorder="1" applyAlignment="1">
      <alignment horizontal="center" vertical="center" wrapText="1"/>
    </xf>
    <xf numFmtId="171" fontId="13" fillId="6" borderId="6" xfId="0" applyNumberFormat="1" applyFont="1" applyFill="1" applyBorder="1" applyAlignment="1">
      <alignment horizontal="center" vertical="center" wrapText="1"/>
    </xf>
    <xf numFmtId="171" fontId="13" fillId="6" borderId="7" xfId="0" applyNumberFormat="1" applyFont="1" applyFill="1" applyBorder="1" applyAlignment="1">
      <alignment horizontal="center" vertical="center" wrapText="1"/>
    </xf>
    <xf numFmtId="172" fontId="13" fillId="6" borderId="10" xfId="0" applyNumberFormat="1" applyFont="1" applyFill="1" applyBorder="1" applyAlignment="1">
      <alignment horizontal="center" vertical="center" wrapText="1"/>
    </xf>
    <xf numFmtId="172" fontId="13" fillId="6" borderId="11" xfId="0" applyNumberFormat="1" applyFont="1" applyFill="1" applyBorder="1" applyAlignment="1">
      <alignment horizontal="center" vertical="center" wrapText="1"/>
    </xf>
    <xf numFmtId="172" fontId="13" fillId="6" borderId="12" xfId="0" applyNumberFormat="1" applyFont="1" applyFill="1" applyBorder="1" applyAlignment="1">
      <alignment horizontal="center" vertical="center" wrapText="1"/>
    </xf>
    <xf numFmtId="9" fontId="2" fillId="0" borderId="17" xfId="2" applyFont="1" applyFill="1" applyBorder="1" applyAlignment="1">
      <alignment horizontal="center" vertical="center" wrapText="1"/>
    </xf>
    <xf numFmtId="0" fontId="4" fillId="0" borderId="20" xfId="0" applyFont="1" applyBorder="1" applyAlignment="1">
      <alignment horizontal="center" vertical="center"/>
    </xf>
    <xf numFmtId="170" fontId="13" fillId="6" borderId="13" xfId="0" applyNumberFormat="1" applyFont="1" applyFill="1" applyBorder="1" applyAlignment="1">
      <alignment horizontal="center" vertical="center" wrapText="1"/>
    </xf>
    <xf numFmtId="170" fontId="13" fillId="6" borderId="14" xfId="0" applyNumberFormat="1" applyFont="1" applyFill="1" applyBorder="1" applyAlignment="1">
      <alignment horizontal="center" vertical="center" wrapText="1"/>
    </xf>
    <xf numFmtId="170" fontId="13" fillId="6" borderId="4" xfId="0" applyNumberFormat="1" applyFont="1" applyFill="1" applyBorder="1" applyAlignment="1">
      <alignment horizontal="center" vertical="center" wrapText="1"/>
    </xf>
    <xf numFmtId="0" fontId="2" fillId="0" borderId="4" xfId="0" applyFont="1" applyBorder="1" applyAlignment="1">
      <alignment horizontal="justify" vertical="center" wrapText="1"/>
    </xf>
    <xf numFmtId="166" fontId="4" fillId="0" borderId="13" xfId="0" applyNumberFormat="1" applyFont="1" applyBorder="1" applyAlignment="1">
      <alignment horizontal="center" vertical="center"/>
    </xf>
    <xf numFmtId="166" fontId="4" fillId="0" borderId="4" xfId="0" applyNumberFormat="1" applyFont="1" applyBorder="1" applyAlignment="1">
      <alignment horizontal="center" vertical="center"/>
    </xf>
    <xf numFmtId="0" fontId="4" fillId="0" borderId="18" xfId="0" applyFont="1" applyBorder="1" applyAlignment="1">
      <alignment horizontal="center" vertical="center"/>
    </xf>
    <xf numFmtId="3" fontId="2" fillId="2" borderId="4" xfId="0" applyNumberFormat="1" applyFont="1" applyFill="1" applyBorder="1" applyAlignment="1">
      <alignment horizontal="center" vertical="center" wrapText="1"/>
    </xf>
    <xf numFmtId="9" fontId="2" fillId="0" borderId="18" xfId="2" applyFont="1" applyFill="1" applyBorder="1" applyAlignment="1">
      <alignment horizontal="center" vertical="center" wrapText="1"/>
    </xf>
    <xf numFmtId="9" fontId="2" fillId="0" borderId="22" xfId="2" applyFont="1" applyFill="1" applyBorder="1" applyAlignment="1">
      <alignment horizontal="center" vertical="center" wrapText="1"/>
    </xf>
    <xf numFmtId="3" fontId="2" fillId="0" borderId="19" xfId="0" applyNumberFormat="1" applyFont="1" applyBorder="1" applyAlignment="1">
      <alignment horizontal="justify" vertical="center" wrapText="1"/>
    </xf>
    <xf numFmtId="3" fontId="2" fillId="0" borderId="26" xfId="0" applyNumberFormat="1" applyFont="1" applyBorder="1" applyAlignment="1">
      <alignment horizontal="justify" vertical="center" wrapText="1"/>
    </xf>
    <xf numFmtId="3" fontId="2" fillId="0" borderId="23" xfId="0" applyNumberFormat="1" applyFont="1" applyBorder="1" applyAlignment="1">
      <alignment horizontal="justify" vertical="center" wrapText="1"/>
    </xf>
    <xf numFmtId="0" fontId="4" fillId="0" borderId="27" xfId="4" applyNumberFormat="1" applyFont="1" applyFill="1" applyBorder="1">
      <alignment horizontal="center" vertical="center" wrapText="1"/>
    </xf>
    <xf numFmtId="0" fontId="4" fillId="0" borderId="26" xfId="4" applyNumberFormat="1" applyFont="1" applyFill="1" applyBorder="1">
      <alignment horizontal="center" vertical="center" wrapText="1"/>
    </xf>
    <xf numFmtId="0" fontId="4" fillId="0" borderId="23" xfId="4" applyNumberFormat="1" applyFont="1" applyFill="1" applyBorder="1">
      <alignment horizontal="center" vertical="center" wrapText="1"/>
    </xf>
    <xf numFmtId="0" fontId="2" fillId="0" borderId="25" xfId="0" applyFont="1" applyBorder="1" applyAlignment="1">
      <alignment horizontal="justify" vertical="center" wrapText="1"/>
    </xf>
    <xf numFmtId="9" fontId="2" fillId="0" borderId="21" xfId="2" applyFont="1" applyFill="1" applyBorder="1" applyAlignment="1">
      <alignment horizontal="center" vertical="center" wrapText="1"/>
    </xf>
    <xf numFmtId="9" fontId="2" fillId="0" borderId="24" xfId="2" applyFont="1" applyFill="1" applyBorder="1" applyAlignment="1">
      <alignment horizontal="center" vertical="center" wrapText="1"/>
    </xf>
    <xf numFmtId="179" fontId="4" fillId="0" borderId="7" xfId="15" applyNumberFormat="1" applyFont="1" applyBorder="1" applyAlignment="1">
      <alignment horizontal="center" vertical="center"/>
    </xf>
    <xf numFmtId="179" fontId="4" fillId="0" borderId="3" xfId="15" applyNumberFormat="1" applyFont="1" applyBorder="1" applyAlignment="1">
      <alignment horizontal="center" vertical="center"/>
    </xf>
    <xf numFmtId="3" fontId="2" fillId="0" borderId="13" xfId="0" applyNumberFormat="1" applyFont="1" applyBorder="1" applyAlignment="1">
      <alignment horizontal="justify" vertical="center" wrapText="1"/>
    </xf>
    <xf numFmtId="3" fontId="2" fillId="0" borderId="14" xfId="0" applyNumberFormat="1" applyFont="1" applyBorder="1" applyAlignment="1">
      <alignment horizontal="justify" vertical="center" wrapText="1"/>
    </xf>
    <xf numFmtId="173" fontId="2" fillId="2" borderId="1" xfId="0" applyNumberFormat="1" applyFont="1" applyFill="1" applyBorder="1" applyAlignment="1">
      <alignment horizontal="center" vertical="center" wrapText="1"/>
    </xf>
    <xf numFmtId="0" fontId="4" fillId="0" borderId="20" xfId="4" applyNumberFormat="1" applyFont="1" applyFill="1" applyBorder="1">
      <alignment horizontal="center" vertical="center" wrapText="1"/>
    </xf>
    <xf numFmtId="0" fontId="4" fillId="0" borderId="18" xfId="4" applyNumberFormat="1" applyFont="1" applyFill="1" applyBorder="1">
      <alignment horizontal="center" vertical="center" wrapText="1"/>
    </xf>
    <xf numFmtId="0" fontId="4" fillId="0" borderId="19" xfId="4" applyNumberFormat="1" applyFont="1" applyFill="1" applyBorder="1">
      <alignment horizontal="center" vertical="center" wrapText="1"/>
    </xf>
    <xf numFmtId="3" fontId="2" fillId="2" borderId="1" xfId="0" applyNumberFormat="1" applyFont="1" applyFill="1" applyBorder="1" applyAlignment="1">
      <alignment horizontal="center" vertical="center" wrapText="1"/>
    </xf>
    <xf numFmtId="9" fontId="2" fillId="2" borderId="1" xfId="2" applyFont="1" applyFill="1" applyBorder="1" applyAlignment="1">
      <alignment horizontal="center" vertical="center" wrapText="1"/>
    </xf>
    <xf numFmtId="1" fontId="2" fillId="2" borderId="1" xfId="0" applyNumberFormat="1" applyFont="1" applyFill="1" applyBorder="1" applyAlignment="1">
      <alignment horizontal="justify" vertical="center" wrapText="1"/>
    </xf>
    <xf numFmtId="3" fontId="2" fillId="0" borderId="20" xfId="0" applyNumberFormat="1" applyFont="1" applyBorder="1" applyAlignment="1">
      <alignment horizontal="justify" vertical="center" wrapText="1"/>
    </xf>
    <xf numFmtId="3" fontId="2" fillId="0" borderId="18" xfId="0" applyNumberFormat="1" applyFont="1" applyBorder="1" applyAlignment="1">
      <alignment horizontal="justify" vertical="center" wrapText="1"/>
    </xf>
    <xf numFmtId="3" fontId="2" fillId="0" borderId="28" xfId="0" applyNumberFormat="1" applyFont="1" applyBorder="1" applyAlignment="1">
      <alignment horizontal="justify" vertical="center" wrapText="1"/>
    </xf>
    <xf numFmtId="0" fontId="2" fillId="0" borderId="35" xfId="0" applyFont="1" applyBorder="1" applyAlignment="1">
      <alignment horizontal="center" vertical="center" wrapText="1"/>
    </xf>
    <xf numFmtId="9" fontId="2" fillId="0" borderId="19" xfId="2" applyFont="1" applyFill="1" applyBorder="1" applyAlignment="1">
      <alignment horizontal="center" vertical="center" wrapText="1"/>
    </xf>
    <xf numFmtId="9" fontId="2" fillId="0" borderId="26" xfId="2" applyFont="1" applyFill="1" applyBorder="1" applyAlignment="1">
      <alignment horizontal="center" vertical="center" wrapText="1"/>
    </xf>
    <xf numFmtId="9" fontId="2" fillId="0" borderId="23" xfId="2" applyFont="1" applyFill="1" applyBorder="1" applyAlignment="1">
      <alignment horizontal="center" vertical="center" wrapText="1"/>
    </xf>
    <xf numFmtId="3" fontId="2" fillId="0" borderId="14" xfId="0" applyNumberFormat="1" applyFont="1" applyBorder="1" applyAlignment="1">
      <alignment horizontal="center" vertical="center" wrapText="1"/>
    </xf>
    <xf numFmtId="0" fontId="4" fillId="0" borderId="24" xfId="0" applyFont="1" applyBorder="1" applyAlignment="1">
      <alignment horizontal="justify" vertical="center" wrapText="1"/>
    </xf>
    <xf numFmtId="0" fontId="2" fillId="0" borderId="27" xfId="0" applyFont="1" applyBorder="1" applyAlignment="1">
      <alignment horizontal="center" vertical="center" wrapText="1"/>
    </xf>
    <xf numFmtId="0" fontId="4" fillId="0" borderId="35" xfId="0" applyFont="1" applyBorder="1" applyAlignment="1">
      <alignment horizontal="left" vertical="center" wrapText="1"/>
    </xf>
    <xf numFmtId="179" fontId="4" fillId="0" borderId="27" xfId="15" applyNumberFormat="1" applyFont="1" applyBorder="1" applyAlignment="1">
      <alignment horizontal="center" vertical="center"/>
    </xf>
    <xf numFmtId="0" fontId="2" fillId="0" borderId="27" xfId="0" applyFont="1" applyBorder="1" applyAlignment="1">
      <alignment horizontal="justify" vertical="center" wrapText="1"/>
    </xf>
    <xf numFmtId="3"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3" fontId="2" fillId="0" borderId="27" xfId="0" applyNumberFormat="1" applyFont="1" applyBorder="1" applyAlignment="1">
      <alignment horizontal="justify"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166" fontId="2" fillId="2" borderId="1" xfId="0" applyNumberFormat="1" applyFont="1" applyFill="1" applyBorder="1" applyAlignment="1">
      <alignment horizontal="center" vertical="center" wrapText="1"/>
    </xf>
    <xf numFmtId="0" fontId="4" fillId="0" borderId="30" xfId="0" applyFont="1" applyBorder="1" applyAlignment="1">
      <alignment horizontal="justify" vertical="center" wrapText="1"/>
    </xf>
    <xf numFmtId="0" fontId="4" fillId="0" borderId="33" xfId="0" applyFont="1" applyBorder="1" applyAlignment="1">
      <alignment horizontal="justify" vertical="center" wrapText="1"/>
    </xf>
    <xf numFmtId="3" fontId="2" fillId="0" borderId="19" xfId="0" applyNumberFormat="1" applyFont="1" applyBorder="1" applyAlignment="1">
      <alignment horizontal="center" vertical="center"/>
    </xf>
    <xf numFmtId="3" fontId="2" fillId="0" borderId="26" xfId="0" applyNumberFormat="1" applyFont="1" applyBorder="1" applyAlignment="1">
      <alignment horizontal="center" vertical="center"/>
    </xf>
    <xf numFmtId="3" fontId="2" fillId="0" borderId="23" xfId="0" applyNumberFormat="1" applyFont="1" applyBorder="1" applyAlignment="1">
      <alignment horizontal="center" vertical="center"/>
    </xf>
    <xf numFmtId="3" fontId="2" fillId="0" borderId="17" xfId="0" applyNumberFormat="1" applyFont="1" applyBorder="1" applyAlignment="1">
      <alignment horizontal="center" vertical="center"/>
    </xf>
    <xf numFmtId="166" fontId="2" fillId="0" borderId="19" xfId="0" applyNumberFormat="1" applyFont="1" applyBorder="1" applyAlignment="1">
      <alignment horizontal="center" vertical="center"/>
    </xf>
    <xf numFmtId="0" fontId="4" fillId="0" borderId="25" xfId="0" applyFont="1" applyBorder="1" applyAlignment="1">
      <alignment horizontal="center" vertical="center"/>
    </xf>
    <xf numFmtId="0" fontId="2" fillId="0" borderId="25" xfId="0" applyFont="1" applyBorder="1" applyAlignment="1">
      <alignment horizontal="center" vertical="center" wrapText="1"/>
    </xf>
    <xf numFmtId="0" fontId="4" fillId="0" borderId="30" xfId="0" applyFont="1" applyBorder="1" applyAlignment="1">
      <alignment horizontal="center"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0" xfId="0" applyFont="1" applyAlignment="1">
      <alignment horizontal="center" vertical="center" wrapText="1"/>
    </xf>
    <xf numFmtId="0" fontId="16" fillId="0" borderId="5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8" xfId="0" applyFont="1" applyBorder="1" applyAlignment="1">
      <alignment horizontal="center" vertical="center"/>
    </xf>
    <xf numFmtId="0" fontId="16" fillId="0" borderId="6" xfId="0" applyFont="1" applyBorder="1" applyAlignment="1">
      <alignment horizontal="center" vertical="center"/>
    </xf>
    <xf numFmtId="0" fontId="16" fillId="0" borderId="57"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56" xfId="0" applyFont="1" applyBorder="1" applyAlignment="1">
      <alignment horizontal="center" vertical="center"/>
    </xf>
    <xf numFmtId="0" fontId="16" fillId="0" borderId="8" xfId="0" applyFont="1" applyBorder="1" applyAlignment="1">
      <alignment horizontal="center" vertical="center"/>
    </xf>
    <xf numFmtId="1" fontId="20" fillId="6" borderId="1"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1" xfId="0" applyFont="1" applyFill="1" applyBorder="1" applyAlignment="1">
      <alignment horizontal="justify" vertical="center" wrapText="1"/>
    </xf>
    <xf numFmtId="179" fontId="2" fillId="2" borderId="13" xfId="15" applyNumberFormat="1" applyFont="1" applyFill="1" applyBorder="1" applyAlignment="1">
      <alignment horizontal="center" vertical="center"/>
    </xf>
    <xf numFmtId="179" fontId="2" fillId="2" borderId="4" xfId="15"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4" xfId="0" applyFont="1" applyFill="1" applyBorder="1" applyAlignment="1">
      <alignment horizontal="left" vertical="center" wrapText="1"/>
    </xf>
    <xf numFmtId="176" fontId="14" fillId="6" borderId="50" xfId="12" applyFont="1" applyFill="1" applyBorder="1" applyAlignment="1">
      <alignment horizontal="center" vertical="center"/>
    </xf>
    <xf numFmtId="176" fontId="14" fillId="6" borderId="49" xfId="12" applyFont="1" applyFill="1" applyBorder="1" applyAlignment="1">
      <alignment horizontal="center" vertical="center"/>
    </xf>
    <xf numFmtId="176" fontId="14" fillId="6" borderId="48" xfId="12" applyFont="1" applyFill="1" applyBorder="1" applyAlignment="1">
      <alignment horizontal="center" vertical="center"/>
    </xf>
    <xf numFmtId="172" fontId="20" fillId="6" borderId="5" xfId="0" applyNumberFormat="1" applyFont="1" applyFill="1" applyBorder="1" applyAlignment="1">
      <alignment horizontal="center" vertical="center" wrapText="1"/>
    </xf>
    <xf numFmtId="172" fontId="20" fillId="6" borderId="7" xfId="0" applyNumberFormat="1" applyFont="1" applyFill="1" applyBorder="1" applyAlignment="1">
      <alignment horizontal="center" vertical="center" wrapText="1"/>
    </xf>
    <xf numFmtId="172" fontId="20" fillId="6" borderId="2" xfId="0" applyNumberFormat="1" applyFont="1" applyFill="1" applyBorder="1" applyAlignment="1">
      <alignment horizontal="center" vertical="center" wrapText="1"/>
    </xf>
    <xf numFmtId="172" fontId="20" fillId="6" borderId="3" xfId="0" applyNumberFormat="1" applyFont="1" applyFill="1" applyBorder="1" applyAlignment="1">
      <alignment horizontal="center" vertical="center" wrapText="1"/>
    </xf>
    <xf numFmtId="3" fontId="20" fillId="6" borderId="1" xfId="0" applyNumberFormat="1" applyFont="1" applyFill="1" applyBorder="1" applyAlignment="1">
      <alignment horizontal="center" vertical="center" wrapText="1"/>
    </xf>
    <xf numFmtId="0" fontId="20" fillId="6" borderId="10" xfId="0" applyFont="1" applyFill="1" applyBorder="1" applyAlignment="1">
      <alignment horizontal="center" vertical="center" textRotation="90" wrapText="1"/>
    </xf>
    <xf numFmtId="0" fontId="20" fillId="6" borderId="12" xfId="0" applyFont="1" applyFill="1" applyBorder="1" applyAlignment="1">
      <alignment horizontal="center" vertical="center" textRotation="90" wrapText="1"/>
    </xf>
    <xf numFmtId="49" fontId="20" fillId="6" borderId="10" xfId="0" applyNumberFormat="1" applyFont="1" applyFill="1" applyBorder="1" applyAlignment="1">
      <alignment horizontal="center" vertical="center" textRotation="90" wrapText="1"/>
    </xf>
    <xf numFmtId="49" fontId="20" fillId="6" borderId="12" xfId="0" applyNumberFormat="1" applyFont="1" applyFill="1" applyBorder="1" applyAlignment="1">
      <alignment horizontal="center" vertical="center" textRotation="90" wrapText="1"/>
    </xf>
    <xf numFmtId="0" fontId="20" fillId="6" borderId="13" xfId="0" applyFont="1" applyFill="1" applyBorder="1" applyAlignment="1">
      <alignment horizontal="justify" vertical="center" wrapText="1"/>
    </xf>
    <xf numFmtId="0" fontId="20" fillId="6" borderId="14" xfId="0" applyFont="1" applyFill="1" applyBorder="1" applyAlignment="1">
      <alignment horizontal="justify" vertical="center" wrapText="1"/>
    </xf>
    <xf numFmtId="3" fontId="16" fillId="7" borderId="10" xfId="0" applyNumberFormat="1" applyFont="1" applyFill="1" applyBorder="1" applyAlignment="1">
      <alignment horizontal="center" vertical="center" wrapText="1"/>
    </xf>
    <xf numFmtId="3" fontId="16" fillId="7" borderId="11" xfId="0" applyNumberFormat="1" applyFont="1" applyFill="1" applyBorder="1" applyAlignment="1">
      <alignment horizontal="center" vertical="center" wrapText="1"/>
    </xf>
    <xf numFmtId="3" fontId="16" fillId="7" borderId="12" xfId="0" applyNumberFormat="1"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2" borderId="60" xfId="4" applyNumberFormat="1" applyFont="1" applyFill="1" applyBorder="1">
      <alignment horizontal="center" vertical="center" wrapText="1"/>
    </xf>
    <xf numFmtId="0" fontId="4" fillId="2" borderId="32" xfId="4" applyNumberFormat="1" applyFont="1" applyFill="1" applyBorder="1">
      <alignment horizontal="center" vertical="center" wrapText="1"/>
    </xf>
    <xf numFmtId="0" fontId="4" fillId="2" borderId="23" xfId="4" applyNumberFormat="1" applyFont="1" applyFill="1" applyBorder="1">
      <alignment horizontal="center" vertical="center" wrapText="1"/>
    </xf>
    <xf numFmtId="0" fontId="4" fillId="2" borderId="17" xfId="4" applyNumberFormat="1" applyFont="1" applyFill="1" applyBorder="1">
      <alignment horizontal="center" vertical="center" wrapText="1"/>
    </xf>
    <xf numFmtId="1" fontId="4" fillId="0" borderId="17" xfId="0" applyNumberFormat="1" applyFont="1" applyBorder="1" applyAlignment="1">
      <alignment horizontal="center" vertical="center"/>
    </xf>
    <xf numFmtId="0" fontId="2" fillId="2" borderId="22" xfId="0" applyFont="1" applyFill="1" applyBorder="1" applyAlignment="1">
      <alignment horizontal="justify" vertical="center" wrapText="1"/>
    </xf>
    <xf numFmtId="0" fontId="2" fillId="2" borderId="25" xfId="0" applyFont="1" applyFill="1" applyBorder="1" applyAlignment="1">
      <alignment horizontal="justify" vertical="center" wrapText="1"/>
    </xf>
    <xf numFmtId="0" fontId="4" fillId="2" borderId="22" xfId="0" applyFont="1" applyFill="1" applyBorder="1" applyAlignment="1">
      <alignment horizontal="center" vertical="center" wrapText="1"/>
    </xf>
    <xf numFmtId="179" fontId="4" fillId="2" borderId="23" xfId="15" applyNumberFormat="1" applyFont="1" applyFill="1" applyBorder="1" applyAlignment="1">
      <alignment horizontal="center" vertical="center" wrapText="1"/>
    </xf>
    <xf numFmtId="179" fontId="4" fillId="2" borderId="17" xfId="15" applyNumberFormat="1"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12" xfId="0" applyFont="1" applyFill="1" applyBorder="1" applyAlignment="1">
      <alignment horizontal="center" vertical="center" wrapText="1"/>
    </xf>
    <xf numFmtId="171" fontId="20" fillId="6" borderId="1" xfId="0" applyNumberFormat="1" applyFont="1" applyFill="1" applyBorder="1" applyAlignment="1">
      <alignment horizontal="center" vertical="center" wrapText="1"/>
    </xf>
    <xf numFmtId="1" fontId="20" fillId="6" borderId="13" xfId="0" applyNumberFormat="1" applyFont="1" applyFill="1" applyBorder="1" applyAlignment="1">
      <alignment horizontal="center" vertical="center" wrapText="1"/>
    </xf>
    <xf numFmtId="1" fontId="20" fillId="6" borderId="4" xfId="0" applyNumberFormat="1" applyFont="1" applyFill="1" applyBorder="1" applyAlignment="1">
      <alignment horizontal="center" vertical="center" wrapText="1"/>
    </xf>
    <xf numFmtId="0" fontId="16" fillId="7" borderId="1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12" xfId="0" applyFont="1" applyFill="1" applyBorder="1" applyAlignment="1">
      <alignment horizontal="center" vertical="center"/>
    </xf>
    <xf numFmtId="0" fontId="16" fillId="7" borderId="5" xfId="0" applyFont="1" applyFill="1" applyBorder="1" applyAlignment="1">
      <alignment horizontal="center" vertical="center" textRotation="90" wrapText="1"/>
    </xf>
    <xf numFmtId="0" fontId="16" fillId="7" borderId="7" xfId="0" applyFont="1" applyFill="1" applyBorder="1" applyAlignment="1">
      <alignment horizontal="center" vertical="center" textRotation="90" wrapText="1"/>
    </xf>
    <xf numFmtId="0" fontId="16" fillId="7" borderId="2" xfId="0" applyFont="1" applyFill="1" applyBorder="1" applyAlignment="1">
      <alignment horizontal="center" vertical="center" textRotation="90" wrapText="1"/>
    </xf>
    <xf numFmtId="0" fontId="16" fillId="7" borderId="3" xfId="0" applyFont="1" applyFill="1" applyBorder="1" applyAlignment="1">
      <alignment horizontal="center" vertical="center" textRotation="90" wrapText="1"/>
    </xf>
    <xf numFmtId="170" fontId="20" fillId="6" borderId="1" xfId="0" applyNumberFormat="1" applyFont="1" applyFill="1" applyBorder="1" applyAlignment="1">
      <alignment horizontal="center" vertical="center" wrapText="1"/>
    </xf>
    <xf numFmtId="0" fontId="2" fillId="2" borderId="17" xfId="0" applyFont="1" applyFill="1" applyBorder="1" applyAlignment="1">
      <alignment horizontal="center" vertical="center"/>
    </xf>
    <xf numFmtId="0" fontId="4" fillId="2" borderId="30" xfId="0" applyFont="1" applyFill="1" applyBorder="1" applyAlignment="1">
      <alignment horizontal="justify" vertical="center" wrapText="1"/>
    </xf>
    <xf numFmtId="0" fontId="4" fillId="2" borderId="21" xfId="0" applyFont="1" applyFill="1" applyBorder="1" applyAlignment="1">
      <alignment horizontal="justify" vertical="center" wrapText="1"/>
    </xf>
    <xf numFmtId="9" fontId="2" fillId="2" borderId="17" xfId="2" applyFont="1" applyFill="1" applyBorder="1" applyAlignment="1">
      <alignment horizontal="center" vertical="center"/>
    </xf>
    <xf numFmtId="9" fontId="2" fillId="2" borderId="19" xfId="2" applyFont="1" applyFill="1" applyBorder="1" applyAlignment="1">
      <alignment horizontal="center" vertical="center"/>
    </xf>
    <xf numFmtId="179" fontId="4" fillId="2" borderId="19" xfId="15" applyNumberFormat="1" applyFont="1" applyFill="1" applyBorder="1" applyAlignment="1">
      <alignment horizontal="center" vertical="center" wrapText="1"/>
    </xf>
    <xf numFmtId="0" fontId="2" fillId="2" borderId="20" xfId="0" applyFont="1" applyFill="1" applyBorder="1" applyAlignment="1">
      <alignment horizontal="justify" vertical="center" wrapText="1"/>
    </xf>
    <xf numFmtId="14" fontId="4" fillId="2" borderId="19" xfId="0" applyNumberFormat="1" applyFont="1" applyFill="1" applyBorder="1" applyAlignment="1">
      <alignment horizontal="center" vertical="center" wrapText="1"/>
    </xf>
    <xf numFmtId="14" fontId="4" fillId="2" borderId="26" xfId="0" applyNumberFormat="1" applyFont="1" applyFill="1" applyBorder="1" applyAlignment="1">
      <alignment horizontal="center" vertical="center" wrapText="1"/>
    </xf>
    <xf numFmtId="0" fontId="4" fillId="2" borderId="30" xfId="4" applyNumberFormat="1" applyFont="1" applyFill="1" applyBorder="1" applyAlignment="1">
      <alignment horizontal="center" vertical="center"/>
    </xf>
    <xf numFmtId="0" fontId="4" fillId="2" borderId="21" xfId="4" applyNumberFormat="1" applyFont="1" applyFill="1" applyBorder="1" applyAlignment="1">
      <alignment horizontal="center" vertical="center"/>
    </xf>
    <xf numFmtId="0" fontId="4" fillId="2" borderId="19" xfId="4" applyNumberFormat="1" applyFont="1" applyFill="1" applyBorder="1">
      <alignment horizontal="center" vertical="center" wrapText="1"/>
    </xf>
    <xf numFmtId="0" fontId="2" fillId="2" borderId="22"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7" xfId="0" applyFont="1" applyFill="1" applyBorder="1" applyAlignment="1">
      <alignment horizontal="center" vertical="center"/>
    </xf>
    <xf numFmtId="179" fontId="4" fillId="0" borderId="17" xfId="15" applyNumberFormat="1" applyFont="1" applyFill="1" applyBorder="1" applyAlignment="1">
      <alignment horizontal="center" vertical="center" wrapText="1"/>
    </xf>
    <xf numFmtId="179" fontId="4" fillId="0" borderId="19" xfId="15" applyNumberFormat="1" applyFont="1" applyFill="1" applyBorder="1" applyAlignment="1">
      <alignment horizontal="center" vertical="center" wrapText="1"/>
    </xf>
    <xf numFmtId="0" fontId="4" fillId="2" borderId="30" xfId="4" applyNumberFormat="1" applyFont="1" applyFill="1" applyBorder="1">
      <alignment horizontal="center" vertical="center" wrapText="1"/>
    </xf>
    <xf numFmtId="14" fontId="2" fillId="2" borderId="17" xfId="0" applyNumberFormat="1" applyFont="1" applyFill="1" applyBorder="1" applyAlignment="1">
      <alignment horizontal="center" vertical="center"/>
    </xf>
    <xf numFmtId="14" fontId="2" fillId="2" borderId="19" xfId="0" applyNumberFormat="1" applyFont="1" applyFill="1" applyBorder="1" applyAlignment="1">
      <alignment horizontal="center" vertical="center"/>
    </xf>
    <xf numFmtId="4" fontId="2" fillId="2" borderId="17" xfId="0" applyNumberFormat="1" applyFont="1" applyFill="1" applyBorder="1" applyAlignment="1">
      <alignment horizontal="center" vertical="center"/>
    </xf>
    <xf numFmtId="4" fontId="2" fillId="2" borderId="19" xfId="0" applyNumberFormat="1" applyFont="1" applyFill="1" applyBorder="1" applyAlignment="1">
      <alignment horizontal="center" vertical="center"/>
    </xf>
    <xf numFmtId="0" fontId="2" fillId="2" borderId="35" xfId="0" applyFont="1" applyFill="1" applyBorder="1" applyAlignment="1">
      <alignment horizontal="center" vertical="center"/>
    </xf>
    <xf numFmtId="179" fontId="4" fillId="0" borderId="1" xfId="15" applyNumberFormat="1" applyFont="1" applyFill="1" applyBorder="1" applyAlignment="1">
      <alignment horizontal="center" vertical="center" wrapText="1"/>
    </xf>
    <xf numFmtId="0" fontId="2" fillId="2" borderId="3" xfId="0" applyFont="1" applyFill="1" applyBorder="1" applyAlignment="1">
      <alignment horizontal="justify" vertical="center" wrapText="1"/>
    </xf>
    <xf numFmtId="0" fontId="2" fillId="2" borderId="15" xfId="0" applyFont="1" applyFill="1" applyBorder="1" applyAlignment="1">
      <alignment horizontal="justify" vertical="center" wrapText="1"/>
    </xf>
    <xf numFmtId="14" fontId="2" fillId="2" borderId="14"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xf>
    <xf numFmtId="179" fontId="4" fillId="2" borderId="1" xfId="15" applyNumberFormat="1" applyFont="1" applyFill="1" applyBorder="1" applyAlignment="1">
      <alignment horizontal="center" vertical="center" wrapText="1"/>
    </xf>
    <xf numFmtId="0" fontId="2" fillId="2" borderId="7" xfId="0" applyFont="1" applyFill="1" applyBorder="1" applyAlignment="1">
      <alignment horizontal="justify" vertical="center" wrapText="1"/>
    </xf>
    <xf numFmtId="4" fontId="2" fillId="2" borderId="14" xfId="0" applyNumberFormat="1" applyFont="1" applyFill="1" applyBorder="1" applyAlignment="1">
      <alignment horizontal="center" vertical="center"/>
    </xf>
    <xf numFmtId="4" fontId="2" fillId="2" borderId="4"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15" xfId="0" applyNumberFormat="1" applyFont="1" applyFill="1" applyBorder="1" applyAlignment="1">
      <alignment horizontal="center" vertical="center"/>
    </xf>
    <xf numFmtId="0" fontId="4" fillId="2" borderId="7" xfId="4" applyNumberFormat="1" applyFont="1" applyFill="1" applyBorder="1">
      <alignment horizontal="center" vertical="center" wrapText="1"/>
    </xf>
    <xf numFmtId="0" fontId="4" fillId="2" borderId="15" xfId="4" applyNumberFormat="1" applyFont="1" applyFill="1" applyBorder="1">
      <alignment horizontal="center" vertical="center" wrapText="1"/>
    </xf>
    <xf numFmtId="0" fontId="2" fillId="2" borderId="15" xfId="0" applyFont="1" applyFill="1" applyBorder="1" applyAlignment="1">
      <alignment horizontal="center" vertical="center"/>
    </xf>
    <xf numFmtId="0" fontId="2" fillId="2" borderId="7" xfId="0" applyFont="1" applyFill="1" applyBorder="1" applyAlignment="1">
      <alignment horizontal="center" vertical="center"/>
    </xf>
    <xf numFmtId="14" fontId="2" fillId="2" borderId="7" xfId="0" applyNumberFormat="1" applyFont="1" applyFill="1" applyBorder="1" applyAlignment="1">
      <alignment horizontal="center" vertical="center"/>
    </xf>
    <xf numFmtId="14" fontId="2" fillId="2" borderId="3" xfId="0" applyNumberFormat="1" applyFont="1" applyFill="1" applyBorder="1" applyAlignment="1">
      <alignment horizontal="center" vertical="center"/>
    </xf>
    <xf numFmtId="14" fontId="2" fillId="2" borderId="15" xfId="0" applyNumberFormat="1" applyFont="1" applyFill="1" applyBorder="1" applyAlignment="1">
      <alignment horizontal="center" vertical="center"/>
    </xf>
    <xf numFmtId="4" fontId="2" fillId="2" borderId="7" xfId="0" applyNumberFormat="1" applyFont="1" applyFill="1" applyBorder="1" applyAlignment="1">
      <alignment horizontal="center" vertical="center"/>
    </xf>
    <xf numFmtId="4" fontId="2" fillId="2" borderId="3" xfId="0" applyNumberFormat="1" applyFont="1" applyFill="1" applyBorder="1" applyAlignment="1">
      <alignment horizontal="center" vertical="center"/>
    </xf>
    <xf numFmtId="4" fontId="2" fillId="2" borderId="15" xfId="0" applyNumberFormat="1" applyFont="1" applyFill="1" applyBorder="1" applyAlignment="1">
      <alignment horizontal="center" vertical="center"/>
    </xf>
    <xf numFmtId="9" fontId="2" fillId="2" borderId="7" xfId="2" applyFont="1" applyFill="1" applyBorder="1" applyAlignment="1">
      <alignment horizontal="center" vertical="center"/>
    </xf>
    <xf numFmtId="9" fontId="2" fillId="2" borderId="3" xfId="2" applyFont="1" applyFill="1" applyBorder="1" applyAlignment="1">
      <alignment horizontal="center" vertical="center"/>
    </xf>
    <xf numFmtId="9" fontId="2" fillId="2" borderId="15" xfId="2" applyFont="1" applyFill="1" applyBorder="1" applyAlignment="1">
      <alignment horizontal="center" vertical="center"/>
    </xf>
    <xf numFmtId="1" fontId="2" fillId="2" borderId="43" xfId="0" applyNumberFormat="1" applyFont="1" applyFill="1" applyBorder="1" applyAlignment="1">
      <alignment horizontal="center" vertical="center"/>
    </xf>
    <xf numFmtId="1" fontId="2" fillId="2" borderId="42" xfId="0" applyNumberFormat="1" applyFont="1" applyFill="1" applyBorder="1" applyAlignment="1">
      <alignment horizontal="center" vertical="center"/>
    </xf>
    <xf numFmtId="1" fontId="2" fillId="0" borderId="2" xfId="0" applyNumberFormat="1" applyFont="1" applyBorder="1" applyAlignment="1">
      <alignment horizontal="center"/>
    </xf>
    <xf numFmtId="1" fontId="2" fillId="0" borderId="0" xfId="0" applyNumberFormat="1" applyFont="1" applyAlignment="1">
      <alignment horizontal="center"/>
    </xf>
    <xf numFmtId="1" fontId="2" fillId="0" borderId="3" xfId="0" applyNumberFormat="1" applyFont="1" applyBorder="1" applyAlignment="1">
      <alignment horizontal="center"/>
    </xf>
    <xf numFmtId="0" fontId="3" fillId="8"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2" borderId="43" xfId="0" applyFont="1" applyFill="1" applyBorder="1" applyAlignment="1">
      <alignment horizontal="center" vertical="center"/>
    </xf>
    <xf numFmtId="0" fontId="2" fillId="2" borderId="42" xfId="0" applyFont="1" applyFill="1" applyBorder="1" applyAlignment="1">
      <alignment horizontal="center" vertical="center"/>
    </xf>
    <xf numFmtId="14" fontId="2" fillId="2" borderId="43" xfId="0" applyNumberFormat="1" applyFont="1" applyFill="1" applyBorder="1" applyAlignment="1">
      <alignment horizontal="center" vertical="center"/>
    </xf>
    <xf numFmtId="14" fontId="2" fillId="2" borderId="42" xfId="0" applyNumberFormat="1" applyFont="1" applyFill="1" applyBorder="1" applyAlignment="1">
      <alignment horizontal="center" vertical="center"/>
    </xf>
    <xf numFmtId="0" fontId="2" fillId="2" borderId="43" xfId="0" applyFont="1" applyFill="1" applyBorder="1" applyAlignment="1">
      <alignment horizontal="center" vertical="center" wrapText="1"/>
    </xf>
    <xf numFmtId="0" fontId="2" fillId="2" borderId="42" xfId="0" applyFont="1" applyFill="1" applyBorder="1" applyAlignment="1">
      <alignment horizontal="center" vertical="center" wrapText="1"/>
    </xf>
    <xf numFmtId="4" fontId="2" fillId="2" borderId="43" xfId="0" applyNumberFormat="1" applyFont="1" applyFill="1" applyBorder="1" applyAlignment="1">
      <alignment horizontal="center" vertical="center"/>
    </xf>
    <xf numFmtId="4" fontId="2" fillId="2" borderId="42" xfId="0" applyNumberFormat="1" applyFont="1" applyFill="1" applyBorder="1" applyAlignment="1">
      <alignment horizontal="center" vertical="center"/>
    </xf>
    <xf numFmtId="9" fontId="2" fillId="2" borderId="43" xfId="2" applyFont="1" applyFill="1" applyBorder="1" applyAlignment="1">
      <alignment horizontal="center" vertical="center"/>
    </xf>
    <xf numFmtId="9" fontId="2" fillId="2" borderId="42" xfId="2" applyFont="1" applyFill="1" applyBorder="1" applyAlignment="1">
      <alignment horizontal="center" vertical="center"/>
    </xf>
    <xf numFmtId="179" fontId="2" fillId="2" borderId="1" xfId="15" applyNumberFormat="1" applyFont="1" applyFill="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4" fillId="2" borderId="13" xfId="4" applyNumberFormat="1" applyFont="1" applyFill="1" applyBorder="1">
      <alignment horizontal="center" vertical="center" wrapText="1"/>
    </xf>
    <xf numFmtId="0" fontId="4" fillId="2" borderId="14" xfId="4" applyNumberFormat="1" applyFont="1" applyFill="1" applyBorder="1">
      <alignment horizontal="center" vertical="center" wrapText="1"/>
    </xf>
    <xf numFmtId="0" fontId="4" fillId="2" borderId="4" xfId="4" applyNumberFormat="1" applyFont="1" applyFill="1" applyBorder="1">
      <alignment horizontal="center" vertical="center" wrapText="1"/>
    </xf>
    <xf numFmtId="4" fontId="2" fillId="2" borderId="13" xfId="0" applyNumberFormat="1" applyFont="1" applyFill="1" applyBorder="1" applyAlignment="1">
      <alignment horizontal="center" vertical="center"/>
    </xf>
    <xf numFmtId="14" fontId="2" fillId="2" borderId="13" xfId="0" applyNumberFormat="1" applyFont="1" applyFill="1" applyBorder="1" applyAlignment="1">
      <alignment horizontal="center" vertical="center"/>
    </xf>
    <xf numFmtId="1" fontId="2" fillId="2" borderId="6" xfId="0" applyNumberFormat="1" applyFont="1" applyFill="1" applyBorder="1" applyAlignment="1">
      <alignment horizontal="center" vertical="center" wrapText="1"/>
    </xf>
    <xf numFmtId="1" fontId="2" fillId="2" borderId="17" xfId="0" applyNumberFormat="1" applyFont="1" applyFill="1" applyBorder="1" applyAlignment="1">
      <alignment horizontal="center" vertical="center"/>
    </xf>
    <xf numFmtId="0" fontId="3" fillId="8" borderId="4" xfId="0" applyFont="1" applyFill="1" applyBorder="1" applyAlignment="1">
      <alignment horizontal="left" vertical="center" wrapText="1"/>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22" xfId="0" applyFont="1" applyBorder="1" applyAlignment="1">
      <alignment horizontal="center" vertical="center"/>
    </xf>
    <xf numFmtId="0" fontId="13" fillId="0" borderId="33" xfId="0" applyFont="1" applyBorder="1" applyAlignment="1">
      <alignment horizontal="center" vertical="center"/>
    </xf>
    <xf numFmtId="0" fontId="13" fillId="0" borderId="60" xfId="0" applyFont="1" applyBorder="1" applyAlignment="1">
      <alignment horizontal="center" vertical="center"/>
    </xf>
    <xf numFmtId="0" fontId="13" fillId="0" borderId="29" xfId="0" applyFont="1" applyBorder="1" applyAlignment="1">
      <alignment horizontal="center" vertical="center"/>
    </xf>
    <xf numFmtId="0" fontId="4" fillId="2" borderId="5" xfId="4" applyNumberFormat="1" applyFont="1" applyFill="1" applyBorder="1">
      <alignment horizontal="center" vertical="center" wrapText="1"/>
    </xf>
    <xf numFmtId="0" fontId="4" fillId="2" borderId="8" xfId="4" applyNumberFormat="1" applyFont="1" applyFill="1" applyBorder="1">
      <alignment horizontal="center" vertical="center" wrapText="1"/>
    </xf>
    <xf numFmtId="0" fontId="4" fillId="0" borderId="25" xfId="4" applyNumberFormat="1" applyFont="1" applyFill="1" applyBorder="1">
      <alignment horizontal="center" vertical="center" wrapText="1"/>
    </xf>
    <xf numFmtId="1" fontId="2" fillId="0" borderId="19" xfId="0" applyNumberFormat="1" applyFont="1" applyBorder="1" applyAlignment="1">
      <alignment horizontal="center" vertical="center"/>
    </xf>
    <xf numFmtId="1" fontId="2" fillId="0" borderId="26" xfId="0" applyNumberFormat="1" applyFont="1" applyBorder="1" applyAlignment="1">
      <alignment horizontal="center" vertical="center"/>
    </xf>
    <xf numFmtId="1" fontId="2" fillId="0" borderId="23" xfId="0" applyNumberFormat="1" applyFont="1" applyBorder="1" applyAlignment="1">
      <alignment horizontal="center" vertical="center"/>
    </xf>
    <xf numFmtId="179" fontId="2" fillId="0" borderId="15" xfId="15" applyNumberFormat="1" applyFont="1" applyBorder="1" applyAlignment="1">
      <alignment horizontal="center" vertical="center"/>
    </xf>
    <xf numFmtId="14" fontId="2" fillId="2" borderId="26" xfId="0" applyNumberFormat="1" applyFont="1" applyFill="1" applyBorder="1" applyAlignment="1">
      <alignment horizontal="center" vertical="center"/>
    </xf>
    <xf numFmtId="14" fontId="2" fillId="2" borderId="23" xfId="0" applyNumberFormat="1" applyFont="1" applyFill="1" applyBorder="1" applyAlignment="1">
      <alignment horizontal="center" vertical="center"/>
    </xf>
    <xf numFmtId="4" fontId="2" fillId="2" borderId="26" xfId="0" applyNumberFormat="1" applyFont="1" applyFill="1" applyBorder="1" applyAlignment="1">
      <alignment horizontal="center" vertical="center"/>
    </xf>
    <xf numFmtId="4" fontId="2" fillId="2" borderId="23" xfId="0" applyNumberFormat="1" applyFont="1" applyFill="1" applyBorder="1" applyAlignment="1">
      <alignment horizontal="center" vertical="center"/>
    </xf>
    <xf numFmtId="9" fontId="2" fillId="2" borderId="23" xfId="2" applyFont="1" applyFill="1" applyBorder="1" applyAlignment="1">
      <alignment horizontal="center" vertical="center"/>
    </xf>
    <xf numFmtId="1" fontId="2" fillId="0" borderId="5" xfId="0" applyNumberFormat="1" applyFont="1" applyBorder="1" applyAlignment="1">
      <alignment horizontal="center"/>
    </xf>
    <xf numFmtId="1" fontId="2" fillId="0" borderId="6" xfId="0" applyNumberFormat="1" applyFont="1" applyBorder="1" applyAlignment="1">
      <alignment horizontal="center"/>
    </xf>
    <xf numFmtId="1" fontId="2" fillId="0" borderId="7" xfId="0" applyNumberFormat="1" applyFont="1" applyBorder="1" applyAlignment="1">
      <alignment horizont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 fillId="0" borderId="7" xfId="0" applyFont="1" applyBorder="1" applyAlignment="1">
      <alignment horizontal="center" vertical="center"/>
    </xf>
    <xf numFmtId="0" fontId="4" fillId="2" borderId="21" xfId="4" applyNumberFormat="1" applyFont="1" applyFill="1" applyBorder="1">
      <alignment horizontal="center" vertical="center" wrapText="1"/>
    </xf>
    <xf numFmtId="0" fontId="2" fillId="0" borderId="44"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179" fontId="2" fillId="2" borderId="19" xfId="15" applyNumberFormat="1" applyFont="1" applyFill="1" applyBorder="1" applyAlignment="1">
      <alignment horizontal="center" vertical="center"/>
    </xf>
    <xf numFmtId="179" fontId="2" fillId="2" borderId="26" xfId="15" applyNumberFormat="1" applyFont="1" applyFill="1" applyBorder="1" applyAlignment="1">
      <alignment horizontal="center" vertical="center"/>
    </xf>
    <xf numFmtId="14" fontId="2" fillId="2" borderId="41" xfId="0" applyNumberFormat="1" applyFont="1" applyFill="1" applyBorder="1" applyAlignment="1">
      <alignment horizontal="center" vertical="center"/>
    </xf>
    <xf numFmtId="4" fontId="2" fillId="2" borderId="41" xfId="0" applyNumberFormat="1" applyFont="1" applyFill="1" applyBorder="1" applyAlignment="1">
      <alignment horizontal="center" vertical="center"/>
    </xf>
    <xf numFmtId="9" fontId="2" fillId="2" borderId="41" xfId="2" applyFont="1" applyFill="1" applyBorder="1" applyAlignment="1">
      <alignment horizontal="center" vertical="center"/>
    </xf>
    <xf numFmtId="0" fontId="2" fillId="2" borderId="44" xfId="0" applyFont="1" applyFill="1" applyBorder="1" applyAlignment="1">
      <alignment horizontal="center" vertical="center"/>
    </xf>
    <xf numFmtId="0" fontId="2" fillId="2" borderId="18" xfId="0" applyFont="1" applyFill="1" applyBorder="1" applyAlignment="1">
      <alignment horizontal="center" vertical="center"/>
    </xf>
    <xf numFmtId="4" fontId="2" fillId="2" borderId="44" xfId="0" applyNumberFormat="1" applyFont="1" applyFill="1" applyBorder="1" applyAlignment="1">
      <alignment horizontal="center" vertical="center"/>
    </xf>
    <xf numFmtId="4" fontId="2" fillId="2" borderId="18" xfId="0" applyNumberFormat="1" applyFont="1" applyFill="1" applyBorder="1" applyAlignment="1">
      <alignment horizontal="center" vertical="center"/>
    </xf>
    <xf numFmtId="4" fontId="2" fillId="2" borderId="22" xfId="0" applyNumberFormat="1" applyFont="1" applyFill="1" applyBorder="1" applyAlignment="1">
      <alignment horizontal="center" vertical="center"/>
    </xf>
    <xf numFmtId="9" fontId="2" fillId="2" borderId="44" xfId="2" applyFont="1" applyFill="1" applyBorder="1" applyAlignment="1">
      <alignment horizontal="center" vertical="center"/>
    </xf>
    <xf numFmtId="9" fontId="2" fillId="2" borderId="18" xfId="2" applyFont="1" applyFill="1" applyBorder="1" applyAlignment="1">
      <alignment horizontal="center" vertical="center"/>
    </xf>
    <xf numFmtId="9" fontId="2" fillId="2" borderId="22" xfId="2" applyFont="1" applyFill="1" applyBorder="1" applyAlignment="1">
      <alignment horizontal="center" vertical="center"/>
    </xf>
    <xf numFmtId="0" fontId="2" fillId="2" borderId="44"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2" xfId="0" applyFont="1" applyFill="1" applyBorder="1" applyAlignment="1">
      <alignment horizontal="justify" vertical="center" wrapText="1"/>
    </xf>
    <xf numFmtId="0" fontId="4" fillId="0" borderId="62" xfId="0" applyFont="1" applyBorder="1" applyAlignment="1">
      <alignment horizontal="justify" vertical="center" wrapText="1"/>
    </xf>
    <xf numFmtId="0" fontId="2" fillId="2" borderId="1" xfId="0" applyFont="1" applyFill="1" applyBorder="1" applyAlignment="1">
      <alignment horizontal="center" vertical="center"/>
    </xf>
    <xf numFmtId="0" fontId="4" fillId="2" borderId="30" xfId="0" applyFont="1" applyFill="1" applyBorder="1" applyAlignment="1">
      <alignment horizontal="center" vertical="center" wrapText="1"/>
    </xf>
    <xf numFmtId="14" fontId="2" fillId="2" borderId="44" xfId="0" applyNumberFormat="1" applyFont="1" applyFill="1" applyBorder="1" applyAlignment="1">
      <alignment horizontal="center" vertical="center"/>
    </xf>
    <xf numFmtId="14" fontId="2" fillId="2" borderId="18" xfId="0" applyNumberFormat="1" applyFont="1" applyFill="1" applyBorder="1" applyAlignment="1">
      <alignment horizontal="center" vertical="center"/>
    </xf>
    <xf numFmtId="14" fontId="2" fillId="2" borderId="22" xfId="0" applyNumberFormat="1" applyFont="1" applyFill="1" applyBorder="1" applyAlignment="1">
      <alignment horizontal="center" vertical="center"/>
    </xf>
    <xf numFmtId="1" fontId="2" fillId="2" borderId="19" xfId="0" applyNumberFormat="1" applyFont="1" applyFill="1" applyBorder="1" applyAlignment="1">
      <alignment horizontal="center" vertical="center"/>
    </xf>
    <xf numFmtId="1" fontId="2" fillId="2" borderId="23" xfId="0" applyNumberFormat="1" applyFont="1" applyFill="1" applyBorder="1" applyAlignment="1">
      <alignment horizontal="center" vertical="center"/>
    </xf>
    <xf numFmtId="0" fontId="2" fillId="2" borderId="38" xfId="0" applyFont="1" applyFill="1" applyBorder="1" applyAlignment="1">
      <alignment horizontal="justify" vertical="center" wrapText="1"/>
    </xf>
    <xf numFmtId="0" fontId="2" fillId="2" borderId="36" xfId="0" applyFont="1" applyFill="1" applyBorder="1" applyAlignment="1">
      <alignment horizontal="justify" vertical="center" wrapText="1"/>
    </xf>
    <xf numFmtId="0" fontId="2" fillId="2" borderId="62" xfId="0" applyFont="1" applyFill="1" applyBorder="1" applyAlignment="1">
      <alignment horizontal="justify" vertical="center" wrapText="1"/>
    </xf>
    <xf numFmtId="0" fontId="4" fillId="2" borderId="63" xfId="0" applyFont="1" applyFill="1" applyBorder="1" applyAlignment="1">
      <alignment horizontal="justify" vertical="center" wrapText="1"/>
    </xf>
    <xf numFmtId="179" fontId="2" fillId="2" borderId="17" xfId="15" applyNumberFormat="1" applyFont="1" applyFill="1" applyBorder="1" applyAlignment="1">
      <alignment horizontal="center" vertical="center"/>
    </xf>
    <xf numFmtId="0" fontId="2" fillId="2" borderId="43" xfId="0" applyFont="1" applyFill="1" applyBorder="1" applyAlignment="1">
      <alignment horizontal="justify" vertical="center" wrapText="1"/>
    </xf>
    <xf numFmtId="0" fontId="2" fillId="2" borderId="42" xfId="0" applyFont="1" applyFill="1" applyBorder="1" applyAlignment="1">
      <alignment horizontal="justify" vertical="center" wrapText="1"/>
    </xf>
    <xf numFmtId="179" fontId="2" fillId="2" borderId="14" xfId="15" applyNumberFormat="1" applyFont="1" applyFill="1" applyBorder="1" applyAlignment="1">
      <alignment horizontal="center" vertical="center"/>
    </xf>
    <xf numFmtId="0" fontId="2" fillId="0" borderId="62" xfId="0" applyFont="1" applyBorder="1" applyAlignment="1">
      <alignment horizontal="center" vertical="center"/>
    </xf>
    <xf numFmtId="0" fontId="2" fillId="0" borderId="4" xfId="0" applyFont="1" applyBorder="1" applyAlignment="1">
      <alignment horizontal="center" vertical="center"/>
    </xf>
    <xf numFmtId="0" fontId="2" fillId="2" borderId="62" xfId="0" applyFont="1" applyFill="1" applyBorder="1" applyAlignment="1">
      <alignment horizontal="center" vertical="center"/>
    </xf>
    <xf numFmtId="14" fontId="2" fillId="2" borderId="62" xfId="0" applyNumberFormat="1" applyFont="1" applyFill="1" applyBorder="1" applyAlignment="1">
      <alignment horizontal="center" vertical="center"/>
    </xf>
    <xf numFmtId="0" fontId="2" fillId="2" borderId="62" xfId="0" applyFont="1" applyFill="1" applyBorder="1" applyAlignment="1">
      <alignment horizontal="center" vertical="center" wrapText="1"/>
    </xf>
    <xf numFmtId="4" fontId="2" fillId="2" borderId="62" xfId="0" applyNumberFormat="1" applyFont="1" applyFill="1" applyBorder="1" applyAlignment="1">
      <alignment horizontal="center" vertical="center"/>
    </xf>
    <xf numFmtId="9" fontId="2" fillId="2" borderId="62" xfId="2" applyFont="1" applyFill="1" applyBorder="1" applyAlignment="1">
      <alignment horizontal="center" vertical="center"/>
    </xf>
    <xf numFmtId="0" fontId="2" fillId="0" borderId="3" xfId="0" applyFont="1" applyBorder="1" applyAlignment="1">
      <alignment horizontal="center"/>
    </xf>
    <xf numFmtId="0" fontId="2" fillId="0" borderId="15" xfId="0" applyFont="1" applyBorder="1" applyAlignment="1">
      <alignment horizontal="center"/>
    </xf>
    <xf numFmtId="0" fontId="20" fillId="2" borderId="0" xfId="0" applyFont="1" applyFill="1" applyAlignment="1">
      <alignment horizontal="center"/>
    </xf>
    <xf numFmtId="0" fontId="20" fillId="2" borderId="0" xfId="0" applyFont="1" applyFill="1" applyAlignment="1">
      <alignment horizontal="center" wrapText="1"/>
    </xf>
    <xf numFmtId="1" fontId="3" fillId="6" borderId="79" xfId="0" applyNumberFormat="1" applyFont="1" applyFill="1" applyBorder="1" applyAlignment="1">
      <alignment horizontal="center" vertical="center" wrapText="1"/>
    </xf>
    <xf numFmtId="1" fontId="3" fillId="6" borderId="81"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170" fontId="3" fillId="6" borderId="5" xfId="0" applyNumberFormat="1" applyFont="1" applyFill="1" applyBorder="1" applyAlignment="1">
      <alignment horizontal="center" vertical="center" wrapText="1"/>
    </xf>
    <xf numFmtId="170" fontId="3" fillId="6" borderId="2" xfId="0" applyNumberFormat="1" applyFont="1" applyFill="1" applyBorder="1" applyAlignment="1">
      <alignment horizontal="center" vertical="center" wrapText="1"/>
    </xf>
    <xf numFmtId="43" fontId="3" fillId="6" borderId="5" xfId="17" applyFont="1" applyFill="1" applyBorder="1" applyAlignment="1">
      <alignment horizontal="center" vertical="center" wrapText="1"/>
    </xf>
    <xf numFmtId="43" fontId="3" fillId="6" borderId="2" xfId="17"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171" fontId="3" fillId="6" borderId="5" xfId="0" applyNumberFormat="1" applyFont="1" applyFill="1" applyBorder="1" applyAlignment="1">
      <alignment horizontal="center" vertical="center" wrapText="1"/>
    </xf>
    <xf numFmtId="171" fontId="3" fillId="6" borderId="6" xfId="0" applyNumberFormat="1" applyFont="1" applyFill="1" applyBorder="1" applyAlignment="1">
      <alignment horizontal="center" vertical="center" wrapText="1"/>
    </xf>
    <xf numFmtId="171" fontId="3" fillId="6" borderId="7" xfId="0" applyNumberFormat="1" applyFont="1" applyFill="1" applyBorder="1" applyAlignment="1">
      <alignment horizontal="center" vertical="center" wrapText="1"/>
    </xf>
    <xf numFmtId="171" fontId="3" fillId="6" borderId="2" xfId="0" applyNumberFormat="1" applyFont="1" applyFill="1" applyBorder="1" applyAlignment="1">
      <alignment horizontal="center" vertical="center" wrapText="1"/>
    </xf>
    <xf numFmtId="171" fontId="3" fillId="6" borderId="0" xfId="0" applyNumberFormat="1" applyFont="1" applyFill="1" applyAlignment="1">
      <alignment horizontal="center" vertical="center" wrapText="1"/>
    </xf>
    <xf numFmtId="171" fontId="3" fillId="6" borderId="3" xfId="0" applyNumberFormat="1" applyFont="1" applyFill="1" applyBorder="1" applyAlignment="1">
      <alignment horizontal="center" vertical="center" wrapText="1"/>
    </xf>
    <xf numFmtId="0" fontId="3" fillId="6" borderId="13" xfId="0" applyFont="1" applyFill="1" applyBorder="1" applyAlignment="1">
      <alignment horizontal="justify" vertical="center" wrapText="1"/>
    </xf>
    <xf numFmtId="0" fontId="3" fillId="6" borderId="14" xfId="0" applyFont="1" applyFill="1" applyBorder="1" applyAlignment="1">
      <alignment horizontal="justify" vertical="center" wrapText="1"/>
    </xf>
    <xf numFmtId="3" fontId="3" fillId="6" borderId="80" xfId="0" applyNumberFormat="1" applyFont="1" applyFill="1" applyBorder="1" applyAlignment="1">
      <alignment horizontal="center" vertical="center" wrapText="1"/>
    </xf>
    <xf numFmtId="3" fontId="3" fillId="6" borderId="82" xfId="0" applyNumberFormat="1" applyFont="1" applyFill="1" applyBorder="1" applyAlignment="1">
      <alignment horizontal="center" vertical="center" wrapText="1"/>
    </xf>
    <xf numFmtId="1" fontId="3" fillId="6" borderId="13" xfId="0" applyNumberFormat="1" applyFont="1" applyFill="1" applyBorder="1" applyAlignment="1">
      <alignment horizontal="center" vertical="center" wrapText="1"/>
    </xf>
    <xf numFmtId="1" fontId="3" fillId="6" borderId="14" xfId="0" applyNumberFormat="1" applyFont="1" applyFill="1" applyBorder="1" applyAlignment="1">
      <alignment horizontal="center" vertical="center" wrapText="1"/>
    </xf>
    <xf numFmtId="1" fontId="3" fillId="6" borderId="4"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176" fontId="28" fillId="6" borderId="50" xfId="12" applyFont="1" applyFill="1" applyBorder="1" applyAlignment="1">
      <alignment horizontal="center" vertical="center"/>
    </xf>
    <xf numFmtId="176" fontId="28" fillId="6" borderId="49" xfId="12" applyFont="1" applyFill="1" applyBorder="1" applyAlignment="1">
      <alignment horizontal="center" vertical="center"/>
    </xf>
    <xf numFmtId="176" fontId="28" fillId="6" borderId="48" xfId="12" applyFont="1" applyFill="1" applyBorder="1" applyAlignment="1">
      <alignment horizontal="center" vertical="center"/>
    </xf>
    <xf numFmtId="172" fontId="3" fillId="6" borderId="2" xfId="0" applyNumberFormat="1" applyFont="1" applyFill="1" applyBorder="1" applyAlignment="1">
      <alignment horizontal="center" vertical="center" wrapText="1"/>
    </xf>
    <xf numFmtId="172" fontId="3" fillId="6" borderId="3"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9" fontId="4" fillId="0" borderId="7"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15" xfId="0" applyNumberFormat="1" applyFont="1" applyBorder="1" applyAlignment="1">
      <alignment horizontal="center" vertical="center" wrapText="1"/>
    </xf>
    <xf numFmtId="43" fontId="4" fillId="0" borderId="13" xfId="0" applyNumberFormat="1" applyFont="1" applyBorder="1" applyAlignment="1">
      <alignment horizontal="center" vertical="center" wrapText="1"/>
    </xf>
    <xf numFmtId="0" fontId="3" fillId="6" borderId="1" xfId="0" applyFont="1" applyFill="1" applyBorder="1" applyAlignment="1">
      <alignment horizontal="center" vertical="center" textRotation="90" wrapText="1"/>
    </xf>
    <xf numFmtId="0" fontId="2" fillId="2" borderId="30" xfId="0" applyFont="1" applyFill="1" applyBorder="1" applyAlignment="1">
      <alignment horizontal="left" vertical="center" wrapText="1"/>
    </xf>
    <xf numFmtId="0" fontId="11" fillId="0" borderId="30" xfId="0" applyFont="1" applyBorder="1" applyAlignment="1">
      <alignment horizontal="left" vertical="center" wrapText="1"/>
    </xf>
    <xf numFmtId="0" fontId="4" fillId="0" borderId="32" xfId="0" applyFont="1" applyBorder="1" applyAlignment="1">
      <alignment horizontal="center" vertical="center" wrapText="1"/>
    </xf>
    <xf numFmtId="9" fontId="2" fillId="2" borderId="6" xfId="2" applyFont="1" applyFill="1" applyBorder="1" applyAlignment="1">
      <alignment horizontal="center" vertical="center" wrapText="1"/>
    </xf>
    <xf numFmtId="9" fontId="2" fillId="2" borderId="0" xfId="2" applyFont="1" applyFill="1" applyBorder="1" applyAlignment="1">
      <alignment horizontal="center" vertical="center" wrapText="1"/>
    </xf>
    <xf numFmtId="9" fontId="2" fillId="2" borderId="9" xfId="2" applyFont="1" applyFill="1" applyBorder="1" applyAlignment="1">
      <alignment horizontal="center" vertical="center" wrapText="1"/>
    </xf>
    <xf numFmtId="43" fontId="4" fillId="0" borderId="17" xfId="0" applyNumberFormat="1" applyFont="1" applyBorder="1" applyAlignment="1">
      <alignment horizontal="center" vertical="center" wrapText="1"/>
    </xf>
    <xf numFmtId="3" fontId="2" fillId="2" borderId="13" xfId="0" applyNumberFormat="1" applyFont="1" applyFill="1" applyBorder="1" applyAlignment="1">
      <alignment horizontal="justify" vertical="center" wrapText="1"/>
    </xf>
    <xf numFmtId="3" fontId="2" fillId="2" borderId="14" xfId="0" applyNumberFormat="1" applyFont="1" applyFill="1" applyBorder="1" applyAlignment="1">
      <alignment horizontal="justify" vertical="center" wrapText="1"/>
    </xf>
    <xf numFmtId="3" fontId="2" fillId="2" borderId="4" xfId="0" applyNumberFormat="1" applyFont="1" applyFill="1" applyBorder="1" applyAlignment="1">
      <alignment horizontal="justify" vertical="center" wrapText="1"/>
    </xf>
    <xf numFmtId="4" fontId="2" fillId="2" borderId="13" xfId="0" applyNumberFormat="1" applyFont="1" applyFill="1" applyBorder="1" applyAlignment="1">
      <alignment horizontal="center" vertical="center" wrapText="1"/>
    </xf>
    <xf numFmtId="4" fontId="2" fillId="2" borderId="14"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14" fontId="2" fillId="2" borderId="4" xfId="0" applyNumberFormat="1" applyFont="1" applyFill="1" applyBorder="1" applyAlignment="1">
      <alignment horizontal="center" vertical="center" wrapText="1"/>
    </xf>
    <xf numFmtId="0" fontId="11" fillId="2" borderId="1" xfId="19" applyFont="1" applyFill="1" applyBorder="1" applyAlignment="1">
      <alignment horizontal="justify" vertical="center" wrapText="1"/>
    </xf>
    <xf numFmtId="3" fontId="4" fillId="0" borderId="13" xfId="1" applyNumberFormat="1" applyFont="1" applyFill="1" applyBorder="1" applyAlignment="1">
      <alignment horizontal="center" vertical="center" wrapText="1"/>
    </xf>
    <xf numFmtId="3" fontId="4" fillId="0" borderId="14" xfId="1" applyNumberFormat="1" applyFont="1" applyFill="1" applyBorder="1" applyAlignment="1">
      <alignment horizontal="center" vertical="center" wrapText="1"/>
    </xf>
    <xf numFmtId="3" fontId="4" fillId="0" borderId="4" xfId="1" applyNumberFormat="1" applyFont="1" applyFill="1" applyBorder="1" applyAlignment="1">
      <alignment horizontal="center" vertical="center" wrapText="1"/>
    </xf>
    <xf numFmtId="49" fontId="4" fillId="0" borderId="7"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0" fontId="3" fillId="7" borderId="4" xfId="0" applyFont="1" applyFill="1" applyBorder="1" applyAlignment="1">
      <alignment horizontal="center" vertical="center" textRotation="90" wrapText="1"/>
    </xf>
    <xf numFmtId="3" fontId="4" fillId="0" borderId="13" xfId="0" applyNumberFormat="1" applyFont="1" applyBorder="1" applyAlignment="1">
      <alignment horizontal="center" vertical="center"/>
    </xf>
    <xf numFmtId="3" fontId="4" fillId="0" borderId="14" xfId="0" applyNumberFormat="1" applyFont="1" applyBorder="1" applyAlignment="1">
      <alignment horizontal="center" vertical="center"/>
    </xf>
    <xf numFmtId="179" fontId="4" fillId="0" borderId="30" xfId="15" applyNumberFormat="1" applyFont="1" applyFill="1" applyBorder="1" applyAlignment="1">
      <alignment horizontal="center" vertical="center"/>
    </xf>
    <xf numFmtId="10" fontId="16" fillId="9" borderId="1" xfId="7" applyNumberFormat="1" applyFont="1" applyFill="1" applyBorder="1" applyAlignment="1">
      <alignment horizontal="center" vertical="center" wrapText="1"/>
    </xf>
    <xf numFmtId="3" fontId="4" fillId="0" borderId="5" xfId="0" applyNumberFormat="1" applyFont="1" applyBorder="1" applyAlignment="1">
      <alignment horizontal="justify" vertical="center" wrapText="1"/>
    </xf>
    <xf numFmtId="3" fontId="4" fillId="0" borderId="7" xfId="0" applyNumberFormat="1" applyFont="1" applyBorder="1" applyAlignment="1">
      <alignment horizontal="center" vertical="center"/>
    </xf>
    <xf numFmtId="3" fontId="4" fillId="0" borderId="3" xfId="0" applyNumberFormat="1" applyFont="1" applyBorder="1" applyAlignment="1">
      <alignment horizontal="center" vertical="center"/>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179" fontId="4" fillId="0" borderId="3" xfId="15" applyNumberFormat="1" applyFont="1" applyFill="1" applyBorder="1" applyAlignment="1">
      <alignment horizontal="center" vertical="center"/>
    </xf>
    <xf numFmtId="179" fontId="4" fillId="0" borderId="67" xfId="15" applyNumberFormat="1" applyFont="1" applyFill="1" applyBorder="1" applyAlignment="1">
      <alignment horizontal="center" vertical="center"/>
    </xf>
    <xf numFmtId="3" fontId="4" fillId="0" borderId="4" xfId="0" applyNumberFormat="1" applyFont="1" applyBorder="1" applyAlignment="1">
      <alignment horizontal="center" vertical="center"/>
    </xf>
    <xf numFmtId="3" fontId="4" fillId="0" borderId="15" xfId="0" applyNumberFormat="1" applyFont="1" applyBorder="1" applyAlignment="1">
      <alignment horizontal="center" vertical="center"/>
    </xf>
    <xf numFmtId="1" fontId="4" fillId="0" borderId="13" xfId="0" applyNumberFormat="1" applyFont="1" applyBorder="1" applyAlignment="1">
      <alignment horizontal="justify" vertical="center" wrapText="1"/>
    </xf>
    <xf numFmtId="1" fontId="4" fillId="0" borderId="14" xfId="0" applyNumberFormat="1" applyFont="1" applyBorder="1" applyAlignment="1">
      <alignment horizontal="justify" vertical="center" wrapText="1"/>
    </xf>
    <xf numFmtId="0" fontId="4" fillId="0" borderId="1" xfId="0" applyFont="1" applyFill="1" applyBorder="1" applyAlignment="1">
      <alignment horizontal="center" vertical="center" wrapText="1"/>
    </xf>
    <xf numFmtId="0" fontId="29" fillId="0" borderId="25" xfId="0" applyFont="1" applyBorder="1" applyAlignment="1">
      <alignment horizontal="justify" vertical="center" wrapText="1"/>
    </xf>
    <xf numFmtId="0" fontId="29" fillId="0" borderId="17" xfId="0" applyFont="1" applyBorder="1" applyAlignment="1">
      <alignment horizontal="justify" vertical="center" wrapText="1"/>
    </xf>
    <xf numFmtId="3" fontId="4" fillId="0" borderId="5" xfId="0" applyNumberFormat="1" applyFont="1" applyBorder="1" applyAlignment="1">
      <alignment horizontal="center" vertical="center"/>
    </xf>
    <xf numFmtId="3" fontId="4" fillId="0" borderId="2" xfId="0" applyNumberFormat="1" applyFont="1" applyBorder="1" applyAlignment="1">
      <alignment horizontal="center" vertical="center"/>
    </xf>
    <xf numFmtId="10" fontId="4" fillId="0" borderId="5" xfId="0" applyNumberFormat="1" applyFont="1" applyBorder="1" applyAlignment="1">
      <alignment horizontal="center" vertical="center"/>
    </xf>
    <xf numFmtId="10" fontId="4" fillId="0" borderId="2" xfId="0" applyNumberFormat="1" applyFont="1" applyBorder="1" applyAlignment="1">
      <alignment horizontal="center" vertical="center"/>
    </xf>
    <xf numFmtId="172" fontId="4" fillId="0" borderId="1" xfId="0" applyNumberFormat="1" applyFont="1" applyBorder="1" applyAlignment="1">
      <alignment horizontal="center" vertical="center"/>
    </xf>
    <xf numFmtId="172" fontId="4" fillId="0" borderId="7" xfId="0" applyNumberFormat="1" applyFont="1" applyBorder="1" applyAlignment="1">
      <alignment horizontal="center" vertical="center"/>
    </xf>
    <xf numFmtId="172" fontId="4" fillId="0" borderId="3" xfId="0" applyNumberFormat="1" applyFont="1" applyBorder="1" applyAlignment="1">
      <alignment horizontal="center" vertical="center"/>
    </xf>
    <xf numFmtId="3" fontId="4" fillId="0" borderId="8" xfId="0" applyNumberFormat="1" applyFont="1" applyBorder="1" applyAlignment="1">
      <alignment horizontal="center" vertical="center"/>
    </xf>
    <xf numFmtId="10" fontId="4" fillId="0" borderId="13" xfId="0" applyNumberFormat="1" applyFont="1" applyBorder="1" applyAlignment="1">
      <alignment horizontal="center" vertical="center"/>
    </xf>
    <xf numFmtId="10" fontId="4" fillId="0" borderId="4" xfId="0" applyNumberFormat="1" applyFont="1" applyBorder="1" applyAlignment="1">
      <alignment horizontal="center" vertical="center"/>
    </xf>
    <xf numFmtId="9" fontId="4" fillId="0" borderId="23" xfId="2" applyFont="1" applyFill="1" applyBorder="1" applyAlignment="1">
      <alignment horizontal="center" vertical="center"/>
    </xf>
    <xf numFmtId="179" fontId="4" fillId="0" borderId="17" xfId="15" applyNumberFormat="1" applyFont="1" applyFill="1" applyBorder="1" applyAlignment="1">
      <alignment horizontal="center" vertical="center"/>
    </xf>
    <xf numFmtId="3" fontId="4" fillId="0" borderId="13" xfId="1" applyNumberFormat="1" applyFont="1" applyFill="1" applyBorder="1" applyAlignment="1">
      <alignment horizontal="center" vertical="center"/>
    </xf>
    <xf numFmtId="3" fontId="4" fillId="0" borderId="14" xfId="1" applyNumberFormat="1" applyFont="1" applyFill="1" applyBorder="1" applyAlignment="1">
      <alignment horizontal="center" vertical="center"/>
    </xf>
    <xf numFmtId="3" fontId="4" fillId="0" borderId="4" xfId="1" applyNumberFormat="1" applyFont="1" applyFill="1" applyBorder="1" applyAlignment="1">
      <alignment horizontal="center" vertical="center"/>
    </xf>
    <xf numFmtId="0" fontId="4" fillId="0" borderId="30" xfId="0" applyFont="1" applyBorder="1" applyAlignment="1">
      <alignment horizontal="left" vertical="center" wrapText="1"/>
    </xf>
    <xf numFmtId="3" fontId="4" fillId="0" borderId="1" xfId="0" applyNumberFormat="1" applyFont="1" applyBorder="1" applyAlignment="1">
      <alignment horizontal="center" vertical="center"/>
    </xf>
    <xf numFmtId="172" fontId="4" fillId="0" borderId="15" xfId="0" applyNumberFormat="1" applyFont="1" applyBorder="1" applyAlignment="1">
      <alignment horizontal="center" vertical="center"/>
    </xf>
    <xf numFmtId="173" fontId="4" fillId="0" borderId="13" xfId="0" applyNumberFormat="1" applyFont="1" applyBorder="1" applyAlignment="1">
      <alignment horizontal="center" vertical="center" wrapText="1"/>
    </xf>
    <xf numFmtId="173" fontId="4" fillId="0" borderId="14" xfId="0" applyNumberFormat="1" applyFont="1" applyBorder="1" applyAlignment="1">
      <alignment horizontal="center" vertical="center" wrapText="1"/>
    </xf>
    <xf numFmtId="173" fontId="4" fillId="0" borderId="4" xfId="0" applyNumberFormat="1" applyFont="1" applyBorder="1" applyAlignment="1">
      <alignment horizontal="center" vertical="center" wrapText="1"/>
    </xf>
    <xf numFmtId="0" fontId="4" fillId="0" borderId="23" xfId="17" applyNumberFormat="1" applyFont="1" applyFill="1" applyBorder="1" applyAlignment="1">
      <alignment horizontal="justify" vertical="center" wrapText="1"/>
    </xf>
    <xf numFmtId="0" fontId="4" fillId="0" borderId="17" xfId="17" applyNumberFormat="1" applyFont="1" applyFill="1" applyBorder="1" applyAlignment="1">
      <alignment horizontal="justify" vertical="center" wrapText="1"/>
    </xf>
    <xf numFmtId="0" fontId="4" fillId="0" borderId="19" xfId="17" applyNumberFormat="1" applyFont="1" applyFill="1" applyBorder="1" applyAlignment="1">
      <alignment horizontal="justify" vertical="center" wrapText="1"/>
    </xf>
    <xf numFmtId="0" fontId="4" fillId="0" borderId="60" xfId="0" applyFont="1" applyBorder="1" applyAlignment="1">
      <alignment horizontal="justify" vertical="center" wrapText="1"/>
    </xf>
    <xf numFmtId="0" fontId="4" fillId="0" borderId="32" xfId="0" applyFont="1" applyBorder="1" applyAlignment="1">
      <alignment horizontal="justify" vertical="center" wrapText="1"/>
    </xf>
    <xf numFmtId="10" fontId="4" fillId="0" borderId="14"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3" xfId="0" applyNumberFormat="1" applyFont="1" applyBorder="1" applyAlignment="1">
      <alignment horizontal="center" vertical="center"/>
    </xf>
    <xf numFmtId="3" fontId="4" fillId="0" borderId="43" xfId="0" applyNumberFormat="1" applyFont="1" applyBorder="1" applyAlignment="1">
      <alignment horizontal="center" vertical="center"/>
    </xf>
    <xf numFmtId="3" fontId="4" fillId="0" borderId="41" xfId="0" applyNumberFormat="1" applyFont="1" applyBorder="1" applyAlignment="1">
      <alignment horizontal="center" vertical="center"/>
    </xf>
    <xf numFmtId="3" fontId="4" fillId="0" borderId="42" xfId="0" applyNumberFormat="1" applyFont="1" applyBorder="1" applyAlignment="1">
      <alignment horizontal="center" vertical="center"/>
    </xf>
    <xf numFmtId="0" fontId="4" fillId="0" borderId="29" xfId="0" applyFont="1" applyBorder="1" applyAlignment="1">
      <alignment horizontal="left" vertical="center" wrapText="1"/>
    </xf>
    <xf numFmtId="0" fontId="4" fillId="0" borderId="21" xfId="0" applyFont="1" applyBorder="1" applyAlignment="1">
      <alignment horizontal="left" vertical="center" wrapText="1"/>
    </xf>
    <xf numFmtId="179" fontId="4" fillId="0" borderId="14" xfId="15" applyNumberFormat="1" applyFont="1" applyFill="1" applyBorder="1" applyAlignment="1">
      <alignment horizontal="center" vertical="center"/>
    </xf>
    <xf numFmtId="179" fontId="4" fillId="0" borderId="4" xfId="15" applyNumberFormat="1" applyFont="1" applyFill="1" applyBorder="1" applyAlignment="1">
      <alignment horizontal="center" vertical="center"/>
    </xf>
    <xf numFmtId="3" fontId="4" fillId="0" borderId="67" xfId="0" applyNumberFormat="1" applyFont="1" applyBorder="1" applyAlignment="1">
      <alignment horizontal="center" vertical="center"/>
    </xf>
    <xf numFmtId="3" fontId="4" fillId="0" borderId="39" xfId="0" applyNumberFormat="1" applyFont="1" applyBorder="1" applyAlignment="1">
      <alignment horizontal="center" vertical="center"/>
    </xf>
    <xf numFmtId="179" fontId="4" fillId="0" borderId="7" xfId="15" applyNumberFormat="1" applyFont="1" applyFill="1" applyBorder="1" applyAlignment="1">
      <alignment horizontal="center" vertical="center"/>
    </xf>
    <xf numFmtId="172" fontId="4" fillId="0" borderId="67" xfId="0" applyNumberFormat="1" applyFont="1" applyBorder="1" applyAlignment="1">
      <alignment horizontal="center" vertical="center"/>
    </xf>
    <xf numFmtId="172" fontId="4" fillId="0" borderId="39" xfId="0" applyNumberFormat="1" applyFont="1" applyBorder="1" applyAlignment="1">
      <alignment horizontal="center" vertical="center"/>
    </xf>
    <xf numFmtId="3" fontId="4" fillId="0" borderId="68" xfId="0" applyNumberFormat="1" applyFont="1" applyBorder="1" applyAlignment="1">
      <alignment horizontal="center" vertical="center"/>
    </xf>
    <xf numFmtId="10" fontId="4" fillId="0" borderId="39" xfId="0" applyNumberFormat="1" applyFont="1" applyBorder="1" applyAlignment="1">
      <alignment horizontal="center" vertical="center"/>
    </xf>
    <xf numFmtId="9" fontId="4" fillId="0" borderId="19" xfId="2" applyFont="1" applyFill="1" applyBorder="1" applyAlignment="1">
      <alignment horizontal="center" vertical="center"/>
    </xf>
    <xf numFmtId="3" fontId="4" fillId="0" borderId="62" xfId="0" applyNumberFormat="1" applyFont="1" applyBorder="1" applyAlignment="1">
      <alignment horizontal="center" vertical="center"/>
    </xf>
    <xf numFmtId="3" fontId="4" fillId="0" borderId="69" xfId="0" applyNumberFormat="1" applyFont="1" applyBorder="1" applyAlignment="1">
      <alignment horizontal="center" vertical="center"/>
    </xf>
    <xf numFmtId="3" fontId="4" fillId="0" borderId="45" xfId="0" applyNumberFormat="1" applyFont="1" applyBorder="1" applyAlignment="1">
      <alignment horizontal="center" vertical="center"/>
    </xf>
    <xf numFmtId="172" fontId="4" fillId="0" borderId="21" xfId="0" applyNumberFormat="1" applyFont="1" applyBorder="1" applyAlignment="1">
      <alignment horizontal="center" vertical="center"/>
    </xf>
    <xf numFmtId="173" fontId="4" fillId="0" borderId="17" xfId="0" applyNumberFormat="1" applyFont="1" applyBorder="1" applyAlignment="1">
      <alignment horizontal="center" vertical="center" wrapText="1"/>
    </xf>
    <xf numFmtId="173" fontId="4" fillId="0" borderId="19" xfId="0" applyNumberFormat="1" applyFont="1" applyBorder="1" applyAlignment="1">
      <alignment horizontal="center" vertical="center" wrapText="1"/>
    </xf>
    <xf numFmtId="0" fontId="4" fillId="0" borderId="43" xfId="0" applyFont="1" applyBorder="1" applyAlignment="1">
      <alignment horizontal="center" vertical="center"/>
    </xf>
    <xf numFmtId="0" fontId="4" fillId="0" borderId="42" xfId="0" applyFont="1" applyBorder="1" applyAlignment="1">
      <alignment horizontal="center" vertical="center"/>
    </xf>
    <xf numFmtId="3" fontId="4" fillId="0" borderId="63" xfId="0" applyNumberFormat="1" applyFont="1" applyBorder="1" applyAlignment="1">
      <alignment horizontal="center" vertical="center"/>
    </xf>
    <xf numFmtId="10" fontId="4" fillId="0" borderId="62" xfId="0" applyNumberFormat="1" applyFont="1" applyBorder="1" applyAlignment="1">
      <alignment horizontal="center" vertical="center"/>
    </xf>
    <xf numFmtId="179" fontId="4" fillId="0" borderId="23" xfId="15" applyNumberFormat="1" applyFont="1" applyFill="1" applyBorder="1" applyAlignment="1">
      <alignment horizontal="center" vertical="center"/>
    </xf>
    <xf numFmtId="179" fontId="4" fillId="0" borderId="19" xfId="15" applyNumberFormat="1" applyFont="1" applyFill="1" applyBorder="1" applyAlignment="1">
      <alignment horizontal="center" vertical="center"/>
    </xf>
    <xf numFmtId="0" fontId="4" fillId="0" borderId="67" xfId="0"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172" fontId="4" fillId="0" borderId="29" xfId="0" applyNumberFormat="1" applyFont="1" applyBorder="1" applyAlignment="1">
      <alignment horizontal="center" vertical="center"/>
    </xf>
    <xf numFmtId="173" fontId="4" fillId="0" borderId="23" xfId="0" applyNumberFormat="1" applyFont="1" applyBorder="1" applyAlignment="1">
      <alignment horizontal="center" vertical="center" wrapText="1"/>
    </xf>
    <xf numFmtId="43" fontId="4" fillId="0" borderId="23" xfId="17" applyFont="1" applyFill="1" applyBorder="1" applyAlignment="1">
      <alignment horizontal="center" vertical="center"/>
    </xf>
    <xf numFmtId="43" fontId="4" fillId="0" borderId="19" xfId="17" applyFont="1" applyFill="1" applyBorder="1" applyAlignment="1">
      <alignment horizontal="center" vertical="center"/>
    </xf>
    <xf numFmtId="179" fontId="4" fillId="0" borderId="62" xfId="15" applyNumberFormat="1" applyFont="1" applyFill="1" applyBorder="1" applyAlignment="1" applyProtection="1">
      <alignment horizontal="center" vertical="center"/>
      <protection locked="0"/>
    </xf>
    <xf numFmtId="179" fontId="4" fillId="0" borderId="39" xfId="15" applyNumberFormat="1" applyFont="1" applyFill="1" applyBorder="1" applyAlignment="1" applyProtection="1">
      <alignment horizontal="center" vertical="center"/>
      <protection locked="0"/>
    </xf>
    <xf numFmtId="1" fontId="4" fillId="0" borderId="2" xfId="0" applyNumberFormat="1" applyFont="1" applyBorder="1" applyAlignment="1">
      <alignment horizontal="center" vertical="center"/>
    </xf>
    <xf numFmtId="1" fontId="4" fillId="0" borderId="23" xfId="0" applyNumberFormat="1" applyFont="1" applyBorder="1" applyAlignment="1">
      <alignment horizontal="justify" vertical="center" wrapText="1"/>
    </xf>
    <xf numFmtId="1" fontId="4" fillId="0" borderId="17" xfId="0" applyNumberFormat="1" applyFont="1" applyBorder="1" applyAlignment="1">
      <alignment horizontal="justify" vertical="center" wrapText="1"/>
    </xf>
    <xf numFmtId="179" fontId="4" fillId="0" borderId="13" xfId="15" applyNumberFormat="1" applyFont="1" applyFill="1" applyBorder="1" applyAlignment="1" applyProtection="1">
      <alignment horizontal="center" vertical="center"/>
      <protection locked="0"/>
    </xf>
    <xf numFmtId="0" fontId="4" fillId="0" borderId="60" xfId="0" applyFont="1" applyBorder="1" applyAlignment="1">
      <alignment horizontal="left" vertical="center" wrapText="1"/>
    </xf>
    <xf numFmtId="0" fontId="4" fillId="0" borderId="32" xfId="0" applyFont="1" applyBorder="1" applyAlignment="1">
      <alignment horizontal="left" vertical="center" wrapText="1"/>
    </xf>
    <xf numFmtId="179" fontId="4" fillId="0" borderId="1" xfId="15" applyNumberFormat="1" applyFont="1" applyFill="1" applyBorder="1" applyAlignment="1">
      <alignment horizontal="center" vertical="center"/>
    </xf>
    <xf numFmtId="0" fontId="4" fillId="0" borderId="65" xfId="0" applyFont="1" applyBorder="1" applyAlignment="1">
      <alignment horizontal="justify" vertical="center" wrapText="1"/>
    </xf>
    <xf numFmtId="184" fontId="4" fillId="0" borderId="1" xfId="1"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42" xfId="0" applyFont="1" applyBorder="1" applyAlignment="1">
      <alignment horizontal="center" vertical="center" wrapText="1"/>
    </xf>
    <xf numFmtId="0" fontId="4" fillId="0" borderId="60" xfId="0" applyFont="1" applyBorder="1" applyAlignment="1">
      <alignment horizontal="center"/>
    </xf>
    <xf numFmtId="0" fontId="4" fillId="0" borderId="24" xfId="0" applyFont="1" applyBorder="1" applyAlignment="1">
      <alignment horizontal="center"/>
    </xf>
    <xf numFmtId="0" fontId="4" fillId="0" borderId="29" xfId="0" applyFont="1" applyBorder="1" applyAlignment="1">
      <alignment horizontal="center"/>
    </xf>
    <xf numFmtId="0" fontId="13" fillId="6" borderId="1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 fillId="0" borderId="19"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4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5" xfId="0" applyFont="1" applyFill="1" applyBorder="1" applyAlignment="1">
      <alignment horizontal="center" vertical="center" wrapText="1"/>
    </xf>
    <xf numFmtId="1" fontId="2" fillId="0" borderId="13"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9" fontId="13" fillId="6" borderId="5" xfId="2" applyFont="1" applyFill="1" applyBorder="1" applyAlignment="1">
      <alignment horizontal="center" vertical="center" wrapText="1"/>
    </xf>
    <xf numFmtId="0" fontId="13" fillId="6" borderId="5" xfId="0" applyFont="1" applyFill="1" applyBorder="1" applyAlignment="1">
      <alignment horizontal="justify" vertical="center" wrapText="1"/>
    </xf>
    <xf numFmtId="0" fontId="13" fillId="6" borderId="12" xfId="0" applyFont="1" applyFill="1" applyBorder="1" applyAlignment="1">
      <alignment horizontal="center" vertical="center" wrapText="1"/>
    </xf>
    <xf numFmtId="175" fontId="2" fillId="0" borderId="13" xfId="21" applyNumberFormat="1" applyFont="1" applyFill="1" applyBorder="1" applyAlignment="1">
      <alignment horizontal="center" vertical="center"/>
    </xf>
    <xf numFmtId="175" fontId="2" fillId="0" borderId="14" xfId="21" applyNumberFormat="1" applyFont="1" applyFill="1" applyBorder="1" applyAlignment="1">
      <alignment horizontal="center" vertical="center"/>
    </xf>
    <xf numFmtId="175" fontId="2" fillId="0" borderId="4" xfId="21" applyNumberFormat="1" applyFont="1" applyFill="1" applyBorder="1" applyAlignment="1">
      <alignment horizontal="center" vertical="center"/>
    </xf>
    <xf numFmtId="3" fontId="2" fillId="0" borderId="13" xfId="0" applyNumberFormat="1" applyFont="1" applyFill="1" applyBorder="1" applyAlignment="1">
      <alignment vertical="center" wrapText="1"/>
    </xf>
    <xf numFmtId="3" fontId="2" fillId="0" borderId="5" xfId="0" applyNumberFormat="1" applyFont="1" applyFill="1" applyBorder="1" applyAlignment="1">
      <alignment vertical="center" wrapText="1"/>
    </xf>
    <xf numFmtId="175" fontId="2" fillId="0" borderId="7" xfId="21" applyNumberFormat="1" applyFont="1" applyFill="1" applyBorder="1" applyAlignment="1">
      <alignment horizontal="center" vertical="center"/>
    </xf>
    <xf numFmtId="0" fontId="2" fillId="0" borderId="7" xfId="0" applyFont="1" applyFill="1" applyBorder="1" applyAlignment="1">
      <alignment vertical="center" wrapText="1"/>
    </xf>
    <xf numFmtId="165" fontId="4" fillId="0" borderId="5" xfId="20" applyFont="1" applyFill="1" applyBorder="1" applyAlignment="1">
      <alignment horizontal="justify" vertical="center" wrapText="1"/>
    </xf>
    <xf numFmtId="166" fontId="4" fillId="0" borderId="17" xfId="1" applyFont="1" applyFill="1" applyBorder="1" applyAlignment="1">
      <alignment horizontal="center" vertical="center" wrapText="1"/>
    </xf>
    <xf numFmtId="165" fontId="4" fillId="0" borderId="7" xfId="20" applyFont="1" applyFill="1" applyBorder="1" applyAlignment="1">
      <alignment horizontal="justify" vertical="center" wrapText="1"/>
    </xf>
    <xf numFmtId="166" fontId="2" fillId="0" borderId="13" xfId="13" applyNumberFormat="1" applyFont="1" applyFill="1" applyBorder="1" applyAlignment="1">
      <alignment horizontal="center" vertical="center"/>
    </xf>
    <xf numFmtId="166" fontId="2" fillId="0" borderId="14" xfId="13" applyNumberFormat="1" applyFont="1" applyFill="1" applyBorder="1" applyAlignment="1">
      <alignment horizontal="center" vertical="center"/>
    </xf>
    <xf numFmtId="166" fontId="2" fillId="0" borderId="4" xfId="13" applyNumberFormat="1" applyFont="1" applyFill="1" applyBorder="1" applyAlignment="1">
      <alignment horizontal="center" vertical="center"/>
    </xf>
    <xf numFmtId="0" fontId="2" fillId="0" borderId="17" xfId="0" applyFont="1" applyFill="1" applyBorder="1" applyAlignment="1">
      <alignment horizontal="center" vertical="center" wrapText="1"/>
    </xf>
    <xf numFmtId="1" fontId="2" fillId="0" borderId="19"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1" fontId="2" fillId="0" borderId="23" xfId="0" applyNumberFormat="1" applyFont="1" applyFill="1" applyBorder="1" applyAlignment="1">
      <alignment horizontal="center" vertical="center" wrapText="1"/>
    </xf>
    <xf numFmtId="0" fontId="2" fillId="0" borderId="17" xfId="0" applyFont="1" applyFill="1" applyBorder="1" applyAlignment="1">
      <alignment vertical="center" wrapText="1"/>
    </xf>
    <xf numFmtId="0" fontId="4"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173" fontId="2" fillId="0" borderId="13" xfId="0" applyNumberFormat="1" applyFont="1" applyFill="1" applyBorder="1" applyAlignment="1">
      <alignment horizontal="center" vertical="center" wrapText="1"/>
    </xf>
    <xf numFmtId="173" fontId="2" fillId="0" borderId="14" xfId="0" applyNumberFormat="1" applyFont="1" applyFill="1" applyBorder="1" applyAlignment="1">
      <alignment horizontal="center" vertical="center" wrapText="1"/>
    </xf>
    <xf numFmtId="173" fontId="2" fillId="0" borderId="4" xfId="0" applyNumberFormat="1" applyFont="1" applyFill="1" applyBorder="1" applyAlignment="1">
      <alignment horizontal="center" vertical="center" wrapText="1"/>
    </xf>
    <xf numFmtId="165" fontId="4" fillId="0" borderId="13" xfId="20" applyFont="1" applyFill="1" applyBorder="1" applyAlignment="1">
      <alignment horizontal="center" vertical="center" wrapText="1"/>
    </xf>
    <xf numFmtId="165" fontId="4" fillId="0" borderId="14" xfId="20" applyFont="1" applyFill="1" applyBorder="1" applyAlignment="1">
      <alignment horizontal="center" vertical="center" wrapText="1"/>
    </xf>
    <xf numFmtId="165" fontId="4" fillId="0" borderId="4" xfId="20" applyFont="1" applyFill="1" applyBorder="1" applyAlignment="1">
      <alignment horizontal="center" vertical="center" wrapText="1"/>
    </xf>
    <xf numFmtId="0" fontId="26" fillId="0" borderId="17" xfId="0" applyFont="1" applyFill="1" applyBorder="1" applyAlignment="1">
      <alignment vertical="center" wrapText="1"/>
    </xf>
    <xf numFmtId="0" fontId="26" fillId="0" borderId="2" xfId="0" applyFont="1" applyFill="1" applyBorder="1" applyAlignment="1">
      <alignment vertical="center" wrapText="1"/>
    </xf>
    <xf numFmtId="0" fontId="26" fillId="0" borderId="8" xfId="0" applyFont="1" applyFill="1" applyBorder="1" applyAlignment="1">
      <alignment vertical="center" wrapText="1"/>
    </xf>
    <xf numFmtId="0" fontId="26" fillId="0" borderId="17" xfId="0" applyFont="1" applyFill="1" applyBorder="1" applyAlignment="1">
      <alignment horizontal="justify" vertical="center" wrapText="1"/>
    </xf>
    <xf numFmtId="0" fontId="2" fillId="0" borderId="69" xfId="0" applyFont="1" applyFill="1" applyBorder="1" applyAlignment="1">
      <alignment horizontal="center" vertical="center" wrapText="1"/>
    </xf>
    <xf numFmtId="9" fontId="2" fillId="0" borderId="13" xfId="2" applyFont="1" applyFill="1" applyBorder="1" applyAlignment="1">
      <alignment horizontal="center" vertical="center"/>
    </xf>
    <xf numFmtId="9" fontId="2" fillId="0" borderId="14" xfId="2" applyFont="1" applyFill="1" applyBorder="1" applyAlignment="1">
      <alignment horizontal="center" vertical="center"/>
    </xf>
    <xf numFmtId="9" fontId="2" fillId="0" borderId="4" xfId="2" applyFont="1" applyFill="1" applyBorder="1" applyAlignment="1">
      <alignment horizontal="center" vertical="center"/>
    </xf>
    <xf numFmtId="175" fontId="2" fillId="0" borderId="13" xfId="21" applyNumberFormat="1" applyFont="1" applyFill="1" applyBorder="1" applyAlignment="1">
      <alignment horizontal="center" vertical="center" wrapText="1"/>
    </xf>
    <xf numFmtId="175" fontId="2" fillId="0" borderId="14" xfId="21" applyNumberFormat="1" applyFont="1" applyFill="1" applyBorder="1" applyAlignment="1">
      <alignment horizontal="center" vertical="center" wrapText="1"/>
    </xf>
    <xf numFmtId="175" fontId="2" fillId="0" borderId="4" xfId="21" applyNumberFormat="1" applyFont="1" applyFill="1" applyBorder="1" applyAlignment="1">
      <alignment horizontal="center" vertical="center" wrapText="1"/>
    </xf>
    <xf numFmtId="172" fontId="2" fillId="0" borderId="13" xfId="0" applyNumberFormat="1" applyFont="1" applyFill="1" applyBorder="1" applyAlignment="1">
      <alignment horizontal="center" vertical="center"/>
    </xf>
    <xf numFmtId="172" fontId="2" fillId="0" borderId="14" xfId="0" applyNumberFormat="1" applyFont="1" applyFill="1" applyBorder="1" applyAlignment="1">
      <alignment horizontal="center" vertical="center"/>
    </xf>
    <xf numFmtId="172" fontId="2" fillId="0" borderId="4" xfId="0" applyNumberFormat="1"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5" xfId="0" applyFont="1" applyFill="1" applyBorder="1" applyAlignment="1">
      <alignment vertical="center" wrapText="1"/>
    </xf>
    <xf numFmtId="166" fontId="4" fillId="0" borderId="17" xfId="1" applyNumberFormat="1" applyFont="1" applyFill="1" applyBorder="1" applyAlignment="1">
      <alignment horizontal="right" vertical="center" wrapText="1"/>
    </xf>
    <xf numFmtId="0" fontId="4" fillId="0" borderId="17" xfId="0" applyFont="1" applyFill="1" applyBorder="1" applyAlignment="1">
      <alignment vertical="center" wrapText="1"/>
    </xf>
    <xf numFmtId="0" fontId="2" fillId="0" borderId="25" xfId="0" applyFont="1" applyFill="1" applyBorder="1" applyAlignment="1">
      <alignment vertical="center" wrapText="1"/>
    </xf>
    <xf numFmtId="14" fontId="4" fillId="0" borderId="17" xfId="0" applyNumberFormat="1" applyFont="1" applyFill="1" applyBorder="1" applyAlignment="1">
      <alignment horizontal="center" vertical="center" wrapText="1"/>
    </xf>
    <xf numFmtId="14" fontId="4" fillId="0" borderId="19" xfId="0" applyNumberFormat="1" applyFont="1" applyFill="1" applyBorder="1" applyAlignment="1">
      <alignment horizontal="center" vertical="center" wrapText="1"/>
    </xf>
    <xf numFmtId="14" fontId="4" fillId="0" borderId="26" xfId="0" applyNumberFormat="1" applyFont="1" applyFill="1" applyBorder="1" applyAlignment="1">
      <alignment horizontal="center" vertical="center" wrapText="1"/>
    </xf>
    <xf numFmtId="14" fontId="4" fillId="0" borderId="23" xfId="0" applyNumberFormat="1" applyFont="1" applyFill="1" applyBorder="1" applyAlignment="1">
      <alignment horizontal="center" vertical="center" wrapText="1"/>
    </xf>
    <xf numFmtId="166" fontId="4" fillId="0" borderId="19" xfId="13" applyNumberFormat="1" applyFont="1" applyFill="1" applyBorder="1" applyAlignment="1">
      <alignment horizontal="center" vertical="center" wrapText="1"/>
    </xf>
    <xf numFmtId="166" fontId="4" fillId="0" borderId="26" xfId="13" applyNumberFormat="1" applyFont="1" applyFill="1" applyBorder="1" applyAlignment="1">
      <alignment horizontal="center" vertical="center" wrapText="1"/>
    </xf>
    <xf numFmtId="166" fontId="4" fillId="0" borderId="23" xfId="13" applyNumberFormat="1" applyFont="1" applyFill="1" applyBorder="1" applyAlignment="1">
      <alignment horizontal="center" vertical="center" wrapText="1"/>
    </xf>
    <xf numFmtId="0" fontId="2" fillId="2" borderId="5" xfId="0" applyFont="1" applyFill="1" applyBorder="1" applyAlignment="1">
      <alignment vertical="center" wrapText="1"/>
    </xf>
    <xf numFmtId="0" fontId="2" fillId="0" borderId="17" xfId="0" applyFont="1" applyBorder="1" applyAlignment="1">
      <alignment vertical="center" wrapText="1"/>
    </xf>
    <xf numFmtId="166" fontId="4" fillId="0" borderId="14" xfId="1" applyNumberFormat="1" applyFont="1" applyBorder="1" applyAlignment="1">
      <alignment vertical="center" wrapText="1"/>
    </xf>
    <xf numFmtId="0" fontId="4" fillId="0" borderId="14" xfId="0" applyFont="1" applyBorder="1" applyAlignment="1">
      <alignment vertical="center" wrapText="1"/>
    </xf>
    <xf numFmtId="166" fontId="4" fillId="0" borderId="13" xfId="13" applyNumberFormat="1" applyFont="1" applyBorder="1" applyAlignment="1">
      <alignment horizontal="center" vertical="center" wrapText="1"/>
    </xf>
    <xf numFmtId="166" fontId="4" fillId="0" borderId="14" xfId="13" applyNumberFormat="1" applyFont="1" applyBorder="1" applyAlignment="1">
      <alignment horizontal="center" vertical="center" wrapText="1"/>
    </xf>
    <xf numFmtId="166" fontId="4" fillId="0" borderId="4" xfId="13" applyNumberFormat="1" applyFont="1" applyBorder="1" applyAlignment="1">
      <alignment horizontal="center" vertical="center" wrapText="1"/>
    </xf>
    <xf numFmtId="2" fontId="2" fillId="0" borderId="19" xfId="0" applyNumberFormat="1" applyFont="1" applyFill="1" applyBorder="1" applyAlignment="1">
      <alignment horizontal="center" vertical="center" wrapText="1"/>
    </xf>
    <xf numFmtId="2" fontId="2" fillId="0" borderId="26"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14" fontId="4" fillId="0" borderId="13" xfId="0" applyNumberFormat="1" applyFont="1" applyBorder="1" applyAlignment="1">
      <alignment horizontal="center" vertical="center" wrapText="1"/>
    </xf>
    <xf numFmtId="1" fontId="2" fillId="0" borderId="43" xfId="0" applyNumberFormat="1" applyFont="1" applyFill="1" applyBorder="1" applyAlignment="1">
      <alignment horizontal="center" vertical="center" wrapText="1"/>
    </xf>
    <xf numFmtId="1" fontId="2" fillId="0" borderId="41" xfId="0" applyNumberFormat="1" applyFont="1" applyFill="1" applyBorder="1" applyAlignment="1">
      <alignment horizontal="center" vertical="center" wrapText="1"/>
    </xf>
    <xf numFmtId="1" fontId="2" fillId="0" borderId="45" xfId="0" applyNumberFormat="1" applyFont="1" applyFill="1" applyBorder="1" applyAlignment="1">
      <alignment horizontal="center" vertical="center" wrapText="1"/>
    </xf>
    <xf numFmtId="44" fontId="4" fillId="0" borderId="13" xfId="13" applyFont="1" applyBorder="1" applyAlignment="1">
      <alignment horizontal="center" vertical="center" wrapText="1"/>
    </xf>
    <xf numFmtId="44" fontId="4" fillId="0" borderId="14" xfId="13" applyFont="1" applyBorder="1" applyAlignment="1">
      <alignment horizontal="center" vertical="center" wrapText="1"/>
    </xf>
    <xf numFmtId="44" fontId="4" fillId="0" borderId="4" xfId="13" applyFont="1" applyBorder="1" applyAlignment="1">
      <alignment horizontal="center" vertical="center" wrapText="1"/>
    </xf>
    <xf numFmtId="166" fontId="4" fillId="0" borderId="25" xfId="1" applyNumberFormat="1" applyFont="1" applyBorder="1" applyAlignment="1">
      <alignment vertical="center" wrapText="1"/>
    </xf>
    <xf numFmtId="166" fontId="4" fillId="0" borderId="20" xfId="1" applyNumberFormat="1" applyFont="1" applyBorder="1" applyAlignment="1">
      <alignment vertical="center" wrapText="1"/>
    </xf>
    <xf numFmtId="0" fontId="4" fillId="0" borderId="17" xfId="0" applyFont="1" applyBorder="1" applyAlignment="1">
      <alignment vertical="center" wrapText="1"/>
    </xf>
    <xf numFmtId="0" fontId="4" fillId="0" borderId="19" xfId="0" applyFont="1" applyBorder="1" applyAlignment="1">
      <alignment vertical="center" wrapText="1"/>
    </xf>
    <xf numFmtId="0" fontId="2" fillId="2" borderId="25" xfId="0" applyFont="1" applyFill="1" applyBorder="1" applyAlignment="1">
      <alignment vertical="center" wrapText="1"/>
    </xf>
    <xf numFmtId="0" fontId="2" fillId="2" borderId="20" xfId="0" applyFont="1" applyFill="1" applyBorder="1" applyAlignment="1">
      <alignment vertical="center" wrapText="1"/>
    </xf>
    <xf numFmtId="0" fontId="2" fillId="0" borderId="19" xfId="0" applyFont="1" applyBorder="1" applyAlignment="1">
      <alignment vertical="center" wrapText="1"/>
    </xf>
    <xf numFmtId="0" fontId="2" fillId="0" borderId="22" xfId="0" applyFont="1" applyBorder="1" applyAlignment="1">
      <alignment vertical="center" wrapText="1"/>
    </xf>
    <xf numFmtId="0" fontId="4" fillId="0" borderId="33" xfId="0" applyFont="1" applyBorder="1" applyAlignment="1">
      <alignment horizontal="center" vertical="center" wrapText="1"/>
    </xf>
    <xf numFmtId="0" fontId="2" fillId="2" borderId="20" xfId="0" applyFont="1" applyFill="1" applyBorder="1" applyAlignment="1">
      <alignment horizontal="center" vertical="center" wrapText="1"/>
    </xf>
    <xf numFmtId="14" fontId="4" fillId="0" borderId="14"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66" fontId="4" fillId="0" borderId="39" xfId="13" applyNumberFormat="1" applyFont="1" applyBorder="1" applyAlignment="1">
      <alignment horizontal="center" vertical="center" wrapText="1"/>
    </xf>
    <xf numFmtId="9" fontId="4" fillId="0" borderId="39" xfId="2" applyFont="1" applyBorder="1" applyAlignment="1">
      <alignment horizontal="center" vertical="center" wrapText="1"/>
    </xf>
    <xf numFmtId="0" fontId="2" fillId="2" borderId="17" xfId="0" applyFont="1" applyFill="1" applyBorder="1" applyAlignment="1">
      <alignment vertical="center" wrapText="1"/>
    </xf>
    <xf numFmtId="0" fontId="2" fillId="2" borderId="19" xfId="0" applyFont="1" applyFill="1" applyBorder="1" applyAlignment="1">
      <alignment vertical="center" wrapText="1"/>
    </xf>
    <xf numFmtId="166" fontId="4" fillId="0" borderId="17" xfId="1" applyNumberFormat="1" applyFont="1" applyFill="1" applyBorder="1" applyAlignment="1">
      <alignment vertical="center" wrapText="1"/>
    </xf>
    <xf numFmtId="166" fontId="4" fillId="0" borderId="19" xfId="1" applyNumberFormat="1" applyFont="1" applyFill="1" applyBorder="1" applyAlignment="1">
      <alignment vertical="center" wrapText="1"/>
    </xf>
    <xf numFmtId="166" fontId="4" fillId="0" borderId="17" xfId="13" applyNumberFormat="1" applyFont="1" applyBorder="1" applyAlignment="1">
      <alignment horizontal="center" vertical="center" wrapText="1"/>
    </xf>
    <xf numFmtId="166" fontId="4" fillId="0" borderId="19" xfId="13" applyNumberFormat="1" applyFont="1" applyBorder="1" applyAlignment="1">
      <alignment horizontal="center" vertical="center" wrapText="1"/>
    </xf>
    <xf numFmtId="166" fontId="4" fillId="0" borderId="17" xfId="1" applyNumberFormat="1" applyFont="1" applyBorder="1" applyAlignment="1">
      <alignment vertical="center" wrapText="1"/>
    </xf>
    <xf numFmtId="14" fontId="4" fillId="0" borderId="17" xfId="0" applyNumberFormat="1" applyFont="1" applyBorder="1" applyAlignment="1">
      <alignment horizontal="center" vertical="center" wrapText="1"/>
    </xf>
    <xf numFmtId="9" fontId="4" fillId="0" borderId="17" xfId="2" applyFont="1" applyBorder="1" applyAlignment="1">
      <alignment horizontal="center" vertical="center" wrapText="1"/>
    </xf>
    <xf numFmtId="9" fontId="4" fillId="0" borderId="19" xfId="2" applyFont="1" applyBorder="1" applyAlignment="1">
      <alignment horizontal="center" vertical="center" wrapText="1"/>
    </xf>
    <xf numFmtId="14" fontId="4" fillId="0" borderId="19" xfId="0" applyNumberFormat="1" applyFont="1" applyBorder="1" applyAlignment="1">
      <alignment horizontal="center" vertical="center" wrapText="1"/>
    </xf>
    <xf numFmtId="14" fontId="4" fillId="0" borderId="26" xfId="0" applyNumberFormat="1" applyFont="1" applyBorder="1" applyAlignment="1">
      <alignment horizontal="center" vertical="center" wrapText="1"/>
    </xf>
    <xf numFmtId="14" fontId="4" fillId="0" borderId="23" xfId="0" applyNumberFormat="1" applyFont="1" applyBorder="1" applyAlignment="1">
      <alignment horizontal="center" vertical="center" wrapText="1"/>
    </xf>
    <xf numFmtId="0" fontId="4" fillId="0" borderId="62" xfId="0" applyFont="1" applyFill="1" applyBorder="1" applyAlignment="1" applyProtection="1">
      <alignment vertical="center" wrapText="1"/>
      <protection locked="0"/>
    </xf>
    <xf numFmtId="0" fontId="4" fillId="0" borderId="14" xfId="0" applyFont="1" applyFill="1" applyBorder="1" applyAlignment="1" applyProtection="1">
      <alignment vertical="center" wrapText="1"/>
      <protection locked="0"/>
    </xf>
    <xf numFmtId="0" fontId="4" fillId="0" borderId="4" xfId="0" applyFont="1" applyFill="1" applyBorder="1" applyAlignment="1" applyProtection="1">
      <alignment vertical="center" wrapText="1"/>
      <protection locked="0"/>
    </xf>
    <xf numFmtId="0" fontId="2" fillId="0" borderId="62" xfId="0" applyFont="1" applyFill="1" applyBorder="1" applyAlignment="1">
      <alignment vertical="center" wrapText="1"/>
    </xf>
    <xf numFmtId="0" fontId="2" fillId="0" borderId="14" xfId="0" applyFont="1" applyFill="1" applyBorder="1" applyAlignment="1">
      <alignment vertical="center" wrapText="1"/>
    </xf>
    <xf numFmtId="0" fontId="2" fillId="0" borderId="4" xfId="0" applyFont="1" applyFill="1" applyBorder="1" applyAlignment="1">
      <alignment vertical="center" wrapText="1"/>
    </xf>
    <xf numFmtId="175" fontId="2" fillId="0" borderId="69" xfId="21" applyNumberFormat="1" applyFont="1" applyFill="1" applyBorder="1" applyAlignment="1">
      <alignment horizontal="center" vertical="center"/>
    </xf>
    <xf numFmtId="175" fontId="2" fillId="0" borderId="41" xfId="21" applyNumberFormat="1" applyFont="1" applyFill="1" applyBorder="1" applyAlignment="1">
      <alignment horizontal="center" vertical="center"/>
    </xf>
    <xf numFmtId="175" fontId="2" fillId="0" borderId="42" xfId="21" applyNumberFormat="1" applyFont="1" applyFill="1" applyBorder="1" applyAlignment="1">
      <alignment horizontal="center" vertical="center"/>
    </xf>
    <xf numFmtId="175" fontId="2" fillId="0" borderId="62" xfId="21" applyNumberFormat="1" applyFont="1" applyFill="1" applyBorder="1" applyAlignment="1">
      <alignment horizontal="center" vertical="center"/>
    </xf>
    <xf numFmtId="0" fontId="4" fillId="0" borderId="6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62"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6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1" fontId="2" fillId="0" borderId="62" xfId="0" applyNumberFormat="1" applyFont="1" applyFill="1" applyBorder="1" applyAlignment="1">
      <alignment horizontal="center" vertical="center" wrapText="1"/>
    </xf>
    <xf numFmtId="0" fontId="4" fillId="0" borderId="62" xfId="0" applyFont="1" applyFill="1" applyBorder="1" applyAlignment="1" applyProtection="1">
      <alignment horizontal="justify" vertical="center" wrapText="1"/>
      <protection locked="0"/>
    </xf>
    <xf numFmtId="0" fontId="4" fillId="0" borderId="14" xfId="0" applyFont="1" applyFill="1" applyBorder="1" applyAlignment="1" applyProtection="1">
      <alignment horizontal="justify" vertical="center" wrapText="1"/>
      <protection locked="0"/>
    </xf>
    <xf numFmtId="0" fontId="4" fillId="0" borderId="4" xfId="0" applyFont="1" applyFill="1" applyBorder="1" applyAlignment="1" applyProtection="1">
      <alignment horizontal="justify" vertical="center" wrapText="1"/>
      <protection locked="0"/>
    </xf>
    <xf numFmtId="166" fontId="4" fillId="0" borderId="26" xfId="13" applyNumberFormat="1" applyFont="1" applyBorder="1" applyAlignment="1">
      <alignment horizontal="center" vertical="center" wrapText="1"/>
    </xf>
    <xf numFmtId="166" fontId="4" fillId="0" borderId="23" xfId="13" applyNumberFormat="1" applyFont="1" applyBorder="1" applyAlignment="1">
      <alignment horizontal="center" vertical="center" wrapText="1"/>
    </xf>
    <xf numFmtId="9" fontId="4" fillId="0" borderId="26" xfId="2" applyFont="1" applyBorder="1" applyAlignment="1">
      <alignment horizontal="center" vertical="center" wrapText="1"/>
    </xf>
    <xf numFmtId="9" fontId="4" fillId="0" borderId="23" xfId="2" applyFont="1" applyBorder="1" applyAlignment="1">
      <alignment horizontal="center" vertical="center" wrapText="1"/>
    </xf>
    <xf numFmtId="14" fontId="2" fillId="0" borderId="69" xfId="21" applyNumberFormat="1" applyFont="1" applyFill="1" applyBorder="1" applyAlignment="1">
      <alignment horizontal="center" vertical="center"/>
    </xf>
    <xf numFmtId="14" fontId="2" fillId="0" borderId="41" xfId="21" applyNumberFormat="1" applyFont="1" applyFill="1" applyBorder="1" applyAlignment="1">
      <alignment horizontal="center" vertical="center"/>
    </xf>
    <xf numFmtId="14" fontId="2" fillId="0" borderId="42" xfId="21" applyNumberFormat="1" applyFont="1" applyFill="1" applyBorder="1" applyAlignment="1">
      <alignment horizontal="center" vertical="center"/>
    </xf>
    <xf numFmtId="0" fontId="2" fillId="0" borderId="2" xfId="0" applyFont="1" applyBorder="1" applyAlignment="1">
      <alignment horizontal="center"/>
    </xf>
    <xf numFmtId="0" fontId="2" fillId="0" borderId="0" xfId="0" applyFont="1" applyAlignment="1">
      <alignment horizontal="center"/>
    </xf>
    <xf numFmtId="175" fontId="2" fillId="0" borderId="62" xfId="0" applyNumberFormat="1" applyFont="1" applyFill="1" applyBorder="1" applyAlignment="1">
      <alignment horizontal="center" vertical="center"/>
    </xf>
    <xf numFmtId="175" fontId="2" fillId="0" borderId="14" xfId="0" applyNumberFormat="1" applyFont="1" applyFill="1" applyBorder="1" applyAlignment="1">
      <alignment horizontal="center" vertical="center"/>
    </xf>
    <xf numFmtId="175" fontId="2" fillId="0" borderId="4" xfId="0" applyNumberFormat="1" applyFont="1" applyFill="1" applyBorder="1" applyAlignment="1">
      <alignment horizontal="center" vertical="center"/>
    </xf>
    <xf numFmtId="166" fontId="2" fillId="0" borderId="62" xfId="13" applyNumberFormat="1" applyFont="1" applyFill="1" applyBorder="1" applyAlignment="1">
      <alignment horizontal="center" vertical="center"/>
    </xf>
    <xf numFmtId="175" fontId="2" fillId="0" borderId="62" xfId="0" applyNumberFormat="1" applyFont="1" applyFill="1" applyBorder="1" applyAlignment="1">
      <alignment horizontal="center" vertical="center" wrapText="1"/>
    </xf>
    <xf numFmtId="175" fontId="2" fillId="0" borderId="14" xfId="0" applyNumberFormat="1" applyFont="1" applyFill="1" applyBorder="1" applyAlignment="1">
      <alignment horizontal="center" vertical="center" wrapText="1"/>
    </xf>
    <xf numFmtId="175" fontId="2" fillId="0" borderId="4" xfId="0" applyNumberFormat="1" applyFont="1" applyFill="1" applyBorder="1" applyAlignment="1">
      <alignment horizontal="center" vertical="center" wrapText="1"/>
    </xf>
    <xf numFmtId="0" fontId="2" fillId="0" borderId="62" xfId="0" applyFont="1" applyFill="1" applyBorder="1" applyAlignment="1">
      <alignment horizontal="center" vertical="center"/>
    </xf>
    <xf numFmtId="175" fontId="2" fillId="0" borderId="1" xfId="21" applyNumberFormat="1" applyFont="1" applyFill="1" applyBorder="1" applyAlignment="1">
      <alignment horizontal="center" vertical="center"/>
    </xf>
    <xf numFmtId="0" fontId="4" fillId="0" borderId="1" xfId="0" applyFont="1" applyBorder="1" applyAlignment="1" applyProtection="1">
      <alignment horizontal="center" vertical="center" wrapText="1"/>
      <protection locked="0"/>
    </xf>
    <xf numFmtId="9" fontId="2" fillId="0" borderId="1" xfId="2" applyFont="1" applyFill="1" applyBorder="1" applyAlignment="1">
      <alignment horizontal="center" vertical="center"/>
    </xf>
    <xf numFmtId="166" fontId="4" fillId="0" borderId="1" xfId="1" applyFont="1" applyBorder="1" applyAlignment="1">
      <alignment horizontal="center" vertical="center" wrapText="1"/>
    </xf>
    <xf numFmtId="1" fontId="2" fillId="0" borderId="1" xfId="0" applyNumberFormat="1" applyFont="1" applyFill="1" applyBorder="1" applyAlignment="1">
      <alignment horizontal="center" vertical="center" wrapText="1"/>
    </xf>
    <xf numFmtId="14" fontId="4" fillId="0" borderId="62" xfId="0" applyNumberFormat="1" applyFont="1" applyFill="1" applyBorder="1" applyAlignment="1" applyProtection="1">
      <alignment horizontal="center" vertical="center" wrapText="1"/>
      <protection locked="0"/>
    </xf>
    <xf numFmtId="14" fontId="4" fillId="0" borderId="14" xfId="0" applyNumberFormat="1" applyFont="1" applyFill="1" applyBorder="1" applyAlignment="1" applyProtection="1">
      <alignment horizontal="center" vertical="center" wrapText="1"/>
      <protection locked="0"/>
    </xf>
    <xf numFmtId="14" fontId="4" fillId="0" borderId="4" xfId="0" applyNumberFormat="1" applyFont="1" applyFill="1" applyBorder="1" applyAlignment="1" applyProtection="1">
      <alignment horizontal="center" vertical="center" wrapText="1"/>
      <protection locked="0"/>
    </xf>
    <xf numFmtId="9" fontId="2" fillId="0" borderId="62" xfId="2" applyFont="1" applyFill="1" applyBorder="1" applyAlignment="1">
      <alignment horizontal="center" vertical="center"/>
    </xf>
    <xf numFmtId="166" fontId="4" fillId="0" borderId="62" xfId="1" applyFont="1" applyFill="1" applyBorder="1" applyAlignment="1">
      <alignment vertical="center" wrapText="1"/>
    </xf>
    <xf numFmtId="166" fontId="4" fillId="0" borderId="14" xfId="1" applyFont="1" applyFill="1" applyBorder="1" applyAlignment="1">
      <alignment vertical="center" wrapText="1"/>
    </xf>
    <xf numFmtId="166" fontId="4" fillId="0" borderId="4" xfId="1" applyFont="1" applyFill="1" applyBorder="1" applyAlignment="1">
      <alignment vertical="center" wrapText="1"/>
    </xf>
    <xf numFmtId="166" fontId="2" fillId="0" borderId="1" xfId="13" applyNumberFormat="1" applyFont="1" applyFill="1" applyBorder="1" applyAlignment="1">
      <alignment horizontal="center" vertical="center"/>
    </xf>
    <xf numFmtId="1" fontId="2" fillId="0" borderId="27"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3" xfId="0" applyFont="1" applyBorder="1" applyAlignment="1" applyProtection="1">
      <alignment horizontal="justify" vertical="center" wrapText="1"/>
      <protection locked="0"/>
    </xf>
    <xf numFmtId="0" fontId="4" fillId="0" borderId="17" xfId="0" applyFont="1" applyBorder="1" applyAlignment="1" applyProtection="1">
      <alignment horizontal="justify" vertical="center" wrapText="1"/>
      <protection locked="0"/>
    </xf>
    <xf numFmtId="0" fontId="2" fillId="0" borderId="8" xfId="0" applyFont="1" applyBorder="1" applyAlignment="1">
      <alignment horizontal="center"/>
    </xf>
    <xf numFmtId="0" fontId="2" fillId="0" borderId="9" xfId="0" applyFont="1" applyBorder="1" applyAlignment="1">
      <alignment horizontal="center"/>
    </xf>
    <xf numFmtId="175" fontId="2" fillId="0" borderId="1" xfId="21" applyNumberFormat="1" applyFont="1" applyFill="1" applyBorder="1" applyAlignment="1">
      <alignment horizontal="center" vertical="center" wrapText="1"/>
    </xf>
    <xf numFmtId="14" fontId="4" fillId="0" borderId="1" xfId="0" applyNumberFormat="1" applyFont="1" applyBorder="1" applyAlignment="1" applyProtection="1">
      <alignment horizontal="center" vertical="center" wrapText="1"/>
      <protection locked="0"/>
    </xf>
    <xf numFmtId="9" fontId="2" fillId="2" borderId="25" xfId="2" applyFont="1" applyFill="1" applyBorder="1" applyAlignment="1">
      <alignment horizontal="center" vertical="center"/>
    </xf>
    <xf numFmtId="166" fontId="4" fillId="0" borderId="23" xfId="1" applyFont="1" applyFill="1" applyBorder="1" applyAlignment="1">
      <alignment vertical="center" wrapText="1"/>
    </xf>
    <xf numFmtId="166" fontId="4" fillId="0" borderId="17" xfId="1" applyFont="1" applyFill="1" applyBorder="1" applyAlignment="1">
      <alignment vertical="center" wrapText="1"/>
    </xf>
    <xf numFmtId="0" fontId="4" fillId="0" borderId="23"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2" fillId="0" borderId="23" xfId="0" applyFont="1" applyBorder="1" applyAlignment="1">
      <alignment vertical="center" wrapText="1"/>
    </xf>
    <xf numFmtId="14" fontId="4" fillId="0" borderId="23" xfId="0" applyNumberFormat="1" applyFont="1" applyBorder="1" applyAlignment="1" applyProtection="1">
      <alignment horizontal="center" vertical="center" wrapText="1"/>
      <protection locked="0"/>
    </xf>
    <xf numFmtId="14" fontId="4" fillId="0" borderId="17" xfId="0" applyNumberFormat="1" applyFont="1" applyBorder="1" applyAlignment="1" applyProtection="1">
      <alignment horizontal="center" vertical="center" wrapText="1"/>
      <protection locked="0"/>
    </xf>
    <xf numFmtId="14" fontId="4" fillId="0" borderId="26" xfId="0" applyNumberFormat="1"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166" fontId="2" fillId="0" borderId="23" xfId="13" applyNumberFormat="1" applyFont="1" applyFill="1" applyBorder="1" applyAlignment="1">
      <alignment horizontal="center" vertical="center"/>
    </xf>
    <xf numFmtId="166" fontId="2" fillId="0" borderId="17" xfId="13" applyNumberFormat="1" applyFont="1" applyFill="1" applyBorder="1" applyAlignment="1">
      <alignment horizontal="center" vertical="center"/>
    </xf>
    <xf numFmtId="3" fontId="2" fillId="0" borderId="26" xfId="0" applyNumberFormat="1" applyFont="1" applyBorder="1" applyAlignment="1">
      <alignment horizontal="center" vertical="center" wrapText="1"/>
    </xf>
    <xf numFmtId="3" fontId="2" fillId="0" borderId="23" xfId="0" applyNumberFormat="1" applyFont="1" applyBorder="1" applyAlignment="1">
      <alignment horizontal="center" vertical="center" wrapText="1"/>
    </xf>
    <xf numFmtId="0" fontId="4" fillId="0" borderId="13" xfId="0" applyFont="1" applyBorder="1" applyAlignment="1">
      <alignment vertical="center" wrapText="1"/>
    </xf>
    <xf numFmtId="2" fontId="2" fillId="0" borderId="13" xfId="0" applyNumberFormat="1" applyFont="1" applyFill="1" applyBorder="1" applyAlignment="1">
      <alignment horizontal="center" vertical="center" wrapText="1"/>
    </xf>
    <xf numFmtId="2" fontId="2" fillId="0" borderId="14" xfId="0" applyNumberFormat="1" applyFont="1" applyFill="1" applyBorder="1" applyAlignment="1">
      <alignment horizontal="center" vertical="center" wrapText="1"/>
    </xf>
    <xf numFmtId="2" fontId="2" fillId="0" borderId="39" xfId="0" applyNumberFormat="1" applyFont="1" applyFill="1" applyBorder="1" applyAlignment="1">
      <alignment horizontal="center" vertical="center" wrapText="1"/>
    </xf>
    <xf numFmtId="166" fontId="4" fillId="0" borderId="13" xfId="1" applyFont="1" applyFill="1" applyBorder="1" applyAlignment="1">
      <alignment vertical="center" wrapText="1"/>
    </xf>
    <xf numFmtId="166" fontId="4" fillId="0" borderId="13" xfId="13" applyNumberFormat="1" applyFont="1" applyFill="1" applyBorder="1" applyAlignment="1">
      <alignment horizontal="center" vertical="center" wrapText="1"/>
    </xf>
    <xf numFmtId="166" fontId="4" fillId="0" borderId="14" xfId="13" applyNumberFormat="1" applyFont="1" applyFill="1" applyBorder="1" applyAlignment="1">
      <alignment horizontal="center" vertical="center" wrapText="1"/>
    </xf>
    <xf numFmtId="166" fontId="4" fillId="0" borderId="4" xfId="13" applyNumberFormat="1" applyFont="1" applyFill="1" applyBorder="1" applyAlignment="1">
      <alignment horizontal="center" vertical="center" wrapText="1"/>
    </xf>
    <xf numFmtId="9" fontId="4" fillId="0" borderId="17" xfId="2" applyFont="1" applyFill="1" applyBorder="1" applyAlignment="1" applyProtection="1">
      <alignment horizontal="center" vertical="center" wrapText="1"/>
      <protection locked="0"/>
    </xf>
    <xf numFmtId="0" fontId="4" fillId="0" borderId="17" xfId="0" applyFont="1" applyFill="1" applyBorder="1" applyAlignment="1" applyProtection="1">
      <alignment vertical="center" wrapText="1"/>
      <protection locked="0"/>
    </xf>
    <xf numFmtId="175" fontId="2" fillId="0" borderId="23" xfId="21" applyNumberFormat="1" applyFont="1" applyFill="1" applyBorder="1" applyAlignment="1">
      <alignment horizontal="center" vertical="center"/>
    </xf>
    <xf numFmtId="175" fontId="2" fillId="0" borderId="17" xfId="21" applyNumberFormat="1" applyFont="1" applyFill="1" applyBorder="1" applyAlignment="1">
      <alignment horizontal="center" vertical="center"/>
    </xf>
    <xf numFmtId="175" fontId="13" fillId="0" borderId="27" xfId="0" applyNumberFormat="1" applyFont="1" applyFill="1" applyBorder="1" applyAlignment="1">
      <alignment horizontal="center" vertical="center"/>
    </xf>
    <xf numFmtId="175" fontId="13" fillId="0" borderId="23" xfId="0" applyNumberFormat="1" applyFont="1" applyFill="1" applyBorder="1" applyAlignment="1">
      <alignment horizontal="center" vertical="center"/>
    </xf>
    <xf numFmtId="0" fontId="2" fillId="0" borderId="19" xfId="0" applyFont="1" applyFill="1" applyBorder="1" applyAlignment="1">
      <alignment horizontal="center" vertical="center" wrapText="1"/>
    </xf>
    <xf numFmtId="0" fontId="4" fillId="0" borderId="17" xfId="0" applyFont="1" applyFill="1" applyBorder="1" applyAlignment="1" applyProtection="1">
      <alignment horizontal="justify" vertical="center" wrapText="1"/>
      <protection locked="0"/>
    </xf>
    <xf numFmtId="14" fontId="4" fillId="0" borderId="1" xfId="0" applyNumberFormat="1" applyFont="1" applyBorder="1" applyAlignment="1">
      <alignment horizontal="center" vertical="center" wrapText="1"/>
    </xf>
    <xf numFmtId="0" fontId="2" fillId="0" borderId="0" xfId="0" applyFont="1" applyFill="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21" xfId="0" applyFont="1" applyFill="1" applyBorder="1" applyAlignment="1">
      <alignment horizontal="center" vertical="center" wrapText="1"/>
    </xf>
    <xf numFmtId="0" fontId="4" fillId="0" borderId="29" xfId="0" applyFont="1" applyFill="1" applyBorder="1" applyAlignment="1">
      <alignment horizontal="center" vertical="center" wrapText="1"/>
    </xf>
    <xf numFmtId="1" fontId="2" fillId="0" borderId="65" xfId="0" applyNumberFormat="1" applyFont="1" applyFill="1" applyBorder="1" applyAlignment="1">
      <alignment horizontal="center" vertical="center" wrapText="1"/>
    </xf>
    <xf numFmtId="1" fontId="2" fillId="0" borderId="37" xfId="0" applyNumberFormat="1" applyFont="1" applyFill="1" applyBorder="1" applyAlignment="1">
      <alignment horizontal="center" vertical="center" wrapText="1"/>
    </xf>
    <xf numFmtId="1" fontId="2" fillId="0" borderId="66" xfId="0" applyNumberFormat="1" applyFont="1" applyFill="1" applyBorder="1" applyAlignment="1">
      <alignment horizontal="center" vertical="center" wrapText="1"/>
    </xf>
    <xf numFmtId="0" fontId="2" fillId="0" borderId="23" xfId="0" applyFont="1" applyFill="1" applyBorder="1" applyAlignment="1">
      <alignment horizontal="justify" vertical="center" wrapText="1"/>
    </xf>
    <xf numFmtId="0" fontId="4" fillId="0" borderId="23" xfId="0" applyFont="1" applyFill="1" applyBorder="1" applyAlignment="1">
      <alignment horizontal="justify" vertical="center" wrapText="1"/>
    </xf>
    <xf numFmtId="9" fontId="4" fillId="0" borderId="29" xfId="2" applyFont="1" applyFill="1" applyBorder="1" applyAlignment="1">
      <alignment horizontal="center" vertical="center" wrapText="1"/>
    </xf>
    <xf numFmtId="9" fontId="4" fillId="0" borderId="30" xfId="2" applyFont="1" applyFill="1" applyBorder="1" applyAlignment="1">
      <alignment horizontal="center" vertical="center" wrapText="1"/>
    </xf>
    <xf numFmtId="9" fontId="4" fillId="0" borderId="21" xfId="2" applyFont="1" applyFill="1" applyBorder="1" applyAlignment="1">
      <alignment horizontal="center" vertical="center" wrapText="1"/>
    </xf>
    <xf numFmtId="166" fontId="4" fillId="0" borderId="19" xfId="1" applyFont="1" applyFill="1" applyBorder="1" applyAlignment="1">
      <alignment vertical="center" wrapText="1"/>
    </xf>
    <xf numFmtId="14" fontId="4" fillId="0" borderId="23" xfId="0" applyNumberFormat="1" applyFont="1" applyFill="1" applyBorder="1" applyAlignment="1" applyProtection="1">
      <alignment horizontal="center" vertical="center" wrapText="1"/>
      <protection locked="0"/>
    </xf>
    <xf numFmtId="14" fontId="4" fillId="0" borderId="17" xfId="0" applyNumberFormat="1" applyFont="1" applyFill="1" applyBorder="1" applyAlignment="1" applyProtection="1">
      <alignment horizontal="center" vertical="center" wrapText="1"/>
      <protection locked="0"/>
    </xf>
    <xf numFmtId="14" fontId="4" fillId="0" borderId="27" xfId="0" applyNumberFormat="1" applyFont="1" applyFill="1" applyBorder="1" applyAlignment="1" applyProtection="1">
      <alignment horizontal="center" vertical="center" wrapText="1"/>
      <protection locked="0"/>
    </xf>
    <xf numFmtId="0" fontId="4" fillId="0" borderId="46" xfId="4" applyNumberFormat="1" applyFont="1" applyFill="1" applyBorder="1">
      <alignment horizontal="center" vertical="center" wrapText="1"/>
    </xf>
    <xf numFmtId="0" fontId="2" fillId="0" borderId="22"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72" xfId="0" applyFont="1" applyFill="1" applyBorder="1" applyAlignment="1">
      <alignment horizontal="center" vertical="center" wrapText="1"/>
    </xf>
    <xf numFmtId="175" fontId="2" fillId="0" borderId="27" xfId="0" applyNumberFormat="1" applyFont="1" applyFill="1" applyBorder="1" applyAlignment="1">
      <alignment horizontal="center" vertical="center"/>
    </xf>
    <xf numFmtId="175" fontId="2" fillId="0" borderId="23" xfId="0" applyNumberFormat="1" applyFont="1" applyFill="1" applyBorder="1" applyAlignment="1">
      <alignment horizontal="center" vertical="center"/>
    </xf>
    <xf numFmtId="166" fontId="2" fillId="0" borderId="27" xfId="13" applyNumberFormat="1" applyFont="1" applyFill="1" applyBorder="1" applyAlignment="1">
      <alignment horizontal="center" vertical="center"/>
    </xf>
    <xf numFmtId="9" fontId="2" fillId="0" borderId="27" xfId="2" applyFont="1" applyFill="1" applyBorder="1" applyAlignment="1">
      <alignment horizontal="center" vertical="center"/>
    </xf>
    <xf numFmtId="9" fontId="2" fillId="0" borderId="23" xfId="2" applyFont="1" applyFill="1" applyBorder="1" applyAlignment="1">
      <alignment horizontal="center" vertical="center"/>
    </xf>
    <xf numFmtId="175" fontId="2" fillId="0" borderId="27" xfId="0" applyNumberFormat="1" applyFont="1" applyFill="1" applyBorder="1" applyAlignment="1">
      <alignment horizontal="center" vertical="center" wrapText="1"/>
    </xf>
    <xf numFmtId="175" fontId="2" fillId="0" borderId="35" xfId="0" applyNumberFormat="1" applyFont="1" applyFill="1" applyBorder="1" applyAlignment="1">
      <alignment horizontal="center" vertical="center" wrapText="1"/>
    </xf>
    <xf numFmtId="175" fontId="2" fillId="0" borderId="17" xfId="0" applyNumberFormat="1" applyFont="1" applyFill="1" applyBorder="1" applyAlignment="1">
      <alignment horizontal="center" vertical="center"/>
    </xf>
    <xf numFmtId="185" fontId="2" fillId="0" borderId="62" xfId="20" applyNumberFormat="1" applyFont="1" applyFill="1" applyBorder="1" applyAlignment="1">
      <alignment horizontal="center" vertical="center"/>
    </xf>
    <xf numFmtId="185" fontId="2" fillId="0" borderId="14" xfId="20" applyNumberFormat="1" applyFont="1" applyFill="1" applyBorder="1" applyAlignment="1">
      <alignment horizontal="center" vertical="center"/>
    </xf>
    <xf numFmtId="185" fontId="2" fillId="0" borderId="4" xfId="20" applyNumberFormat="1" applyFont="1" applyFill="1" applyBorder="1" applyAlignment="1">
      <alignment horizontal="center" vertical="center"/>
    </xf>
    <xf numFmtId="0" fontId="4" fillId="0" borderId="23" xfId="0" applyFont="1" applyFill="1" applyBorder="1" applyAlignment="1">
      <alignment vertical="center" wrapText="1"/>
    </xf>
    <xf numFmtId="0" fontId="4" fillId="0" borderId="26" xfId="0" applyFont="1" applyFill="1" applyBorder="1" applyAlignment="1">
      <alignment vertical="center" wrapText="1"/>
    </xf>
    <xf numFmtId="185" fontId="2" fillId="0" borderId="63" xfId="20" applyNumberFormat="1" applyFont="1" applyFill="1" applyBorder="1" applyAlignment="1">
      <alignment horizontal="center" vertical="center"/>
    </xf>
    <xf numFmtId="185" fontId="2" fillId="0" borderId="2" xfId="20" applyNumberFormat="1" applyFont="1" applyFill="1" applyBorder="1" applyAlignment="1">
      <alignment horizontal="center" vertical="center"/>
    </xf>
    <xf numFmtId="185" fontId="2" fillId="0" borderId="8" xfId="20" applyNumberFormat="1" applyFont="1" applyFill="1" applyBorder="1" applyAlignment="1">
      <alignment horizontal="center" vertical="center"/>
    </xf>
    <xf numFmtId="0" fontId="4" fillId="0" borderId="47" xfId="4" applyNumberFormat="1" applyFont="1" applyFill="1" applyBorder="1">
      <alignment horizontal="center" vertical="center" wrapText="1"/>
    </xf>
    <xf numFmtId="166" fontId="13" fillId="0" borderId="62" xfId="0" applyNumberFormat="1" applyFont="1" applyFill="1" applyBorder="1" applyAlignment="1">
      <alignment horizontal="center" vertical="center"/>
    </xf>
    <xf numFmtId="166" fontId="13" fillId="0" borderId="14" xfId="0" applyNumberFormat="1" applyFont="1" applyFill="1" applyBorder="1" applyAlignment="1">
      <alignment horizontal="center" vertical="center"/>
    </xf>
    <xf numFmtId="166" fontId="13" fillId="0" borderId="4" xfId="0" applyNumberFormat="1" applyFont="1" applyFill="1" applyBorder="1" applyAlignment="1">
      <alignment horizontal="center" vertical="center"/>
    </xf>
    <xf numFmtId="175" fontId="2" fillId="0" borderId="1" xfId="0" applyNumberFormat="1" applyFont="1" applyFill="1" applyBorder="1" applyAlignment="1">
      <alignment horizontal="center" vertical="center" wrapText="1"/>
    </xf>
    <xf numFmtId="175" fontId="13" fillId="0" borderId="1" xfId="0" applyNumberFormat="1" applyFont="1" applyFill="1" applyBorder="1" applyAlignment="1">
      <alignment horizontal="center" vertical="center" wrapText="1"/>
    </xf>
    <xf numFmtId="175" fontId="13" fillId="0" borderId="62" xfId="0" applyNumberFormat="1" applyFont="1" applyFill="1" applyBorder="1" applyAlignment="1">
      <alignment horizontal="center" vertical="center"/>
    </xf>
    <xf numFmtId="175" fontId="13" fillId="0" borderId="14" xfId="0" applyNumberFormat="1" applyFont="1" applyFill="1" applyBorder="1" applyAlignment="1">
      <alignment horizontal="center" vertical="center"/>
    </xf>
    <xf numFmtId="175" fontId="13" fillId="0" borderId="4" xfId="0" applyNumberFormat="1" applyFont="1" applyFill="1" applyBorder="1" applyAlignment="1">
      <alignment horizontal="center" vertical="center"/>
    </xf>
    <xf numFmtId="0" fontId="4" fillId="0" borderId="8"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7" xfId="0" applyFont="1" applyBorder="1" applyAlignment="1">
      <alignment vertical="center" wrapText="1"/>
    </xf>
    <xf numFmtId="166" fontId="4" fillId="0" borderId="39" xfId="13" applyNumberFormat="1" applyFont="1" applyFill="1" applyBorder="1" applyAlignment="1">
      <alignment horizontal="center" vertical="center" wrapText="1"/>
    </xf>
    <xf numFmtId="14" fontId="4" fillId="0" borderId="39" xfId="0" applyNumberFormat="1" applyFont="1" applyBorder="1" applyAlignment="1">
      <alignment horizontal="center" vertical="center" wrapText="1"/>
    </xf>
    <xf numFmtId="0" fontId="4" fillId="0" borderId="7" xfId="4" applyNumberFormat="1" applyFont="1" applyFill="1" applyBorder="1">
      <alignment horizontal="center" vertical="center" wrapText="1"/>
    </xf>
    <xf numFmtId="0" fontId="4" fillId="0" borderId="3" xfId="4" applyNumberFormat="1" applyFont="1" applyFill="1" applyBorder="1">
      <alignment horizontal="center" vertical="center" wrapText="1"/>
    </xf>
    <xf numFmtId="0" fontId="4" fillId="0" borderId="15" xfId="4" applyNumberFormat="1" applyFont="1" applyFill="1" applyBorder="1">
      <alignment horizontal="center" vertical="center" wrapText="1"/>
    </xf>
    <xf numFmtId="0" fontId="4" fillId="0" borderId="39" xfId="4" applyNumberFormat="1" applyFont="1" applyFill="1" applyBorder="1">
      <alignment horizontal="center" vertical="center" wrapText="1"/>
    </xf>
    <xf numFmtId="0" fontId="4" fillId="0" borderId="14" xfId="0" applyFont="1" applyFill="1" applyBorder="1" applyAlignment="1">
      <alignment horizontal="justify" vertical="center" wrapText="1"/>
    </xf>
    <xf numFmtId="0" fontId="2" fillId="0" borderId="13" xfId="0" applyFont="1" applyFill="1" applyBorder="1" applyAlignment="1">
      <alignment horizontal="justify" vertical="center" wrapText="1"/>
    </xf>
    <xf numFmtId="185" fontId="2" fillId="0" borderId="86" xfId="20" applyNumberFormat="1" applyFont="1" applyFill="1" applyBorder="1" applyAlignment="1">
      <alignment horizontal="center" vertical="center"/>
    </xf>
    <xf numFmtId="185" fontId="2" fillId="0" borderId="39" xfId="20" applyNumberFormat="1" applyFont="1" applyFill="1" applyBorder="1" applyAlignment="1">
      <alignment horizontal="center" vertical="center"/>
    </xf>
    <xf numFmtId="0" fontId="4" fillId="0" borderId="14" xfId="2" applyNumberFormat="1" applyFont="1" applyFill="1" applyBorder="1" applyAlignment="1">
      <alignment horizontal="center"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185" fontId="2" fillId="0" borderId="64" xfId="20" applyNumberFormat="1" applyFont="1" applyFill="1" applyBorder="1" applyAlignment="1">
      <alignment horizontal="center" vertical="center"/>
    </xf>
    <xf numFmtId="185" fontId="2" fillId="0" borderId="3" xfId="20" applyNumberFormat="1" applyFont="1" applyFill="1" applyBorder="1" applyAlignment="1">
      <alignment horizontal="center" vertical="center"/>
    </xf>
    <xf numFmtId="9" fontId="4" fillId="0" borderId="17" xfId="1" applyNumberFormat="1" applyFont="1" applyBorder="1" applyAlignment="1">
      <alignment horizontal="center" vertical="center" wrapText="1"/>
    </xf>
    <xf numFmtId="166" fontId="4" fillId="0" borderId="17" xfId="1" applyFont="1" applyBorder="1" applyAlignment="1">
      <alignment vertical="center" wrapText="1"/>
    </xf>
    <xf numFmtId="14" fontId="4" fillId="0" borderId="13" xfId="0" applyNumberFormat="1" applyFont="1" applyFill="1" applyBorder="1" applyAlignment="1">
      <alignment horizontal="center" vertical="center" wrapText="1"/>
    </xf>
    <xf numFmtId="14" fontId="4" fillId="0" borderId="14" xfId="0" applyNumberFormat="1" applyFont="1" applyFill="1" applyBorder="1" applyAlignment="1">
      <alignment horizontal="center" vertical="center" wrapText="1"/>
    </xf>
    <xf numFmtId="14" fontId="4" fillId="0" borderId="39"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9" xfId="0" applyFont="1" applyFill="1" applyBorder="1" applyAlignment="1">
      <alignment horizontal="center" vertical="center" wrapText="1"/>
    </xf>
    <xf numFmtId="1" fontId="2" fillId="0" borderId="39" xfId="0" applyNumberFormat="1" applyFont="1" applyFill="1" applyBorder="1" applyAlignment="1">
      <alignment horizontal="center" vertical="center" wrapText="1"/>
    </xf>
    <xf numFmtId="185" fontId="2" fillId="0" borderId="13" xfId="20" applyNumberFormat="1" applyFont="1" applyFill="1" applyBorder="1" applyAlignment="1">
      <alignment horizontal="center" vertical="center"/>
    </xf>
    <xf numFmtId="166" fontId="2" fillId="0" borderId="39" xfId="13" applyNumberFormat="1" applyFont="1" applyFill="1" applyBorder="1" applyAlignment="1">
      <alignment horizontal="center" vertical="center"/>
    </xf>
    <xf numFmtId="9" fontId="2" fillId="0" borderId="39" xfId="2" applyFont="1" applyFill="1" applyBorder="1" applyAlignment="1">
      <alignment horizontal="center" vertical="center"/>
    </xf>
    <xf numFmtId="175" fontId="2" fillId="0" borderId="13" xfId="0" applyNumberFormat="1" applyFont="1" applyFill="1" applyBorder="1" applyAlignment="1">
      <alignment horizontal="center" vertical="center" wrapText="1"/>
    </xf>
    <xf numFmtId="175" fontId="2" fillId="0" borderId="39" xfId="0" applyNumberFormat="1" applyFont="1" applyFill="1" applyBorder="1" applyAlignment="1">
      <alignment horizontal="center" vertical="center" wrapText="1"/>
    </xf>
    <xf numFmtId="0" fontId="4" fillId="0" borderId="60"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62" xfId="0" applyFont="1" applyBorder="1" applyAlignment="1">
      <alignment horizontal="center" vertical="center" wrapText="1"/>
    </xf>
    <xf numFmtId="164" fontId="4" fillId="0" borderId="14" xfId="1" applyNumberFormat="1" applyFont="1" applyBorder="1" applyAlignment="1">
      <alignment vertical="center" wrapText="1"/>
    </xf>
    <xf numFmtId="164" fontId="4" fillId="0" borderId="4" xfId="1" applyNumberFormat="1" applyFont="1" applyBorder="1" applyAlignment="1">
      <alignment vertical="center" wrapText="1"/>
    </xf>
    <xf numFmtId="0" fontId="4" fillId="0" borderId="4" xfId="0" applyFont="1" applyBorder="1" applyAlignment="1">
      <alignment vertical="center" wrapText="1"/>
    </xf>
    <xf numFmtId="0" fontId="2" fillId="0" borderId="37" xfId="0" applyFont="1" applyBorder="1" applyAlignment="1">
      <alignment vertical="center" wrapText="1"/>
    </xf>
    <xf numFmtId="0" fontId="2" fillId="0" borderId="36" xfId="0" applyFont="1" applyBorder="1" applyAlignment="1">
      <alignment vertical="center" wrapText="1"/>
    </xf>
    <xf numFmtId="0" fontId="2" fillId="0" borderId="38"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13" xfId="0" applyFont="1" applyBorder="1" applyAlignment="1">
      <alignment vertical="center" wrapText="1"/>
    </xf>
    <xf numFmtId="0" fontId="4" fillId="0" borderId="6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2" fontId="2" fillId="0" borderId="62" xfId="0" applyNumberFormat="1" applyFont="1" applyFill="1" applyBorder="1" applyAlignment="1">
      <alignment horizontal="center" vertical="center" wrapText="1"/>
    </xf>
    <xf numFmtId="14" fontId="4" fillId="0" borderId="4" xfId="0" applyNumberFormat="1" applyFont="1" applyBorder="1" applyAlignment="1">
      <alignment horizontal="center" vertical="center" wrapText="1"/>
    </xf>
    <xf numFmtId="166" fontId="4" fillId="0" borderId="62" xfId="13" applyNumberFormat="1" applyFont="1" applyBorder="1" applyAlignment="1">
      <alignment horizontal="center" vertical="center" wrapText="1"/>
    </xf>
    <xf numFmtId="9" fontId="4" fillId="0" borderId="62" xfId="2" applyFont="1" applyBorder="1" applyAlignment="1">
      <alignment horizontal="center" vertical="center" wrapText="1"/>
    </xf>
    <xf numFmtId="0" fontId="4" fillId="0" borderId="32"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justify" vertical="center" wrapText="1"/>
      <protection locked="0"/>
    </xf>
    <xf numFmtId="0" fontId="4" fillId="0" borderId="25" xfId="0" applyFont="1" applyBorder="1" applyAlignment="1">
      <alignment vertical="center" wrapText="1"/>
    </xf>
    <xf numFmtId="0" fontId="4" fillId="0" borderId="26" xfId="0" applyFont="1" applyBorder="1" applyAlignment="1" applyProtection="1">
      <alignment vertical="center" wrapText="1"/>
      <protection locked="0"/>
    </xf>
    <xf numFmtId="0" fontId="4" fillId="0" borderId="19" xfId="0" applyFont="1" applyFill="1" applyBorder="1" applyAlignment="1" applyProtection="1">
      <alignment horizontal="justify" vertical="center" wrapText="1"/>
      <protection locked="0"/>
    </xf>
    <xf numFmtId="0" fontId="4" fillId="0" borderId="26" xfId="0" applyFont="1" applyFill="1" applyBorder="1" applyAlignment="1" applyProtection="1">
      <alignment horizontal="justify" vertical="center" wrapText="1"/>
      <protection locked="0"/>
    </xf>
    <xf numFmtId="0" fontId="4" fillId="0" borderId="23" xfId="0" applyFont="1" applyFill="1" applyBorder="1" applyAlignment="1" applyProtection="1">
      <alignment horizontal="justify" vertical="center" wrapText="1"/>
      <protection locked="0"/>
    </xf>
    <xf numFmtId="0" fontId="2" fillId="0" borderId="26" xfId="0" applyFont="1" applyFill="1" applyBorder="1" applyAlignment="1">
      <alignment horizontal="center" vertical="center" wrapText="1"/>
    </xf>
    <xf numFmtId="0" fontId="2" fillId="0" borderId="23" xfId="0" applyFont="1" applyFill="1" applyBorder="1" applyAlignment="1">
      <alignment horizontal="center" vertical="center" wrapText="1"/>
    </xf>
    <xf numFmtId="10" fontId="4" fillId="0" borderId="19" xfId="2" applyNumberFormat="1" applyFont="1" applyFill="1" applyBorder="1" applyAlignment="1">
      <alignment horizontal="center" vertical="center" wrapText="1"/>
    </xf>
    <xf numFmtId="10" fontId="4" fillId="0" borderId="26" xfId="2" applyNumberFormat="1" applyFont="1" applyFill="1" applyBorder="1" applyAlignment="1">
      <alignment horizontal="center" vertical="center" wrapText="1"/>
    </xf>
    <xf numFmtId="14" fontId="4" fillId="2" borderId="13" xfId="0" applyNumberFormat="1" applyFont="1" applyFill="1" applyBorder="1" applyAlignment="1">
      <alignment horizontal="center" vertical="center" wrapText="1"/>
    </xf>
    <xf numFmtId="14" fontId="4" fillId="2" borderId="14" xfId="0" applyNumberFormat="1" applyFont="1" applyFill="1" applyBorder="1" applyAlignment="1">
      <alignment horizontal="center" vertical="center" wrapText="1"/>
    </xf>
    <xf numFmtId="175" fontId="2" fillId="2" borderId="13" xfId="0" applyNumberFormat="1" applyFont="1" applyFill="1" applyBorder="1" applyAlignment="1">
      <alignment horizontal="center" vertical="center" wrapText="1"/>
    </xf>
    <xf numFmtId="175" fontId="2" fillId="2" borderId="14" xfId="0" applyNumberFormat="1" applyFont="1" applyFill="1" applyBorder="1" applyAlignment="1">
      <alignment horizontal="center" vertical="center" wrapText="1"/>
    </xf>
    <xf numFmtId="175" fontId="2" fillId="2" borderId="39" xfId="0" applyNumberFormat="1" applyFont="1" applyFill="1" applyBorder="1" applyAlignment="1">
      <alignment horizontal="center" vertical="center" wrapText="1"/>
    </xf>
    <xf numFmtId="166" fontId="4" fillId="2" borderId="13" xfId="13" applyNumberFormat="1" applyFont="1" applyFill="1" applyBorder="1" applyAlignment="1">
      <alignment horizontal="center" vertical="center" wrapText="1"/>
    </xf>
    <xf numFmtId="166" fontId="4" fillId="2" borderId="14" xfId="13" applyNumberFormat="1" applyFont="1" applyFill="1" applyBorder="1" applyAlignment="1">
      <alignment horizontal="center" vertical="center" wrapText="1"/>
    </xf>
    <xf numFmtId="9" fontId="4" fillId="0" borderId="29" xfId="2" applyFont="1" applyBorder="1" applyAlignment="1">
      <alignment horizontal="center" vertical="center" wrapText="1"/>
    </xf>
    <xf numFmtId="9" fontId="4" fillId="0" borderId="30" xfId="2" applyFont="1" applyBorder="1" applyAlignment="1">
      <alignment horizontal="center" vertical="center" wrapText="1"/>
    </xf>
    <xf numFmtId="0" fontId="4" fillId="0" borderId="19" xfId="0" applyFont="1" applyBorder="1" applyAlignment="1" applyProtection="1">
      <alignment horizontal="justify" vertical="center" wrapText="1"/>
      <protection locked="0"/>
    </xf>
    <xf numFmtId="0" fontId="4" fillId="0" borderId="26" xfId="0" applyFont="1" applyBorder="1" applyAlignment="1" applyProtection="1">
      <alignment horizontal="justify" vertical="center" wrapText="1"/>
      <protection locked="0"/>
    </xf>
    <xf numFmtId="0" fontId="2"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vertical="center" wrapText="1"/>
    </xf>
    <xf numFmtId="3"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4" fillId="0" borderId="1" xfId="0" applyFont="1" applyFill="1" applyBorder="1" applyAlignment="1">
      <alignment horizontal="justify" vertical="center" wrapText="1"/>
    </xf>
    <xf numFmtId="166" fontId="4" fillId="0" borderId="1" xfId="1" applyFont="1" applyFill="1" applyBorder="1" applyAlignment="1">
      <alignment vertical="center" wrapText="1"/>
    </xf>
    <xf numFmtId="0" fontId="4" fillId="0" borderId="44" xfId="0" applyFont="1" applyBorder="1" applyAlignment="1">
      <alignment horizontal="center" vertical="center" wrapText="1"/>
    </xf>
    <xf numFmtId="164" fontId="4" fillId="0" borderId="23" xfId="1" applyNumberFormat="1" applyFont="1" applyBorder="1" applyAlignment="1">
      <alignment vertical="center" wrapText="1"/>
    </xf>
    <xf numFmtId="164" fontId="4" fillId="0" borderId="17" xfId="1" applyNumberFormat="1" applyFont="1" applyBorder="1" applyAlignment="1">
      <alignment vertical="center" wrapText="1"/>
    </xf>
    <xf numFmtId="0" fontId="4" fillId="0" borderId="23" xfId="0" applyFont="1" applyBorder="1" applyAlignment="1">
      <alignment vertical="center" wrapText="1"/>
    </xf>
    <xf numFmtId="0" fontId="4" fillId="0" borderId="18" xfId="0" applyFont="1" applyBorder="1" applyAlignment="1">
      <alignment vertical="center" wrapText="1"/>
    </xf>
    <xf numFmtId="0" fontId="4" fillId="0" borderId="28" xfId="0" applyFont="1" applyBorder="1" applyAlignment="1">
      <alignment vertical="center" wrapText="1"/>
    </xf>
    <xf numFmtId="3" fontId="2" fillId="0" borderId="1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1" fontId="2" fillId="0" borderId="26" xfId="0" applyNumberFormat="1" applyFont="1" applyFill="1" applyBorder="1" applyAlignment="1">
      <alignment horizontal="center" vertical="center"/>
    </xf>
    <xf numFmtId="1" fontId="2" fillId="0" borderId="23"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wrapText="1"/>
    </xf>
    <xf numFmtId="0" fontId="4" fillId="0" borderId="22" xfId="4" applyNumberFormat="1" applyFont="1" applyFill="1" applyBorder="1">
      <alignment horizontal="center" vertical="center" wrapText="1"/>
    </xf>
    <xf numFmtId="3" fontId="2" fillId="0" borderId="4" xfId="0" applyNumberFormat="1" applyFont="1" applyFill="1" applyBorder="1" applyAlignment="1">
      <alignment horizontal="center" vertical="center" wrapText="1"/>
    </xf>
    <xf numFmtId="3" fontId="2" fillId="0" borderId="27" xfId="0" applyNumberFormat="1" applyFont="1" applyBorder="1" applyAlignment="1">
      <alignment horizontal="center" vertical="center"/>
    </xf>
    <xf numFmtId="164" fontId="4" fillId="0" borderId="22" xfId="1" applyNumberFormat="1" applyFont="1" applyFill="1" applyBorder="1" applyAlignment="1">
      <alignment vertical="center" wrapText="1"/>
    </xf>
    <xf numFmtId="164" fontId="4" fillId="0" borderId="25" xfId="1" applyNumberFormat="1" applyFont="1" applyFill="1" applyBorder="1" applyAlignment="1">
      <alignment vertical="center" wrapText="1"/>
    </xf>
    <xf numFmtId="0" fontId="2" fillId="0" borderId="5" xfId="0" applyFont="1" applyBorder="1" applyAlignment="1">
      <alignment horizontal="center"/>
    </xf>
    <xf numFmtId="0" fontId="2" fillId="0" borderId="7" xfId="0" applyFont="1" applyBorder="1" applyAlignment="1">
      <alignment horizontal="center"/>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166" fontId="2" fillId="0" borderId="26" xfId="13" applyNumberFormat="1" applyFont="1" applyFill="1" applyBorder="1" applyAlignment="1">
      <alignment horizontal="center" vertical="center"/>
    </xf>
    <xf numFmtId="9" fontId="2" fillId="0" borderId="26" xfId="2" applyFont="1" applyFill="1" applyBorder="1" applyAlignment="1">
      <alignment horizontal="center" vertical="center"/>
    </xf>
    <xf numFmtId="44" fontId="2" fillId="0" borderId="26" xfId="13" applyFont="1" applyFill="1" applyBorder="1" applyAlignment="1">
      <alignment horizontal="center" vertical="center"/>
    </xf>
    <xf numFmtId="44" fontId="2" fillId="0" borderId="23" xfId="13" applyFont="1" applyFill="1" applyBorder="1" applyAlignment="1">
      <alignment horizontal="center" vertical="center"/>
    </xf>
    <xf numFmtId="175" fontId="2" fillId="0" borderId="19" xfId="21" applyNumberFormat="1" applyFont="1" applyFill="1" applyBorder="1" applyAlignment="1">
      <alignment horizontal="center" vertical="center"/>
    </xf>
    <xf numFmtId="175" fontId="2" fillId="0" borderId="26" xfId="21" applyNumberFormat="1" applyFont="1" applyFill="1" applyBorder="1" applyAlignment="1">
      <alignment horizontal="center" vertical="center"/>
    </xf>
    <xf numFmtId="166" fontId="4" fillId="0" borderId="26" xfId="1" applyFont="1" applyFill="1" applyBorder="1" applyAlignment="1">
      <alignment horizontal="center" vertical="center" wrapText="1"/>
    </xf>
    <xf numFmtId="166" fontId="4" fillId="0" borderId="35" xfId="1" applyFont="1" applyFill="1" applyBorder="1" applyAlignment="1">
      <alignment horizontal="center" vertical="center" wrapText="1"/>
    </xf>
    <xf numFmtId="14" fontId="4" fillId="0" borderId="19" xfId="0" applyNumberFormat="1" applyFont="1" applyBorder="1" applyAlignment="1" applyProtection="1">
      <alignment horizontal="center" vertical="center" wrapText="1"/>
      <protection locked="0"/>
    </xf>
    <xf numFmtId="166" fontId="2" fillId="0" borderId="19" xfId="13" applyNumberFormat="1" applyFont="1" applyFill="1" applyBorder="1" applyAlignment="1">
      <alignment horizontal="center" vertical="center"/>
    </xf>
    <xf numFmtId="9" fontId="2" fillId="0" borderId="19" xfId="2" applyFont="1" applyFill="1" applyBorder="1" applyAlignment="1">
      <alignment horizontal="center" vertical="center"/>
    </xf>
    <xf numFmtId="3" fontId="2" fillId="0" borderId="27" xfId="0" applyNumberFormat="1" applyFont="1" applyBorder="1" applyAlignment="1">
      <alignment horizontal="center" vertical="center" wrapText="1"/>
    </xf>
    <xf numFmtId="175" fontId="2" fillId="0" borderId="17" xfId="0" applyNumberFormat="1" applyFont="1" applyBorder="1" applyAlignment="1">
      <alignment horizontal="center" vertical="center"/>
    </xf>
    <xf numFmtId="171" fontId="13" fillId="6" borderId="13" xfId="0" applyNumberFormat="1" applyFont="1" applyFill="1" applyBorder="1" applyAlignment="1">
      <alignment horizontal="right" vertical="center" wrapText="1"/>
    </xf>
    <xf numFmtId="171" fontId="13" fillId="6" borderId="4" xfId="0" applyNumberFormat="1" applyFont="1" applyFill="1" applyBorder="1" applyAlignment="1">
      <alignment horizontal="right" vertical="center" wrapText="1"/>
    </xf>
    <xf numFmtId="171" fontId="13" fillId="6" borderId="1" xfId="0" applyNumberFormat="1" applyFont="1" applyFill="1" applyBorder="1" applyAlignment="1">
      <alignment horizontal="right" vertical="center" wrapText="1"/>
    </xf>
    <xf numFmtId="9" fontId="16" fillId="9" borderId="1" xfId="2" applyFont="1" applyFill="1" applyBorder="1" applyAlignment="1">
      <alignment horizontal="center" vertical="center" wrapText="1"/>
    </xf>
    <xf numFmtId="9" fontId="16" fillId="9" borderId="13" xfId="2" applyFont="1" applyFill="1" applyBorder="1" applyAlignment="1">
      <alignment horizontal="center" vertical="center" wrapText="1"/>
    </xf>
    <xf numFmtId="3" fontId="2" fillId="2" borderId="5" xfId="0" applyNumberFormat="1" applyFont="1" applyFill="1" applyBorder="1" applyAlignment="1">
      <alignment horizontal="justify" vertical="center" wrapText="1"/>
    </xf>
    <xf numFmtId="3" fontId="2" fillId="2" borderId="2" xfId="0" applyNumberFormat="1" applyFont="1" applyFill="1" applyBorder="1" applyAlignment="1">
      <alignment horizontal="justify" vertical="center" wrapText="1"/>
    </xf>
    <xf numFmtId="3" fontId="2" fillId="2" borderId="8" xfId="0" applyNumberFormat="1" applyFont="1" applyFill="1" applyBorder="1" applyAlignment="1">
      <alignment horizontal="justify" vertical="center" wrapText="1"/>
    </xf>
    <xf numFmtId="0" fontId="4" fillId="0" borderId="41" xfId="0" applyFont="1" applyBorder="1" applyAlignment="1">
      <alignment horizontal="center" vertical="center"/>
    </xf>
    <xf numFmtId="0" fontId="16" fillId="9" borderId="14"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3" fontId="16" fillId="9" borderId="13"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4" xfId="0" applyFont="1" applyFill="1" applyBorder="1" applyAlignment="1">
      <alignment horizontal="center" vertical="center"/>
    </xf>
    <xf numFmtId="14" fontId="4" fillId="0" borderId="14" xfId="0" applyNumberFormat="1" applyFont="1" applyBorder="1" applyAlignment="1">
      <alignment horizontal="center" vertical="center"/>
    </xf>
    <xf numFmtId="0" fontId="4" fillId="0" borderId="38" xfId="0" applyFont="1" applyFill="1" applyBorder="1" applyAlignment="1">
      <alignment horizontal="justify" vertical="center" wrapText="1"/>
    </xf>
    <xf numFmtId="0" fontId="4" fillId="0" borderId="37" xfId="0" applyFont="1" applyFill="1" applyBorder="1" applyAlignment="1">
      <alignment horizontal="justify" vertical="center" wrapText="1"/>
    </xf>
    <xf numFmtId="0" fontId="4" fillId="0" borderId="13" xfId="0" applyFont="1" applyBorder="1" applyAlignment="1">
      <alignment horizontal="justify" vertical="center"/>
    </xf>
    <xf numFmtId="0" fontId="4" fillId="0" borderId="14" xfId="0" applyFont="1" applyBorder="1" applyAlignment="1">
      <alignment horizontal="justify" vertical="center"/>
    </xf>
    <xf numFmtId="0" fontId="4" fillId="0" borderId="4" xfId="0" applyFont="1" applyBorder="1" applyAlignment="1">
      <alignment horizontal="justify" vertical="center"/>
    </xf>
    <xf numFmtId="171" fontId="4" fillId="2" borderId="13"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0" xfId="0" applyFont="1" applyFill="1" applyBorder="1" applyAlignment="1">
      <alignment horizontal="center" vertical="center" wrapText="1"/>
    </xf>
    <xf numFmtId="9" fontId="4" fillId="2" borderId="7" xfId="2" applyFont="1" applyFill="1" applyBorder="1" applyAlignment="1">
      <alignment horizontal="center" vertical="center" wrapText="1"/>
    </xf>
    <xf numFmtId="9" fontId="4" fillId="2" borderId="3" xfId="2" applyFont="1" applyFill="1" applyBorder="1" applyAlignment="1">
      <alignment horizontal="center" vertical="center" wrapText="1"/>
    </xf>
    <xf numFmtId="9" fontId="4" fillId="2" borderId="15" xfId="2"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2"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14" fontId="2" fillId="0" borderId="5" xfId="0" applyNumberFormat="1" applyFont="1" applyBorder="1" applyAlignment="1">
      <alignment horizontal="center" vertical="center"/>
    </xf>
    <xf numFmtId="0" fontId="2" fillId="0" borderId="13" xfId="0" applyFont="1" applyBorder="1" applyAlignment="1">
      <alignment horizontal="justify" vertical="center"/>
    </xf>
    <xf numFmtId="0" fontId="2" fillId="0" borderId="14" xfId="0" applyFont="1" applyBorder="1" applyAlignment="1">
      <alignment horizontal="justify" vertical="center"/>
    </xf>
    <xf numFmtId="0" fontId="2" fillId="0" borderId="4" xfId="0" applyFont="1" applyBorder="1" applyAlignment="1">
      <alignment horizontal="justify" vertical="center"/>
    </xf>
    <xf numFmtId="9" fontId="2" fillId="0" borderId="5" xfId="2" applyFont="1" applyBorder="1" applyAlignment="1">
      <alignment horizontal="center" vertical="center"/>
    </xf>
    <xf numFmtId="9" fontId="2" fillId="0" borderId="2" xfId="2" applyFont="1" applyBorder="1" applyAlignment="1">
      <alignment horizontal="center" vertical="center"/>
    </xf>
    <xf numFmtId="9" fontId="2" fillId="0" borderId="8" xfId="2" applyFont="1" applyBorder="1" applyAlignment="1">
      <alignment horizontal="center" vertical="center"/>
    </xf>
    <xf numFmtId="0" fontId="2" fillId="0" borderId="8" xfId="0" applyFont="1" applyBorder="1" applyAlignment="1">
      <alignment horizontal="justify" vertical="center" wrapText="1"/>
    </xf>
    <xf numFmtId="171" fontId="2" fillId="2" borderId="5"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32" xfId="0" applyFont="1" applyFill="1" applyBorder="1" applyAlignment="1">
      <alignment horizontal="center" vertical="center" wrapText="1"/>
    </xf>
    <xf numFmtId="9" fontId="4" fillId="2" borderId="12" xfId="2"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43"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1" xfId="19" applyFont="1" applyBorder="1" applyAlignment="1">
      <alignment horizontal="justify" vertical="center" wrapText="1"/>
    </xf>
    <xf numFmtId="0" fontId="4" fillId="0" borderId="29" xfId="0" applyFont="1" applyFill="1" applyBorder="1" applyAlignment="1">
      <alignment horizontal="justify" vertical="center" wrapText="1"/>
    </xf>
    <xf numFmtId="49" fontId="2" fillId="0" borderId="1" xfId="22" applyNumberFormat="1" applyFont="1" applyBorder="1" applyAlignment="1">
      <alignment horizontal="justify" vertical="center" wrapText="1"/>
    </xf>
    <xf numFmtId="0" fontId="2" fillId="2" borderId="7" xfId="19" applyFont="1" applyFill="1" applyBorder="1" applyAlignment="1">
      <alignment horizontal="center" vertical="center" wrapText="1"/>
    </xf>
    <xf numFmtId="0" fontId="2" fillId="2" borderId="3" xfId="19" applyFont="1" applyFill="1" applyBorder="1" applyAlignment="1">
      <alignment horizontal="center" vertical="center" wrapText="1"/>
    </xf>
    <xf numFmtId="166" fontId="4" fillId="0" borderId="1" xfId="0" applyNumberFormat="1" applyFont="1" applyBorder="1" applyAlignment="1">
      <alignment horizontal="justify" vertical="center" wrapText="1"/>
    </xf>
    <xf numFmtId="43" fontId="4" fillId="2" borderId="17" xfId="0" applyNumberFormat="1" applyFont="1" applyFill="1" applyBorder="1" applyAlignment="1">
      <alignment horizontal="center" vertical="center" wrapText="1"/>
    </xf>
    <xf numFmtId="43" fontId="4" fillId="2" borderId="19" xfId="0" applyNumberFormat="1" applyFont="1" applyFill="1" applyBorder="1" applyAlignment="1">
      <alignment horizontal="center" vertical="center" wrapText="1"/>
    </xf>
    <xf numFmtId="0" fontId="2" fillId="0" borderId="13" xfId="19" applyFont="1" applyBorder="1" applyAlignment="1">
      <alignment horizontal="justify" vertical="center" wrapText="1"/>
    </xf>
    <xf numFmtId="0" fontId="2" fillId="0" borderId="14" xfId="19" applyFont="1" applyBorder="1" applyAlignment="1">
      <alignment horizontal="justify" vertical="center" wrapText="1"/>
    </xf>
    <xf numFmtId="0" fontId="4" fillId="0" borderId="66" xfId="0" applyFont="1" applyFill="1" applyBorder="1" applyAlignment="1">
      <alignment horizontal="justify" vertical="center" wrapText="1"/>
    </xf>
    <xf numFmtId="14" fontId="2" fillId="2" borderId="7" xfId="19" applyNumberFormat="1" applyFont="1" applyFill="1" applyBorder="1" applyAlignment="1">
      <alignment horizontal="center" vertical="center" wrapText="1"/>
    </xf>
    <xf numFmtId="0" fontId="2" fillId="2" borderId="7" xfId="19" applyFont="1" applyFill="1" applyBorder="1" applyAlignment="1">
      <alignment horizontal="justify" vertical="center" wrapText="1"/>
    </xf>
    <xf numFmtId="0" fontId="2" fillId="2" borderId="3" xfId="19" applyFont="1" applyFill="1" applyBorder="1" applyAlignment="1">
      <alignment horizontal="justify" vertical="center" wrapText="1"/>
    </xf>
    <xf numFmtId="0" fontId="4" fillId="0" borderId="61" xfId="0" applyFont="1" applyBorder="1" applyAlignment="1">
      <alignment horizontal="center" vertical="center" wrapText="1"/>
    </xf>
    <xf numFmtId="171" fontId="2" fillId="2" borderId="7" xfId="19" applyNumberFormat="1" applyFont="1" applyFill="1" applyBorder="1" applyAlignment="1">
      <alignment horizontal="center" vertical="center" wrapText="1"/>
    </xf>
    <xf numFmtId="0" fontId="4" fillId="0" borderId="65" xfId="0" applyFont="1" applyFill="1" applyBorder="1" applyAlignment="1">
      <alignment horizontal="justify"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14" fontId="4" fillId="0" borderId="43" xfId="0" applyNumberFormat="1" applyFont="1" applyBorder="1" applyAlignment="1">
      <alignment horizontal="center" vertical="center" wrapText="1"/>
    </xf>
    <xf numFmtId="171" fontId="4" fillId="2" borderId="43" xfId="0" applyNumberFormat="1"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9" fontId="4" fillId="0" borderId="43" xfId="2" applyFont="1" applyBorder="1" applyAlignment="1">
      <alignment horizontal="center" vertical="center" wrapText="1"/>
    </xf>
    <xf numFmtId="9" fontId="4" fillId="0" borderId="41" xfId="2" applyFont="1" applyBorder="1" applyAlignment="1">
      <alignment horizontal="center" vertical="center" wrapText="1"/>
    </xf>
    <xf numFmtId="9" fontId="4" fillId="0" borderId="42" xfId="2" applyFont="1" applyBorder="1" applyAlignment="1">
      <alignment horizontal="center" vertical="center" wrapText="1"/>
    </xf>
    <xf numFmtId="166" fontId="4" fillId="2" borderId="17" xfId="0" applyNumberFormat="1" applyFont="1" applyFill="1" applyBorder="1" applyAlignment="1">
      <alignment horizontal="center" vertical="center" wrapText="1"/>
    </xf>
    <xf numFmtId="0" fontId="4" fillId="2" borderId="17" xfId="2" applyNumberFormat="1" applyFont="1" applyFill="1" applyBorder="1" applyAlignment="1">
      <alignment horizontal="center" vertical="center" wrapText="1"/>
    </xf>
    <xf numFmtId="171" fontId="4" fillId="2" borderId="7" xfId="0" applyNumberFormat="1" applyFont="1" applyFill="1" applyBorder="1" applyAlignment="1">
      <alignment horizontal="center" vertical="center" wrapText="1"/>
    </xf>
    <xf numFmtId="4" fontId="4" fillId="2" borderId="23" xfId="0" applyNumberFormat="1" applyFont="1" applyFill="1" applyBorder="1" applyAlignment="1">
      <alignment horizontal="right" vertical="center" wrapText="1"/>
    </xf>
    <xf numFmtId="0" fontId="4" fillId="2" borderId="17" xfId="0" applyFont="1" applyFill="1" applyBorder="1" applyAlignment="1">
      <alignment horizontal="right" vertical="center" wrapText="1"/>
    </xf>
    <xf numFmtId="0" fontId="4" fillId="0" borderId="12" xfId="0" applyFont="1" applyBorder="1" applyAlignment="1">
      <alignment horizontal="justify" vertical="center" wrapText="1"/>
    </xf>
    <xf numFmtId="0" fontId="2" fillId="0" borderId="4" xfId="19" applyFont="1" applyBorder="1" applyAlignment="1">
      <alignment horizontal="justify" vertical="center" wrapText="1"/>
    </xf>
    <xf numFmtId="9" fontId="4" fillId="0" borderId="7" xfId="2" applyFont="1" applyBorder="1" applyAlignment="1">
      <alignment horizontal="center" vertical="center" wrapText="1"/>
    </xf>
    <xf numFmtId="9" fontId="4" fillId="0" borderId="3" xfId="2" applyFont="1" applyBorder="1" applyAlignment="1">
      <alignment horizontal="center" vertical="center" wrapText="1"/>
    </xf>
    <xf numFmtId="9" fontId="4" fillId="0" borderId="15" xfId="2" applyFont="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4" xfId="0" applyNumberFormat="1" applyFont="1" applyFill="1" applyBorder="1" applyAlignment="1">
      <alignment horizontal="center" vertical="center" wrapText="1"/>
    </xf>
    <xf numFmtId="9" fontId="4" fillId="2" borderId="6" xfId="2" applyFont="1" applyFill="1" applyBorder="1" applyAlignment="1">
      <alignment horizontal="center" vertical="center" wrapText="1"/>
    </xf>
    <xf numFmtId="9" fontId="4" fillId="2" borderId="9" xfId="2"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6" fontId="4" fillId="2" borderId="14"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2" fillId="0" borderId="1" xfId="0" applyFont="1" applyBorder="1" applyAlignment="1">
      <alignment horizontal="center"/>
    </xf>
    <xf numFmtId="9" fontId="4" fillId="2" borderId="5" xfId="2" applyFont="1" applyFill="1" applyBorder="1" applyAlignment="1">
      <alignment horizontal="center" vertical="center" wrapText="1"/>
    </xf>
    <xf numFmtId="9" fontId="4" fillId="2" borderId="2" xfId="2" applyFont="1" applyFill="1" applyBorder="1" applyAlignment="1">
      <alignment horizontal="center" vertical="center" wrapText="1"/>
    </xf>
    <xf numFmtId="9" fontId="4" fillId="2" borderId="8" xfId="2" applyFont="1" applyFill="1" applyBorder="1" applyAlignment="1">
      <alignment horizontal="center" vertical="center" wrapText="1"/>
    </xf>
    <xf numFmtId="177" fontId="4" fillId="2" borderId="43" xfId="0" applyNumberFormat="1" applyFont="1" applyFill="1" applyBorder="1" applyAlignment="1">
      <alignment horizontal="center" vertical="center" wrapText="1"/>
    </xf>
    <xf numFmtId="2" fontId="4" fillId="0" borderId="25" xfId="0" applyNumberFormat="1" applyFont="1" applyFill="1" applyBorder="1" applyAlignment="1">
      <alignment horizontal="center" vertical="center" wrapText="1"/>
    </xf>
    <xf numFmtId="2" fontId="4" fillId="0" borderId="20" xfId="0" applyNumberFormat="1" applyFont="1" applyFill="1" applyBorder="1" applyAlignment="1">
      <alignment horizontal="center" vertical="center" wrapText="1"/>
    </xf>
    <xf numFmtId="0" fontId="4" fillId="2" borderId="33" xfId="0" applyFont="1" applyFill="1" applyBorder="1" applyAlignment="1">
      <alignment horizontal="center" vertical="center" wrapText="1"/>
    </xf>
    <xf numFmtId="166" fontId="4" fillId="2" borderId="19" xfId="0" applyNumberFormat="1" applyFont="1" applyFill="1" applyBorder="1" applyAlignment="1">
      <alignment horizontal="center" vertical="center" wrapText="1"/>
    </xf>
    <xf numFmtId="0" fontId="4" fillId="2" borderId="26" xfId="0" applyFont="1" applyFill="1" applyBorder="1" applyAlignment="1">
      <alignment horizontal="justify"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4" xfId="0" applyFont="1" applyFill="1" applyBorder="1" applyAlignment="1">
      <alignment horizontal="center" vertical="center"/>
    </xf>
    <xf numFmtId="0" fontId="4" fillId="2" borderId="33" xfId="0" applyFont="1" applyFill="1" applyBorder="1" applyAlignment="1">
      <alignment horizontal="justify" vertical="center" wrapText="1"/>
    </xf>
    <xf numFmtId="0" fontId="4" fillId="0" borderId="10" xfId="0" applyFont="1" applyBorder="1" applyAlignment="1">
      <alignment horizontal="justify" vertical="center" wrapText="1"/>
    </xf>
    <xf numFmtId="0" fontId="4" fillId="0" borderId="4" xfId="0" applyFont="1" applyFill="1" applyBorder="1" applyAlignment="1">
      <alignment horizontal="center" vertical="center"/>
    </xf>
    <xf numFmtId="9" fontId="4" fillId="2" borderId="0" xfId="2" applyFont="1" applyFill="1" applyBorder="1" applyAlignment="1">
      <alignment horizontal="center" vertical="center" wrapText="1"/>
    </xf>
    <xf numFmtId="9" fontId="4" fillId="2" borderId="62" xfId="2" applyFont="1" applyFill="1" applyBorder="1" applyAlignment="1">
      <alignment horizontal="center" vertical="center" wrapText="1"/>
    </xf>
    <xf numFmtId="166" fontId="4" fillId="2" borderId="4" xfId="0" applyNumberFormat="1" applyFont="1" applyFill="1" applyBorder="1" applyAlignment="1">
      <alignment horizontal="center" vertical="center" wrapText="1"/>
    </xf>
    <xf numFmtId="9" fontId="4" fillId="2" borderId="25" xfId="2" applyFont="1" applyFill="1" applyBorder="1" applyAlignment="1">
      <alignment horizontal="center" vertical="center" wrapText="1"/>
    </xf>
    <xf numFmtId="9" fontId="4" fillId="2" borderId="33" xfId="2" applyFont="1" applyFill="1" applyBorder="1" applyAlignment="1">
      <alignment horizontal="center" vertical="center" wrapText="1"/>
    </xf>
    <xf numFmtId="0" fontId="4" fillId="0" borderId="61" xfId="0" applyFont="1" applyBorder="1" applyAlignment="1">
      <alignment horizontal="center" vertical="center"/>
    </xf>
    <xf numFmtId="0" fontId="4" fillId="0" borderId="6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0" borderId="11" xfId="0" applyFont="1" applyBorder="1" applyAlignment="1">
      <alignment horizontal="justify" vertical="center" wrapText="1"/>
    </xf>
    <xf numFmtId="0" fontId="4" fillId="2" borderId="12" xfId="0" applyFont="1" applyFill="1" applyBorder="1" applyAlignment="1">
      <alignment horizontal="center" vertical="center" wrapText="1"/>
    </xf>
    <xf numFmtId="0" fontId="4" fillId="0" borderId="32" xfId="0" applyFont="1" applyFill="1" applyBorder="1" applyAlignment="1">
      <alignment horizontal="center" vertical="center" wrapText="1"/>
    </xf>
    <xf numFmtId="166" fontId="4" fillId="2" borderId="12" xfId="0" applyNumberFormat="1" applyFont="1" applyFill="1" applyBorder="1" applyAlignment="1">
      <alignment horizontal="center" vertical="center" wrapText="1"/>
    </xf>
    <xf numFmtId="49" fontId="4" fillId="0" borderId="13" xfId="18" applyNumberFormat="1" applyFont="1" applyFill="1" applyBorder="1" applyAlignment="1">
      <alignment horizontal="justify" vertical="center" wrapText="1"/>
    </xf>
    <xf numFmtId="49" fontId="4" fillId="0" borderId="14" xfId="18" applyNumberFormat="1" applyFont="1" applyFill="1" applyBorder="1" applyAlignment="1">
      <alignment horizontal="justify" vertical="center" wrapText="1"/>
    </xf>
    <xf numFmtId="49" fontId="4" fillId="0" borderId="4" xfId="18" applyNumberFormat="1" applyFont="1" applyFill="1" applyBorder="1" applyAlignment="1">
      <alignment horizontal="justify" vertical="center" wrapText="1"/>
    </xf>
    <xf numFmtId="0" fontId="4" fillId="0" borderId="1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3" xfId="19" applyFont="1" applyBorder="1" applyAlignment="1">
      <alignment horizontal="justify" vertical="center" wrapText="1"/>
    </xf>
    <xf numFmtId="0" fontId="4" fillId="0" borderId="14" xfId="19" applyFont="1" applyBorder="1" applyAlignment="1">
      <alignment horizontal="justify" vertical="center" wrapText="1"/>
    </xf>
    <xf numFmtId="0" fontId="4" fillId="0" borderId="2" xfId="19" applyFont="1" applyBorder="1" applyAlignment="1">
      <alignment horizontal="justify" vertical="center" wrapText="1"/>
    </xf>
    <xf numFmtId="2" fontId="4" fillId="0" borderId="5"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43" fontId="4" fillId="2" borderId="13" xfId="0" applyNumberFormat="1" applyFont="1" applyFill="1" applyBorder="1" applyAlignment="1">
      <alignment horizontal="center" vertical="center" wrapText="1"/>
    </xf>
    <xf numFmtId="43" fontId="4" fillId="2" borderId="14"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170" fontId="4" fillId="0" borderId="13" xfId="0" applyNumberFormat="1" applyFont="1" applyFill="1" applyBorder="1" applyAlignment="1">
      <alignment horizontal="center" vertical="center" wrapText="1"/>
    </xf>
    <xf numFmtId="170" fontId="4" fillId="0" borderId="14" xfId="0" applyNumberFormat="1" applyFont="1" applyFill="1" applyBorder="1" applyAlignment="1">
      <alignment horizontal="center" vertical="center" wrapText="1"/>
    </xf>
    <xf numFmtId="170" fontId="4" fillId="0" borderId="4" xfId="0" applyNumberFormat="1" applyFont="1" applyFill="1" applyBorder="1" applyAlignment="1">
      <alignment horizontal="center" vertical="center" wrapText="1"/>
    </xf>
    <xf numFmtId="3" fontId="2" fillId="0" borderId="7"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2" fillId="0" borderId="7" xfId="0" applyNumberFormat="1" applyFont="1" applyBorder="1" applyAlignment="1">
      <alignment horizontal="justify" vertical="center"/>
    </xf>
    <xf numFmtId="3" fontId="2" fillId="0" borderId="3" xfId="0" applyNumberFormat="1" applyFont="1" applyBorder="1" applyAlignment="1">
      <alignment horizontal="justify" vertical="center"/>
    </xf>
    <xf numFmtId="3" fontId="2" fillId="0" borderId="15" xfId="0" applyNumberFormat="1" applyFont="1" applyBorder="1" applyAlignment="1">
      <alignment horizontal="justify" vertical="center"/>
    </xf>
    <xf numFmtId="9" fontId="2" fillId="0" borderId="7" xfId="2" applyFont="1" applyBorder="1" applyAlignment="1">
      <alignment horizontal="center" vertical="center"/>
    </xf>
    <xf numFmtId="9" fontId="2" fillId="0" borderId="3" xfId="2" applyFont="1" applyBorder="1" applyAlignment="1">
      <alignment horizontal="center" vertical="center"/>
    </xf>
    <xf numFmtId="9" fontId="2" fillId="0" borderId="15" xfId="2" applyFont="1" applyBorder="1" applyAlignment="1">
      <alignment horizontal="center" vertical="center"/>
    </xf>
    <xf numFmtId="3" fontId="2" fillId="0" borderId="7" xfId="0" applyNumberFormat="1" applyFont="1" applyBorder="1" applyAlignment="1">
      <alignment horizontal="justify" vertical="center" wrapText="1"/>
    </xf>
    <xf numFmtId="3" fontId="2" fillId="0" borderId="3" xfId="0" applyNumberFormat="1" applyFont="1" applyBorder="1" applyAlignment="1">
      <alignment horizontal="justify" vertical="center" wrapText="1"/>
    </xf>
    <xf numFmtId="3" fontId="2" fillId="0" borderId="15" xfId="0" applyNumberFormat="1" applyFont="1" applyBorder="1" applyAlignment="1">
      <alignment horizontal="justify" vertical="center" wrapText="1"/>
    </xf>
    <xf numFmtId="3" fontId="2" fillId="2" borderId="3" xfId="0" applyNumberFormat="1" applyFont="1" applyFill="1" applyBorder="1" applyAlignment="1">
      <alignment horizontal="center" vertical="center"/>
    </xf>
    <xf numFmtId="3" fontId="2" fillId="2" borderId="15" xfId="0" applyNumberFormat="1" applyFont="1" applyFill="1" applyBorder="1" applyAlignment="1">
      <alignment horizontal="center" vertical="center"/>
    </xf>
    <xf numFmtId="166" fontId="4" fillId="0" borderId="17" xfId="0" applyNumberFormat="1" applyFont="1" applyBorder="1" applyAlignment="1">
      <alignment horizontal="justify" vertical="center" wrapText="1"/>
    </xf>
    <xf numFmtId="166" fontId="4" fillId="0" borderId="19" xfId="0" applyNumberFormat="1" applyFont="1" applyBorder="1" applyAlignment="1">
      <alignment horizontal="justify" vertical="center" wrapText="1"/>
    </xf>
    <xf numFmtId="49" fontId="2" fillId="0" borderId="17" xfId="22" applyNumberFormat="1" applyFont="1" applyBorder="1" applyAlignment="1">
      <alignment horizontal="justify" vertical="center" wrapText="1"/>
    </xf>
    <xf numFmtId="49" fontId="2" fillId="0" borderId="19" xfId="22" applyNumberFormat="1" applyFont="1" applyBorder="1" applyAlignment="1">
      <alignment horizontal="justify" vertical="center" wrapText="1"/>
    </xf>
    <xf numFmtId="0" fontId="2" fillId="0" borderId="30" xfId="0" applyFont="1" applyBorder="1" applyAlignment="1">
      <alignment horizontal="center" vertical="center" wrapText="1"/>
    </xf>
    <xf numFmtId="10" fontId="4" fillId="2" borderId="17" xfId="2" applyNumberFormat="1" applyFont="1" applyFill="1" applyBorder="1" applyAlignment="1">
      <alignment horizontal="center" vertical="center" wrapText="1"/>
    </xf>
    <xf numFmtId="166" fontId="4" fillId="0" borderId="17" xfId="0" applyNumberFormat="1" applyFont="1" applyFill="1" applyBorder="1" applyAlignment="1">
      <alignment horizontal="justify" vertical="center" wrapText="1"/>
    </xf>
    <xf numFmtId="49" fontId="4" fillId="0" borderId="25" xfId="22" applyNumberFormat="1" applyFont="1" applyFill="1" applyBorder="1" applyAlignment="1">
      <alignment horizontal="justify" vertical="center" wrapText="1"/>
    </xf>
    <xf numFmtId="49" fontId="4" fillId="0" borderId="17" xfId="22" applyNumberFormat="1" applyFont="1" applyFill="1" applyBorder="1" applyAlignment="1">
      <alignment horizontal="justify" vertical="center" wrapText="1"/>
    </xf>
    <xf numFmtId="43" fontId="4" fillId="2"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4" xfId="0" applyFont="1" applyFill="1" applyBorder="1" applyAlignment="1">
      <alignment horizontal="center" vertical="center"/>
    </xf>
    <xf numFmtId="0" fontId="2" fillId="0" borderId="6" xfId="0" applyFont="1" applyBorder="1" applyAlignment="1">
      <alignment horizontal="center"/>
    </xf>
    <xf numFmtId="9" fontId="4" fillId="0" borderId="1" xfId="2" applyFont="1" applyFill="1" applyBorder="1" applyAlignment="1">
      <alignment horizontal="center" vertical="center" wrapText="1"/>
    </xf>
    <xf numFmtId="0" fontId="2" fillId="0" borderId="5" xfId="0" applyFont="1" applyFill="1" applyBorder="1" applyAlignment="1">
      <alignment horizontal="justify" vertical="center" wrapText="1"/>
    </xf>
    <xf numFmtId="0" fontId="2" fillId="0" borderId="8" xfId="0" applyFont="1" applyFill="1" applyBorder="1" applyAlignment="1">
      <alignment horizontal="justify" vertical="center" wrapText="1"/>
    </xf>
    <xf numFmtId="166" fontId="4" fillId="0" borderId="12"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Border="1" applyAlignment="1">
      <alignment horizontal="center" vertical="center" wrapText="1"/>
    </xf>
    <xf numFmtId="2" fontId="4" fillId="0" borderId="17" xfId="0" applyNumberFormat="1" applyFont="1" applyFill="1" applyBorder="1" applyAlignment="1">
      <alignment horizontal="center" vertical="center" wrapText="1"/>
    </xf>
    <xf numFmtId="170" fontId="13" fillId="6" borderId="1" xfId="0" applyNumberFormat="1" applyFont="1" applyFill="1" applyBorder="1" applyAlignment="1">
      <alignment horizontal="center" vertical="center" wrapText="1"/>
    </xf>
    <xf numFmtId="171" fontId="13" fillId="6" borderId="10" xfId="0" applyNumberFormat="1" applyFont="1" applyFill="1" applyBorder="1" applyAlignment="1">
      <alignment horizontal="center" vertical="center" wrapText="1"/>
    </xf>
    <xf numFmtId="171" fontId="13" fillId="6" borderId="11" xfId="0" applyNumberFormat="1" applyFont="1" applyFill="1" applyBorder="1" applyAlignment="1">
      <alignment horizontal="center" vertical="center" wrapText="1"/>
    </xf>
    <xf numFmtId="171" fontId="13" fillId="6" borderId="12" xfId="0" applyNumberFormat="1" applyFont="1" applyFill="1" applyBorder="1" applyAlignment="1">
      <alignment horizontal="center" vertical="center" wrapText="1"/>
    </xf>
    <xf numFmtId="1" fontId="13" fillId="6" borderId="1" xfId="0" applyNumberFormat="1" applyFont="1" applyFill="1" applyBorder="1" applyAlignment="1">
      <alignment horizontal="center" vertical="center" wrapText="1"/>
    </xf>
    <xf numFmtId="0" fontId="13" fillId="6" borderId="5" xfId="0" applyFont="1" applyFill="1" applyBorder="1" applyAlignment="1">
      <alignment horizontal="center" vertical="center" textRotation="90" wrapText="1"/>
    </xf>
    <xf numFmtId="0" fontId="13" fillId="6" borderId="7" xfId="0" applyFont="1" applyFill="1" applyBorder="1" applyAlignment="1">
      <alignment horizontal="center" vertical="center" textRotation="90" wrapText="1"/>
    </xf>
    <xf numFmtId="0" fontId="2" fillId="0" borderId="15" xfId="0" applyFont="1" applyBorder="1" applyAlignment="1">
      <alignment horizontal="center" vertical="center"/>
    </xf>
    <xf numFmtId="164" fontId="4" fillId="0" borderId="7" xfId="15" applyFont="1" applyBorder="1" applyAlignment="1">
      <alignment horizontal="center" vertical="center"/>
    </xf>
    <xf numFmtId="164" fontId="4" fillId="0" borderId="3" xfId="15" applyFont="1" applyBorder="1" applyAlignment="1">
      <alignment horizontal="center" vertical="center"/>
    </xf>
    <xf numFmtId="164" fontId="4" fillId="0" borderId="15" xfId="15" applyFont="1" applyBorder="1" applyAlignment="1">
      <alignment horizontal="center" vertical="center"/>
    </xf>
    <xf numFmtId="3" fontId="2" fillId="0" borderId="13" xfId="0" applyNumberFormat="1" applyFont="1" applyFill="1" applyBorder="1" applyAlignment="1">
      <alignment horizontal="justify" vertical="center" wrapText="1"/>
    </xf>
    <xf numFmtId="3" fontId="2" fillId="0" borderId="2" xfId="0" applyNumberFormat="1" applyFont="1" applyFill="1" applyBorder="1" applyAlignment="1">
      <alignment horizontal="justify" vertical="center" wrapText="1"/>
    </xf>
    <xf numFmtId="3" fontId="2" fillId="0" borderId="8" xfId="0" applyNumberFormat="1" applyFont="1" applyFill="1" applyBorder="1" applyAlignment="1">
      <alignment horizontal="justify" vertical="center" wrapText="1"/>
    </xf>
    <xf numFmtId="0" fontId="2" fillId="0" borderId="25" xfId="0" applyFont="1" applyBorder="1" applyAlignment="1">
      <alignment horizontal="center" vertical="center"/>
    </xf>
    <xf numFmtId="0" fontId="4" fillId="0" borderId="39" xfId="0" applyFont="1" applyFill="1" applyBorder="1" applyAlignment="1">
      <alignment horizontal="justify" vertical="center" wrapText="1"/>
    </xf>
    <xf numFmtId="164" fontId="2" fillId="0" borderId="13"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1" xfId="0" applyFont="1" applyFill="1" applyBorder="1" applyAlignment="1">
      <alignment horizontal="justify" vertical="center" wrapText="1"/>
    </xf>
    <xf numFmtId="164" fontId="4" fillId="0" borderId="3" xfId="15" applyFont="1" applyFill="1" applyBorder="1" applyAlignment="1">
      <alignment horizontal="center" vertical="center"/>
    </xf>
    <xf numFmtId="164" fontId="4" fillId="0" borderId="15" xfId="15" applyFont="1" applyFill="1" applyBorder="1" applyAlignment="1">
      <alignment horizontal="center" vertical="center"/>
    </xf>
    <xf numFmtId="0" fontId="2" fillId="0" borderId="10" xfId="0" applyFont="1" applyFill="1" applyBorder="1" applyAlignment="1">
      <alignment horizontal="center" vertical="center" wrapText="1"/>
    </xf>
    <xf numFmtId="164" fontId="4" fillId="0" borderId="13" xfId="15" applyFont="1" applyFill="1" applyBorder="1" applyAlignment="1">
      <alignment horizontal="center" vertical="center"/>
    </xf>
    <xf numFmtId="164" fontId="4" fillId="0" borderId="39" xfId="15" applyFont="1" applyFill="1" applyBorder="1" applyAlignment="1">
      <alignment horizontal="center" vertical="center"/>
    </xf>
    <xf numFmtId="164" fontId="4" fillId="0" borderId="4" xfId="15" applyFont="1" applyFill="1" applyBorder="1" applyAlignment="1">
      <alignment horizontal="center" vertical="center"/>
    </xf>
    <xf numFmtId="9" fontId="13" fillId="6" borderId="1" xfId="2" applyFont="1" applyFill="1" applyBorder="1" applyAlignment="1">
      <alignment horizontal="center" vertical="center" wrapText="1"/>
    </xf>
    <xf numFmtId="166" fontId="2" fillId="2" borderId="14" xfId="1" applyFont="1" applyFill="1" applyBorder="1" applyAlignment="1">
      <alignment horizontal="center" vertical="center"/>
    </xf>
    <xf numFmtId="166" fontId="2" fillId="2" borderId="4" xfId="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180" fontId="2" fillId="2" borderId="14" xfId="0" applyNumberFormat="1" applyFont="1" applyFill="1" applyBorder="1" applyAlignment="1">
      <alignment horizontal="center" vertical="center" wrapText="1"/>
    </xf>
    <xf numFmtId="180" fontId="2" fillId="2" borderId="4" xfId="0" applyNumberFormat="1" applyFont="1" applyFill="1" applyBorder="1" applyAlignment="1">
      <alignment horizontal="center" vertical="center" wrapText="1"/>
    </xf>
    <xf numFmtId="0" fontId="13" fillId="6" borderId="1" xfId="0" applyFont="1" applyFill="1" applyBorder="1" applyAlignment="1">
      <alignment vertical="center" wrapText="1"/>
    </xf>
    <xf numFmtId="0" fontId="13" fillId="6" borderId="1" xfId="0" applyFont="1" applyFill="1" applyBorder="1" applyAlignment="1">
      <alignment horizontal="justify" vertical="center" wrapText="1"/>
    </xf>
    <xf numFmtId="3" fontId="44" fillId="7" borderId="10" xfId="0" applyNumberFormat="1" applyFont="1" applyFill="1" applyBorder="1" applyAlignment="1">
      <alignment horizontal="center" vertical="center" wrapText="1"/>
    </xf>
    <xf numFmtId="3" fontId="44" fillId="7" borderId="11" xfId="0" applyNumberFormat="1" applyFont="1" applyFill="1" applyBorder="1" applyAlignment="1">
      <alignment horizontal="center" vertical="center" wrapText="1"/>
    </xf>
    <xf numFmtId="3" fontId="44" fillId="7" borderId="12" xfId="0" applyNumberFormat="1" applyFont="1" applyFill="1" applyBorder="1" applyAlignment="1">
      <alignment horizontal="center" vertical="center" wrapText="1"/>
    </xf>
    <xf numFmtId="0" fontId="44" fillId="7" borderId="10" xfId="0" applyFont="1" applyFill="1" applyBorder="1" applyAlignment="1">
      <alignment horizontal="center" vertical="center" wrapText="1"/>
    </xf>
    <xf numFmtId="0" fontId="44" fillId="7" borderId="11" xfId="0" applyFont="1" applyFill="1" applyBorder="1" applyAlignment="1">
      <alignment horizontal="center" vertical="center" wrapText="1"/>
    </xf>
    <xf numFmtId="0" fontId="44" fillId="7" borderId="12" xfId="0" applyFont="1" applyFill="1" applyBorder="1" applyAlignment="1">
      <alignment horizontal="center" vertical="center" wrapText="1"/>
    </xf>
    <xf numFmtId="0" fontId="44" fillId="7" borderId="10" xfId="0" applyFont="1" applyFill="1" applyBorder="1" applyAlignment="1">
      <alignment horizontal="center" vertical="center"/>
    </xf>
    <xf numFmtId="0" fontId="44" fillId="7" borderId="11" xfId="0" applyFont="1" applyFill="1" applyBorder="1" applyAlignment="1">
      <alignment horizontal="center" vertical="center"/>
    </xf>
    <xf numFmtId="0" fontId="44" fillId="7" borderId="12" xfId="0" applyFont="1" applyFill="1" applyBorder="1" applyAlignment="1">
      <alignment horizontal="center" vertical="center"/>
    </xf>
    <xf numFmtId="0" fontId="44" fillId="7" borderId="1" xfId="0" applyFont="1" applyFill="1" applyBorder="1" applyAlignment="1">
      <alignment horizontal="center" vertical="center" wrapText="1"/>
    </xf>
    <xf numFmtId="0" fontId="44" fillId="7" borderId="1" xfId="0" applyFont="1" applyFill="1" applyBorder="1" applyAlignment="1">
      <alignment horizontal="center" vertical="center" wrapText="1"/>
    </xf>
    <xf numFmtId="0" fontId="44" fillId="7" borderId="5" xfId="0" applyFont="1" applyFill="1" applyBorder="1" applyAlignment="1">
      <alignment horizontal="center" vertical="center" wrapText="1"/>
    </xf>
    <xf numFmtId="0" fontId="44" fillId="7" borderId="7" xfId="0" applyFont="1" applyFill="1" applyBorder="1" applyAlignment="1">
      <alignment horizontal="center" vertical="center" wrapText="1"/>
    </xf>
    <xf numFmtId="0" fontId="44" fillId="7" borderId="8" xfId="0" applyFont="1" applyFill="1" applyBorder="1" applyAlignment="1">
      <alignment horizontal="center" vertical="center" wrapText="1"/>
    </xf>
    <xf numFmtId="0" fontId="44" fillId="7" borderId="15" xfId="0" applyFont="1" applyFill="1" applyBorder="1" applyAlignment="1">
      <alignment horizontal="center" vertical="center" wrapText="1"/>
    </xf>
    <xf numFmtId="1" fontId="13" fillId="6" borderId="0" xfId="0" applyNumberFormat="1"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0" xfId="0" applyFont="1" applyFill="1" applyBorder="1" applyAlignment="1">
      <alignment vertical="center" wrapText="1"/>
    </xf>
    <xf numFmtId="0" fontId="13" fillId="6" borderId="0" xfId="0" applyFont="1" applyFill="1" applyBorder="1" applyAlignment="1">
      <alignment horizontal="justify" vertical="center" wrapText="1"/>
    </xf>
    <xf numFmtId="9" fontId="13" fillId="6" borderId="0" xfId="2" applyFont="1" applyFill="1" applyBorder="1" applyAlignment="1">
      <alignment horizontal="center" vertical="center" wrapText="1"/>
    </xf>
    <xf numFmtId="171" fontId="13" fillId="6" borderId="0" xfId="0" applyNumberFormat="1" applyFont="1" applyFill="1" applyBorder="1" applyAlignment="1">
      <alignment vertical="center" wrapText="1"/>
    </xf>
    <xf numFmtId="171" fontId="13" fillId="6" borderId="0" xfId="0" applyNumberFormat="1" applyFont="1" applyFill="1" applyBorder="1" applyAlignment="1">
      <alignment horizontal="center" vertical="center" wrapText="1"/>
    </xf>
    <xf numFmtId="3" fontId="13" fillId="6" borderId="0" xfId="0" applyNumberFormat="1" applyFont="1" applyFill="1" applyBorder="1" applyAlignment="1">
      <alignment horizontal="center" vertical="center" wrapText="1"/>
    </xf>
    <xf numFmtId="0" fontId="4" fillId="3" borderId="11" xfId="0" applyFont="1" applyFill="1" applyBorder="1" applyAlignment="1">
      <alignmen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166" fontId="4" fillId="8" borderId="11" xfId="3" applyFont="1" applyFill="1" applyBorder="1" applyAlignment="1">
      <alignment horizontal="justify"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6" fillId="0" borderId="10" xfId="0" applyFont="1" applyFill="1" applyBorder="1" applyAlignment="1">
      <alignment horizontal="center"/>
    </xf>
    <xf numFmtId="0" fontId="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167" fontId="30" fillId="0" borderId="10" xfId="4" applyFont="1" applyFill="1" applyBorder="1" applyAlignment="1">
      <alignment horizontal="justify" vertical="center" wrapText="1"/>
    </xf>
    <xf numFmtId="0" fontId="30" fillId="0" borderId="1" xfId="4" applyNumberFormat="1" applyFont="1" applyFill="1" applyBorder="1" applyAlignment="1">
      <alignment horizontal="justify" vertical="center" wrapText="1"/>
    </xf>
    <xf numFmtId="0" fontId="29" fillId="0" borderId="13" xfId="0" applyFont="1" applyFill="1" applyBorder="1" applyAlignment="1">
      <alignment vertical="center" wrapText="1"/>
    </xf>
    <xf numFmtId="166" fontId="4" fillId="0" borderId="4" xfId="1" applyFont="1" applyFill="1" applyBorder="1" applyAlignment="1">
      <alignment vertical="center"/>
    </xf>
    <xf numFmtId="166" fontId="4" fillId="0" borderId="14" xfId="1" applyFont="1" applyFill="1" applyBorder="1" applyAlignment="1">
      <alignment vertical="center"/>
    </xf>
    <xf numFmtId="167" fontId="30" fillId="0" borderId="12" xfId="4" applyFont="1" applyFill="1" applyBorder="1" applyAlignment="1">
      <alignment horizontal="justify" vertical="center" wrapText="1"/>
    </xf>
    <xf numFmtId="166" fontId="4" fillId="0" borderId="1" xfId="1" applyFont="1" applyFill="1" applyBorder="1" applyAlignment="1">
      <alignment horizontal="right" vertical="center" wrapText="1"/>
    </xf>
    <xf numFmtId="0" fontId="4" fillId="0" borderId="10" xfId="0" applyFont="1" applyFill="1" applyBorder="1" applyAlignment="1">
      <alignment horizontal="center" vertical="center" wrapText="1"/>
    </xf>
    <xf numFmtId="164" fontId="4" fillId="0" borderId="1" xfId="8"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4" fillId="8" borderId="6" xfId="0" applyFont="1" applyFill="1" applyBorder="1" applyAlignment="1">
      <alignment horizontal="center" vertical="center" wrapText="1"/>
    </xf>
    <xf numFmtId="0" fontId="3" fillId="8" borderId="6" xfId="0" applyFont="1" applyFill="1" applyBorder="1" applyAlignment="1">
      <alignment horizontal="justify" vertical="center"/>
    </xf>
    <xf numFmtId="0" fontId="45" fillId="8" borderId="0" xfId="0" applyFont="1" applyFill="1" applyAlignment="1">
      <alignment horizontal="center" vertical="center"/>
    </xf>
    <xf numFmtId="0" fontId="4" fillId="8" borderId="0" xfId="0" applyFont="1" applyFill="1" applyAlignment="1">
      <alignment horizontal="justify" vertical="center" wrapText="1"/>
    </xf>
    <xf numFmtId="166" fontId="3" fillId="8" borderId="6" xfId="1" applyFont="1" applyFill="1" applyBorder="1" applyAlignment="1">
      <alignment horizontal="center" vertical="center" wrapText="1"/>
    </xf>
    <xf numFmtId="1" fontId="4" fillId="8" borderId="6" xfId="3" applyNumberFormat="1" applyFont="1" applyFill="1" applyBorder="1" applyAlignment="1">
      <alignment horizontal="center" vertical="center"/>
    </xf>
    <xf numFmtId="166" fontId="4" fillId="8" borderId="6" xfId="3"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167" fontId="30" fillId="0" borderId="1" xfId="4"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166" fontId="4" fillId="0" borderId="1" xfId="1" applyFont="1" applyFill="1" applyBorder="1" applyAlignment="1">
      <alignment vertical="center"/>
    </xf>
    <xf numFmtId="166" fontId="4" fillId="0" borderId="1" xfId="1" applyFont="1" applyFill="1" applyBorder="1" applyAlignment="1">
      <alignment horizontal="center" vertical="center"/>
    </xf>
    <xf numFmtId="166" fontId="4" fillId="0" borderId="1" xfId="0" applyNumberFormat="1" applyFont="1" applyFill="1" applyBorder="1" applyAlignment="1">
      <alignment vertical="center"/>
    </xf>
    <xf numFmtId="1" fontId="4" fillId="0" borderId="1" xfId="3" applyNumberFormat="1"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3" fillId="0" borderId="4" xfId="0" applyFont="1" applyFill="1" applyBorder="1" applyAlignment="1">
      <alignment horizontal="center" vertical="center" wrapText="1"/>
    </xf>
    <xf numFmtId="166" fontId="4" fillId="0" borderId="1" xfId="11" applyFont="1" applyFill="1" applyBorder="1" applyAlignment="1">
      <alignment horizontal="justify" vertical="center"/>
    </xf>
    <xf numFmtId="0" fontId="3" fillId="3" borderId="0" xfId="0" applyFont="1" applyFill="1" applyBorder="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justify" vertical="center" wrapText="1"/>
    </xf>
    <xf numFmtId="0" fontId="3" fillId="3" borderId="4" xfId="0" applyFont="1" applyFill="1" applyBorder="1" applyAlignment="1">
      <alignment horizontal="justify" vertical="center" wrapText="1"/>
    </xf>
    <xf numFmtId="0" fontId="3" fillId="3" borderId="4"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 fillId="3" borderId="4" xfId="0" applyFont="1" applyFill="1" applyBorder="1" applyAlignment="1">
      <alignment horizontal="justify" vertical="center" wrapText="1"/>
    </xf>
    <xf numFmtId="1" fontId="4" fillId="3" borderId="9" xfId="0" applyNumberFormat="1" applyFont="1" applyFill="1" applyBorder="1" applyAlignment="1">
      <alignment horizontal="center" vertical="center"/>
    </xf>
    <xf numFmtId="0" fontId="4" fillId="8" borderId="11" xfId="0" applyFont="1" applyFill="1" applyBorder="1" applyAlignment="1">
      <alignment horizontal="center" vertical="center" wrapText="1"/>
    </xf>
    <xf numFmtId="1" fontId="4" fillId="8" borderId="11" xfId="3" applyNumberFormat="1" applyFont="1" applyFill="1" applyBorder="1" applyAlignment="1">
      <alignment horizontal="center" vertical="center"/>
    </xf>
    <xf numFmtId="0" fontId="4" fillId="0" borderId="10" xfId="4" applyNumberFormat="1" applyFont="1" applyFill="1" applyBorder="1">
      <alignment horizontal="center" vertical="center" wrapText="1"/>
    </xf>
    <xf numFmtId="0" fontId="29" fillId="0" borderId="13" xfId="0" applyFont="1" applyFill="1" applyBorder="1" applyAlignment="1">
      <alignment horizontal="justify" vertical="center" wrapText="1"/>
    </xf>
    <xf numFmtId="166" fontId="4" fillId="0" borderId="13" xfId="1" applyFont="1" applyFill="1" applyBorder="1" applyAlignment="1">
      <alignment vertical="center"/>
    </xf>
    <xf numFmtId="167" fontId="30" fillId="0" borderId="13" xfId="4" applyFont="1" applyFill="1" applyBorder="1" applyAlignment="1">
      <alignment horizontal="justify" vertical="center" wrapText="1"/>
    </xf>
    <xf numFmtId="166" fontId="2" fillId="0" borderId="5" xfId="3" applyFont="1" applyFill="1" applyBorder="1" applyAlignment="1">
      <alignment horizontal="center" vertical="center" wrapText="1"/>
    </xf>
    <xf numFmtId="0" fontId="3" fillId="8" borderId="1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166" fontId="4" fillId="0" borderId="1" xfId="1" applyFont="1" applyFill="1" applyBorder="1" applyAlignment="1">
      <alignment horizontal="right" vertical="center"/>
    </xf>
    <xf numFmtId="1" fontId="4" fillId="0" borderId="1" xfId="0" applyNumberFormat="1" applyFont="1" applyFill="1" applyBorder="1" applyAlignment="1">
      <alignment horizontal="center" vertical="center" wrapText="1"/>
    </xf>
    <xf numFmtId="166" fontId="46" fillId="0" borderId="1" xfId="1" applyFont="1" applyFill="1" applyBorder="1" applyAlignment="1">
      <alignment horizontal="center" vertical="center"/>
    </xf>
    <xf numFmtId="1" fontId="4" fillId="0" borderId="1" xfId="0" applyNumberFormat="1" applyFont="1" applyFill="1" applyBorder="1" applyAlignment="1" applyProtection="1">
      <alignment horizontal="center" vertical="center" wrapText="1"/>
      <protection locked="0"/>
    </xf>
    <xf numFmtId="0" fontId="3" fillId="3" borderId="2" xfId="0" applyFont="1" applyFill="1" applyBorder="1" applyAlignment="1">
      <alignment horizontal="left" vertical="center"/>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0" xfId="0" applyFont="1" applyFill="1" applyAlignment="1">
      <alignment vertical="center" wrapText="1"/>
    </xf>
    <xf numFmtId="0" fontId="45" fillId="3" borderId="0" xfId="0" applyFont="1" applyFill="1" applyAlignment="1">
      <alignment vertical="center" wrapText="1"/>
    </xf>
    <xf numFmtId="0" fontId="4" fillId="3" borderId="0" xfId="0" applyFont="1" applyFill="1" applyBorder="1" applyAlignment="1">
      <alignment horizontal="justify" vertical="center"/>
    </xf>
    <xf numFmtId="0" fontId="4" fillId="3" borderId="0" xfId="0" applyFont="1" applyFill="1" applyBorder="1" applyAlignment="1">
      <alignment horizontal="center" vertical="center"/>
    </xf>
    <xf numFmtId="1" fontId="4" fillId="3" borderId="0" xfId="0" applyNumberFormat="1" applyFont="1" applyFill="1" applyBorder="1" applyAlignment="1">
      <alignment horizontal="center" vertical="center"/>
    </xf>
    <xf numFmtId="0" fontId="3" fillId="8" borderId="1" xfId="0" applyFont="1" applyFill="1" applyBorder="1" applyAlignment="1">
      <alignment horizontal="justify" vertical="center" wrapText="1"/>
    </xf>
    <xf numFmtId="0" fontId="3" fillId="8" borderId="1" xfId="0" applyFont="1" applyFill="1" applyBorder="1" applyAlignment="1">
      <alignment horizontal="justify" vertical="center"/>
    </xf>
    <xf numFmtId="0" fontId="45" fillId="8" borderId="1" xfId="0" applyFont="1" applyFill="1" applyBorder="1" applyAlignment="1">
      <alignment vertical="center"/>
    </xf>
    <xf numFmtId="166" fontId="3" fillId="8" borderId="1" xfId="1" applyFont="1" applyFill="1" applyBorder="1" applyAlignment="1">
      <alignment horizontal="center" vertical="center" wrapText="1"/>
    </xf>
    <xf numFmtId="1" fontId="4" fillId="8" borderId="1" xfId="3" applyNumberFormat="1" applyFont="1" applyFill="1" applyBorder="1" applyAlignment="1">
      <alignment horizontal="center" vertical="center"/>
    </xf>
    <xf numFmtId="166" fontId="4" fillId="8" borderId="10" xfId="3" applyFont="1" applyFill="1" applyBorder="1" applyAlignment="1">
      <alignment horizontal="justify" vertical="center"/>
    </xf>
    <xf numFmtId="186" fontId="23" fillId="0" borderId="1" xfId="0" applyNumberFormat="1" applyFont="1" applyFill="1" applyBorder="1" applyAlignment="1">
      <alignment horizontal="center" vertical="center" wrapText="1"/>
    </xf>
    <xf numFmtId="167" fontId="30" fillId="0" borderId="1" xfId="4" applyFont="1" applyFill="1" applyBorder="1" applyAlignment="1">
      <alignment horizontal="justify" vertical="center" wrapText="1"/>
    </xf>
    <xf numFmtId="0" fontId="23" fillId="0" borderId="1" xfId="0" applyFont="1" applyFill="1" applyBorder="1" applyAlignment="1">
      <alignment horizontal="justify" vertical="center"/>
    </xf>
    <xf numFmtId="1" fontId="13" fillId="0" borderId="10" xfId="0" applyNumberFormat="1" applyFont="1" applyBorder="1"/>
    <xf numFmtId="0" fontId="13" fillId="0" borderId="11" xfId="0" applyFont="1" applyBorder="1"/>
    <xf numFmtId="0" fontId="13" fillId="0" borderId="12" xfId="0" applyFont="1" applyBorder="1"/>
    <xf numFmtId="0" fontId="13" fillId="0" borderId="1" xfId="0" applyFont="1" applyBorder="1"/>
    <xf numFmtId="0" fontId="13" fillId="2" borderId="1" xfId="0" applyFont="1" applyFill="1" applyBorder="1" applyAlignment="1">
      <alignment vertical="center"/>
    </xf>
    <xf numFmtId="0" fontId="13" fillId="2" borderId="1" xfId="0" applyFont="1" applyFill="1" applyBorder="1" applyAlignment="1">
      <alignment horizontal="justify"/>
    </xf>
    <xf numFmtId="0" fontId="13" fillId="2" borderId="1" xfId="0" applyFont="1" applyFill="1" applyBorder="1"/>
    <xf numFmtId="9" fontId="13" fillId="2" borderId="1" xfId="2" applyFont="1" applyFill="1" applyBorder="1" applyAlignment="1">
      <alignment horizontal="center" vertical="center"/>
    </xf>
    <xf numFmtId="171" fontId="3" fillId="0" borderId="1" xfId="0" applyNumberFormat="1" applyFont="1" applyFill="1" applyBorder="1" applyAlignment="1">
      <alignment horizontal="center" vertical="center"/>
    </xf>
    <xf numFmtId="174" fontId="3" fillId="0" borderId="1" xfId="0" applyNumberFormat="1" applyFont="1" applyFill="1" applyBorder="1" applyAlignment="1">
      <alignment horizontal="center" vertical="center"/>
    </xf>
    <xf numFmtId="0" fontId="13" fillId="2" borderId="1" xfId="0" applyFont="1" applyFill="1" applyBorder="1" applyAlignment="1">
      <alignment horizontal="justify" vertical="center"/>
    </xf>
    <xf numFmtId="166" fontId="3" fillId="0" borderId="1" xfId="1" applyFont="1" applyFill="1" applyBorder="1" applyAlignment="1">
      <alignment horizontal="right" vertical="center" wrapText="1"/>
    </xf>
    <xf numFmtId="1" fontId="13" fillId="2" borderId="1" xfId="0" applyNumberFormat="1" applyFont="1" applyFill="1" applyBorder="1" applyAlignment="1">
      <alignment horizontal="center" vertical="center"/>
    </xf>
    <xf numFmtId="172" fontId="13" fillId="0" borderId="1" xfId="0" applyNumberFormat="1" applyFont="1" applyBorder="1" applyAlignment="1">
      <alignment horizontal="right" vertical="center"/>
    </xf>
    <xf numFmtId="172" fontId="13" fillId="0" borderId="1" xfId="0" applyNumberFormat="1" applyFont="1" applyBorder="1" applyAlignment="1">
      <alignment horizontal="center"/>
    </xf>
    <xf numFmtId="0" fontId="13" fillId="0" borderId="1" xfId="0" applyFont="1" applyBorder="1" applyAlignment="1">
      <alignment horizontal="justify" vertical="center"/>
    </xf>
    <xf numFmtId="0" fontId="2" fillId="0" borderId="0" xfId="0" applyFont="1" applyFill="1" applyAlignment="1">
      <alignment horizontal="justify" vertical="center" wrapText="1"/>
    </xf>
    <xf numFmtId="0" fontId="2" fillId="0" borderId="0" xfId="0" applyFont="1" applyFill="1" applyAlignment="1">
      <alignment horizontal="justify" vertical="center"/>
    </xf>
    <xf numFmtId="171" fontId="2"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0" fontId="13" fillId="0" borderId="0" xfId="0" applyFont="1" applyFill="1" applyAlignment="1">
      <alignment horizontal="center" vertical="center"/>
    </xf>
    <xf numFmtId="0" fontId="47" fillId="0" borderId="0" xfId="0" applyFont="1" applyAlignment="1">
      <alignment horizontal="center"/>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1" fontId="13" fillId="6" borderId="9" xfId="0" applyNumberFormat="1" applyFont="1" applyFill="1" applyBorder="1" applyAlignment="1">
      <alignment horizontal="center" vertical="center" wrapText="1"/>
    </xf>
    <xf numFmtId="1" fontId="4" fillId="3" borderId="11" xfId="0" applyNumberFormat="1" applyFont="1" applyFill="1" applyBorder="1" applyAlignment="1">
      <alignment horizontal="center" vertical="center"/>
    </xf>
    <xf numFmtId="0" fontId="3" fillId="8" borderId="6" xfId="0" applyFont="1" applyFill="1" applyBorder="1" applyAlignment="1">
      <alignment vertical="center" wrapText="1"/>
    </xf>
    <xf numFmtId="1" fontId="3" fillId="8" borderId="6" xfId="0" applyNumberFormat="1" applyFont="1" applyFill="1" applyBorder="1" applyAlignment="1">
      <alignment horizontal="center" vertical="center" wrapText="1"/>
    </xf>
    <xf numFmtId="166" fontId="3" fillId="8" borderId="6" xfId="3" applyFont="1" applyFill="1" applyBorder="1" applyAlignment="1">
      <alignment horizontal="justify" vertical="center"/>
    </xf>
    <xf numFmtId="166" fontId="3" fillId="8" borderId="6" xfId="1" applyFont="1" applyFill="1" applyBorder="1" applyAlignment="1">
      <alignment horizontal="center" vertical="center"/>
    </xf>
    <xf numFmtId="166" fontId="3" fillId="8" borderId="6" xfId="3" applyFont="1" applyFill="1" applyBorder="1" applyAlignment="1">
      <alignment horizontal="justify" vertical="center" wrapText="1"/>
    </xf>
    <xf numFmtId="166" fontId="3" fillId="8" borderId="6" xfId="3" applyFont="1" applyFill="1" applyBorder="1" applyAlignment="1">
      <alignment horizontal="center" vertical="center"/>
    </xf>
    <xf numFmtId="166" fontId="4" fillId="8" borderId="6" xfId="3"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0" xfId="0" applyFont="1" applyFill="1" applyBorder="1" applyAlignment="1">
      <alignment horizontal="justify" vertical="center" wrapText="1"/>
    </xf>
    <xf numFmtId="0" fontId="4" fillId="2" borderId="65" xfId="0" applyFont="1" applyFill="1" applyBorder="1" applyAlignment="1">
      <alignment horizontal="center" vertical="center" wrapText="1"/>
    </xf>
    <xf numFmtId="0" fontId="4" fillId="14" borderId="19" xfId="0" applyFont="1" applyFill="1" applyBorder="1" applyAlignment="1">
      <alignment horizontal="justify" vertical="center" wrapText="1"/>
    </xf>
    <xf numFmtId="0" fontId="4" fillId="2" borderId="19" xfId="0" applyFont="1" applyFill="1" applyBorder="1" applyAlignment="1">
      <alignment horizontal="center" vertical="center"/>
    </xf>
    <xf numFmtId="1" fontId="34" fillId="2" borderId="17" xfId="0" applyNumberFormat="1" applyFont="1" applyFill="1" applyBorder="1" applyAlignment="1">
      <alignment horizontal="center" vertical="center"/>
    </xf>
    <xf numFmtId="0" fontId="4" fillId="2" borderId="17" xfId="0" applyFont="1" applyFill="1" applyBorder="1" applyAlignment="1">
      <alignment horizontal="center" vertical="center"/>
    </xf>
    <xf numFmtId="9" fontId="4" fillId="2" borderId="19" xfId="2" applyFont="1" applyFill="1" applyBorder="1" applyAlignment="1">
      <alignment horizontal="center" vertical="center"/>
    </xf>
    <xf numFmtId="166" fontId="4" fillId="2" borderId="17" xfId="1" applyFont="1" applyFill="1" applyBorder="1" applyAlignment="1">
      <alignment horizontal="center" vertical="center"/>
    </xf>
    <xf numFmtId="0" fontId="4" fillId="14" borderId="1" xfId="0" applyFont="1" applyFill="1" applyBorder="1" applyAlignment="1">
      <alignment horizontal="justify" vertical="center" wrapText="1"/>
    </xf>
    <xf numFmtId="166" fontId="4" fillId="2" borderId="1" xfId="1" applyFont="1" applyFill="1" applyBorder="1" applyAlignment="1">
      <alignment horizontal="center" vertical="center" wrapText="1"/>
    </xf>
    <xf numFmtId="166" fontId="4" fillId="2" borderId="1" xfId="11" applyFont="1" applyFill="1" applyBorder="1" applyAlignment="1">
      <alignment horizontal="center" vertical="center" wrapText="1"/>
    </xf>
    <xf numFmtId="166" fontId="2" fillId="0" borderId="1" xfId="1" applyFont="1" applyFill="1" applyBorder="1" applyAlignment="1">
      <alignment horizontal="center" vertical="center"/>
    </xf>
    <xf numFmtId="49" fontId="2" fillId="2" borderId="1" xfId="0" applyNumberFormat="1" applyFont="1" applyFill="1" applyBorder="1" applyAlignment="1">
      <alignment horizontal="center" vertical="center"/>
    </xf>
    <xf numFmtId="166" fontId="4" fillId="2" borderId="1" xfId="3" applyFont="1" applyFill="1" applyBorder="1" applyAlignment="1">
      <alignment horizontal="center" vertical="center"/>
    </xf>
    <xf numFmtId="3" fontId="2" fillId="2" borderId="30" xfId="0" applyNumberFormat="1" applyFont="1" applyFill="1" applyBorder="1" applyAlignment="1">
      <alignment horizontal="center" vertical="center"/>
    </xf>
    <xf numFmtId="3" fontId="2" fillId="2" borderId="19" xfId="0" applyNumberFormat="1" applyFont="1" applyFill="1" applyBorder="1" applyAlignment="1">
      <alignment horizontal="center" vertical="center"/>
    </xf>
    <xf numFmtId="3" fontId="2" fillId="2" borderId="17" xfId="0" applyNumberFormat="1" applyFont="1" applyFill="1" applyBorder="1" applyAlignment="1">
      <alignment horizontal="center" vertical="center"/>
    </xf>
    <xf numFmtId="10" fontId="2" fillId="2" borderId="19" xfId="0" applyNumberFormat="1" applyFont="1" applyFill="1" applyBorder="1" applyAlignment="1">
      <alignment horizontal="center" vertical="center"/>
    </xf>
    <xf numFmtId="3" fontId="2" fillId="2" borderId="19" xfId="0" applyNumberFormat="1" applyFont="1" applyFill="1" applyBorder="1" applyAlignment="1">
      <alignment horizontal="center" vertical="center" wrapText="1"/>
    </xf>
    <xf numFmtId="14" fontId="2" fillId="2" borderId="20" xfId="0" applyNumberFormat="1" applyFont="1" applyFill="1" applyBorder="1" applyAlignment="1">
      <alignment horizontal="center" vertical="center"/>
    </xf>
    <xf numFmtId="0" fontId="0" fillId="2" borderId="0" xfId="0" applyFill="1"/>
    <xf numFmtId="1" fontId="2" fillId="2" borderId="2" xfId="0" applyNumberFormat="1" applyFont="1" applyFill="1" applyBorder="1"/>
    <xf numFmtId="0" fontId="2" fillId="2" borderId="3" xfId="0" applyFon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14" borderId="26" xfId="0" applyFont="1" applyFill="1" applyBorder="1" applyAlignment="1">
      <alignment horizontal="justify" vertical="center" wrapText="1"/>
    </xf>
    <xf numFmtId="0" fontId="4" fillId="2" borderId="26" xfId="0" applyFont="1" applyFill="1" applyBorder="1" applyAlignment="1">
      <alignment horizontal="center" vertical="center"/>
    </xf>
    <xf numFmtId="9" fontId="4" fillId="2" borderId="26" xfId="2" applyFont="1" applyFill="1" applyBorder="1" applyAlignment="1">
      <alignment horizontal="center" vertical="center"/>
    </xf>
    <xf numFmtId="0" fontId="40" fillId="2" borderId="1" xfId="0" applyFont="1" applyFill="1" applyBorder="1" applyAlignment="1">
      <alignment horizontal="center" vertical="center" wrapText="1"/>
    </xf>
    <xf numFmtId="3" fontId="2" fillId="2" borderId="26" xfId="0" applyNumberFormat="1" applyFont="1" applyFill="1" applyBorder="1" applyAlignment="1">
      <alignment horizontal="center" vertical="center"/>
    </xf>
    <xf numFmtId="10" fontId="2" fillId="2" borderId="26" xfId="0" applyNumberFormat="1" applyFont="1" applyFill="1" applyBorder="1" applyAlignment="1">
      <alignment horizontal="center" vertical="center"/>
    </xf>
    <xf numFmtId="3" fontId="2" fillId="2" borderId="26"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9" fontId="2" fillId="2" borderId="19" xfId="2" applyNumberFormat="1" applyFont="1" applyFill="1" applyBorder="1" applyAlignment="1">
      <alignment horizontal="center" vertical="center"/>
    </xf>
    <xf numFmtId="0" fontId="40" fillId="15" borderId="17" xfId="0" applyFont="1" applyFill="1" applyBorder="1" applyAlignment="1">
      <alignment horizontal="center" vertical="center" wrapText="1"/>
    </xf>
    <xf numFmtId="9" fontId="2" fillId="2" borderId="26" xfId="2" applyNumberFormat="1" applyFont="1" applyFill="1" applyBorder="1" applyAlignment="1">
      <alignment horizontal="center" vertical="center"/>
    </xf>
    <xf numFmtId="0" fontId="40" fillId="2" borderId="23" xfId="0" applyFont="1" applyFill="1" applyBorder="1" applyAlignment="1">
      <alignment horizontal="justify" vertical="center" wrapText="1"/>
    </xf>
    <xf numFmtId="166" fontId="2" fillId="2" borderId="23" xfId="1" applyFont="1" applyFill="1" applyBorder="1" applyAlignment="1">
      <alignment horizontal="center" vertical="center"/>
    </xf>
    <xf numFmtId="166" fontId="4" fillId="2" borderId="15" xfId="11" applyFont="1" applyFill="1" applyBorder="1" applyAlignment="1">
      <alignment horizontal="center" vertical="center" wrapText="1"/>
    </xf>
    <xf numFmtId="166" fontId="2" fillId="0" borderId="4" xfId="1" applyFont="1" applyFill="1" applyBorder="1" applyAlignment="1">
      <alignment horizontal="center" vertical="center"/>
    </xf>
    <xf numFmtId="0" fontId="40" fillId="2" borderId="68" xfId="0" applyFont="1" applyFill="1" applyBorder="1" applyAlignment="1">
      <alignment horizontal="center" vertical="center" wrapText="1"/>
    </xf>
    <xf numFmtId="0" fontId="40" fillId="2" borderId="17" xfId="0" applyFont="1" applyFill="1" applyBorder="1" applyAlignment="1">
      <alignment horizontal="justify" vertical="center" wrapText="1"/>
    </xf>
    <xf numFmtId="166" fontId="2" fillId="2" borderId="17" xfId="1" applyFont="1" applyFill="1" applyBorder="1" applyAlignment="1">
      <alignment horizontal="center" vertical="center"/>
    </xf>
    <xf numFmtId="166" fontId="4" fillId="2" borderId="12" xfId="11" applyFont="1" applyFill="1" applyBorder="1" applyAlignment="1">
      <alignment horizontal="center" vertical="center" wrapText="1"/>
    </xf>
    <xf numFmtId="0" fontId="40" fillId="2" borderId="2" xfId="0" applyFont="1" applyFill="1" applyBorder="1" applyAlignment="1">
      <alignment horizontal="center" wrapText="1"/>
    </xf>
    <xf numFmtId="0" fontId="4" fillId="2" borderId="66" xfId="0" applyFont="1" applyFill="1" applyBorder="1" applyAlignment="1">
      <alignment horizontal="center" vertical="center" wrapText="1"/>
    </xf>
    <xf numFmtId="0" fontId="4" fillId="2" borderId="35" xfId="0" applyFont="1" applyFill="1" applyBorder="1" applyAlignment="1">
      <alignment horizontal="center" vertical="center"/>
    </xf>
    <xf numFmtId="166" fontId="4" fillId="2" borderId="17" xfId="11" applyFont="1" applyFill="1" applyBorder="1" applyAlignment="1">
      <alignment horizontal="center" vertical="center" wrapText="1"/>
    </xf>
    <xf numFmtId="0" fontId="2" fillId="2" borderId="10" xfId="0" applyFont="1" applyFill="1" applyBorder="1" applyAlignment="1">
      <alignment horizontal="center" vertical="center" wrapText="1"/>
    </xf>
    <xf numFmtId="3" fontId="2" fillId="2" borderId="23" xfId="0" applyNumberFormat="1" applyFont="1" applyFill="1" applyBorder="1" applyAlignment="1">
      <alignment horizontal="center" vertical="center"/>
    </xf>
    <xf numFmtId="10" fontId="2" fillId="2" borderId="23" xfId="0" applyNumberFormat="1" applyFont="1" applyFill="1" applyBorder="1" applyAlignment="1">
      <alignment horizontal="center" vertical="center"/>
    </xf>
    <xf numFmtId="3" fontId="2" fillId="2" borderId="23" xfId="0" applyNumberFormat="1" applyFont="1" applyFill="1" applyBorder="1" applyAlignment="1">
      <alignment horizontal="center" vertical="center" wrapText="1"/>
    </xf>
    <xf numFmtId="9" fontId="2" fillId="2" borderId="62" xfId="2" applyNumberFormat="1" applyFont="1" applyFill="1" applyBorder="1" applyAlignment="1">
      <alignment horizontal="center" vertical="center"/>
    </xf>
    <xf numFmtId="4" fontId="2" fillId="2" borderId="1" xfId="1" applyNumberFormat="1" applyFont="1" applyFill="1" applyBorder="1" applyAlignment="1">
      <alignment vertical="center"/>
    </xf>
    <xf numFmtId="166" fontId="4" fillId="2" borderId="1" xfId="11" applyFont="1" applyFill="1" applyBorder="1" applyAlignment="1" applyProtection="1">
      <alignment horizontal="right" vertical="center"/>
      <protection locked="0"/>
    </xf>
    <xf numFmtId="0" fontId="2" fillId="2" borderId="1" xfId="1" applyNumberFormat="1" applyFont="1" applyFill="1" applyBorder="1" applyAlignment="1">
      <alignment horizontal="center" vertical="center"/>
    </xf>
    <xf numFmtId="0" fontId="4" fillId="2" borderId="1" xfId="0" applyFont="1" applyFill="1" applyBorder="1" applyAlignment="1" applyProtection="1">
      <alignment horizontal="center" vertical="center" wrapText="1"/>
    </xf>
    <xf numFmtId="3" fontId="2" fillId="2" borderId="14" xfId="0" applyNumberFormat="1" applyFont="1" applyFill="1" applyBorder="1" applyAlignment="1">
      <alignment horizontal="center" vertical="center"/>
    </xf>
    <xf numFmtId="3" fontId="2" fillId="2" borderId="62" xfId="0" applyNumberFormat="1" applyFont="1" applyFill="1" applyBorder="1" applyAlignment="1">
      <alignment horizontal="center" vertical="center"/>
    </xf>
    <xf numFmtId="10" fontId="2" fillId="2" borderId="62" xfId="0" applyNumberFormat="1" applyFont="1" applyFill="1" applyBorder="1" applyAlignment="1">
      <alignment horizontal="center" vertical="center"/>
    </xf>
    <xf numFmtId="3" fontId="2" fillId="2" borderId="62"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xf>
    <xf numFmtId="0" fontId="4" fillId="2" borderId="15" xfId="0" applyFont="1" applyFill="1" applyBorder="1" applyAlignment="1">
      <alignment horizontal="center" vertical="center"/>
    </xf>
    <xf numFmtId="9" fontId="2" fillId="2" borderId="14" xfId="2" applyNumberFormat="1" applyFont="1" applyFill="1" applyBorder="1" applyAlignment="1">
      <alignment horizontal="center" vertical="center"/>
    </xf>
    <xf numFmtId="10" fontId="2" fillId="2" borderId="14" xfId="0" applyNumberFormat="1" applyFont="1" applyFill="1" applyBorder="1" applyAlignment="1">
      <alignment horizontal="center" vertical="center"/>
    </xf>
    <xf numFmtId="0" fontId="4" fillId="2" borderId="3" xfId="0" applyFont="1" applyFill="1" applyBorder="1" applyAlignment="1">
      <alignment horizontal="center" vertical="center"/>
    </xf>
    <xf numFmtId="9" fontId="2" fillId="2" borderId="4" xfId="2"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10" fontId="2" fillId="2" borderId="4" xfId="0" applyNumberFormat="1" applyFont="1" applyFill="1" applyBorder="1" applyAlignment="1">
      <alignment horizontal="center" vertical="center"/>
    </xf>
    <xf numFmtId="0" fontId="4" fillId="0" borderId="5" xfId="0" applyFont="1" applyFill="1" applyBorder="1" applyAlignment="1">
      <alignment horizontal="justify" vertical="center" wrapText="1"/>
    </xf>
    <xf numFmtId="0" fontId="2" fillId="0" borderId="22" xfId="0" applyFont="1" applyFill="1" applyBorder="1" applyAlignment="1">
      <alignment horizontal="center" vertical="center"/>
    </xf>
    <xf numFmtId="0" fontId="4" fillId="0" borderId="63" xfId="0" applyFont="1" applyFill="1" applyBorder="1" applyAlignment="1">
      <alignment horizontal="center" vertical="center" wrapText="1"/>
    </xf>
    <xf numFmtId="166" fontId="2" fillId="0" borderId="21" xfId="1" applyFont="1" applyFill="1" applyBorder="1" applyAlignment="1">
      <alignment horizontal="center" vertical="center"/>
    </xf>
    <xf numFmtId="4" fontId="2" fillId="0" borderId="1" xfId="1" applyNumberFormat="1" applyFont="1" applyFill="1" applyBorder="1" applyAlignment="1">
      <alignment vertical="center"/>
    </xf>
    <xf numFmtId="166" fontId="2" fillId="0" borderId="1" xfId="1" applyFont="1" applyFill="1" applyBorder="1" applyAlignment="1">
      <alignment vertical="center"/>
    </xf>
    <xf numFmtId="0" fontId="2" fillId="0" borderId="1" xfId="1" applyNumberFormat="1" applyFont="1" applyFill="1" applyBorder="1" applyAlignment="1">
      <alignment horizontal="center" vertical="center"/>
    </xf>
    <xf numFmtId="0" fontId="4" fillId="0" borderId="1" xfId="0" applyFont="1" applyFill="1" applyBorder="1" applyAlignment="1" applyProtection="1">
      <alignment horizontal="center" vertical="center" wrapText="1"/>
    </xf>
    <xf numFmtId="10"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2" fillId="0" borderId="25" xfId="0" applyFont="1" applyFill="1" applyBorder="1" applyAlignment="1">
      <alignment horizontal="center" vertical="center"/>
    </xf>
    <xf numFmtId="166" fontId="2" fillId="0" borderId="24" xfId="1" applyFont="1" applyFill="1" applyBorder="1" applyAlignment="1">
      <alignment horizontal="center" vertical="center"/>
    </xf>
    <xf numFmtId="166" fontId="4" fillId="0" borderId="1" xfId="11" applyFont="1" applyFill="1" applyBorder="1" applyAlignment="1" applyProtection="1">
      <alignment horizontal="right" vertical="center"/>
      <protection locked="0"/>
    </xf>
    <xf numFmtId="14" fontId="2" fillId="0" borderId="2" xfId="0" applyNumberFormat="1" applyFont="1" applyFill="1" applyBorder="1" applyAlignment="1">
      <alignment horizontal="center" vertical="center"/>
    </xf>
    <xf numFmtId="4" fontId="4" fillId="0" borderId="1" xfId="11" applyNumberFormat="1" applyFont="1" applyFill="1" applyBorder="1" applyAlignment="1">
      <alignment vertical="center"/>
    </xf>
    <xf numFmtId="0" fontId="2" fillId="0" borderId="20" xfId="0" applyFont="1" applyFill="1" applyBorder="1" applyAlignment="1">
      <alignment horizontal="center" vertical="center"/>
    </xf>
    <xf numFmtId="0" fontId="4" fillId="0" borderId="18" xfId="0" applyFont="1" applyFill="1" applyBorder="1" applyAlignment="1">
      <alignment horizontal="justify" vertical="center" wrapText="1"/>
    </xf>
    <xf numFmtId="0" fontId="0" fillId="0" borderId="1" xfId="0" applyFill="1" applyBorder="1" applyAlignment="1">
      <alignment horizontal="center"/>
    </xf>
    <xf numFmtId="166" fontId="2" fillId="0" borderId="29" xfId="1" applyFont="1" applyFill="1" applyBorder="1" applyAlignment="1">
      <alignment horizontal="center" vertical="center"/>
    </xf>
    <xf numFmtId="14" fontId="2" fillId="0" borderId="13" xfId="0" applyNumberFormat="1" applyFont="1" applyFill="1" applyBorder="1" applyAlignment="1">
      <alignment horizontal="center" vertical="center"/>
    </xf>
    <xf numFmtId="14" fontId="2" fillId="0" borderId="13" xfId="0" applyNumberFormat="1" applyFont="1" applyFill="1" applyBorder="1" applyAlignment="1">
      <alignment horizontal="center" vertical="center" wrapText="1"/>
    </xf>
    <xf numFmtId="0" fontId="2" fillId="0" borderId="15" xfId="0" applyFont="1" applyFill="1" applyBorder="1" applyAlignment="1">
      <alignment horizontal="center" vertical="center"/>
    </xf>
    <xf numFmtId="1" fontId="2" fillId="0" borderId="32" xfId="0" applyNumberFormat="1" applyFont="1" applyFill="1" applyBorder="1" applyAlignment="1">
      <alignment horizontal="center" vertical="center" wrapText="1"/>
    </xf>
    <xf numFmtId="166" fontId="2" fillId="0" borderId="33" xfId="1" applyFont="1" applyFill="1" applyBorder="1" applyAlignment="1">
      <alignment horizontal="center" vertical="center"/>
    </xf>
    <xf numFmtId="166" fontId="4" fillId="0" borderId="12" xfId="1" applyFont="1" applyFill="1" applyBorder="1" applyAlignment="1">
      <alignment horizontal="center" vertical="center"/>
    </xf>
    <xf numFmtId="49" fontId="2" fillId="0" borderId="1" xfId="0" applyNumberFormat="1" applyFont="1" applyFill="1" applyBorder="1" applyAlignment="1">
      <alignment horizontal="center" vertical="center"/>
    </xf>
    <xf numFmtId="166" fontId="2" fillId="0" borderId="10" xfId="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1" fontId="2" fillId="0" borderId="0" xfId="0" applyNumberFormat="1" applyFont="1" applyFill="1" applyBorder="1" applyAlignment="1">
      <alignment horizontal="center" vertical="center" wrapText="1"/>
    </xf>
    <xf numFmtId="0" fontId="4" fillId="0" borderId="60" xfId="0" applyFont="1" applyFill="1" applyBorder="1" applyAlignment="1">
      <alignment horizontal="center" vertical="center" wrapText="1"/>
    </xf>
    <xf numFmtId="9" fontId="2" fillId="0" borderId="1" xfId="2" applyNumberFormat="1" applyFont="1" applyFill="1" applyBorder="1" applyAlignment="1">
      <alignment horizontal="center" vertical="center"/>
    </xf>
    <xf numFmtId="166" fontId="2" fillId="0" borderId="9" xfId="1" applyFont="1" applyFill="1" applyBorder="1" applyAlignment="1">
      <alignment horizontal="center" vertical="center"/>
    </xf>
    <xf numFmtId="166" fontId="4" fillId="0" borderId="1" xfId="11"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 fillId="0" borderId="43" xfId="0" applyFont="1" applyFill="1" applyBorder="1" applyAlignment="1">
      <alignment horizontal="justify" vertical="center" wrapText="1"/>
    </xf>
    <xf numFmtId="0" fontId="2" fillId="0" borderId="18" xfId="0" applyFont="1" applyFill="1" applyBorder="1" applyAlignment="1">
      <alignment horizontal="center" vertical="center"/>
    </xf>
    <xf numFmtId="0" fontId="2" fillId="0" borderId="43" xfId="0" applyFont="1" applyFill="1" applyBorder="1" applyAlignment="1">
      <alignment horizontal="center" vertical="center"/>
    </xf>
    <xf numFmtId="0" fontId="4" fillId="0" borderId="29" xfId="0" applyFont="1" applyFill="1" applyBorder="1" applyAlignment="1">
      <alignment horizontal="center" vertical="center"/>
    </xf>
    <xf numFmtId="9" fontId="2" fillId="0" borderId="41" xfId="2" applyFont="1" applyFill="1" applyBorder="1" applyAlignment="1">
      <alignment horizontal="center" vertical="center"/>
    </xf>
    <xf numFmtId="166" fontId="2" fillId="0" borderId="1" xfId="1" applyFont="1" applyFill="1" applyBorder="1" applyAlignment="1">
      <alignment horizontal="center" vertical="center"/>
    </xf>
    <xf numFmtId="4" fontId="4" fillId="0" borderId="1" xfId="23" applyNumberFormat="1" applyFont="1" applyFill="1" applyBorder="1" applyAlignment="1">
      <alignment vertical="center"/>
    </xf>
    <xf numFmtId="0" fontId="4" fillId="0" borderId="0" xfId="0" applyFont="1" applyFill="1" applyAlignment="1" applyProtection="1">
      <alignment horizontal="center" vertical="center"/>
      <protection locked="0"/>
    </xf>
    <xf numFmtId="3" fontId="2" fillId="0" borderId="14" xfId="0" applyNumberFormat="1" applyFont="1" applyFill="1" applyBorder="1" applyAlignment="1">
      <alignment horizontal="center" vertical="center"/>
    </xf>
    <xf numFmtId="9" fontId="2" fillId="0" borderId="13" xfId="0" applyNumberFormat="1" applyFont="1" applyFill="1" applyBorder="1" applyAlignment="1">
      <alignment horizontal="center" vertical="center"/>
    </xf>
    <xf numFmtId="14" fontId="2" fillId="0" borderId="14" xfId="0" applyNumberFormat="1" applyFont="1" applyFill="1" applyBorder="1" applyAlignment="1">
      <alignment horizontal="center" vertical="center"/>
    </xf>
    <xf numFmtId="0" fontId="2" fillId="0" borderId="82" xfId="0" applyFont="1" applyFill="1" applyBorder="1" applyAlignment="1">
      <alignment horizontal="center" vertical="center" wrapText="1"/>
    </xf>
    <xf numFmtId="0" fontId="4" fillId="0" borderId="41" xfId="0" applyFont="1" applyFill="1" applyBorder="1" applyAlignment="1">
      <alignment horizontal="justify" vertical="center" wrapText="1"/>
    </xf>
    <xf numFmtId="0" fontId="2" fillId="0" borderId="41" xfId="0" applyFont="1" applyFill="1" applyBorder="1" applyAlignment="1">
      <alignment horizontal="center" vertical="center"/>
    </xf>
    <xf numFmtId="0" fontId="4" fillId="0" borderId="17" xfId="0" applyFont="1" applyFill="1" applyBorder="1" applyAlignment="1">
      <alignment horizontal="center" vertical="center"/>
    </xf>
    <xf numFmtId="9" fontId="2" fillId="0" borderId="14" xfId="0" applyNumberFormat="1" applyFont="1" applyFill="1" applyBorder="1" applyAlignment="1">
      <alignment horizontal="center" vertical="center"/>
    </xf>
    <xf numFmtId="0" fontId="2" fillId="0" borderId="42" xfId="0" applyFont="1" applyFill="1" applyBorder="1" applyAlignment="1">
      <alignment horizontal="center" vertical="center"/>
    </xf>
    <xf numFmtId="9" fontId="2" fillId="0" borderId="4"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0" fontId="2" fillId="0" borderId="87"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2" xfId="0" applyFont="1" applyFill="1" applyBorder="1" applyAlignment="1">
      <alignment horizontal="center" vertical="center" wrapText="1"/>
    </xf>
    <xf numFmtId="9" fontId="2" fillId="2" borderId="1" xfId="2" applyFont="1" applyFill="1" applyBorder="1" applyAlignment="1">
      <alignment horizontal="center" vertical="center"/>
    </xf>
    <xf numFmtId="187" fontId="26" fillId="2" borderId="0" xfId="0" applyNumberFormat="1" applyFont="1" applyFill="1" applyBorder="1" applyAlignment="1">
      <alignment horizontal="center" vertical="center" readingOrder="1"/>
    </xf>
    <xf numFmtId="0" fontId="2" fillId="2" borderId="1" xfId="5" applyFont="1" applyFill="1" applyBorder="1" applyAlignment="1">
      <alignment horizontal="center" vertical="center" wrapText="1"/>
    </xf>
    <xf numFmtId="3" fontId="2" fillId="2" borderId="1" xfId="0" applyNumberFormat="1" applyFont="1" applyFill="1" applyBorder="1" applyAlignment="1">
      <alignment horizontal="center" vertical="center"/>
    </xf>
    <xf numFmtId="10" fontId="2" fillId="2" borderId="1" xfId="0" applyNumberFormat="1" applyFont="1" applyFill="1" applyBorder="1" applyAlignment="1">
      <alignment horizontal="center" vertical="center"/>
    </xf>
    <xf numFmtId="0" fontId="2" fillId="2" borderId="37" xfId="0" applyFont="1" applyFill="1" applyBorder="1" applyAlignment="1">
      <alignment horizontal="justify" vertical="center" wrapText="1"/>
    </xf>
    <xf numFmtId="0" fontId="4" fillId="2" borderId="1" xfId="5" applyFont="1" applyFill="1" applyBorder="1" applyAlignment="1">
      <alignment horizontal="center" vertical="center" wrapText="1"/>
    </xf>
    <xf numFmtId="4" fontId="2" fillId="2" borderId="1" xfId="0" applyNumberFormat="1" applyFont="1" applyFill="1" applyBorder="1" applyAlignment="1">
      <alignment vertical="center"/>
    </xf>
    <xf numFmtId="0" fontId="4" fillId="2" borderId="20" xfId="0" applyFont="1" applyFill="1" applyBorder="1" applyAlignment="1">
      <alignment horizontal="justify" vertical="center" wrapText="1"/>
    </xf>
    <xf numFmtId="0" fontId="2" fillId="2" borderId="47" xfId="0" applyFont="1" applyFill="1" applyBorder="1" applyAlignment="1">
      <alignment horizontal="justify" vertical="center" wrapText="1"/>
    </xf>
    <xf numFmtId="4" fontId="26" fillId="2" borderId="20" xfId="0" applyNumberFormat="1" applyFont="1" applyFill="1" applyBorder="1" applyAlignment="1">
      <alignment horizontal="justify" vertical="center" wrapText="1" readingOrder="1"/>
    </xf>
    <xf numFmtId="0" fontId="2" fillId="2" borderId="24" xfId="0" applyFont="1" applyFill="1" applyBorder="1" applyAlignment="1">
      <alignment horizontal="justify" vertical="center" wrapText="1"/>
    </xf>
    <xf numFmtId="4" fontId="26" fillId="2" borderId="18" xfId="0" applyNumberFormat="1" applyFont="1" applyFill="1" applyBorder="1" applyAlignment="1">
      <alignment horizontal="justify" vertical="center" wrapText="1" readingOrder="1"/>
    </xf>
    <xf numFmtId="0" fontId="2" fillId="2" borderId="39" xfId="0" applyFont="1" applyFill="1" applyBorder="1" applyAlignment="1">
      <alignment horizontal="center" vertical="center"/>
    </xf>
    <xf numFmtId="0" fontId="2" fillId="2" borderId="46" xfId="0" applyFont="1" applyFill="1" applyBorder="1" applyAlignment="1">
      <alignment horizontal="justify" vertical="center" wrapText="1"/>
    </xf>
    <xf numFmtId="4" fontId="26" fillId="2" borderId="28" xfId="0" applyNumberFormat="1" applyFont="1" applyFill="1" applyBorder="1" applyAlignment="1">
      <alignment horizontal="justify" vertical="center" wrapText="1" readingOrder="1"/>
    </xf>
    <xf numFmtId="0" fontId="4" fillId="15" borderId="1" xfId="0" applyFont="1" applyFill="1" applyBorder="1" applyAlignment="1">
      <alignment horizontal="justify" vertical="center" wrapText="1"/>
    </xf>
    <xf numFmtId="0" fontId="4" fillId="2" borderId="69" xfId="0" applyFont="1" applyFill="1" applyBorder="1" applyAlignment="1">
      <alignment horizontal="center" vertical="center" wrapText="1"/>
    </xf>
    <xf numFmtId="0" fontId="4" fillId="15" borderId="19" xfId="0" applyFont="1" applyFill="1" applyBorder="1" applyAlignment="1">
      <alignment horizontal="justify" vertical="center" wrapText="1"/>
    </xf>
    <xf numFmtId="0" fontId="4" fillId="2" borderId="67" xfId="0" applyFont="1" applyFill="1" applyBorder="1" applyAlignment="1">
      <alignment horizontal="justify" vertical="center" wrapText="1"/>
    </xf>
    <xf numFmtId="0" fontId="4" fillId="2" borderId="45"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8" xfId="0" applyFont="1" applyFill="1" applyBorder="1" applyAlignment="1">
      <alignment horizontal="center" vertical="center" wrapText="1"/>
    </xf>
    <xf numFmtId="187" fontId="26" fillId="2" borderId="60" xfId="0" applyNumberFormat="1" applyFont="1" applyFill="1" applyBorder="1" applyAlignment="1">
      <alignment horizontal="center" vertical="center" readingOrder="1"/>
    </xf>
    <xf numFmtId="0" fontId="4" fillId="15" borderId="35" xfId="0" applyFont="1" applyFill="1" applyBorder="1" applyAlignment="1">
      <alignment horizontal="justify" vertical="center" wrapText="1"/>
    </xf>
    <xf numFmtId="0" fontId="3" fillId="8" borderId="0" xfId="0" applyFont="1" applyFill="1" applyBorder="1" applyAlignment="1">
      <alignment horizontal="left" vertical="center" wrapText="1"/>
    </xf>
    <xf numFmtId="0" fontId="3" fillId="8" borderId="0" xfId="0" applyFont="1" applyFill="1" applyBorder="1" applyAlignment="1">
      <alignment horizontal="left" vertical="center"/>
    </xf>
    <xf numFmtId="0" fontId="3" fillId="8" borderId="0" xfId="0" applyFont="1" applyFill="1" applyBorder="1" applyAlignment="1">
      <alignment horizontal="justify" vertical="center" wrapText="1"/>
    </xf>
    <xf numFmtId="0" fontId="4" fillId="8" borderId="0" xfId="0" applyFont="1" applyFill="1" applyBorder="1" applyAlignment="1">
      <alignment horizontal="center" vertical="center"/>
    </xf>
    <xf numFmtId="1" fontId="3" fillId="8" borderId="0" xfId="0" applyNumberFormat="1" applyFont="1" applyFill="1" applyBorder="1" applyAlignment="1">
      <alignment horizontal="center" vertical="center" wrapText="1"/>
    </xf>
    <xf numFmtId="166" fontId="3" fillId="8" borderId="0" xfId="3" applyFont="1" applyFill="1" applyBorder="1" applyAlignment="1">
      <alignment horizontal="justify" vertical="center" wrapText="1"/>
    </xf>
    <xf numFmtId="166" fontId="3" fillId="8" borderId="0" xfId="3" applyFont="1" applyFill="1" applyBorder="1" applyAlignment="1">
      <alignment horizontal="center" vertical="center"/>
    </xf>
    <xf numFmtId="49" fontId="3" fillId="8" borderId="6" xfId="3" applyNumberFormat="1" applyFont="1" applyFill="1" applyBorder="1" applyAlignment="1">
      <alignment horizontal="center" vertical="center"/>
    </xf>
    <xf numFmtId="166" fontId="4" fillId="8" borderId="6" xfId="3" applyFont="1" applyFill="1" applyBorder="1" applyAlignment="1">
      <alignment horizontal="center" vertical="center" wrapText="1"/>
    </xf>
    <xf numFmtId="10" fontId="3" fillId="8" borderId="6" xfId="3" applyNumberFormat="1" applyFont="1" applyFill="1" applyBorder="1" applyAlignment="1">
      <alignment horizontal="center" vertical="center"/>
    </xf>
    <xf numFmtId="3" fontId="4" fillId="2" borderId="17" xfId="0" applyNumberFormat="1" applyFont="1" applyFill="1" applyBorder="1" applyAlignment="1">
      <alignment horizontal="center" vertical="center" wrapText="1"/>
    </xf>
    <xf numFmtId="166" fontId="4" fillId="2" borderId="17" xfId="1" applyFont="1" applyFill="1" applyBorder="1" applyAlignment="1">
      <alignment horizontal="center" vertical="center" wrapText="1"/>
    </xf>
    <xf numFmtId="166" fontId="4" fillId="2" borderId="17" xfId="1" applyFont="1" applyFill="1" applyBorder="1" applyAlignment="1">
      <alignment horizontal="center" vertical="center"/>
    </xf>
    <xf numFmtId="0" fontId="2" fillId="2" borderId="1" xfId="5" applyFont="1" applyFill="1" applyBorder="1" applyAlignment="1">
      <alignment horizontal="center" vertical="center"/>
    </xf>
    <xf numFmtId="10" fontId="4" fillId="2" borderId="17" xfId="0" applyNumberFormat="1" applyFont="1" applyFill="1" applyBorder="1" applyAlignment="1">
      <alignment horizontal="center" vertical="center"/>
    </xf>
    <xf numFmtId="4" fontId="2" fillId="2" borderId="1" xfId="5" applyNumberFormat="1" applyFont="1" applyFill="1" applyBorder="1" applyAlignment="1">
      <alignment horizontal="center" vertical="center" wrapText="1"/>
    </xf>
    <xf numFmtId="3" fontId="2" fillId="2" borderId="1" xfId="5" applyNumberFormat="1" applyFont="1" applyFill="1" applyBorder="1" applyAlignment="1">
      <alignment horizontal="center" vertical="center" wrapText="1"/>
    </xf>
    <xf numFmtId="0" fontId="4" fillId="2" borderId="23" xfId="0" applyFont="1" applyFill="1" applyBorder="1" applyAlignment="1">
      <alignment horizontal="center" vertical="center"/>
    </xf>
    <xf numFmtId="1" fontId="2" fillId="2" borderId="2" xfId="0" applyNumberFormat="1" applyFont="1" applyFill="1" applyBorder="1" applyAlignment="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4" fillId="15" borderId="17" xfId="0" applyFont="1" applyFill="1" applyBorder="1" applyAlignment="1">
      <alignment horizontal="center" vertical="center" wrapText="1"/>
    </xf>
    <xf numFmtId="0" fontId="4" fillId="15" borderId="25" xfId="0" applyFont="1" applyFill="1" applyBorder="1" applyAlignment="1">
      <alignment horizontal="center" vertical="center" wrapText="1"/>
    </xf>
    <xf numFmtId="166" fontId="4" fillId="2" borderId="21" xfId="1" applyFont="1" applyFill="1" applyBorder="1" applyAlignment="1">
      <alignment horizontal="center" vertical="center" wrapText="1"/>
    </xf>
    <xf numFmtId="3" fontId="2" fillId="2" borderId="1" xfId="1" applyNumberFormat="1" applyFont="1" applyFill="1" applyBorder="1" applyAlignment="1">
      <alignment horizontal="center" vertical="center"/>
    </xf>
    <xf numFmtId="0" fontId="4" fillId="2" borderId="65" xfId="0" applyFont="1" applyFill="1" applyBorder="1" applyAlignment="1">
      <alignment horizontal="center" vertical="center"/>
    </xf>
    <xf numFmtId="3" fontId="4" fillId="2" borderId="65" xfId="0" applyNumberFormat="1" applyFont="1" applyFill="1" applyBorder="1" applyAlignment="1">
      <alignment horizontal="center" vertical="center"/>
    </xf>
    <xf numFmtId="10" fontId="4" fillId="2" borderId="65" xfId="0" applyNumberFormat="1" applyFont="1" applyFill="1" applyBorder="1" applyAlignment="1">
      <alignment horizontal="center" vertical="center"/>
    </xf>
    <xf numFmtId="14" fontId="4" fillId="2" borderId="19" xfId="0" applyNumberFormat="1" applyFont="1" applyFill="1" applyBorder="1" applyAlignment="1">
      <alignment horizontal="center" vertical="center"/>
    </xf>
    <xf numFmtId="166" fontId="4" fillId="2" borderId="24" xfId="1" applyFont="1" applyFill="1" applyBorder="1" applyAlignment="1">
      <alignment horizontal="center" vertical="center" wrapText="1"/>
    </xf>
    <xf numFmtId="0" fontId="4" fillId="2" borderId="37" xfId="0" applyFont="1" applyFill="1" applyBorder="1" applyAlignment="1">
      <alignment horizontal="center" vertical="center"/>
    </xf>
    <xf numFmtId="10" fontId="4" fillId="2" borderId="37" xfId="0" applyNumberFormat="1" applyFont="1" applyFill="1" applyBorder="1" applyAlignment="1">
      <alignment horizontal="center" vertical="center"/>
    </xf>
    <xf numFmtId="3" fontId="2" fillId="2" borderId="1" xfId="1" applyNumberFormat="1" applyFont="1" applyFill="1" applyBorder="1" applyAlignment="1">
      <alignment vertical="center"/>
    </xf>
    <xf numFmtId="166" fontId="4" fillId="2" borderId="29" xfId="1" applyFont="1" applyFill="1" applyBorder="1" applyAlignment="1">
      <alignment horizontal="center" vertical="center" wrapText="1"/>
    </xf>
    <xf numFmtId="0" fontId="4" fillId="2" borderId="66" xfId="0" applyFont="1" applyFill="1" applyBorder="1" applyAlignment="1">
      <alignment horizontal="center" vertical="center"/>
    </xf>
    <xf numFmtId="10" fontId="4" fillId="2" borderId="66"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4" fillId="2" borderId="17" xfId="0" applyFont="1" applyFill="1" applyBorder="1" applyAlignment="1">
      <alignment horizontal="center" vertical="center"/>
    </xf>
    <xf numFmtId="166" fontId="2" fillId="2" borderId="17" xfId="1" applyFont="1" applyFill="1" applyBorder="1" applyAlignment="1">
      <alignment horizontal="center" vertical="center" wrapText="1"/>
    </xf>
    <xf numFmtId="0" fontId="2" fillId="2" borderId="17" xfId="0" applyFont="1" applyFill="1" applyBorder="1" applyAlignment="1">
      <alignment horizontal="center"/>
    </xf>
    <xf numFmtId="166" fontId="2" fillId="2" borderId="17" xfId="0" applyNumberFormat="1" applyFont="1" applyFill="1" applyBorder="1" applyAlignment="1">
      <alignment horizontal="center" vertical="center"/>
    </xf>
    <xf numFmtId="10" fontId="2" fillId="2" borderId="17" xfId="0" applyNumberFormat="1" applyFont="1" applyFill="1" applyBorder="1" applyAlignment="1">
      <alignment horizontal="center" vertical="center"/>
    </xf>
    <xf numFmtId="0" fontId="2" fillId="0" borderId="17" xfId="0" applyFont="1" applyBorder="1"/>
    <xf numFmtId="0" fontId="2" fillId="2" borderId="17" xfId="0" applyFont="1" applyFill="1" applyBorder="1" applyAlignment="1">
      <alignment vertical="center"/>
    </xf>
    <xf numFmtId="0" fontId="2" fillId="2" borderId="17" xfId="0" applyFont="1" applyFill="1" applyBorder="1" applyAlignment="1">
      <alignment horizontal="justify"/>
    </xf>
    <xf numFmtId="0" fontId="2" fillId="2" borderId="17" xfId="0" applyFont="1" applyFill="1" applyBorder="1"/>
    <xf numFmtId="0" fontId="2" fillId="2" borderId="17" xfId="0" applyFont="1" applyFill="1" applyBorder="1" applyAlignment="1">
      <alignment horizontal="justify" vertical="center"/>
    </xf>
    <xf numFmtId="166" fontId="13" fillId="0" borderId="17" xfId="0" applyNumberFormat="1" applyFont="1" applyFill="1" applyBorder="1" applyAlignment="1">
      <alignment horizontal="center" vertical="center"/>
    </xf>
    <xf numFmtId="168" fontId="13" fillId="0" borderId="17" xfId="0" applyNumberFormat="1" applyFont="1" applyFill="1" applyBorder="1" applyAlignment="1">
      <alignment horizontal="center" vertical="center"/>
    </xf>
    <xf numFmtId="0" fontId="2" fillId="0" borderId="17" xfId="0" applyFont="1" applyBorder="1" applyAlignment="1">
      <alignment horizontal="center"/>
    </xf>
    <xf numFmtId="10" fontId="2" fillId="0" borderId="17" xfId="0" applyNumberFormat="1" applyFont="1" applyBorder="1" applyAlignment="1">
      <alignment horizontal="center"/>
    </xf>
    <xf numFmtId="172" fontId="2" fillId="0" borderId="17" xfId="0" applyNumberFormat="1" applyFont="1" applyFill="1" applyBorder="1" applyAlignment="1">
      <alignment horizontal="center" vertical="center"/>
    </xf>
    <xf numFmtId="172" fontId="2" fillId="0" borderId="17" xfId="0" applyNumberFormat="1" applyFont="1" applyBorder="1" applyAlignment="1">
      <alignment horizontal="center"/>
    </xf>
    <xf numFmtId="0" fontId="2" fillId="0" borderId="17" xfId="0" applyFont="1" applyBorder="1" applyAlignment="1">
      <alignment horizontal="justify" vertical="center"/>
    </xf>
    <xf numFmtId="172" fontId="2" fillId="0" borderId="0" xfId="0" applyNumberFormat="1" applyFont="1" applyFill="1" applyAlignment="1">
      <alignment horizontal="center" vertical="center"/>
    </xf>
    <xf numFmtId="0" fontId="13" fillId="0" borderId="0" xfId="0" applyFont="1" applyBorder="1"/>
    <xf numFmtId="1" fontId="13" fillId="0" borderId="0" xfId="0" applyNumberFormat="1" applyFont="1" applyBorder="1"/>
    <xf numFmtId="0" fontId="13" fillId="2" borderId="0" xfId="0" applyFont="1" applyFill="1" applyBorder="1" applyAlignment="1">
      <alignment horizontal="center"/>
    </xf>
    <xf numFmtId="0" fontId="0" fillId="0" borderId="0" xfId="0" applyAlignment="1">
      <alignment horizontal="justify" vertical="center"/>
    </xf>
    <xf numFmtId="9" fontId="11" fillId="2" borderId="0" xfId="2" applyFont="1" applyFill="1" applyAlignment="1">
      <alignment horizontal="center" vertical="center"/>
    </xf>
  </cellXfs>
  <cellStyles count="24">
    <cellStyle name="Excel Built-in Normal 2" xfId="22"/>
    <cellStyle name="KPT04" xfId="4"/>
    <cellStyle name="KPT04 2" xfId="6"/>
    <cellStyle name="Millares" xfId="1" builtinId="3"/>
    <cellStyle name="Millares [0]" xfId="15" builtinId="6"/>
    <cellStyle name="Millares [0] 2" xfId="8"/>
    <cellStyle name="Millares 2" xfId="11"/>
    <cellStyle name="Millares 2 2" xfId="3"/>
    <cellStyle name="Millares 2 2 2" xfId="17"/>
    <cellStyle name="Millares 2 2 2 2" xfId="23"/>
    <cellStyle name="Millares 2 3" xfId="18"/>
    <cellStyle name="Millares 4" xfId="21"/>
    <cellStyle name="Moneda" xfId="16" builtinId="4"/>
    <cellStyle name="Moneda [0] 2" xfId="14"/>
    <cellStyle name="Moneda 2" xfId="13"/>
    <cellStyle name="Moneda 2 2" xfId="20"/>
    <cellStyle name="Normal" xfId="0" builtinId="0"/>
    <cellStyle name="Normal 2" xfId="5"/>
    <cellStyle name="Normal 2 3" xfId="12"/>
    <cellStyle name="Normal 3" xfId="10"/>
    <cellStyle name="Normal 7" xfId="19"/>
    <cellStyle name="Porcentaje" xfId="2" builtinId="5"/>
    <cellStyle name="Porcentaje 2 2" xfId="7"/>
    <cellStyle name="Porcentaje 2 2 2" xfId="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20/SGTO%20PDD%20SEP%202020/UNIDADES%20EJECUTORAS/SGTO%20IDTQ%20SEP%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A/Dropbox/SEGUIMIENTO%20PLAN%20DE%20ACCION%202020/SGto%20PROMOTORA%20SEPTIEMBBRE%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NIDADES%20EJECUTORAS/SGTO%20PROMOTORA%20SEP%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47"/>
      <sheetName val="Plan de Acción F-PLA-06"/>
      <sheetName val="Seguimiento P.A F-PLA 07."/>
      <sheetName val="Inversión Mpios -PLA 39"/>
      <sheetName val="Gestión Recursos F-PLA 40"/>
    </sheetNames>
    <sheetDataSet>
      <sheetData sheetId="0">
        <row r="16">
          <cell r="S16">
            <v>25052000</v>
          </cell>
          <cell r="T16">
            <v>11052000</v>
          </cell>
        </row>
        <row r="17">
          <cell r="S17">
            <v>4590000</v>
          </cell>
          <cell r="T17">
            <v>1530000</v>
          </cell>
        </row>
        <row r="18">
          <cell r="S18">
            <v>12000000</v>
          </cell>
          <cell r="T18">
            <v>12000000</v>
          </cell>
        </row>
        <row r="19">
          <cell r="S19">
            <v>8364000</v>
          </cell>
          <cell r="T19">
            <v>1530000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ARMONIZADO"/>
      <sheetName val="MP PROMOTORA"/>
      <sheetName val="SGTO PLAN ACCION PROMOTORA"/>
    </sheetNames>
    <sheetDataSet>
      <sheetData sheetId="0"/>
      <sheetData sheetId="1"/>
      <sheetData sheetId="2">
        <row r="12">
          <cell r="U12">
            <v>186429333.33000001</v>
          </cell>
          <cell r="V12">
            <v>152169666.66999999</v>
          </cell>
        </row>
        <row r="14">
          <cell r="V14">
            <v>252169666.66999999</v>
          </cell>
        </row>
        <row r="15">
          <cell r="U15">
            <v>54951375</v>
          </cell>
          <cell r="V15">
            <v>42722700</v>
          </cell>
        </row>
        <row r="18">
          <cell r="U18">
            <v>218280000</v>
          </cell>
          <cell r="V18">
            <v>102692322.03</v>
          </cell>
        </row>
        <row r="20">
          <cell r="U20">
            <v>50451375</v>
          </cell>
          <cell r="V20">
            <v>38992625</v>
          </cell>
        </row>
        <row r="21">
          <cell r="U21">
            <v>20743404</v>
          </cell>
          <cell r="V21">
            <v>16873479</v>
          </cell>
        </row>
        <row r="22">
          <cell r="V22">
            <v>152169666.66999999</v>
          </cell>
        </row>
        <row r="23">
          <cell r="U23">
            <v>0</v>
          </cell>
          <cell r="V23">
            <v>0</v>
          </cell>
        </row>
        <row r="26">
          <cell r="U26">
            <v>114951375</v>
          </cell>
          <cell r="V26">
            <v>102722700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47"/>
      <sheetName val="Plan de Acción F-PLA-06"/>
      <sheetName val="Seguimiento P.A F-PLA 07."/>
      <sheetName val="Inversión Mpios -PLA 39"/>
      <sheetName val="Gestión Recursos F-PLA 40"/>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G27"/>
  <sheetViews>
    <sheetView showGridLines="0" tabSelected="1" zoomScale="50" zoomScaleNormal="50" workbookViewId="0">
      <selection sqref="A1:BN4"/>
    </sheetView>
  </sheetViews>
  <sheetFormatPr baseColWidth="10" defaultColWidth="11.42578125" defaultRowHeight="14.25" x14ac:dyDescent="0.2"/>
  <cols>
    <col min="1" max="1" width="13.85546875" style="691" customWidth="1"/>
    <col min="2" max="2" width="4" style="630" customWidth="1"/>
    <col min="3" max="3" width="17.5703125" style="630" customWidth="1"/>
    <col min="4" max="4" width="15.5703125" style="630" customWidth="1"/>
    <col min="5" max="5" width="11.28515625" style="630" customWidth="1"/>
    <col min="6" max="6" width="9.28515625" style="630" customWidth="1"/>
    <col min="7" max="7" width="13" style="630" customWidth="1"/>
    <col min="8" max="8" width="17.28515625" style="630" customWidth="1"/>
    <col min="9" max="9" width="35" style="692" customWidth="1"/>
    <col min="10" max="10" width="37.28515625" style="15" customWidth="1"/>
    <col min="11" max="11" width="14.85546875" style="15" customWidth="1"/>
    <col min="12" max="12" width="15.7109375" style="15" customWidth="1"/>
    <col min="13" max="13" width="29.7109375" style="15" customWidth="1"/>
    <col min="14" max="14" width="22.140625" style="693" customWidth="1"/>
    <col min="15" max="15" width="37.140625" style="165" customWidth="1"/>
    <col min="16" max="16" width="14.42578125" style="694" customWidth="1"/>
    <col min="17" max="17" width="25" style="695" customWidth="1"/>
    <col min="18" max="18" width="45.28515625" style="692" customWidth="1"/>
    <col min="19" max="19" width="62.28515625" style="692" customWidth="1"/>
    <col min="20" max="20" width="68.42578125" style="692" customWidth="1"/>
    <col min="21" max="21" width="33.140625" style="702" customWidth="1"/>
    <col min="22" max="22" width="29" style="702" customWidth="1"/>
    <col min="23" max="23" width="30.5703125" style="702" customWidth="1"/>
    <col min="24" max="24" width="14.140625" style="696" customWidth="1"/>
    <col min="25" max="25" width="31.140625" style="697" customWidth="1"/>
    <col min="26" max="31" width="11.42578125" style="630"/>
    <col min="32" max="33" width="14" style="630" customWidth="1"/>
    <col min="34" max="35" width="13.5703125" style="630" customWidth="1"/>
    <col min="36" max="37" width="13.140625" style="630" customWidth="1"/>
    <col min="38" max="57" width="11.42578125" style="630"/>
    <col min="58" max="58" width="19.85546875" style="630" customWidth="1"/>
    <col min="59" max="59" width="25.7109375" style="630" customWidth="1"/>
    <col min="60" max="60" width="25.5703125" style="630" customWidth="1"/>
    <col min="61" max="61" width="16.5703125" style="630" customWidth="1"/>
    <col min="62" max="62" width="17.42578125" style="630" customWidth="1"/>
    <col min="63" max="63" width="31.140625" style="630" customWidth="1"/>
    <col min="64" max="65" width="16.140625" style="698" customWidth="1"/>
    <col min="66" max="67" width="21.7109375" style="699" customWidth="1"/>
    <col min="68" max="68" width="31.7109375" style="700" customWidth="1"/>
    <col min="69" max="69" width="9.140625" style="630" customWidth="1"/>
    <col min="70" max="16384" width="11.42578125" style="630"/>
  </cols>
  <sheetData>
    <row r="1" spans="1:85" ht="15" customHeight="1" x14ac:dyDescent="0.2">
      <c r="A1" s="2241" t="s">
        <v>578</v>
      </c>
      <c r="B1" s="2242"/>
      <c r="C1" s="2242"/>
      <c r="D1" s="2242"/>
      <c r="E1" s="2242"/>
      <c r="F1" s="2242"/>
      <c r="G1" s="2242"/>
      <c r="H1" s="2242"/>
      <c r="I1" s="2242"/>
      <c r="J1" s="2242"/>
      <c r="K1" s="2242"/>
      <c r="L1" s="2242"/>
      <c r="M1" s="2242"/>
      <c r="N1" s="2242"/>
      <c r="O1" s="2242"/>
      <c r="P1" s="2242"/>
      <c r="Q1" s="2242"/>
      <c r="R1" s="2242"/>
      <c r="S1" s="2242"/>
      <c r="T1" s="2242"/>
      <c r="U1" s="2242"/>
      <c r="V1" s="2242"/>
      <c r="W1" s="2242"/>
      <c r="X1" s="2242"/>
      <c r="Y1" s="2242"/>
      <c r="Z1" s="2242"/>
      <c r="AA1" s="2242"/>
      <c r="AB1" s="2242"/>
      <c r="AC1" s="2242"/>
      <c r="AD1" s="2242"/>
      <c r="AE1" s="2242"/>
      <c r="AF1" s="2242"/>
      <c r="AG1" s="2242"/>
      <c r="AH1" s="2242"/>
      <c r="AI1" s="2242"/>
      <c r="AJ1" s="2242"/>
      <c r="AK1" s="2242"/>
      <c r="AL1" s="2242"/>
      <c r="AM1" s="2242"/>
      <c r="AN1" s="2242"/>
      <c r="AO1" s="2242"/>
      <c r="AP1" s="2242"/>
      <c r="AQ1" s="2242"/>
      <c r="AR1" s="2242"/>
      <c r="AS1" s="2242"/>
      <c r="AT1" s="2242"/>
      <c r="AU1" s="2242"/>
      <c r="AV1" s="2242"/>
      <c r="AW1" s="2242"/>
      <c r="AX1" s="2242"/>
      <c r="AY1" s="2242"/>
      <c r="AZ1" s="2242"/>
      <c r="BA1" s="2242"/>
      <c r="BB1" s="2242"/>
      <c r="BC1" s="2242"/>
      <c r="BD1" s="2242"/>
      <c r="BE1" s="2242"/>
      <c r="BF1" s="2242"/>
      <c r="BG1" s="2242"/>
      <c r="BH1" s="2242"/>
      <c r="BI1" s="2242"/>
      <c r="BJ1" s="2242"/>
      <c r="BK1" s="2242"/>
      <c r="BL1" s="2242"/>
      <c r="BM1" s="2242"/>
      <c r="BN1" s="2243"/>
      <c r="BO1" s="628" t="s">
        <v>29</v>
      </c>
      <c r="BP1" s="629" t="s">
        <v>336</v>
      </c>
      <c r="BR1" s="15"/>
      <c r="BS1" s="15"/>
      <c r="BT1" s="15"/>
      <c r="BU1" s="15"/>
      <c r="BV1" s="15"/>
      <c r="BW1" s="15"/>
      <c r="BX1" s="15"/>
      <c r="BY1" s="15"/>
      <c r="BZ1" s="15"/>
      <c r="CA1" s="15"/>
      <c r="CB1" s="15"/>
      <c r="CC1" s="15"/>
      <c r="CD1" s="15"/>
      <c r="CE1" s="15"/>
      <c r="CF1" s="15"/>
      <c r="CG1" s="15"/>
    </row>
    <row r="2" spans="1:85" ht="15" customHeight="1" x14ac:dyDescent="0.2">
      <c r="A2" s="2244"/>
      <c r="B2" s="2245"/>
      <c r="C2" s="2245"/>
      <c r="D2" s="2245"/>
      <c r="E2" s="2245"/>
      <c r="F2" s="2245"/>
      <c r="G2" s="2245"/>
      <c r="H2" s="2245"/>
      <c r="I2" s="2245"/>
      <c r="J2" s="2245"/>
      <c r="K2" s="2245"/>
      <c r="L2" s="2245"/>
      <c r="M2" s="2245"/>
      <c r="N2" s="2245"/>
      <c r="O2" s="2245"/>
      <c r="P2" s="2245"/>
      <c r="Q2" s="2245"/>
      <c r="R2" s="2245"/>
      <c r="S2" s="2245"/>
      <c r="T2" s="2245"/>
      <c r="U2" s="2245"/>
      <c r="V2" s="2245"/>
      <c r="W2" s="2245"/>
      <c r="X2" s="2245"/>
      <c r="Y2" s="2245"/>
      <c r="Z2" s="2245"/>
      <c r="AA2" s="2245"/>
      <c r="AB2" s="2245"/>
      <c r="AC2" s="2245"/>
      <c r="AD2" s="2245"/>
      <c r="AE2" s="2245"/>
      <c r="AF2" s="2245"/>
      <c r="AG2" s="2245"/>
      <c r="AH2" s="2245"/>
      <c r="AI2" s="2245"/>
      <c r="AJ2" s="2245"/>
      <c r="AK2" s="2245"/>
      <c r="AL2" s="2245"/>
      <c r="AM2" s="2245"/>
      <c r="AN2" s="2245"/>
      <c r="AO2" s="2245"/>
      <c r="AP2" s="2245"/>
      <c r="AQ2" s="2245"/>
      <c r="AR2" s="2245"/>
      <c r="AS2" s="2245"/>
      <c r="AT2" s="2245"/>
      <c r="AU2" s="2245"/>
      <c r="AV2" s="2245"/>
      <c r="AW2" s="2245"/>
      <c r="AX2" s="2245"/>
      <c r="AY2" s="2245"/>
      <c r="AZ2" s="2245"/>
      <c r="BA2" s="2245"/>
      <c r="BB2" s="2245"/>
      <c r="BC2" s="2245"/>
      <c r="BD2" s="2245"/>
      <c r="BE2" s="2245"/>
      <c r="BF2" s="2245"/>
      <c r="BG2" s="2245"/>
      <c r="BH2" s="2245"/>
      <c r="BI2" s="2245"/>
      <c r="BJ2" s="2245"/>
      <c r="BK2" s="2245"/>
      <c r="BL2" s="2245"/>
      <c r="BM2" s="2245"/>
      <c r="BN2" s="2246"/>
      <c r="BO2" s="631" t="s">
        <v>30</v>
      </c>
      <c r="BP2" s="632">
        <v>6</v>
      </c>
      <c r="BR2" s="15"/>
      <c r="BS2" s="15"/>
      <c r="BT2" s="15"/>
      <c r="BU2" s="15"/>
      <c r="BV2" s="15"/>
      <c r="BW2" s="15"/>
      <c r="BX2" s="15"/>
      <c r="BY2" s="15"/>
      <c r="BZ2" s="15"/>
      <c r="CA2" s="15"/>
      <c r="CB2" s="15"/>
      <c r="CC2" s="15"/>
      <c r="CD2" s="15"/>
      <c r="CE2" s="15"/>
      <c r="CF2" s="15"/>
      <c r="CG2" s="15"/>
    </row>
    <row r="3" spans="1:85" ht="15" customHeight="1" x14ac:dyDescent="0.2">
      <c r="A3" s="2244"/>
      <c r="B3" s="2245"/>
      <c r="C3" s="2245"/>
      <c r="D3" s="2245"/>
      <c r="E3" s="2245"/>
      <c r="F3" s="2245"/>
      <c r="G3" s="2245"/>
      <c r="H3" s="2245"/>
      <c r="I3" s="2245"/>
      <c r="J3" s="2245"/>
      <c r="K3" s="2245"/>
      <c r="L3" s="2245"/>
      <c r="M3" s="2245"/>
      <c r="N3" s="2245"/>
      <c r="O3" s="2245"/>
      <c r="P3" s="2245"/>
      <c r="Q3" s="2245"/>
      <c r="R3" s="2245"/>
      <c r="S3" s="2245"/>
      <c r="T3" s="2245"/>
      <c r="U3" s="2245"/>
      <c r="V3" s="2245"/>
      <c r="W3" s="2245"/>
      <c r="X3" s="2245"/>
      <c r="Y3" s="2245"/>
      <c r="Z3" s="2245"/>
      <c r="AA3" s="2245"/>
      <c r="AB3" s="2245"/>
      <c r="AC3" s="2245"/>
      <c r="AD3" s="2245"/>
      <c r="AE3" s="2245"/>
      <c r="AF3" s="2245"/>
      <c r="AG3" s="2245"/>
      <c r="AH3" s="2245"/>
      <c r="AI3" s="2245"/>
      <c r="AJ3" s="2245"/>
      <c r="AK3" s="2245"/>
      <c r="AL3" s="2245"/>
      <c r="AM3" s="2245"/>
      <c r="AN3" s="2245"/>
      <c r="AO3" s="2245"/>
      <c r="AP3" s="2245"/>
      <c r="AQ3" s="2245"/>
      <c r="AR3" s="2245"/>
      <c r="AS3" s="2245"/>
      <c r="AT3" s="2245"/>
      <c r="AU3" s="2245"/>
      <c r="AV3" s="2245"/>
      <c r="AW3" s="2245"/>
      <c r="AX3" s="2245"/>
      <c r="AY3" s="2245"/>
      <c r="AZ3" s="2245"/>
      <c r="BA3" s="2245"/>
      <c r="BB3" s="2245"/>
      <c r="BC3" s="2245"/>
      <c r="BD3" s="2245"/>
      <c r="BE3" s="2245"/>
      <c r="BF3" s="2245"/>
      <c r="BG3" s="2245"/>
      <c r="BH3" s="2245"/>
      <c r="BI3" s="2245"/>
      <c r="BJ3" s="2245"/>
      <c r="BK3" s="2245"/>
      <c r="BL3" s="2245"/>
      <c r="BM3" s="2245"/>
      <c r="BN3" s="2246"/>
      <c r="BO3" s="631" t="s">
        <v>32</v>
      </c>
      <c r="BP3" s="633" t="s">
        <v>33</v>
      </c>
      <c r="BR3" s="15"/>
      <c r="BS3" s="15"/>
      <c r="BT3" s="15"/>
      <c r="BU3" s="15"/>
      <c r="BV3" s="15"/>
      <c r="BW3" s="15"/>
      <c r="BX3" s="15"/>
      <c r="BY3" s="15"/>
      <c r="BZ3" s="15"/>
      <c r="CA3" s="15"/>
      <c r="CB3" s="15"/>
      <c r="CC3" s="15"/>
      <c r="CD3" s="15"/>
      <c r="CE3" s="15"/>
      <c r="CF3" s="15"/>
      <c r="CG3" s="15"/>
    </row>
    <row r="4" spans="1:85" ht="15" customHeight="1" x14ac:dyDescent="0.2">
      <c r="A4" s="2247"/>
      <c r="B4" s="2248"/>
      <c r="C4" s="2248"/>
      <c r="D4" s="2248"/>
      <c r="E4" s="2248"/>
      <c r="F4" s="2248"/>
      <c r="G4" s="2248"/>
      <c r="H4" s="2248"/>
      <c r="I4" s="2248"/>
      <c r="J4" s="2248"/>
      <c r="K4" s="2248"/>
      <c r="L4" s="2248"/>
      <c r="M4" s="2248"/>
      <c r="N4" s="2248"/>
      <c r="O4" s="2248"/>
      <c r="P4" s="2248"/>
      <c r="Q4" s="2248"/>
      <c r="R4" s="2248"/>
      <c r="S4" s="2248"/>
      <c r="T4" s="2248"/>
      <c r="U4" s="2248"/>
      <c r="V4" s="2248"/>
      <c r="W4" s="2248"/>
      <c r="X4" s="2248"/>
      <c r="Y4" s="2248"/>
      <c r="Z4" s="2248"/>
      <c r="AA4" s="2248"/>
      <c r="AB4" s="2248"/>
      <c r="AC4" s="2248"/>
      <c r="AD4" s="2248"/>
      <c r="AE4" s="2248"/>
      <c r="AF4" s="2248"/>
      <c r="AG4" s="2248"/>
      <c r="AH4" s="2248"/>
      <c r="AI4" s="2248"/>
      <c r="AJ4" s="2248"/>
      <c r="AK4" s="2248"/>
      <c r="AL4" s="2248"/>
      <c r="AM4" s="2248"/>
      <c r="AN4" s="2248"/>
      <c r="AO4" s="2248"/>
      <c r="AP4" s="2248"/>
      <c r="AQ4" s="2248"/>
      <c r="AR4" s="2248"/>
      <c r="AS4" s="2248"/>
      <c r="AT4" s="2248"/>
      <c r="AU4" s="2248"/>
      <c r="AV4" s="2248"/>
      <c r="AW4" s="2248"/>
      <c r="AX4" s="2248"/>
      <c r="AY4" s="2248"/>
      <c r="AZ4" s="2248"/>
      <c r="BA4" s="2248"/>
      <c r="BB4" s="2248"/>
      <c r="BC4" s="2248"/>
      <c r="BD4" s="2248"/>
      <c r="BE4" s="2248"/>
      <c r="BF4" s="2248"/>
      <c r="BG4" s="2248"/>
      <c r="BH4" s="2248"/>
      <c r="BI4" s="2248"/>
      <c r="BJ4" s="2248"/>
      <c r="BK4" s="2248"/>
      <c r="BL4" s="2248"/>
      <c r="BM4" s="2248"/>
      <c r="BN4" s="2249"/>
      <c r="BO4" s="631" t="s">
        <v>34</v>
      </c>
      <c r="BP4" s="634" t="s">
        <v>339</v>
      </c>
      <c r="BR4" s="15"/>
      <c r="BS4" s="15"/>
      <c r="BT4" s="15"/>
      <c r="BU4" s="15"/>
      <c r="BV4" s="15"/>
      <c r="BW4" s="15"/>
      <c r="BX4" s="15"/>
      <c r="BY4" s="15"/>
      <c r="BZ4" s="15"/>
      <c r="CA4" s="15"/>
      <c r="CB4" s="15"/>
      <c r="CC4" s="15"/>
      <c r="CD4" s="15"/>
      <c r="CE4" s="15"/>
      <c r="CF4" s="15"/>
      <c r="CG4" s="15"/>
    </row>
    <row r="5" spans="1:85" ht="15.75" x14ac:dyDescent="0.2">
      <c r="A5" s="2250" t="s">
        <v>340</v>
      </c>
      <c r="B5" s="2251"/>
      <c r="C5" s="2251"/>
      <c r="D5" s="2251"/>
      <c r="E5" s="2251"/>
      <c r="F5" s="2251"/>
      <c r="G5" s="2251"/>
      <c r="H5" s="2251"/>
      <c r="I5" s="2251"/>
      <c r="J5" s="2251"/>
      <c r="K5" s="2251"/>
      <c r="L5" s="2251"/>
      <c r="M5" s="574"/>
      <c r="N5" s="2254" t="s">
        <v>37</v>
      </c>
      <c r="O5" s="2255"/>
      <c r="P5" s="2255"/>
      <c r="Q5" s="2255"/>
      <c r="R5" s="2255"/>
      <c r="S5" s="2255"/>
      <c r="T5" s="2255"/>
      <c r="U5" s="2255"/>
      <c r="V5" s="2255"/>
      <c r="W5" s="2255"/>
      <c r="X5" s="2255"/>
      <c r="Y5" s="2255"/>
      <c r="Z5" s="2255"/>
      <c r="AA5" s="2255"/>
      <c r="AB5" s="2255"/>
      <c r="AC5" s="2255"/>
      <c r="AD5" s="2255"/>
      <c r="AE5" s="2255"/>
      <c r="AF5" s="2255"/>
      <c r="AG5" s="2255"/>
      <c r="AH5" s="2255"/>
      <c r="AI5" s="2255"/>
      <c r="AJ5" s="2255"/>
      <c r="AK5" s="2255"/>
      <c r="AL5" s="2255"/>
      <c r="AM5" s="2255"/>
      <c r="AN5" s="2255"/>
      <c r="AO5" s="2255"/>
      <c r="AP5" s="2255"/>
      <c r="AQ5" s="2255"/>
      <c r="AR5" s="2255"/>
      <c r="AS5" s="2255"/>
      <c r="AT5" s="2255"/>
      <c r="AU5" s="2255"/>
      <c r="AV5" s="2255"/>
      <c r="AW5" s="2255"/>
      <c r="AX5" s="2255"/>
      <c r="AY5" s="2255"/>
      <c r="AZ5" s="2255"/>
      <c r="BA5" s="2255"/>
      <c r="BB5" s="2255"/>
      <c r="BC5" s="2255"/>
      <c r="BD5" s="2255"/>
      <c r="BE5" s="2255"/>
      <c r="BF5" s="2255"/>
      <c r="BG5" s="2255"/>
      <c r="BH5" s="2255"/>
      <c r="BI5" s="2255"/>
      <c r="BJ5" s="2255"/>
      <c r="BK5" s="2255"/>
      <c r="BL5" s="2255"/>
      <c r="BM5" s="2255"/>
      <c r="BN5" s="2255"/>
      <c r="BO5" s="2255"/>
      <c r="BP5" s="2256"/>
      <c r="BQ5" s="261"/>
      <c r="BR5" s="15"/>
      <c r="BS5" s="15"/>
      <c r="BT5" s="15"/>
      <c r="BU5" s="15"/>
      <c r="BV5" s="15"/>
      <c r="BW5" s="15"/>
      <c r="BX5" s="15"/>
      <c r="BY5" s="15"/>
      <c r="BZ5" s="15"/>
      <c r="CA5" s="15"/>
      <c r="CB5" s="15"/>
      <c r="CC5" s="15"/>
      <c r="CD5" s="15"/>
      <c r="CE5" s="15"/>
      <c r="CF5" s="15"/>
      <c r="CG5" s="15"/>
    </row>
    <row r="6" spans="1:85" ht="16.5" thickBot="1" x14ac:dyDescent="0.25">
      <c r="A6" s="2252"/>
      <c r="B6" s="2253"/>
      <c r="C6" s="2253"/>
      <c r="D6" s="2253"/>
      <c r="E6" s="2253"/>
      <c r="F6" s="2253"/>
      <c r="G6" s="2253"/>
      <c r="H6" s="2253"/>
      <c r="I6" s="2253"/>
      <c r="J6" s="2253"/>
      <c r="K6" s="2253"/>
      <c r="L6" s="2253"/>
      <c r="M6" s="576"/>
      <c r="N6" s="573"/>
      <c r="O6" s="635"/>
      <c r="P6" s="636"/>
      <c r="Q6" s="576"/>
      <c r="R6" s="637"/>
      <c r="S6" s="576"/>
      <c r="T6" s="576"/>
      <c r="U6" s="576"/>
      <c r="V6" s="576"/>
      <c r="W6" s="576"/>
      <c r="X6" s="576"/>
      <c r="Y6" s="576"/>
      <c r="Z6" s="576"/>
      <c r="AA6" s="2254" t="s">
        <v>38</v>
      </c>
      <c r="AB6" s="2255"/>
      <c r="AC6" s="2255"/>
      <c r="AD6" s="2255"/>
      <c r="AE6" s="2255"/>
      <c r="AF6" s="2255"/>
      <c r="AG6" s="2255"/>
      <c r="AH6" s="2255"/>
      <c r="AI6" s="2255"/>
      <c r="AJ6" s="2255"/>
      <c r="AK6" s="2255"/>
      <c r="AL6" s="2255"/>
      <c r="AM6" s="2255"/>
      <c r="AN6" s="2255"/>
      <c r="AO6" s="2255"/>
      <c r="AP6" s="2255"/>
      <c r="AQ6" s="2255"/>
      <c r="AR6" s="2255"/>
      <c r="AS6" s="2255"/>
      <c r="AT6" s="2255"/>
      <c r="AU6" s="2255"/>
      <c r="AV6" s="2255"/>
      <c r="AW6" s="2255"/>
      <c r="AX6" s="2255"/>
      <c r="AY6" s="2255"/>
      <c r="AZ6" s="2255"/>
      <c r="BA6" s="2255"/>
      <c r="BB6" s="2255"/>
      <c r="BC6" s="2255"/>
      <c r="BD6" s="576"/>
      <c r="BE6" s="638"/>
      <c r="BF6" s="638"/>
      <c r="BG6" s="638"/>
      <c r="BH6" s="638"/>
      <c r="BI6" s="638"/>
      <c r="BJ6" s="638"/>
      <c r="BK6" s="638"/>
      <c r="BL6" s="638"/>
      <c r="BM6" s="639"/>
      <c r="BN6" s="639"/>
      <c r="BO6" s="639"/>
      <c r="BP6" s="640"/>
      <c r="BQ6" s="641"/>
      <c r="BR6" s="15"/>
      <c r="BS6" s="15"/>
      <c r="BT6" s="15"/>
      <c r="BU6" s="15"/>
      <c r="BV6" s="15"/>
      <c r="BW6" s="15"/>
      <c r="BX6" s="15"/>
      <c r="BY6" s="15"/>
      <c r="BZ6" s="15"/>
      <c r="CA6" s="15"/>
      <c r="CB6" s="15"/>
      <c r="CC6" s="15"/>
      <c r="CD6" s="15"/>
      <c r="CE6" s="15"/>
      <c r="CF6" s="15"/>
      <c r="CG6" s="15"/>
    </row>
    <row r="7" spans="1:85" s="142" customFormat="1" ht="15.75" x14ac:dyDescent="0.2">
      <c r="A7" s="2257" t="s">
        <v>39</v>
      </c>
      <c r="B7" s="2259" t="s">
        <v>40</v>
      </c>
      <c r="C7" s="2260"/>
      <c r="D7" s="2260" t="s">
        <v>39</v>
      </c>
      <c r="E7" s="2259" t="s">
        <v>41</v>
      </c>
      <c r="F7" s="2260"/>
      <c r="G7" s="2260" t="s">
        <v>39</v>
      </c>
      <c r="H7" s="2239" t="s">
        <v>579</v>
      </c>
      <c r="I7" s="2259" t="s">
        <v>43</v>
      </c>
      <c r="J7" s="2239" t="s">
        <v>44</v>
      </c>
      <c r="K7" s="2303" t="s">
        <v>45</v>
      </c>
      <c r="L7" s="2303"/>
      <c r="M7" s="2239" t="s">
        <v>46</v>
      </c>
      <c r="N7" s="2239" t="s">
        <v>47</v>
      </c>
      <c r="O7" s="2239" t="s">
        <v>37</v>
      </c>
      <c r="P7" s="2285" t="s">
        <v>48</v>
      </c>
      <c r="Q7" s="2287" t="s">
        <v>49</v>
      </c>
      <c r="R7" s="2259" t="s">
        <v>50</v>
      </c>
      <c r="S7" s="2259" t="s">
        <v>51</v>
      </c>
      <c r="T7" s="2239" t="s">
        <v>52</v>
      </c>
      <c r="U7" s="2289" t="s">
        <v>49</v>
      </c>
      <c r="V7" s="2289"/>
      <c r="W7" s="2289"/>
      <c r="X7" s="2271" t="s">
        <v>39</v>
      </c>
      <c r="Y7" s="2239" t="s">
        <v>53</v>
      </c>
      <c r="Z7" s="2274" t="s">
        <v>580</v>
      </c>
      <c r="AA7" s="2275"/>
      <c r="AB7" s="2275"/>
      <c r="AC7" s="2276"/>
      <c r="AD7" s="2277" t="s">
        <v>55</v>
      </c>
      <c r="AE7" s="2278"/>
      <c r="AF7" s="2278"/>
      <c r="AG7" s="2278"/>
      <c r="AH7" s="2278"/>
      <c r="AI7" s="2278"/>
      <c r="AJ7" s="2278"/>
      <c r="AK7" s="2279"/>
      <c r="AL7" s="2280" t="s">
        <v>56</v>
      </c>
      <c r="AM7" s="2280"/>
      <c r="AN7" s="2280"/>
      <c r="AO7" s="2280"/>
      <c r="AP7" s="2280"/>
      <c r="AQ7" s="2280"/>
      <c r="AR7" s="2280"/>
      <c r="AS7" s="2280"/>
      <c r="AT7" s="2280"/>
      <c r="AU7" s="2280"/>
      <c r="AV7" s="2280"/>
      <c r="AW7" s="2280"/>
      <c r="AX7" s="2277" t="s">
        <v>57</v>
      </c>
      <c r="AY7" s="2278"/>
      <c r="AZ7" s="2278"/>
      <c r="BA7" s="2278"/>
      <c r="BB7" s="2278"/>
      <c r="BC7" s="2279"/>
      <c r="BD7" s="2299" t="s">
        <v>58</v>
      </c>
      <c r="BE7" s="2299"/>
      <c r="BF7" s="2300" t="s">
        <v>335</v>
      </c>
      <c r="BG7" s="2301"/>
      <c r="BH7" s="2301"/>
      <c r="BI7" s="2301"/>
      <c r="BJ7" s="2301"/>
      <c r="BK7" s="2302"/>
      <c r="BL7" s="2264" t="s">
        <v>59</v>
      </c>
      <c r="BM7" s="2265"/>
      <c r="BN7" s="2264" t="s">
        <v>60</v>
      </c>
      <c r="BO7" s="2265"/>
      <c r="BP7" s="2268" t="s">
        <v>61</v>
      </c>
      <c r="BQ7" s="144"/>
      <c r="BR7" s="144"/>
      <c r="BS7" s="144"/>
      <c r="BT7" s="144"/>
      <c r="BU7" s="144"/>
      <c r="BV7" s="144"/>
      <c r="BW7" s="144"/>
      <c r="BX7" s="144"/>
      <c r="BY7" s="144"/>
      <c r="BZ7" s="144"/>
      <c r="CA7" s="144"/>
      <c r="CB7" s="144"/>
      <c r="CC7" s="144"/>
      <c r="CD7" s="144"/>
      <c r="CE7" s="144"/>
      <c r="CF7" s="144"/>
      <c r="CG7" s="144"/>
    </row>
    <row r="8" spans="1:85" s="142" customFormat="1" ht="98.25" customHeight="1" x14ac:dyDescent="0.2">
      <c r="A8" s="2258"/>
      <c r="B8" s="2261"/>
      <c r="C8" s="2262"/>
      <c r="D8" s="2262"/>
      <c r="E8" s="2261"/>
      <c r="F8" s="2262"/>
      <c r="G8" s="2262"/>
      <c r="H8" s="2240"/>
      <c r="I8" s="2261"/>
      <c r="J8" s="2240"/>
      <c r="K8" s="2239" t="s">
        <v>158</v>
      </c>
      <c r="L8" s="2239" t="s">
        <v>159</v>
      </c>
      <c r="M8" s="2240"/>
      <c r="N8" s="2240"/>
      <c r="O8" s="2240"/>
      <c r="P8" s="2286"/>
      <c r="Q8" s="2288"/>
      <c r="R8" s="2261"/>
      <c r="S8" s="2261"/>
      <c r="T8" s="2240"/>
      <c r="U8" s="2269" t="s">
        <v>581</v>
      </c>
      <c r="V8" s="2269" t="s">
        <v>150</v>
      </c>
      <c r="W8" s="2269" t="s">
        <v>582</v>
      </c>
      <c r="X8" s="2272"/>
      <c r="Y8" s="2240"/>
      <c r="Z8" s="2281" t="s">
        <v>63</v>
      </c>
      <c r="AA8" s="2282"/>
      <c r="AB8" s="2281" t="s">
        <v>64</v>
      </c>
      <c r="AC8" s="2282"/>
      <c r="AD8" s="2283" t="s">
        <v>65</v>
      </c>
      <c r="AE8" s="2284"/>
      <c r="AF8" s="2283" t="s">
        <v>66</v>
      </c>
      <c r="AG8" s="2284"/>
      <c r="AH8" s="2283" t="s">
        <v>331</v>
      </c>
      <c r="AI8" s="2284"/>
      <c r="AJ8" s="2283" t="s">
        <v>68</v>
      </c>
      <c r="AK8" s="2284"/>
      <c r="AL8" s="2298" t="s">
        <v>69</v>
      </c>
      <c r="AM8" s="2298"/>
      <c r="AN8" s="2298" t="s">
        <v>70</v>
      </c>
      <c r="AO8" s="2298"/>
      <c r="AP8" s="2298" t="s">
        <v>71</v>
      </c>
      <c r="AQ8" s="2298"/>
      <c r="AR8" s="2298" t="s">
        <v>72</v>
      </c>
      <c r="AS8" s="2298"/>
      <c r="AT8" s="2298" t="s">
        <v>73</v>
      </c>
      <c r="AU8" s="2298"/>
      <c r="AV8" s="2298" t="s">
        <v>342</v>
      </c>
      <c r="AW8" s="2298"/>
      <c r="AX8" s="2283" t="s">
        <v>75</v>
      </c>
      <c r="AY8" s="2284"/>
      <c r="AZ8" s="2283" t="s">
        <v>76</v>
      </c>
      <c r="BA8" s="2284"/>
      <c r="BB8" s="2283" t="s">
        <v>77</v>
      </c>
      <c r="BC8" s="2284"/>
      <c r="BD8" s="2299"/>
      <c r="BE8" s="2299"/>
      <c r="BF8" s="2291" t="s">
        <v>152</v>
      </c>
      <c r="BG8" s="2290" t="s">
        <v>153</v>
      </c>
      <c r="BH8" s="2291" t="s">
        <v>154</v>
      </c>
      <c r="BI8" s="2292" t="s">
        <v>155</v>
      </c>
      <c r="BJ8" s="2291" t="s">
        <v>156</v>
      </c>
      <c r="BK8" s="2293" t="s">
        <v>157</v>
      </c>
      <c r="BL8" s="2266"/>
      <c r="BM8" s="2267"/>
      <c r="BN8" s="2266"/>
      <c r="BO8" s="2267"/>
      <c r="BP8" s="2268"/>
      <c r="BQ8" s="144"/>
      <c r="BR8" s="144"/>
      <c r="BS8" s="144"/>
      <c r="BT8" s="144"/>
      <c r="BU8" s="144"/>
      <c r="BV8" s="144"/>
      <c r="BW8" s="144"/>
      <c r="BX8" s="144"/>
      <c r="BY8" s="144"/>
      <c r="BZ8" s="144"/>
      <c r="CA8" s="144"/>
      <c r="CB8" s="144"/>
      <c r="CC8" s="144"/>
      <c r="CD8" s="144"/>
      <c r="CE8" s="144"/>
      <c r="CF8" s="144"/>
      <c r="CG8" s="144"/>
    </row>
    <row r="9" spans="1:85" s="142" customFormat="1" ht="15.75" x14ac:dyDescent="0.2">
      <c r="A9" s="2258"/>
      <c r="B9" s="2261"/>
      <c r="C9" s="2262"/>
      <c r="D9" s="2262"/>
      <c r="E9" s="2261"/>
      <c r="F9" s="2262"/>
      <c r="G9" s="2262"/>
      <c r="H9" s="2263"/>
      <c r="I9" s="2261"/>
      <c r="J9" s="2240"/>
      <c r="K9" s="2263"/>
      <c r="L9" s="2263"/>
      <c r="M9" s="2240"/>
      <c r="N9" s="2240"/>
      <c r="O9" s="2240"/>
      <c r="P9" s="2286"/>
      <c r="Q9" s="2288"/>
      <c r="R9" s="2261"/>
      <c r="S9" s="2261"/>
      <c r="T9" s="2240"/>
      <c r="U9" s="2270"/>
      <c r="V9" s="2270"/>
      <c r="W9" s="2270"/>
      <c r="X9" s="2273"/>
      <c r="Y9" s="2240"/>
      <c r="Z9" s="642" t="s">
        <v>158</v>
      </c>
      <c r="AA9" s="642" t="s">
        <v>159</v>
      </c>
      <c r="AB9" s="642" t="s">
        <v>158</v>
      </c>
      <c r="AC9" s="642" t="s">
        <v>159</v>
      </c>
      <c r="AD9" s="642" t="s">
        <v>158</v>
      </c>
      <c r="AE9" s="642" t="s">
        <v>159</v>
      </c>
      <c r="AF9" s="642" t="s">
        <v>158</v>
      </c>
      <c r="AG9" s="642" t="s">
        <v>159</v>
      </c>
      <c r="AH9" s="642" t="s">
        <v>158</v>
      </c>
      <c r="AI9" s="642" t="s">
        <v>159</v>
      </c>
      <c r="AJ9" s="642" t="s">
        <v>158</v>
      </c>
      <c r="AK9" s="642" t="s">
        <v>159</v>
      </c>
      <c r="AL9" s="642" t="s">
        <v>158</v>
      </c>
      <c r="AM9" s="642" t="s">
        <v>159</v>
      </c>
      <c r="AN9" s="642" t="s">
        <v>158</v>
      </c>
      <c r="AO9" s="642" t="s">
        <v>159</v>
      </c>
      <c r="AP9" s="642" t="s">
        <v>158</v>
      </c>
      <c r="AQ9" s="642" t="s">
        <v>159</v>
      </c>
      <c r="AR9" s="642" t="s">
        <v>158</v>
      </c>
      <c r="AS9" s="642" t="s">
        <v>159</v>
      </c>
      <c r="AT9" s="642" t="s">
        <v>158</v>
      </c>
      <c r="AU9" s="642" t="s">
        <v>159</v>
      </c>
      <c r="AV9" s="642" t="s">
        <v>158</v>
      </c>
      <c r="AW9" s="642" t="s">
        <v>159</v>
      </c>
      <c r="AX9" s="642" t="s">
        <v>158</v>
      </c>
      <c r="AY9" s="642" t="s">
        <v>159</v>
      </c>
      <c r="AZ9" s="642" t="s">
        <v>158</v>
      </c>
      <c r="BA9" s="642" t="s">
        <v>159</v>
      </c>
      <c r="BB9" s="642" t="s">
        <v>158</v>
      </c>
      <c r="BC9" s="642" t="s">
        <v>159</v>
      </c>
      <c r="BD9" s="642" t="s">
        <v>158</v>
      </c>
      <c r="BE9" s="642" t="s">
        <v>159</v>
      </c>
      <c r="BF9" s="2291"/>
      <c r="BG9" s="2290"/>
      <c r="BH9" s="2291"/>
      <c r="BI9" s="2292"/>
      <c r="BJ9" s="2291"/>
      <c r="BK9" s="2294"/>
      <c r="BL9" s="642" t="s">
        <v>158</v>
      </c>
      <c r="BM9" s="642" t="s">
        <v>159</v>
      </c>
      <c r="BN9" s="642" t="s">
        <v>158</v>
      </c>
      <c r="BO9" s="642" t="s">
        <v>159</v>
      </c>
      <c r="BP9" s="2268"/>
      <c r="BQ9" s="144"/>
      <c r="BR9" s="144"/>
      <c r="BS9" s="144"/>
      <c r="BT9" s="144"/>
      <c r="BU9" s="144"/>
      <c r="BV9" s="144"/>
      <c r="BW9" s="144"/>
      <c r="BX9" s="144"/>
      <c r="BY9" s="144"/>
      <c r="BZ9" s="144"/>
      <c r="CA9" s="144"/>
      <c r="CB9" s="144"/>
      <c r="CC9" s="144"/>
      <c r="CD9" s="144"/>
      <c r="CE9" s="144"/>
      <c r="CF9" s="144"/>
      <c r="CG9" s="144"/>
    </row>
    <row r="10" spans="1:85" s="1" customFormat="1" ht="15.75" x14ac:dyDescent="0.2">
      <c r="A10" s="340">
        <v>4</v>
      </c>
      <c r="B10" s="341" t="s">
        <v>329</v>
      </c>
      <c r="C10" s="643"/>
      <c r="D10" s="283"/>
      <c r="E10" s="283"/>
      <c r="F10" s="283"/>
      <c r="G10" s="283"/>
      <c r="H10" s="283"/>
      <c r="I10" s="280"/>
      <c r="J10" s="283"/>
      <c r="K10" s="283"/>
      <c r="L10" s="283"/>
      <c r="M10" s="283"/>
      <c r="N10" s="276"/>
      <c r="O10" s="275"/>
      <c r="P10" s="282"/>
      <c r="Q10" s="281"/>
      <c r="R10" s="280"/>
      <c r="S10" s="280"/>
      <c r="T10" s="280"/>
      <c r="U10" s="644"/>
      <c r="V10" s="645"/>
      <c r="W10" s="645"/>
      <c r="X10" s="646"/>
      <c r="Y10" s="276"/>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647"/>
      <c r="BM10" s="647"/>
      <c r="BN10" s="647"/>
      <c r="BO10" s="647"/>
      <c r="BP10" s="280"/>
      <c r="BQ10" s="18"/>
      <c r="BR10" s="18"/>
      <c r="BS10" s="18"/>
      <c r="BT10" s="18"/>
      <c r="BU10" s="18"/>
      <c r="BV10" s="18"/>
      <c r="BW10" s="18"/>
      <c r="BX10" s="18"/>
      <c r="BY10" s="18"/>
      <c r="BZ10" s="18"/>
      <c r="CA10" s="18"/>
      <c r="CB10" s="18"/>
      <c r="CC10" s="18"/>
      <c r="CD10" s="18"/>
      <c r="CE10" s="18"/>
      <c r="CF10" s="18"/>
      <c r="CG10" s="18"/>
    </row>
    <row r="11" spans="1:85" s="18" customFormat="1" ht="15.75" x14ac:dyDescent="0.2">
      <c r="A11" s="2295"/>
      <c r="B11" s="2296"/>
      <c r="C11" s="2297"/>
      <c r="D11" s="44">
        <v>45</v>
      </c>
      <c r="E11" s="45" t="s">
        <v>308</v>
      </c>
      <c r="F11" s="648"/>
      <c r="G11" s="648"/>
      <c r="H11" s="648"/>
      <c r="I11" s="350"/>
      <c r="J11" s="649"/>
      <c r="K11" s="649"/>
      <c r="L11" s="649"/>
      <c r="M11" s="649"/>
      <c r="N11" s="650"/>
      <c r="O11" s="345"/>
      <c r="P11" s="346"/>
      <c r="Q11" s="347"/>
      <c r="R11" s="651"/>
      <c r="S11" s="651"/>
      <c r="T11" s="651"/>
      <c r="U11" s="652"/>
      <c r="V11" s="653"/>
      <c r="W11" s="653"/>
      <c r="X11" s="654"/>
      <c r="Y11" s="351"/>
      <c r="Z11" s="649"/>
      <c r="AA11" s="649"/>
      <c r="AB11" s="649"/>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55"/>
      <c r="BM11" s="655"/>
      <c r="BN11" s="655"/>
      <c r="BO11" s="655"/>
      <c r="BP11" s="651"/>
    </row>
    <row r="12" spans="1:85" s="18" customFormat="1" ht="45" x14ac:dyDescent="0.2">
      <c r="A12" s="356"/>
      <c r="B12" s="357"/>
      <c r="C12" s="357"/>
      <c r="D12" s="431"/>
      <c r="E12" s="407"/>
      <c r="F12" s="408"/>
      <c r="G12" s="2314" t="s">
        <v>208</v>
      </c>
      <c r="H12" s="2315" t="s">
        <v>207</v>
      </c>
      <c r="I12" s="2316" t="s">
        <v>583</v>
      </c>
      <c r="J12" s="2308" t="s">
        <v>205</v>
      </c>
      <c r="K12" s="2304">
        <v>5</v>
      </c>
      <c r="L12" s="2318">
        <v>4</v>
      </c>
      <c r="M12" s="2304" t="s">
        <v>584</v>
      </c>
      <c r="N12" s="2306" t="s">
        <v>585</v>
      </c>
      <c r="O12" s="2308" t="s">
        <v>586</v>
      </c>
      <c r="P12" s="2310">
        <f>SUM(U12:U14)/Q12</f>
        <v>1</v>
      </c>
      <c r="Q12" s="2312">
        <f>SUM(U12:U14)</f>
        <v>30000000</v>
      </c>
      <c r="R12" s="2308" t="s">
        <v>587</v>
      </c>
      <c r="S12" s="2308" t="s">
        <v>588</v>
      </c>
      <c r="T12" s="656" t="s">
        <v>589</v>
      </c>
      <c r="U12" s="657">
        <v>11000000</v>
      </c>
      <c r="V12" s="658">
        <v>0</v>
      </c>
      <c r="W12" s="658">
        <v>0</v>
      </c>
      <c r="X12" s="659">
        <v>88</v>
      </c>
      <c r="Y12" s="555" t="s">
        <v>590</v>
      </c>
      <c r="Z12" s="2322">
        <v>295972</v>
      </c>
      <c r="AA12" s="2322">
        <v>295972</v>
      </c>
      <c r="AB12" s="2320">
        <v>285580</v>
      </c>
      <c r="AC12" s="2320">
        <v>285580</v>
      </c>
      <c r="AD12" s="2320">
        <v>135545</v>
      </c>
      <c r="AE12" s="2320">
        <v>135545</v>
      </c>
      <c r="AF12" s="2320">
        <v>44254</v>
      </c>
      <c r="AG12" s="2320">
        <v>44254</v>
      </c>
      <c r="AH12" s="2320">
        <v>309146</v>
      </c>
      <c r="AI12" s="2320">
        <v>309146</v>
      </c>
      <c r="AJ12" s="2320">
        <v>92607</v>
      </c>
      <c r="AK12" s="2320">
        <v>92607</v>
      </c>
      <c r="AL12" s="2320">
        <v>2145</v>
      </c>
      <c r="AM12" s="2320">
        <v>2145</v>
      </c>
      <c r="AN12" s="2320">
        <v>12718</v>
      </c>
      <c r="AO12" s="2320">
        <v>12718</v>
      </c>
      <c r="AP12" s="2324">
        <v>26</v>
      </c>
      <c r="AQ12" s="2324">
        <v>26</v>
      </c>
      <c r="AR12" s="2324">
        <v>37</v>
      </c>
      <c r="AS12" s="2324">
        <v>37</v>
      </c>
      <c r="AT12" s="2324">
        <v>0</v>
      </c>
      <c r="AU12" s="2324">
        <v>0</v>
      </c>
      <c r="AV12" s="2324">
        <v>0</v>
      </c>
      <c r="AW12" s="2324">
        <v>0</v>
      </c>
      <c r="AX12" s="2320">
        <v>0</v>
      </c>
      <c r="AY12" s="2324">
        <v>0</v>
      </c>
      <c r="AZ12" s="2320">
        <v>21944</v>
      </c>
      <c r="BA12" s="2320">
        <v>21944</v>
      </c>
      <c r="BB12" s="2320">
        <v>75687</v>
      </c>
      <c r="BC12" s="2320">
        <v>75687</v>
      </c>
      <c r="BD12" s="2325">
        <f>+Z12+AB12</f>
        <v>581552</v>
      </c>
      <c r="BE12" s="2325">
        <f>+AA12+AC12</f>
        <v>581552</v>
      </c>
      <c r="BF12" s="2325">
        <v>2</v>
      </c>
      <c r="BG12" s="2328">
        <f>SUM(V12:V14)</f>
        <v>11160000</v>
      </c>
      <c r="BH12" s="2328">
        <f>SUM(W12:W14)</f>
        <v>0</v>
      </c>
      <c r="BI12" s="2350">
        <f>+BH12/BG12</f>
        <v>0</v>
      </c>
      <c r="BJ12" s="2308" t="s">
        <v>590</v>
      </c>
      <c r="BK12" s="2308" t="s">
        <v>591</v>
      </c>
      <c r="BL12" s="2354">
        <v>44033</v>
      </c>
      <c r="BM12" s="2354">
        <v>44064</v>
      </c>
      <c r="BN12" s="2354">
        <v>44195</v>
      </c>
      <c r="BO12" s="2335">
        <v>44155</v>
      </c>
      <c r="BP12" s="2338" t="s">
        <v>592</v>
      </c>
      <c r="BQ12" s="660"/>
    </row>
    <row r="13" spans="1:85" s="18" customFormat="1" ht="30" x14ac:dyDescent="0.2">
      <c r="A13" s="356"/>
      <c r="B13" s="357"/>
      <c r="C13" s="357"/>
      <c r="D13" s="356"/>
      <c r="E13" s="357"/>
      <c r="F13" s="367"/>
      <c r="G13" s="2314"/>
      <c r="H13" s="2315"/>
      <c r="I13" s="2316"/>
      <c r="J13" s="2309"/>
      <c r="K13" s="2305"/>
      <c r="L13" s="2319"/>
      <c r="M13" s="2305"/>
      <c r="N13" s="2307"/>
      <c r="O13" s="2309"/>
      <c r="P13" s="2311"/>
      <c r="Q13" s="2313"/>
      <c r="R13" s="2309"/>
      <c r="S13" s="2309"/>
      <c r="T13" s="661" t="s">
        <v>593</v>
      </c>
      <c r="U13" s="657">
        <v>10000000</v>
      </c>
      <c r="V13" s="658">
        <v>6300000</v>
      </c>
      <c r="W13" s="658">
        <v>0</v>
      </c>
      <c r="X13" s="659">
        <v>88</v>
      </c>
      <c r="Y13" s="555" t="s">
        <v>590</v>
      </c>
      <c r="Z13" s="2323"/>
      <c r="AA13" s="2323"/>
      <c r="AB13" s="2321"/>
      <c r="AC13" s="2321"/>
      <c r="AD13" s="2321"/>
      <c r="AE13" s="2321"/>
      <c r="AF13" s="2321"/>
      <c r="AG13" s="2321"/>
      <c r="AH13" s="2321"/>
      <c r="AI13" s="2321"/>
      <c r="AJ13" s="2321"/>
      <c r="AK13" s="2321"/>
      <c r="AL13" s="2321"/>
      <c r="AM13" s="2321"/>
      <c r="AN13" s="2321"/>
      <c r="AO13" s="2321"/>
      <c r="AP13" s="2321"/>
      <c r="AQ13" s="2321"/>
      <c r="AR13" s="2321"/>
      <c r="AS13" s="2321"/>
      <c r="AT13" s="2321"/>
      <c r="AU13" s="2321"/>
      <c r="AV13" s="2321"/>
      <c r="AW13" s="2321"/>
      <c r="AX13" s="2321"/>
      <c r="AY13" s="2321"/>
      <c r="AZ13" s="2321"/>
      <c r="BA13" s="2321"/>
      <c r="BB13" s="2321"/>
      <c r="BC13" s="2321"/>
      <c r="BD13" s="2326"/>
      <c r="BE13" s="2326"/>
      <c r="BF13" s="2326"/>
      <c r="BG13" s="2329"/>
      <c r="BH13" s="2329"/>
      <c r="BI13" s="2351"/>
      <c r="BJ13" s="2309"/>
      <c r="BK13" s="2309"/>
      <c r="BL13" s="2355"/>
      <c r="BM13" s="2355"/>
      <c r="BN13" s="2355"/>
      <c r="BO13" s="2336"/>
      <c r="BP13" s="2339"/>
      <c r="BQ13" s="660"/>
    </row>
    <row r="14" spans="1:85" s="18" customFormat="1" ht="30" x14ac:dyDescent="0.2">
      <c r="A14" s="356"/>
      <c r="B14" s="357"/>
      <c r="C14" s="357"/>
      <c r="D14" s="356"/>
      <c r="E14" s="357"/>
      <c r="F14" s="367"/>
      <c r="G14" s="2314"/>
      <c r="H14" s="2315"/>
      <c r="I14" s="2316"/>
      <c r="J14" s="2309"/>
      <c r="K14" s="2317"/>
      <c r="L14" s="2319"/>
      <c r="M14" s="2305"/>
      <c r="N14" s="2307"/>
      <c r="O14" s="2309"/>
      <c r="P14" s="2311"/>
      <c r="Q14" s="2313"/>
      <c r="R14" s="2309"/>
      <c r="S14" s="2309"/>
      <c r="T14" s="662" t="s">
        <v>594</v>
      </c>
      <c r="U14" s="663">
        <v>9000000</v>
      </c>
      <c r="V14" s="658">
        <v>4860000</v>
      </c>
      <c r="W14" s="658">
        <v>0</v>
      </c>
      <c r="X14" s="607">
        <v>88</v>
      </c>
      <c r="Y14" s="555" t="s">
        <v>590</v>
      </c>
      <c r="Z14" s="2323"/>
      <c r="AA14" s="2323"/>
      <c r="AB14" s="2321"/>
      <c r="AC14" s="2321"/>
      <c r="AD14" s="2321"/>
      <c r="AE14" s="2321"/>
      <c r="AF14" s="2321"/>
      <c r="AG14" s="2321"/>
      <c r="AH14" s="2321"/>
      <c r="AI14" s="2321"/>
      <c r="AJ14" s="2321"/>
      <c r="AK14" s="2321"/>
      <c r="AL14" s="2321"/>
      <c r="AM14" s="2321"/>
      <c r="AN14" s="2321"/>
      <c r="AO14" s="2321"/>
      <c r="AP14" s="2321"/>
      <c r="AQ14" s="2321"/>
      <c r="AR14" s="2321"/>
      <c r="AS14" s="2321"/>
      <c r="AT14" s="2321"/>
      <c r="AU14" s="2321"/>
      <c r="AV14" s="2321"/>
      <c r="AW14" s="2321"/>
      <c r="AX14" s="2321"/>
      <c r="AY14" s="2321"/>
      <c r="AZ14" s="2321"/>
      <c r="BA14" s="2321"/>
      <c r="BB14" s="2321"/>
      <c r="BC14" s="2321"/>
      <c r="BD14" s="2326"/>
      <c r="BE14" s="2326"/>
      <c r="BF14" s="2327"/>
      <c r="BG14" s="2330"/>
      <c r="BH14" s="2330"/>
      <c r="BI14" s="2352"/>
      <c r="BJ14" s="2353"/>
      <c r="BK14" s="2353"/>
      <c r="BL14" s="2355"/>
      <c r="BM14" s="2356"/>
      <c r="BN14" s="2355"/>
      <c r="BO14" s="2337"/>
      <c r="BP14" s="2339"/>
      <c r="BQ14" s="660"/>
    </row>
    <row r="15" spans="1:85" s="18" customFormat="1" ht="45" x14ac:dyDescent="0.2">
      <c r="A15" s="356"/>
      <c r="B15" s="357"/>
      <c r="C15" s="357"/>
      <c r="D15" s="356"/>
      <c r="E15" s="357"/>
      <c r="F15" s="367"/>
      <c r="G15" s="2340" t="s">
        <v>208</v>
      </c>
      <c r="H15" s="2342" t="s">
        <v>595</v>
      </c>
      <c r="I15" s="2344" t="s">
        <v>596</v>
      </c>
      <c r="J15" s="2331" t="s">
        <v>597</v>
      </c>
      <c r="K15" s="2345">
        <v>4</v>
      </c>
      <c r="L15" s="2348">
        <v>4</v>
      </c>
      <c r="M15" s="2349" t="s">
        <v>584</v>
      </c>
      <c r="N15" s="2343" t="s">
        <v>598</v>
      </c>
      <c r="O15" s="2331" t="s">
        <v>599</v>
      </c>
      <c r="P15" s="2332">
        <f>SUM(U15:U17)/Q15</f>
        <v>1</v>
      </c>
      <c r="Q15" s="2333">
        <f>SUM(U15:U17)</f>
        <v>15702140</v>
      </c>
      <c r="R15" s="2331" t="s">
        <v>587</v>
      </c>
      <c r="S15" s="2331" t="s">
        <v>600</v>
      </c>
      <c r="T15" s="656" t="s">
        <v>601</v>
      </c>
      <c r="U15" s="664">
        <v>5234046</v>
      </c>
      <c r="V15" s="665">
        <v>2800000</v>
      </c>
      <c r="W15" s="658">
        <v>0</v>
      </c>
      <c r="X15" s="666">
        <v>88</v>
      </c>
      <c r="Y15" s="555" t="s">
        <v>590</v>
      </c>
      <c r="Z15" s="2334">
        <v>2476</v>
      </c>
      <c r="AA15" s="2358">
        <v>2476</v>
      </c>
      <c r="AB15" s="2357">
        <v>3918</v>
      </c>
      <c r="AC15" s="2358">
        <v>3918</v>
      </c>
      <c r="AD15" s="2357">
        <v>0</v>
      </c>
      <c r="AE15" s="2358">
        <v>0</v>
      </c>
      <c r="AF15" s="2357">
        <v>0</v>
      </c>
      <c r="AG15" s="2358">
        <v>0</v>
      </c>
      <c r="AH15" s="2357">
        <v>0</v>
      </c>
      <c r="AI15" s="2358">
        <v>0</v>
      </c>
      <c r="AJ15" s="2357">
        <v>0</v>
      </c>
      <c r="AK15" s="2358">
        <v>0</v>
      </c>
      <c r="AL15" s="2358">
        <v>0</v>
      </c>
      <c r="AM15" s="2358">
        <v>0</v>
      </c>
      <c r="AN15" s="2357">
        <v>0</v>
      </c>
      <c r="AO15" s="2358">
        <v>0</v>
      </c>
      <c r="AP15" s="2358">
        <v>0</v>
      </c>
      <c r="AQ15" s="2358">
        <v>0</v>
      </c>
      <c r="AR15" s="2358">
        <v>0</v>
      </c>
      <c r="AS15" s="2358">
        <v>0</v>
      </c>
      <c r="AT15" s="2358">
        <v>0</v>
      </c>
      <c r="AU15" s="2358">
        <v>0</v>
      </c>
      <c r="AV15" s="2358">
        <v>0</v>
      </c>
      <c r="AW15" s="2358">
        <v>0</v>
      </c>
      <c r="AX15" s="2358">
        <v>0</v>
      </c>
      <c r="AY15" s="2358">
        <v>0</v>
      </c>
      <c r="AZ15" s="2358">
        <v>0</v>
      </c>
      <c r="BA15" s="2358">
        <v>0</v>
      </c>
      <c r="BB15" s="2358">
        <v>0</v>
      </c>
      <c r="BC15" s="2358">
        <v>0</v>
      </c>
      <c r="BD15" s="2358">
        <f>+Z15+AB15</f>
        <v>6394</v>
      </c>
      <c r="BE15" s="2358">
        <v>6394</v>
      </c>
      <c r="BF15" s="2358">
        <v>1</v>
      </c>
      <c r="BG15" s="2365">
        <f>SUM(V15:V17)</f>
        <v>8400000</v>
      </c>
      <c r="BH15" s="2365">
        <f>SUM(W15:W17)</f>
        <v>0</v>
      </c>
      <c r="BI15" s="2368">
        <f>+BH15/BG15</f>
        <v>0</v>
      </c>
      <c r="BJ15" s="2371" t="s">
        <v>590</v>
      </c>
      <c r="BK15" s="2377" t="s">
        <v>602</v>
      </c>
      <c r="BL15" s="2380">
        <v>44033</v>
      </c>
      <c r="BM15" s="2361">
        <v>44051</v>
      </c>
      <c r="BN15" s="2380">
        <v>44195</v>
      </c>
      <c r="BO15" s="2361">
        <v>44142</v>
      </c>
      <c r="BP15" s="2364" t="s">
        <v>603</v>
      </c>
      <c r="BQ15" s="660"/>
    </row>
    <row r="16" spans="1:85" s="18" customFormat="1" ht="30" x14ac:dyDescent="0.2">
      <c r="A16" s="356"/>
      <c r="B16" s="357"/>
      <c r="C16" s="357"/>
      <c r="D16" s="356"/>
      <c r="E16" s="357"/>
      <c r="F16" s="367"/>
      <c r="G16" s="2341"/>
      <c r="H16" s="2343"/>
      <c r="I16" s="2331"/>
      <c r="J16" s="2331"/>
      <c r="K16" s="2346"/>
      <c r="L16" s="2348"/>
      <c r="M16" s="2349"/>
      <c r="N16" s="2343"/>
      <c r="O16" s="2331"/>
      <c r="P16" s="2332"/>
      <c r="Q16" s="2333"/>
      <c r="R16" s="2331"/>
      <c r="S16" s="2331"/>
      <c r="T16" s="661" t="s">
        <v>604</v>
      </c>
      <c r="U16" s="667">
        <v>5234048</v>
      </c>
      <c r="V16" s="665">
        <v>2800000</v>
      </c>
      <c r="W16" s="658">
        <v>0</v>
      </c>
      <c r="X16" s="666">
        <v>88</v>
      </c>
      <c r="Y16" s="555" t="s">
        <v>590</v>
      </c>
      <c r="Z16" s="2334"/>
      <c r="AA16" s="2359"/>
      <c r="AB16" s="2357"/>
      <c r="AC16" s="2359"/>
      <c r="AD16" s="2357"/>
      <c r="AE16" s="2359"/>
      <c r="AF16" s="2357"/>
      <c r="AG16" s="2359"/>
      <c r="AH16" s="2357"/>
      <c r="AI16" s="2359"/>
      <c r="AJ16" s="2357"/>
      <c r="AK16" s="2359"/>
      <c r="AL16" s="2359"/>
      <c r="AM16" s="2359"/>
      <c r="AN16" s="2357"/>
      <c r="AO16" s="2359"/>
      <c r="AP16" s="2359"/>
      <c r="AQ16" s="2359"/>
      <c r="AR16" s="2359"/>
      <c r="AS16" s="2359"/>
      <c r="AT16" s="2359"/>
      <c r="AU16" s="2359"/>
      <c r="AV16" s="2359"/>
      <c r="AW16" s="2359"/>
      <c r="AX16" s="2359"/>
      <c r="AY16" s="2359"/>
      <c r="AZ16" s="2359"/>
      <c r="BA16" s="2359"/>
      <c r="BB16" s="2359"/>
      <c r="BC16" s="2359"/>
      <c r="BD16" s="2359"/>
      <c r="BE16" s="2359"/>
      <c r="BF16" s="2359"/>
      <c r="BG16" s="2366"/>
      <c r="BH16" s="2366"/>
      <c r="BI16" s="2369"/>
      <c r="BJ16" s="2372"/>
      <c r="BK16" s="2378"/>
      <c r="BL16" s="2380"/>
      <c r="BM16" s="2362"/>
      <c r="BN16" s="2380"/>
      <c r="BO16" s="2362"/>
      <c r="BP16" s="2364"/>
      <c r="BQ16" s="660"/>
    </row>
    <row r="17" spans="1:69" s="18" customFormat="1" ht="30" x14ac:dyDescent="0.2">
      <c r="A17" s="356"/>
      <c r="B17" s="357"/>
      <c r="C17" s="357"/>
      <c r="D17" s="383"/>
      <c r="E17" s="384"/>
      <c r="F17" s="385"/>
      <c r="G17" s="2341"/>
      <c r="H17" s="2343"/>
      <c r="I17" s="2331"/>
      <c r="J17" s="2331"/>
      <c r="K17" s="2347"/>
      <c r="L17" s="2348"/>
      <c r="M17" s="2349"/>
      <c r="N17" s="2343"/>
      <c r="O17" s="2331"/>
      <c r="P17" s="2332"/>
      <c r="Q17" s="2333"/>
      <c r="R17" s="2331"/>
      <c r="S17" s="2331"/>
      <c r="T17" s="661" t="s">
        <v>605</v>
      </c>
      <c r="U17" s="667">
        <v>5234046</v>
      </c>
      <c r="V17" s="665">
        <v>2800000</v>
      </c>
      <c r="W17" s="658">
        <v>0</v>
      </c>
      <c r="X17" s="666">
        <v>88</v>
      </c>
      <c r="Y17" s="555" t="s">
        <v>590</v>
      </c>
      <c r="Z17" s="2334"/>
      <c r="AA17" s="2360"/>
      <c r="AB17" s="2357"/>
      <c r="AC17" s="2360"/>
      <c r="AD17" s="2357"/>
      <c r="AE17" s="2360"/>
      <c r="AF17" s="2357"/>
      <c r="AG17" s="2360"/>
      <c r="AH17" s="2357"/>
      <c r="AI17" s="2360"/>
      <c r="AJ17" s="2357"/>
      <c r="AK17" s="2360"/>
      <c r="AL17" s="2360"/>
      <c r="AM17" s="2360"/>
      <c r="AN17" s="2357"/>
      <c r="AO17" s="2360"/>
      <c r="AP17" s="2360"/>
      <c r="AQ17" s="2360"/>
      <c r="AR17" s="2360"/>
      <c r="AS17" s="2360"/>
      <c r="AT17" s="2360"/>
      <c r="AU17" s="2360"/>
      <c r="AV17" s="2360"/>
      <c r="AW17" s="2360"/>
      <c r="AX17" s="2360"/>
      <c r="AY17" s="2360"/>
      <c r="AZ17" s="2360"/>
      <c r="BA17" s="2360"/>
      <c r="BB17" s="2360"/>
      <c r="BC17" s="2360"/>
      <c r="BD17" s="2360"/>
      <c r="BE17" s="2360"/>
      <c r="BF17" s="2360"/>
      <c r="BG17" s="2367"/>
      <c r="BH17" s="2367"/>
      <c r="BI17" s="2370"/>
      <c r="BJ17" s="2344"/>
      <c r="BK17" s="2379"/>
      <c r="BL17" s="2380"/>
      <c r="BM17" s="2363"/>
      <c r="BN17" s="2380"/>
      <c r="BO17" s="2363"/>
      <c r="BP17" s="2364"/>
      <c r="BQ17" s="660"/>
    </row>
    <row r="18" spans="1:69" s="18" customFormat="1" ht="15.75" x14ac:dyDescent="0.2">
      <c r="A18" s="2373"/>
      <c r="B18" s="2374"/>
      <c r="C18" s="2375"/>
      <c r="D18" s="668">
        <v>42</v>
      </c>
      <c r="E18" s="669" t="s">
        <v>328</v>
      </c>
      <c r="F18" s="670"/>
      <c r="G18" s="253"/>
      <c r="H18" s="253"/>
      <c r="I18" s="249"/>
      <c r="J18" s="249"/>
      <c r="K18" s="249"/>
      <c r="L18" s="254"/>
      <c r="M18" s="249"/>
      <c r="N18" s="253"/>
      <c r="O18" s="249"/>
      <c r="P18" s="671"/>
      <c r="Q18" s="672"/>
      <c r="R18" s="249"/>
      <c r="S18" s="249"/>
      <c r="T18" s="249"/>
      <c r="U18" s="673"/>
      <c r="V18" s="674"/>
      <c r="W18" s="674"/>
      <c r="X18" s="675"/>
      <c r="Y18" s="416"/>
      <c r="Z18" s="676"/>
      <c r="AA18" s="676"/>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677"/>
      <c r="BH18" s="677"/>
      <c r="BI18" s="678"/>
      <c r="BJ18" s="248"/>
      <c r="BK18" s="248"/>
      <c r="BL18" s="247"/>
      <c r="BM18" s="247"/>
      <c r="BN18" s="247"/>
      <c r="BO18" s="247"/>
      <c r="BP18" s="248"/>
      <c r="BQ18" s="660"/>
    </row>
    <row r="19" spans="1:69" s="18" customFormat="1" ht="90" x14ac:dyDescent="0.2">
      <c r="A19" s="356"/>
      <c r="B19" s="357"/>
      <c r="C19" s="367"/>
      <c r="D19" s="461"/>
      <c r="E19" s="461"/>
      <c r="F19" s="462"/>
      <c r="G19" s="546" t="s">
        <v>208</v>
      </c>
      <c r="H19" s="546" t="s">
        <v>606</v>
      </c>
      <c r="I19" s="568" t="s">
        <v>607</v>
      </c>
      <c r="J19" s="473" t="s">
        <v>608</v>
      </c>
      <c r="K19" s="6">
        <v>1</v>
      </c>
      <c r="L19" s="551">
        <v>0</v>
      </c>
      <c r="M19" s="568" t="s">
        <v>584</v>
      </c>
      <c r="N19" s="546" t="s">
        <v>609</v>
      </c>
      <c r="O19" s="568" t="s">
        <v>610</v>
      </c>
      <c r="P19" s="580">
        <f>SUM(U19)/Q19</f>
        <v>1</v>
      </c>
      <c r="Q19" s="679">
        <f>SUM(U19)</f>
        <v>30000000</v>
      </c>
      <c r="R19" s="656" t="s">
        <v>611</v>
      </c>
      <c r="S19" s="568" t="s">
        <v>612</v>
      </c>
      <c r="T19" s="568" t="s">
        <v>613</v>
      </c>
      <c r="U19" s="657">
        <v>30000000</v>
      </c>
      <c r="V19" s="658">
        <v>0</v>
      </c>
      <c r="W19" s="658">
        <v>0</v>
      </c>
      <c r="X19" s="659">
        <v>88</v>
      </c>
      <c r="Y19" s="555" t="s">
        <v>590</v>
      </c>
      <c r="Z19" s="470">
        <v>295972</v>
      </c>
      <c r="AA19" s="470"/>
      <c r="AB19" s="680">
        <v>285580</v>
      </c>
      <c r="AC19" s="680"/>
      <c r="AD19" s="680">
        <v>135545</v>
      </c>
      <c r="AE19" s="680"/>
      <c r="AF19" s="680">
        <v>44254</v>
      </c>
      <c r="AG19" s="680"/>
      <c r="AH19" s="680">
        <v>309146</v>
      </c>
      <c r="AI19" s="680"/>
      <c r="AJ19" s="680">
        <v>92607</v>
      </c>
      <c r="AK19" s="680"/>
      <c r="AL19" s="594">
        <v>2145</v>
      </c>
      <c r="AM19" s="594"/>
      <c r="AN19" s="594">
        <v>12718</v>
      </c>
      <c r="AO19" s="594"/>
      <c r="AP19" s="594">
        <v>26</v>
      </c>
      <c r="AQ19" s="594"/>
      <c r="AR19" s="594">
        <v>37</v>
      </c>
      <c r="AS19" s="594"/>
      <c r="AT19" s="594">
        <v>0</v>
      </c>
      <c r="AU19" s="594"/>
      <c r="AV19" s="594">
        <v>0</v>
      </c>
      <c r="AW19" s="594"/>
      <c r="AX19" s="680">
        <v>44350</v>
      </c>
      <c r="AY19" s="680"/>
      <c r="AZ19" s="594">
        <v>21944</v>
      </c>
      <c r="BA19" s="594"/>
      <c r="BB19" s="680">
        <v>75687</v>
      </c>
      <c r="BC19" s="680"/>
      <c r="BD19" s="6">
        <v>581552</v>
      </c>
      <c r="BE19" s="6"/>
      <c r="BF19" s="6">
        <v>0</v>
      </c>
      <c r="BG19" s="400">
        <v>0</v>
      </c>
      <c r="BH19" s="400">
        <v>0</v>
      </c>
      <c r="BI19" s="681" t="e">
        <f>+BH19/BG19</f>
        <v>#DIV/0!</v>
      </c>
      <c r="BJ19" s="568" t="s">
        <v>590</v>
      </c>
      <c r="BK19" s="568" t="s">
        <v>614</v>
      </c>
      <c r="BL19" s="567">
        <v>44033</v>
      </c>
      <c r="BM19" s="567"/>
      <c r="BN19" s="567">
        <v>44195</v>
      </c>
      <c r="BO19" s="567"/>
      <c r="BP19" s="584" t="s">
        <v>592</v>
      </c>
      <c r="BQ19" s="660"/>
    </row>
    <row r="20" spans="1:69" s="1" customFormat="1" ht="15.75" x14ac:dyDescent="0.2">
      <c r="A20" s="126"/>
      <c r="B20" s="127"/>
      <c r="C20" s="128"/>
      <c r="D20" s="129"/>
      <c r="E20" s="129"/>
      <c r="F20" s="130"/>
      <c r="G20" s="682"/>
      <c r="H20" s="682"/>
      <c r="I20" s="683"/>
      <c r="J20" s="684"/>
      <c r="K20" s="684"/>
      <c r="L20" s="684"/>
      <c r="M20" s="684"/>
      <c r="N20" s="475"/>
      <c r="O20" s="548"/>
      <c r="P20" s="685"/>
      <c r="Q20" s="686">
        <f>SUM(Q12:Q19)</f>
        <v>75702140</v>
      </c>
      <c r="R20" s="473"/>
      <c r="S20" s="473"/>
      <c r="T20" s="473"/>
      <c r="U20" s="687">
        <f>SUM(U12:U19)</f>
        <v>75702140</v>
      </c>
      <c r="V20" s="687">
        <f>SUM(V12:V19)</f>
        <v>19560000</v>
      </c>
      <c r="W20" s="687">
        <f t="shared" ref="W20" si="0">SUM(W12:W19)</f>
        <v>0</v>
      </c>
      <c r="X20" s="402"/>
      <c r="Y20" s="590"/>
      <c r="Z20" s="682"/>
      <c r="AA20" s="682"/>
      <c r="AB20" s="682"/>
      <c r="AC20" s="682"/>
      <c r="AD20" s="682"/>
      <c r="AE20" s="682"/>
      <c r="AF20" s="682"/>
      <c r="AG20" s="682"/>
      <c r="AH20" s="682"/>
      <c r="AI20" s="682"/>
      <c r="AJ20" s="682"/>
      <c r="AK20" s="682"/>
      <c r="AL20" s="682"/>
      <c r="AM20" s="682"/>
      <c r="AN20" s="682"/>
      <c r="AO20" s="682"/>
      <c r="AP20" s="682"/>
      <c r="AQ20" s="682"/>
      <c r="AR20" s="682"/>
      <c r="AS20" s="682"/>
      <c r="AT20" s="682"/>
      <c r="AU20" s="682"/>
      <c r="AV20" s="682"/>
      <c r="AW20" s="682"/>
      <c r="AX20" s="682"/>
      <c r="AY20" s="682"/>
      <c r="AZ20" s="682"/>
      <c r="BA20" s="682"/>
      <c r="BB20" s="682"/>
      <c r="BC20" s="682"/>
      <c r="BD20" s="682"/>
      <c r="BE20" s="682"/>
      <c r="BF20" s="682"/>
      <c r="BG20" s="688">
        <f>SUM(BG12:BG19)</f>
        <v>19560000</v>
      </c>
      <c r="BH20" s="688">
        <f>SUM(BH12:BH19)</f>
        <v>0</v>
      </c>
      <c r="BI20" s="682"/>
      <c r="BJ20" s="682"/>
      <c r="BK20" s="682"/>
      <c r="BL20" s="689"/>
      <c r="BM20" s="689"/>
      <c r="BN20" s="690"/>
      <c r="BO20" s="690"/>
      <c r="BP20" s="473"/>
    </row>
    <row r="21" spans="1:69" x14ac:dyDescent="0.2">
      <c r="U21" s="167"/>
      <c r="V21" s="167"/>
      <c r="W21" s="167"/>
    </row>
    <row r="22" spans="1:69" x14ac:dyDescent="0.2">
      <c r="U22" s="167"/>
      <c r="V22" s="167"/>
      <c r="W22" s="167"/>
    </row>
    <row r="24" spans="1:69" ht="15.75" x14ac:dyDescent="0.25">
      <c r="C24" s="701"/>
      <c r="D24" s="701"/>
      <c r="E24" s="701"/>
      <c r="F24" s="701"/>
      <c r="G24" s="701"/>
      <c r="M24" s="2376"/>
      <c r="N24" s="2376"/>
      <c r="O24" s="2376"/>
      <c r="P24" s="2376"/>
      <c r="Q24" s="2376"/>
    </row>
    <row r="25" spans="1:69" ht="15.75" x14ac:dyDescent="0.25">
      <c r="C25" s="2376" t="s">
        <v>615</v>
      </c>
      <c r="D25" s="2376"/>
      <c r="E25" s="2376"/>
      <c r="F25" s="2376"/>
      <c r="G25" s="2376"/>
      <c r="H25" s="703"/>
      <c r="M25" s="2376"/>
      <c r="N25" s="2376"/>
      <c r="O25" s="2376"/>
      <c r="P25" s="2376"/>
      <c r="Q25" s="2376"/>
    </row>
    <row r="26" spans="1:69" ht="15.75" x14ac:dyDescent="0.25">
      <c r="C26" s="2376" t="s">
        <v>616</v>
      </c>
      <c r="D26" s="2376"/>
      <c r="E26" s="2376"/>
      <c r="F26" s="2376"/>
      <c r="G26" s="2376"/>
      <c r="H26" s="703"/>
    </row>
    <row r="27" spans="1:69" x14ac:dyDescent="0.2">
      <c r="C27" s="15"/>
      <c r="D27" s="693"/>
      <c r="E27" s="692"/>
      <c r="F27" s="694"/>
      <c r="G27" s="695"/>
      <c r="H27" s="695"/>
    </row>
  </sheetData>
  <sheetProtection password="A60F" sheet="1" objects="1" scenarios="1"/>
  <mergeCells count="177">
    <mergeCell ref="A18:C18"/>
    <mergeCell ref="M24:Q24"/>
    <mergeCell ref="C25:G25"/>
    <mergeCell ref="M25:Q25"/>
    <mergeCell ref="C26:G26"/>
    <mergeCell ref="BK15:BK17"/>
    <mergeCell ref="BL15:BL17"/>
    <mergeCell ref="BM15:BM17"/>
    <mergeCell ref="BN15:BN17"/>
    <mergeCell ref="AS15:AS17"/>
    <mergeCell ref="AT15:AT17"/>
    <mergeCell ref="AU15:AU17"/>
    <mergeCell ref="AV15:AV17"/>
    <mergeCell ref="AW15:AW17"/>
    <mergeCell ref="AX15:AX17"/>
    <mergeCell ref="AM15:AM17"/>
    <mergeCell ref="AN15:AN17"/>
    <mergeCell ref="AO15:AO17"/>
    <mergeCell ref="AP15:AP17"/>
    <mergeCell ref="AQ15:AQ17"/>
    <mergeCell ref="AR15:AR17"/>
    <mergeCell ref="AG15:AG17"/>
    <mergeCell ref="AH15:AH17"/>
    <mergeCell ref="AI15:AI17"/>
    <mergeCell ref="BO15:BO17"/>
    <mergeCell ref="BP15:BP17"/>
    <mergeCell ref="BE15:BE17"/>
    <mergeCell ref="BF15:BF17"/>
    <mergeCell ref="BG15:BG17"/>
    <mergeCell ref="BH15:BH17"/>
    <mergeCell ref="BI15:BI17"/>
    <mergeCell ref="BJ15:BJ17"/>
    <mergeCell ref="AY15:AY17"/>
    <mergeCell ref="AZ15:AZ17"/>
    <mergeCell ref="BA15:BA17"/>
    <mergeCell ref="BB15:BB17"/>
    <mergeCell ref="BC15:BC17"/>
    <mergeCell ref="BD15:BD17"/>
    <mergeCell ref="AJ15:AJ17"/>
    <mergeCell ref="AK15:AK17"/>
    <mergeCell ref="AL15:AL17"/>
    <mergeCell ref="AA15:AA17"/>
    <mergeCell ref="AB15:AB17"/>
    <mergeCell ref="AC15:AC17"/>
    <mergeCell ref="AD15:AD17"/>
    <mergeCell ref="AE15:AE17"/>
    <mergeCell ref="AF15:AF17"/>
    <mergeCell ref="O15:O17"/>
    <mergeCell ref="P15:P17"/>
    <mergeCell ref="Q15:Q17"/>
    <mergeCell ref="R15:R17"/>
    <mergeCell ref="S15:S17"/>
    <mergeCell ref="Z15:Z17"/>
    <mergeCell ref="BO12:BO14"/>
    <mergeCell ref="BP12:BP14"/>
    <mergeCell ref="G15:G17"/>
    <mergeCell ref="H15:H17"/>
    <mergeCell ref="I15:I17"/>
    <mergeCell ref="J15:J17"/>
    <mergeCell ref="K15:K17"/>
    <mergeCell ref="L15:L17"/>
    <mergeCell ref="M15:M17"/>
    <mergeCell ref="N15:N17"/>
    <mergeCell ref="BI12:BI14"/>
    <mergeCell ref="BJ12:BJ14"/>
    <mergeCell ref="BK12:BK14"/>
    <mergeCell ref="BL12:BL14"/>
    <mergeCell ref="BM12:BM14"/>
    <mergeCell ref="BN12:BN14"/>
    <mergeCell ref="BC12:BC14"/>
    <mergeCell ref="BD12:BD14"/>
    <mergeCell ref="BE12:BE14"/>
    <mergeCell ref="BF12:BF14"/>
    <mergeCell ref="BG12:BG14"/>
    <mergeCell ref="BH12:BH14"/>
    <mergeCell ref="AW12:AW14"/>
    <mergeCell ref="AX12:AX14"/>
    <mergeCell ref="AY12:AY14"/>
    <mergeCell ref="AZ12:AZ14"/>
    <mergeCell ref="BA12:BA14"/>
    <mergeCell ref="BB12:BB14"/>
    <mergeCell ref="AQ12:AQ14"/>
    <mergeCell ref="AR12:AR14"/>
    <mergeCell ref="AS12:AS14"/>
    <mergeCell ref="AT12:AT14"/>
    <mergeCell ref="AU12:AU14"/>
    <mergeCell ref="AV12:AV14"/>
    <mergeCell ref="AK12:AK14"/>
    <mergeCell ref="AL12:AL14"/>
    <mergeCell ref="AM12:AM14"/>
    <mergeCell ref="AN12:AN14"/>
    <mergeCell ref="AO12:AO14"/>
    <mergeCell ref="AP12:AP14"/>
    <mergeCell ref="AE12:AE14"/>
    <mergeCell ref="AF12:AF14"/>
    <mergeCell ref="AG12:AG14"/>
    <mergeCell ref="AH12:AH14"/>
    <mergeCell ref="AI12:AI14"/>
    <mergeCell ref="AJ12:AJ14"/>
    <mergeCell ref="S12:S14"/>
    <mergeCell ref="Z12:Z14"/>
    <mergeCell ref="AA12:AA14"/>
    <mergeCell ref="AB12:AB14"/>
    <mergeCell ref="AC12:AC14"/>
    <mergeCell ref="AD12:AD14"/>
    <mergeCell ref="M12:M14"/>
    <mergeCell ref="N12:N14"/>
    <mergeCell ref="O12:O14"/>
    <mergeCell ref="P12:P14"/>
    <mergeCell ref="Q12:Q14"/>
    <mergeCell ref="R12:R14"/>
    <mergeCell ref="G12:G14"/>
    <mergeCell ref="H12:H14"/>
    <mergeCell ref="I12:I14"/>
    <mergeCell ref="J12:J14"/>
    <mergeCell ref="K12:K14"/>
    <mergeCell ref="L12:L14"/>
    <mergeCell ref="BG8:BG9"/>
    <mergeCell ref="BH8:BH9"/>
    <mergeCell ref="BI8:BI9"/>
    <mergeCell ref="BJ8:BJ9"/>
    <mergeCell ref="BK8:BK9"/>
    <mergeCell ref="A11:C11"/>
    <mergeCell ref="AT8:AU8"/>
    <mergeCell ref="AV8:AW8"/>
    <mergeCell ref="AX8:AY8"/>
    <mergeCell ref="AZ8:BA8"/>
    <mergeCell ref="BB8:BC8"/>
    <mergeCell ref="BF8:BF9"/>
    <mergeCell ref="AH8:AI8"/>
    <mergeCell ref="AJ8:AK8"/>
    <mergeCell ref="AL8:AM8"/>
    <mergeCell ref="AN8:AO8"/>
    <mergeCell ref="AP8:AQ8"/>
    <mergeCell ref="AR8:AS8"/>
    <mergeCell ref="BD7:BE8"/>
    <mergeCell ref="BF7:BK7"/>
    <mergeCell ref="I7:I9"/>
    <mergeCell ref="J7:J9"/>
    <mergeCell ref="K7:L7"/>
    <mergeCell ref="M7:M9"/>
    <mergeCell ref="AL7:AW7"/>
    <mergeCell ref="AX7:BC7"/>
    <mergeCell ref="Z8:AA8"/>
    <mergeCell ref="AB8:AC8"/>
    <mergeCell ref="AD8:AE8"/>
    <mergeCell ref="AF8:AG8"/>
    <mergeCell ref="P7:P9"/>
    <mergeCell ref="Q7:Q9"/>
    <mergeCell ref="R7:R9"/>
    <mergeCell ref="S7:S9"/>
    <mergeCell ref="T7:T9"/>
    <mergeCell ref="U7:W7"/>
    <mergeCell ref="N7:N9"/>
    <mergeCell ref="O7:O9"/>
    <mergeCell ref="A1:BN4"/>
    <mergeCell ref="A5:L6"/>
    <mergeCell ref="N5:BP5"/>
    <mergeCell ref="AA6:BC6"/>
    <mergeCell ref="A7:A9"/>
    <mergeCell ref="B7:C9"/>
    <mergeCell ref="D7:D9"/>
    <mergeCell ref="E7:F9"/>
    <mergeCell ref="G7:G9"/>
    <mergeCell ref="H7:H9"/>
    <mergeCell ref="BL7:BM8"/>
    <mergeCell ref="BN7:BO8"/>
    <mergeCell ref="BP7:BP9"/>
    <mergeCell ref="K8:K9"/>
    <mergeCell ref="L8:L9"/>
    <mergeCell ref="U8:U9"/>
    <mergeCell ref="V8:V9"/>
    <mergeCell ref="W8:W9"/>
    <mergeCell ref="X7:X9"/>
    <mergeCell ref="Y7:Y9"/>
    <mergeCell ref="Z7:AC7"/>
    <mergeCell ref="AD7:AK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4"/>
  <sheetViews>
    <sheetView showGridLines="0" zoomScale="50" zoomScaleNormal="50" workbookViewId="0">
      <selection sqref="A1:Y4"/>
    </sheetView>
  </sheetViews>
  <sheetFormatPr baseColWidth="10" defaultColWidth="9.140625" defaultRowHeight="15" x14ac:dyDescent="0.2"/>
  <cols>
    <col min="1" max="1" width="15.5703125" style="691" customWidth="1"/>
    <col min="2" max="2" width="9.7109375" style="630" customWidth="1"/>
    <col min="3" max="3" width="10.85546875" style="630" customWidth="1"/>
    <col min="4" max="4" width="13" style="630" customWidth="1"/>
    <col min="5" max="5" width="6.7109375" style="630" customWidth="1"/>
    <col min="6" max="6" width="12.5703125" style="630" customWidth="1"/>
    <col min="7" max="7" width="12.85546875" style="630" customWidth="1"/>
    <col min="8" max="8" width="23.7109375" style="630" customWidth="1"/>
    <col min="9" max="9" width="40" style="692" customWidth="1"/>
    <col min="10" max="10" width="36.42578125" style="15" customWidth="1"/>
    <col min="11" max="11" width="20.5703125" style="697" customWidth="1"/>
    <col min="12" max="12" width="20.140625" style="870" customWidth="1"/>
    <col min="13" max="13" width="39.140625" style="871" customWidth="1"/>
    <col min="14" max="14" width="30.28515625" style="693" customWidth="1"/>
    <col min="15" max="15" width="38.140625" style="692" customWidth="1"/>
    <col min="16" max="16" width="15.5703125" style="694" customWidth="1"/>
    <col min="17" max="17" width="31.42578125" style="695" customWidth="1"/>
    <col min="18" max="18" width="25.5703125" style="165" hidden="1" customWidth="1"/>
    <col min="19" max="19" width="6.5703125" style="165" hidden="1" customWidth="1"/>
    <col min="20" max="20" width="76.42578125" style="165" customWidth="1"/>
    <col min="21" max="23" width="36.5703125" style="702" customWidth="1"/>
    <col min="24" max="24" width="18.42578125" style="696" customWidth="1"/>
    <col min="25" max="25" width="30.28515625" style="697" customWidth="1"/>
    <col min="26" max="26" width="9" style="630" bestFit="1" customWidth="1"/>
    <col min="27" max="27" width="10.85546875" style="630" bestFit="1" customWidth="1"/>
    <col min="28" max="28" width="9.42578125" style="630" bestFit="1" customWidth="1"/>
    <col min="29" max="29" width="10.85546875" style="630" bestFit="1" customWidth="1"/>
    <col min="30" max="30" width="9.42578125" style="630" bestFit="1" customWidth="1"/>
    <col min="31" max="31" width="11.28515625" style="630" bestFit="1" customWidth="1"/>
    <col min="32" max="32" width="8" style="630" bestFit="1" customWidth="1"/>
    <col min="33" max="33" width="9.7109375" style="630" bestFit="1" customWidth="1"/>
    <col min="34" max="34" width="7.5703125" style="630" bestFit="1" customWidth="1"/>
    <col min="35" max="35" width="8.7109375" style="630" bestFit="1" customWidth="1"/>
    <col min="36" max="37" width="5.42578125" style="630" bestFit="1" customWidth="1"/>
    <col min="38" max="38" width="5.85546875" style="630" bestFit="1" customWidth="1"/>
    <col min="39" max="39" width="7" style="630" bestFit="1" customWidth="1"/>
    <col min="40" max="40" width="5.85546875" style="630" bestFit="1" customWidth="1"/>
    <col min="41" max="41" width="7" style="630" bestFit="1" customWidth="1"/>
    <col min="42" max="42" width="4" style="630" bestFit="1" customWidth="1"/>
    <col min="43" max="43" width="3.7109375" style="630" bestFit="1" customWidth="1"/>
    <col min="44" max="44" width="4" style="630" bestFit="1" customWidth="1"/>
    <col min="45" max="45" width="3.7109375" style="630" bestFit="1" customWidth="1"/>
    <col min="46" max="46" width="4" style="630" bestFit="1" customWidth="1"/>
    <col min="47" max="47" width="3.7109375" style="630" bestFit="1" customWidth="1"/>
    <col min="48" max="48" width="4" style="630" bestFit="1" customWidth="1"/>
    <col min="49" max="49" width="3.7109375" style="630" bestFit="1" customWidth="1"/>
    <col min="50" max="50" width="8" style="630" bestFit="1" customWidth="1"/>
    <col min="51" max="51" width="9.7109375" style="630" bestFit="1" customWidth="1"/>
    <col min="52" max="52" width="8" style="630" bestFit="1" customWidth="1"/>
    <col min="53" max="53" width="9.7109375" style="630" bestFit="1" customWidth="1"/>
    <col min="54" max="54" width="7.5703125" style="630" bestFit="1" customWidth="1"/>
    <col min="55" max="55" width="6.140625" style="630" bestFit="1" customWidth="1"/>
    <col min="56" max="56" width="9.42578125" style="630" bestFit="1" customWidth="1"/>
    <col min="57" max="57" width="11.28515625" style="630" bestFit="1" customWidth="1"/>
    <col min="58" max="58" width="12" style="630" customWidth="1"/>
    <col min="59" max="59" width="25.28515625" style="630" customWidth="1"/>
    <col min="60" max="60" width="25.5703125" style="630" customWidth="1"/>
    <col min="61" max="61" width="15.28515625" style="724" customWidth="1"/>
    <col min="62" max="62" width="15.42578125" style="630" customWidth="1"/>
    <col min="63" max="63" width="22.7109375" style="630" customWidth="1"/>
    <col min="64" max="66" width="14" style="630" bestFit="1" customWidth="1"/>
    <col min="67" max="67" width="24.28515625" style="630" customWidth="1"/>
    <col min="68" max="68" width="29.42578125" style="630" bestFit="1" customWidth="1"/>
    <col min="69" max="16384" width="9.140625" style="630"/>
  </cols>
  <sheetData>
    <row r="1" spans="1:68" ht="15" customHeight="1" x14ac:dyDescent="0.2">
      <c r="A1" s="2241" t="s">
        <v>621</v>
      </c>
      <c r="B1" s="2242"/>
      <c r="C1" s="2242"/>
      <c r="D1" s="2242"/>
      <c r="E1" s="2242"/>
      <c r="F1" s="2242"/>
      <c r="G1" s="2242"/>
      <c r="H1" s="2242"/>
      <c r="I1" s="2242"/>
      <c r="J1" s="2242"/>
      <c r="K1" s="2242"/>
      <c r="L1" s="2242"/>
      <c r="M1" s="2242"/>
      <c r="N1" s="2242"/>
      <c r="O1" s="2242"/>
      <c r="P1" s="2242"/>
      <c r="Q1" s="2242"/>
      <c r="R1" s="2242"/>
      <c r="S1" s="2242"/>
      <c r="T1" s="2242"/>
      <c r="U1" s="2242"/>
      <c r="V1" s="2242"/>
      <c r="W1" s="2242"/>
      <c r="X1" s="2242"/>
      <c r="Y1" s="2242"/>
      <c r="BO1" s="628" t="s">
        <v>29</v>
      </c>
      <c r="BP1" s="629" t="s">
        <v>336</v>
      </c>
    </row>
    <row r="2" spans="1:68" ht="15" customHeight="1" x14ac:dyDescent="0.2">
      <c r="A2" s="2244"/>
      <c r="B2" s="2245"/>
      <c r="C2" s="2245"/>
      <c r="D2" s="2245"/>
      <c r="E2" s="2245"/>
      <c r="F2" s="2245"/>
      <c r="G2" s="2245"/>
      <c r="H2" s="2245"/>
      <c r="I2" s="2245"/>
      <c r="J2" s="2245"/>
      <c r="K2" s="2245"/>
      <c r="L2" s="2245"/>
      <c r="M2" s="2245"/>
      <c r="N2" s="2245"/>
      <c r="O2" s="2245"/>
      <c r="P2" s="2245"/>
      <c r="Q2" s="2245"/>
      <c r="R2" s="2245"/>
      <c r="S2" s="2245"/>
      <c r="T2" s="2245"/>
      <c r="U2" s="2245"/>
      <c r="V2" s="2245"/>
      <c r="W2" s="2245"/>
      <c r="X2" s="2245"/>
      <c r="Y2" s="2245"/>
      <c r="BO2" s="631" t="s">
        <v>30</v>
      </c>
      <c r="BP2" s="632">
        <v>6</v>
      </c>
    </row>
    <row r="3" spans="1:68" ht="15" customHeight="1" x14ac:dyDescent="0.2">
      <c r="A3" s="2244"/>
      <c r="B3" s="2245"/>
      <c r="C3" s="2245"/>
      <c r="D3" s="2245"/>
      <c r="E3" s="2245"/>
      <c r="F3" s="2245"/>
      <c r="G3" s="2245"/>
      <c r="H3" s="2245"/>
      <c r="I3" s="2245"/>
      <c r="J3" s="2245"/>
      <c r="K3" s="2245"/>
      <c r="L3" s="2245"/>
      <c r="M3" s="2245"/>
      <c r="N3" s="2245"/>
      <c r="O3" s="2245"/>
      <c r="P3" s="2245"/>
      <c r="Q3" s="2245"/>
      <c r="R3" s="2245"/>
      <c r="S3" s="2245"/>
      <c r="T3" s="2245"/>
      <c r="U3" s="2245"/>
      <c r="V3" s="2245"/>
      <c r="W3" s="2245"/>
      <c r="X3" s="2245"/>
      <c r="Y3" s="2245"/>
      <c r="BO3" s="631" t="s">
        <v>32</v>
      </c>
      <c r="BP3" s="633" t="s">
        <v>33</v>
      </c>
    </row>
    <row r="4" spans="1:68" ht="15" customHeight="1" x14ac:dyDescent="0.2">
      <c r="A4" s="2247"/>
      <c r="B4" s="2248"/>
      <c r="C4" s="2248"/>
      <c r="D4" s="2248"/>
      <c r="E4" s="2248"/>
      <c r="F4" s="2248"/>
      <c r="G4" s="2248"/>
      <c r="H4" s="2248"/>
      <c r="I4" s="2248"/>
      <c r="J4" s="2248"/>
      <c r="K4" s="2248"/>
      <c r="L4" s="2248"/>
      <c r="M4" s="2248"/>
      <c r="N4" s="2248"/>
      <c r="O4" s="2248"/>
      <c r="P4" s="2248"/>
      <c r="Q4" s="2248"/>
      <c r="R4" s="2248"/>
      <c r="S4" s="2248"/>
      <c r="T4" s="2248"/>
      <c r="U4" s="2248"/>
      <c r="V4" s="2248"/>
      <c r="W4" s="2248"/>
      <c r="X4" s="2248"/>
      <c r="Y4" s="2248"/>
      <c r="BO4" s="631" t="s">
        <v>34</v>
      </c>
      <c r="BP4" s="634" t="s">
        <v>339</v>
      </c>
    </row>
    <row r="5" spans="1:68" s="1" customFormat="1" ht="36" customHeight="1" x14ac:dyDescent="0.2">
      <c r="A5" s="2257" t="s">
        <v>39</v>
      </c>
      <c r="B5" s="2259" t="s">
        <v>40</v>
      </c>
      <c r="C5" s="2260"/>
      <c r="D5" s="2260" t="s">
        <v>39</v>
      </c>
      <c r="E5" s="2259" t="s">
        <v>41</v>
      </c>
      <c r="F5" s="2260"/>
      <c r="G5" s="2260" t="s">
        <v>39</v>
      </c>
      <c r="H5" s="2239" t="s">
        <v>579</v>
      </c>
      <c r="I5" s="2259" t="s">
        <v>43</v>
      </c>
      <c r="J5" s="2239" t="s">
        <v>44</v>
      </c>
      <c r="K5" s="2259" t="s">
        <v>45</v>
      </c>
      <c r="L5" s="2260"/>
      <c r="M5" s="2239" t="s">
        <v>46</v>
      </c>
      <c r="N5" s="2239" t="s">
        <v>47</v>
      </c>
      <c r="O5" s="2239" t="s">
        <v>37</v>
      </c>
      <c r="P5" s="2285" t="s">
        <v>48</v>
      </c>
      <c r="Q5" s="2287" t="s">
        <v>49</v>
      </c>
      <c r="R5" s="2259" t="s">
        <v>50</v>
      </c>
      <c r="S5" s="2259" t="s">
        <v>51</v>
      </c>
      <c r="T5" s="2239" t="s">
        <v>52</v>
      </c>
      <c r="U5" s="2289" t="s">
        <v>49</v>
      </c>
      <c r="V5" s="2289"/>
      <c r="W5" s="2289"/>
      <c r="X5" s="557"/>
      <c r="Y5" s="2239" t="s">
        <v>53</v>
      </c>
      <c r="Z5" s="3176" t="s">
        <v>54</v>
      </c>
      <c r="AA5" s="3177"/>
      <c r="AB5" s="3177"/>
      <c r="AC5" s="3178"/>
      <c r="AD5" s="2561" t="s">
        <v>55</v>
      </c>
      <c r="AE5" s="3169"/>
      <c r="AF5" s="3169"/>
      <c r="AG5" s="3169"/>
      <c r="AH5" s="3169"/>
      <c r="AI5" s="3169"/>
      <c r="AJ5" s="3169"/>
      <c r="AK5" s="2562"/>
      <c r="AL5" s="3168" t="s">
        <v>56</v>
      </c>
      <c r="AM5" s="3168"/>
      <c r="AN5" s="3168"/>
      <c r="AO5" s="3168"/>
      <c r="AP5" s="3168"/>
      <c r="AQ5" s="3168"/>
      <c r="AR5" s="3168"/>
      <c r="AS5" s="3168"/>
      <c r="AT5" s="3168"/>
      <c r="AU5" s="3168"/>
      <c r="AV5" s="3168"/>
      <c r="AW5" s="3168"/>
      <c r="AX5" s="2561" t="s">
        <v>57</v>
      </c>
      <c r="AY5" s="3169"/>
      <c r="AZ5" s="3169"/>
      <c r="BA5" s="3169"/>
      <c r="BB5" s="3169"/>
      <c r="BC5" s="2562"/>
      <c r="BD5" s="3534" t="s">
        <v>58</v>
      </c>
      <c r="BE5" s="3534"/>
      <c r="BF5" s="3180" t="s">
        <v>335</v>
      </c>
      <c r="BG5" s="3181"/>
      <c r="BH5" s="3181"/>
      <c r="BI5" s="3181"/>
      <c r="BJ5" s="3181"/>
      <c r="BK5" s="3182"/>
      <c r="BL5" s="2397" t="s">
        <v>59</v>
      </c>
      <c r="BM5" s="2398"/>
      <c r="BN5" s="2397" t="s">
        <v>60</v>
      </c>
      <c r="BO5" s="2398"/>
      <c r="BP5" s="2564" t="s">
        <v>61</v>
      </c>
    </row>
    <row r="6" spans="1:68" s="1" customFormat="1" ht="127.5" customHeight="1" x14ac:dyDescent="0.2">
      <c r="A6" s="2258"/>
      <c r="B6" s="2261"/>
      <c r="C6" s="2262"/>
      <c r="D6" s="2262"/>
      <c r="E6" s="2261"/>
      <c r="F6" s="2262"/>
      <c r="G6" s="2262"/>
      <c r="H6" s="2240"/>
      <c r="I6" s="2261"/>
      <c r="J6" s="2240"/>
      <c r="K6" s="2417"/>
      <c r="L6" s="2418"/>
      <c r="M6" s="2240"/>
      <c r="N6" s="2240"/>
      <c r="O6" s="2240"/>
      <c r="P6" s="2286"/>
      <c r="Q6" s="2288"/>
      <c r="R6" s="2261"/>
      <c r="S6" s="2261"/>
      <c r="T6" s="2240"/>
      <c r="U6" s="2269" t="s">
        <v>581</v>
      </c>
      <c r="V6" s="2269" t="s">
        <v>150</v>
      </c>
      <c r="W6" s="2269" t="s">
        <v>582</v>
      </c>
      <c r="X6" s="558"/>
      <c r="Y6" s="2240"/>
      <c r="Z6" s="2281" t="s">
        <v>63</v>
      </c>
      <c r="AA6" s="2282"/>
      <c r="AB6" s="2281" t="s">
        <v>64</v>
      </c>
      <c r="AC6" s="2282"/>
      <c r="AD6" s="2283" t="s">
        <v>65</v>
      </c>
      <c r="AE6" s="2284"/>
      <c r="AF6" s="2283" t="s">
        <v>66</v>
      </c>
      <c r="AG6" s="2284"/>
      <c r="AH6" s="2283" t="s">
        <v>331</v>
      </c>
      <c r="AI6" s="2284"/>
      <c r="AJ6" s="2283" t="s">
        <v>68</v>
      </c>
      <c r="AK6" s="2284"/>
      <c r="AL6" s="2298" t="s">
        <v>69</v>
      </c>
      <c r="AM6" s="2298"/>
      <c r="AN6" s="2298" t="s">
        <v>70</v>
      </c>
      <c r="AO6" s="2298"/>
      <c r="AP6" s="2298" t="s">
        <v>71</v>
      </c>
      <c r="AQ6" s="2298"/>
      <c r="AR6" s="2298" t="s">
        <v>72</v>
      </c>
      <c r="AS6" s="2298"/>
      <c r="AT6" s="2298" t="s">
        <v>73</v>
      </c>
      <c r="AU6" s="2298"/>
      <c r="AV6" s="2298" t="s">
        <v>74</v>
      </c>
      <c r="AW6" s="2298"/>
      <c r="AX6" s="2283" t="s">
        <v>75</v>
      </c>
      <c r="AY6" s="2284"/>
      <c r="AZ6" s="2283" t="s">
        <v>76</v>
      </c>
      <c r="BA6" s="2284"/>
      <c r="BB6" s="2283" t="s">
        <v>77</v>
      </c>
      <c r="BC6" s="2284"/>
      <c r="BD6" s="2299"/>
      <c r="BE6" s="2299"/>
      <c r="BF6" s="3171" t="s">
        <v>152</v>
      </c>
      <c r="BG6" s="3174" t="s">
        <v>153</v>
      </c>
      <c r="BH6" s="3171" t="s">
        <v>154</v>
      </c>
      <c r="BI6" s="3538" t="s">
        <v>155</v>
      </c>
      <c r="BJ6" s="3171" t="s">
        <v>156</v>
      </c>
      <c r="BK6" s="3172" t="s">
        <v>157</v>
      </c>
      <c r="BL6" s="2266"/>
      <c r="BM6" s="2267"/>
      <c r="BN6" s="2266"/>
      <c r="BO6" s="2267"/>
      <c r="BP6" s="2268"/>
    </row>
    <row r="7" spans="1:68" s="1" customFormat="1" ht="45.75" customHeight="1" x14ac:dyDescent="0.2">
      <c r="A7" s="2258"/>
      <c r="B7" s="2261"/>
      <c r="C7" s="2262"/>
      <c r="D7" s="2262"/>
      <c r="E7" s="2261"/>
      <c r="F7" s="2262"/>
      <c r="G7" s="2262"/>
      <c r="H7" s="2263"/>
      <c r="I7" s="2261"/>
      <c r="J7" s="2240"/>
      <c r="K7" s="559" t="s">
        <v>158</v>
      </c>
      <c r="L7" s="725" t="s">
        <v>159</v>
      </c>
      <c r="M7" s="2240"/>
      <c r="N7" s="2240"/>
      <c r="O7" s="2240"/>
      <c r="P7" s="2286"/>
      <c r="Q7" s="2288"/>
      <c r="R7" s="2261"/>
      <c r="S7" s="2261"/>
      <c r="T7" s="2240"/>
      <c r="U7" s="2270"/>
      <c r="V7" s="2270"/>
      <c r="W7" s="2270"/>
      <c r="X7" s="558" t="s">
        <v>39</v>
      </c>
      <c r="Y7" s="2240"/>
      <c r="Z7" s="642" t="s">
        <v>158</v>
      </c>
      <c r="AA7" s="642" t="s">
        <v>159</v>
      </c>
      <c r="AB7" s="642" t="s">
        <v>158</v>
      </c>
      <c r="AC7" s="642" t="s">
        <v>159</v>
      </c>
      <c r="AD7" s="642" t="s">
        <v>158</v>
      </c>
      <c r="AE7" s="642" t="s">
        <v>159</v>
      </c>
      <c r="AF7" s="642" t="s">
        <v>158</v>
      </c>
      <c r="AG7" s="642" t="s">
        <v>159</v>
      </c>
      <c r="AH7" s="642" t="s">
        <v>158</v>
      </c>
      <c r="AI7" s="642" t="s">
        <v>159</v>
      </c>
      <c r="AJ7" s="642" t="s">
        <v>158</v>
      </c>
      <c r="AK7" s="642" t="s">
        <v>159</v>
      </c>
      <c r="AL7" s="642" t="s">
        <v>158</v>
      </c>
      <c r="AM7" s="642" t="s">
        <v>159</v>
      </c>
      <c r="AN7" s="642" t="s">
        <v>158</v>
      </c>
      <c r="AO7" s="642" t="s">
        <v>159</v>
      </c>
      <c r="AP7" s="642" t="s">
        <v>158</v>
      </c>
      <c r="AQ7" s="642" t="s">
        <v>159</v>
      </c>
      <c r="AR7" s="642" t="s">
        <v>158</v>
      </c>
      <c r="AS7" s="642" t="s">
        <v>159</v>
      </c>
      <c r="AT7" s="642" t="s">
        <v>158</v>
      </c>
      <c r="AU7" s="642" t="s">
        <v>159</v>
      </c>
      <c r="AV7" s="642" t="s">
        <v>158</v>
      </c>
      <c r="AW7" s="642" t="s">
        <v>159</v>
      </c>
      <c r="AX7" s="642" t="s">
        <v>158</v>
      </c>
      <c r="AY7" s="642" t="s">
        <v>159</v>
      </c>
      <c r="AZ7" s="642" t="s">
        <v>158</v>
      </c>
      <c r="BA7" s="642" t="s">
        <v>159</v>
      </c>
      <c r="BB7" s="642" t="s">
        <v>158</v>
      </c>
      <c r="BC7" s="642" t="s">
        <v>159</v>
      </c>
      <c r="BD7" s="642" t="s">
        <v>158</v>
      </c>
      <c r="BE7" s="642" t="s">
        <v>159</v>
      </c>
      <c r="BF7" s="3171"/>
      <c r="BG7" s="3174"/>
      <c r="BH7" s="3171"/>
      <c r="BI7" s="3538"/>
      <c r="BJ7" s="3171"/>
      <c r="BK7" s="3173"/>
      <c r="BL7" s="642" t="s">
        <v>158</v>
      </c>
      <c r="BM7" s="642" t="s">
        <v>159</v>
      </c>
      <c r="BN7" s="642" t="s">
        <v>158</v>
      </c>
      <c r="BO7" s="642" t="s">
        <v>159</v>
      </c>
      <c r="BP7" s="2268"/>
    </row>
    <row r="8" spans="1:68" s="1" customFormat="1" ht="15.75" x14ac:dyDescent="0.2">
      <c r="A8" s="340">
        <v>1</v>
      </c>
      <c r="B8" s="27" t="s">
        <v>617</v>
      </c>
      <c r="C8" s="726"/>
      <c r="D8" s="29"/>
      <c r="E8" s="28"/>
      <c r="F8" s="28"/>
      <c r="G8" s="28"/>
      <c r="H8" s="28"/>
      <c r="I8" s="28"/>
      <c r="J8" s="28"/>
      <c r="K8" s="727"/>
      <c r="L8" s="728"/>
      <c r="M8" s="729"/>
      <c r="N8" s="727"/>
      <c r="O8" s="730"/>
      <c r="P8" s="731"/>
      <c r="Q8" s="732"/>
      <c r="R8" s="733"/>
      <c r="S8" s="733"/>
      <c r="T8" s="733"/>
      <c r="U8" s="734"/>
      <c r="V8" s="734"/>
      <c r="W8" s="734"/>
      <c r="X8" s="735"/>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27"/>
      <c r="AY8" s="727"/>
      <c r="AZ8" s="727"/>
      <c r="BA8" s="727"/>
      <c r="BB8" s="727"/>
      <c r="BC8" s="727"/>
      <c r="BD8" s="727"/>
      <c r="BE8" s="727"/>
      <c r="BF8" s="727"/>
      <c r="BG8" s="727"/>
      <c r="BH8" s="727"/>
      <c r="BI8" s="736"/>
      <c r="BJ8" s="727"/>
      <c r="BK8" s="727"/>
      <c r="BL8" s="737"/>
      <c r="BM8" s="737"/>
      <c r="BN8" s="737"/>
      <c r="BO8" s="737"/>
      <c r="BP8" s="738"/>
    </row>
    <row r="9" spans="1:68" s="1" customFormat="1" ht="21.75" customHeight="1" x14ac:dyDescent="0.2">
      <c r="A9" s="739"/>
      <c r="B9" s="740"/>
      <c r="C9" s="741"/>
      <c r="D9" s="742">
        <v>15</v>
      </c>
      <c r="E9" s="743" t="s">
        <v>622</v>
      </c>
      <c r="F9" s="744"/>
      <c r="G9" s="745"/>
      <c r="H9" s="745"/>
      <c r="I9" s="46"/>
      <c r="J9" s="743"/>
      <c r="K9" s="746"/>
      <c r="L9" s="747"/>
      <c r="M9" s="748"/>
      <c r="N9" s="749"/>
      <c r="O9" s="750"/>
      <c r="P9" s="751"/>
      <c r="Q9" s="752"/>
      <c r="R9" s="753"/>
      <c r="S9" s="753"/>
      <c r="T9" s="754">
        <f>U13+U24</f>
        <v>295128524</v>
      </c>
      <c r="U9" s="755">
        <f>U10+U13</f>
        <v>2549543599.96</v>
      </c>
      <c r="V9" s="755"/>
      <c r="W9" s="755"/>
      <c r="X9" s="756"/>
      <c r="Y9" s="115"/>
      <c r="Z9" s="749"/>
      <c r="AA9" s="749"/>
      <c r="AB9" s="749"/>
      <c r="AC9" s="749"/>
      <c r="AD9" s="749"/>
      <c r="AE9" s="749"/>
      <c r="AF9" s="749"/>
      <c r="AG9" s="749"/>
      <c r="AH9" s="749"/>
      <c r="AI9" s="749"/>
      <c r="AJ9" s="749"/>
      <c r="AK9" s="749"/>
      <c r="AL9" s="749"/>
      <c r="AM9" s="749"/>
      <c r="AN9" s="749"/>
      <c r="AO9" s="749"/>
      <c r="AP9" s="749"/>
      <c r="AQ9" s="749"/>
      <c r="AR9" s="749"/>
      <c r="AS9" s="749"/>
      <c r="AT9" s="749"/>
      <c r="AU9" s="749"/>
      <c r="AV9" s="749"/>
      <c r="AW9" s="749"/>
      <c r="AX9" s="749"/>
      <c r="AY9" s="749"/>
      <c r="AZ9" s="749"/>
      <c r="BA9" s="749"/>
      <c r="BB9" s="749"/>
      <c r="BC9" s="749"/>
      <c r="BD9" s="749"/>
      <c r="BE9" s="749"/>
      <c r="BF9" s="749"/>
      <c r="BG9" s="749"/>
      <c r="BH9" s="749"/>
      <c r="BI9" s="757"/>
      <c r="BJ9" s="749"/>
      <c r="BK9" s="749"/>
      <c r="BL9" s="758"/>
      <c r="BM9" s="758"/>
      <c r="BN9" s="758"/>
      <c r="BO9" s="758"/>
      <c r="BP9" s="759"/>
    </row>
    <row r="10" spans="1:68" s="768" customFormat="1" ht="26.25" customHeight="1" x14ac:dyDescent="0.2">
      <c r="A10" s="760"/>
      <c r="B10" s="761"/>
      <c r="C10" s="536"/>
      <c r="D10" s="762"/>
      <c r="E10" s="763"/>
      <c r="F10" s="764"/>
      <c r="G10" s="2306">
        <v>2201033</v>
      </c>
      <c r="H10" s="2460">
        <v>15.13</v>
      </c>
      <c r="I10" s="2413" t="s">
        <v>623</v>
      </c>
      <c r="J10" s="2669" t="s">
        <v>624</v>
      </c>
      <c r="K10" s="2315">
        <v>9000</v>
      </c>
      <c r="L10" s="3529">
        <v>6750</v>
      </c>
      <c r="M10" s="3532" t="s">
        <v>625</v>
      </c>
      <c r="N10" s="2315" t="s">
        <v>626</v>
      </c>
      <c r="O10" s="2929" t="s">
        <v>627</v>
      </c>
      <c r="P10" s="2854">
        <f>SUM(U10:U13)/Q10</f>
        <v>0.28203472162736021</v>
      </c>
      <c r="Q10" s="3537">
        <f>SUM(U10:U24)</f>
        <v>20161748384.629997</v>
      </c>
      <c r="R10" s="3007" t="s">
        <v>628</v>
      </c>
      <c r="S10" s="3539" t="s">
        <v>629</v>
      </c>
      <c r="T10" s="2512" t="s">
        <v>630</v>
      </c>
      <c r="U10" s="765">
        <v>2289589042</v>
      </c>
      <c r="V10" s="766">
        <v>1277519050</v>
      </c>
      <c r="W10" s="766">
        <v>919455336</v>
      </c>
      <c r="X10" s="579">
        <v>35</v>
      </c>
      <c r="Y10" s="538" t="s">
        <v>631</v>
      </c>
      <c r="Z10" s="3540">
        <v>20196</v>
      </c>
      <c r="AA10" s="3535">
        <v>19390.222222222223</v>
      </c>
      <c r="AB10" s="3535">
        <v>20595</v>
      </c>
      <c r="AC10" s="3535">
        <v>19836</v>
      </c>
      <c r="AD10" s="3535">
        <v>29775</v>
      </c>
      <c r="AE10" s="3535">
        <v>28890</v>
      </c>
      <c r="AF10" s="3535">
        <v>9453</v>
      </c>
      <c r="AG10" s="3535">
        <v>9117.4444444444453</v>
      </c>
      <c r="AH10" s="3535">
        <v>1396</v>
      </c>
      <c r="AI10" s="3535">
        <v>1123.3333333333333</v>
      </c>
      <c r="AJ10" s="3535">
        <v>167</v>
      </c>
      <c r="AK10" s="3535">
        <v>95</v>
      </c>
      <c r="AL10" s="3535">
        <v>274</v>
      </c>
      <c r="AM10" s="3535">
        <v>290.22222222222223</v>
      </c>
      <c r="AN10" s="3535">
        <v>329</v>
      </c>
      <c r="AO10" s="3535">
        <v>332.22222222222223</v>
      </c>
      <c r="AP10" s="3535">
        <v>0</v>
      </c>
      <c r="AQ10" s="3535">
        <v>0</v>
      </c>
      <c r="AR10" s="3535">
        <v>0</v>
      </c>
      <c r="AS10" s="3535">
        <v>0</v>
      </c>
      <c r="AT10" s="3535">
        <v>0</v>
      </c>
      <c r="AU10" s="3535">
        <v>0</v>
      </c>
      <c r="AV10" s="3535">
        <v>0</v>
      </c>
      <c r="AW10" s="3535">
        <v>0</v>
      </c>
      <c r="AX10" s="3535">
        <v>3097</v>
      </c>
      <c r="AY10" s="3535">
        <v>3256.4444444444443</v>
      </c>
      <c r="AZ10" s="3535">
        <v>2611</v>
      </c>
      <c r="BA10" s="3535">
        <v>2467.8888888888887</v>
      </c>
      <c r="BB10" s="3535">
        <v>50</v>
      </c>
      <c r="BC10" s="3535">
        <v>112.88888888888889</v>
      </c>
      <c r="BD10" s="3535">
        <f>+Z10+AB10</f>
        <v>40791</v>
      </c>
      <c r="BE10" s="3553">
        <f>SUM(AA10+AC10)</f>
        <v>39226.222222222219</v>
      </c>
      <c r="BF10" s="3553">
        <v>20</v>
      </c>
      <c r="BG10" s="3553">
        <f>SUM(V10:V24)</f>
        <v>17582161779</v>
      </c>
      <c r="BH10" s="3553">
        <f>SUM(W10:W24)</f>
        <v>10616769645</v>
      </c>
      <c r="BI10" s="3555">
        <f>(+BH10/Q10)</f>
        <v>0.52657981056313219</v>
      </c>
      <c r="BJ10" s="546" t="s">
        <v>632</v>
      </c>
      <c r="BK10" s="767"/>
      <c r="BL10" s="3557">
        <v>43832</v>
      </c>
      <c r="BM10" s="3558">
        <v>43832</v>
      </c>
      <c r="BN10" s="2838">
        <v>44195</v>
      </c>
      <c r="BO10" s="2838">
        <v>44195</v>
      </c>
      <c r="BP10" s="3548" t="s">
        <v>633</v>
      </c>
    </row>
    <row r="11" spans="1:68" s="768" customFormat="1" ht="26.25" customHeight="1" x14ac:dyDescent="0.2">
      <c r="A11" s="760"/>
      <c r="B11" s="761"/>
      <c r="C11" s="536"/>
      <c r="E11" s="769"/>
      <c r="F11" s="770"/>
      <c r="G11" s="2307"/>
      <c r="H11" s="2461"/>
      <c r="I11" s="2413"/>
      <c r="J11" s="2670"/>
      <c r="K11" s="2315"/>
      <c r="L11" s="3530"/>
      <c r="M11" s="3533"/>
      <c r="N11" s="2315"/>
      <c r="O11" s="2993"/>
      <c r="P11" s="2854"/>
      <c r="Q11" s="3537"/>
      <c r="R11" s="3008"/>
      <c r="S11" s="2906"/>
      <c r="T11" s="2512"/>
      <c r="U11" s="771">
        <v>1671668475</v>
      </c>
      <c r="V11" s="772">
        <v>1454488402</v>
      </c>
      <c r="W11" s="772">
        <f>1441524678+12583343</f>
        <v>1454108021</v>
      </c>
      <c r="X11" s="773">
        <v>20</v>
      </c>
      <c r="Y11" s="539" t="s">
        <v>634</v>
      </c>
      <c r="Z11" s="3541"/>
      <c r="AA11" s="3536"/>
      <c r="AB11" s="3536"/>
      <c r="AC11" s="3536"/>
      <c r="AD11" s="3536"/>
      <c r="AE11" s="3536"/>
      <c r="AF11" s="3536"/>
      <c r="AG11" s="3536"/>
      <c r="AH11" s="3536"/>
      <c r="AI11" s="3536"/>
      <c r="AJ11" s="3536">
        <v>167</v>
      </c>
      <c r="AK11" s="3536"/>
      <c r="AL11" s="3536">
        <v>274</v>
      </c>
      <c r="AM11" s="3536"/>
      <c r="AN11" s="3536"/>
      <c r="AO11" s="3536"/>
      <c r="AP11" s="3536"/>
      <c r="AQ11" s="3536"/>
      <c r="AR11" s="3536"/>
      <c r="AS11" s="3536"/>
      <c r="AT11" s="3536"/>
      <c r="AU11" s="3536"/>
      <c r="AV11" s="3536"/>
      <c r="AW11" s="3536"/>
      <c r="AX11" s="3536"/>
      <c r="AY11" s="3536"/>
      <c r="AZ11" s="3536"/>
      <c r="BA11" s="3536"/>
      <c r="BB11" s="3536"/>
      <c r="BC11" s="3536"/>
      <c r="BD11" s="3536"/>
      <c r="BE11" s="3554"/>
      <c r="BF11" s="3554"/>
      <c r="BG11" s="3554"/>
      <c r="BH11" s="3554"/>
      <c r="BI11" s="3556"/>
      <c r="BJ11" s="546" t="s">
        <v>635</v>
      </c>
      <c r="BK11" s="774" t="s">
        <v>636</v>
      </c>
      <c r="BL11" s="3557"/>
      <c r="BM11" s="3559"/>
      <c r="BN11" s="2839"/>
      <c r="BO11" s="2839"/>
      <c r="BP11" s="3549"/>
    </row>
    <row r="12" spans="1:68" s="768" customFormat="1" ht="31.5" customHeight="1" x14ac:dyDescent="0.2">
      <c r="A12" s="760"/>
      <c r="B12" s="761"/>
      <c r="C12" s="536"/>
      <c r="E12" s="769"/>
      <c r="F12" s="770"/>
      <c r="G12" s="2307"/>
      <c r="H12" s="2461"/>
      <c r="I12" s="2493"/>
      <c r="J12" s="2670"/>
      <c r="K12" s="2315"/>
      <c r="L12" s="3530"/>
      <c r="M12" s="3533"/>
      <c r="N12" s="2315"/>
      <c r="O12" s="2993"/>
      <c r="P12" s="2854"/>
      <c r="Q12" s="3537"/>
      <c r="R12" s="3008"/>
      <c r="S12" s="2906"/>
      <c r="T12" s="2512"/>
      <c r="U12" s="765">
        <v>1465101018.22</v>
      </c>
      <c r="V12" s="775">
        <v>1200948447</v>
      </c>
      <c r="W12" s="775">
        <v>335847029</v>
      </c>
      <c r="X12" s="538">
        <v>88</v>
      </c>
      <c r="Y12" s="538" t="s">
        <v>637</v>
      </c>
      <c r="Z12" s="3541"/>
      <c r="AA12" s="3536"/>
      <c r="AB12" s="3536"/>
      <c r="AC12" s="3536"/>
      <c r="AD12" s="3536"/>
      <c r="AE12" s="3536"/>
      <c r="AF12" s="3536"/>
      <c r="AG12" s="3536"/>
      <c r="AH12" s="3536"/>
      <c r="AI12" s="3536"/>
      <c r="AJ12" s="3536">
        <v>167</v>
      </c>
      <c r="AK12" s="3536"/>
      <c r="AL12" s="3536">
        <v>274</v>
      </c>
      <c r="AM12" s="3536"/>
      <c r="AN12" s="3536"/>
      <c r="AO12" s="3536"/>
      <c r="AP12" s="3536"/>
      <c r="AQ12" s="3536"/>
      <c r="AR12" s="3536"/>
      <c r="AS12" s="3536"/>
      <c r="AT12" s="3536"/>
      <c r="AU12" s="3536"/>
      <c r="AV12" s="3536"/>
      <c r="AW12" s="3536"/>
      <c r="AX12" s="3536"/>
      <c r="AY12" s="3536"/>
      <c r="AZ12" s="3536"/>
      <c r="BA12" s="3536"/>
      <c r="BB12" s="3536"/>
      <c r="BC12" s="3536"/>
      <c r="BD12" s="3536"/>
      <c r="BE12" s="3554"/>
      <c r="BF12" s="3554"/>
      <c r="BG12" s="3554"/>
      <c r="BH12" s="3554"/>
      <c r="BI12" s="3556"/>
      <c r="BJ12" s="546" t="s">
        <v>7</v>
      </c>
      <c r="BK12" s="774"/>
      <c r="BL12" s="3557"/>
      <c r="BM12" s="3559"/>
      <c r="BN12" s="2839"/>
      <c r="BO12" s="2839"/>
      <c r="BP12" s="3549"/>
    </row>
    <row r="13" spans="1:68" s="768" customFormat="1" ht="24.75" customHeight="1" x14ac:dyDescent="0.2">
      <c r="A13" s="760"/>
      <c r="B13" s="761"/>
      <c r="C13" s="536"/>
      <c r="E13" s="769"/>
      <c r="F13" s="770"/>
      <c r="G13" s="2307"/>
      <c r="H13" s="2461"/>
      <c r="I13" s="2493"/>
      <c r="J13" s="2670"/>
      <c r="K13" s="2315"/>
      <c r="L13" s="3531"/>
      <c r="M13" s="3533"/>
      <c r="N13" s="2315"/>
      <c r="O13" s="2993"/>
      <c r="P13" s="2854"/>
      <c r="Q13" s="3537"/>
      <c r="R13" s="3008"/>
      <c r="S13" s="2906"/>
      <c r="T13" s="2512"/>
      <c r="U13" s="771">
        <v>259954557.96000001</v>
      </c>
      <c r="V13" s="771">
        <v>30058150</v>
      </c>
      <c r="W13" s="771">
        <v>0</v>
      </c>
      <c r="X13" s="538">
        <v>91</v>
      </c>
      <c r="Y13" s="538" t="s">
        <v>638</v>
      </c>
      <c r="Z13" s="3541"/>
      <c r="AA13" s="3536"/>
      <c r="AB13" s="3536"/>
      <c r="AC13" s="3536"/>
      <c r="AD13" s="3536"/>
      <c r="AE13" s="3536"/>
      <c r="AF13" s="3536"/>
      <c r="AG13" s="3536"/>
      <c r="AH13" s="3536"/>
      <c r="AI13" s="3536"/>
      <c r="AJ13" s="3536">
        <v>167</v>
      </c>
      <c r="AK13" s="3536"/>
      <c r="AL13" s="3536">
        <v>274</v>
      </c>
      <c r="AM13" s="3536"/>
      <c r="AN13" s="3536"/>
      <c r="AO13" s="3536"/>
      <c r="AP13" s="3536"/>
      <c r="AQ13" s="3536"/>
      <c r="AR13" s="3536"/>
      <c r="AS13" s="3536"/>
      <c r="AT13" s="3536"/>
      <c r="AU13" s="3536"/>
      <c r="AV13" s="3536"/>
      <c r="AW13" s="3536"/>
      <c r="AX13" s="3536"/>
      <c r="AY13" s="3536"/>
      <c r="AZ13" s="3536"/>
      <c r="BA13" s="3536"/>
      <c r="BB13" s="3536"/>
      <c r="BC13" s="3536"/>
      <c r="BD13" s="3536"/>
      <c r="BE13" s="3554"/>
      <c r="BF13" s="3554"/>
      <c r="BG13" s="3554"/>
      <c r="BH13" s="3554"/>
      <c r="BI13" s="3556"/>
      <c r="BJ13" s="546" t="s">
        <v>4</v>
      </c>
      <c r="BK13" s="774" t="s">
        <v>639</v>
      </c>
      <c r="BL13" s="3557"/>
      <c r="BM13" s="3559"/>
      <c r="BN13" s="2839"/>
      <c r="BO13" s="2839"/>
      <c r="BP13" s="3549"/>
    </row>
    <row r="14" spans="1:68" s="768" customFormat="1" ht="42.75" x14ac:dyDescent="0.2">
      <c r="A14" s="760"/>
      <c r="B14" s="761"/>
      <c r="C14" s="536"/>
      <c r="E14" s="769"/>
      <c r="F14" s="769"/>
      <c r="G14" s="2343">
        <v>2201028</v>
      </c>
      <c r="H14" s="2343">
        <v>15.9</v>
      </c>
      <c r="I14" s="2413" t="s">
        <v>640</v>
      </c>
      <c r="J14" s="2512" t="s">
        <v>641</v>
      </c>
      <c r="K14" s="3550">
        <v>36000</v>
      </c>
      <c r="L14" s="3529">
        <v>28368</v>
      </c>
      <c r="M14" s="3533"/>
      <c r="N14" s="2315"/>
      <c r="O14" s="2993"/>
      <c r="P14" s="2854">
        <f>SUM(U14:U23)/Q10</f>
        <v>0.71622068929390637</v>
      </c>
      <c r="Q14" s="3537"/>
      <c r="R14" s="3008"/>
      <c r="S14" s="2906"/>
      <c r="T14" s="3551" t="s">
        <v>642</v>
      </c>
      <c r="U14" s="776">
        <v>10033103712</v>
      </c>
      <c r="V14" s="776">
        <v>10033103712</v>
      </c>
      <c r="W14" s="776">
        <v>7689825057</v>
      </c>
      <c r="X14" s="777">
        <v>81</v>
      </c>
      <c r="Y14" s="778" t="s">
        <v>643</v>
      </c>
      <c r="Z14" s="3541"/>
      <c r="AA14" s="3536"/>
      <c r="AB14" s="3536"/>
      <c r="AC14" s="3536"/>
      <c r="AD14" s="3536"/>
      <c r="AE14" s="3536"/>
      <c r="AF14" s="3536"/>
      <c r="AG14" s="3536"/>
      <c r="AH14" s="3536"/>
      <c r="AI14" s="3536"/>
      <c r="AJ14" s="3536">
        <v>167</v>
      </c>
      <c r="AK14" s="3536"/>
      <c r="AL14" s="3536">
        <v>274</v>
      </c>
      <c r="AM14" s="3536"/>
      <c r="AN14" s="3536"/>
      <c r="AO14" s="3536"/>
      <c r="AP14" s="3536"/>
      <c r="AQ14" s="3536"/>
      <c r="AR14" s="3536"/>
      <c r="AS14" s="3536"/>
      <c r="AT14" s="3536"/>
      <c r="AU14" s="3536"/>
      <c r="AV14" s="3536"/>
      <c r="AW14" s="3536"/>
      <c r="AX14" s="3536"/>
      <c r="AY14" s="3536"/>
      <c r="AZ14" s="3536"/>
      <c r="BA14" s="3536"/>
      <c r="BB14" s="3536"/>
      <c r="BC14" s="3536"/>
      <c r="BD14" s="3536"/>
      <c r="BE14" s="3554"/>
      <c r="BF14" s="3554"/>
      <c r="BG14" s="3554"/>
      <c r="BH14" s="3554"/>
      <c r="BI14" s="3556"/>
      <c r="BJ14" s="546" t="s">
        <v>7</v>
      </c>
      <c r="BK14" s="774"/>
      <c r="BL14" s="3557"/>
      <c r="BM14" s="3559"/>
      <c r="BN14" s="2839"/>
      <c r="BO14" s="2839"/>
      <c r="BP14" s="3549"/>
    </row>
    <row r="15" spans="1:68" s="768" customFormat="1" ht="30" x14ac:dyDescent="0.2">
      <c r="A15" s="760"/>
      <c r="B15" s="761"/>
      <c r="C15" s="536"/>
      <c r="E15" s="769"/>
      <c r="F15" s="769"/>
      <c r="G15" s="2343"/>
      <c r="H15" s="2343"/>
      <c r="I15" s="2413"/>
      <c r="J15" s="2512"/>
      <c r="K15" s="3550"/>
      <c r="L15" s="3530"/>
      <c r="M15" s="3533"/>
      <c r="N15" s="2315"/>
      <c r="O15" s="2993"/>
      <c r="P15" s="2854"/>
      <c r="Q15" s="3537"/>
      <c r="R15" s="3008"/>
      <c r="S15" s="2906"/>
      <c r="T15" s="3552"/>
      <c r="U15" s="779">
        <v>100000000</v>
      </c>
      <c r="V15" s="775">
        <v>100000000</v>
      </c>
      <c r="W15" s="775">
        <v>100000000</v>
      </c>
      <c r="X15" s="780">
        <v>81</v>
      </c>
      <c r="Y15" s="546" t="s">
        <v>644</v>
      </c>
      <c r="Z15" s="3541"/>
      <c r="AA15" s="3536"/>
      <c r="AB15" s="3536"/>
      <c r="AC15" s="3536"/>
      <c r="AD15" s="3536"/>
      <c r="AE15" s="3536"/>
      <c r="AF15" s="3536"/>
      <c r="AG15" s="3536"/>
      <c r="AH15" s="3536"/>
      <c r="AI15" s="3536"/>
      <c r="AJ15" s="3536"/>
      <c r="AK15" s="3536"/>
      <c r="AL15" s="3536"/>
      <c r="AM15" s="3536"/>
      <c r="AN15" s="3536"/>
      <c r="AO15" s="3536"/>
      <c r="AP15" s="3536"/>
      <c r="AQ15" s="3536"/>
      <c r="AR15" s="3536"/>
      <c r="AS15" s="3536"/>
      <c r="AT15" s="3536"/>
      <c r="AU15" s="3536"/>
      <c r="AV15" s="3536"/>
      <c r="AW15" s="3536"/>
      <c r="AX15" s="3536"/>
      <c r="AY15" s="3536"/>
      <c r="AZ15" s="3536"/>
      <c r="BA15" s="3536"/>
      <c r="BB15" s="3536"/>
      <c r="BC15" s="3536"/>
      <c r="BD15" s="3536"/>
      <c r="BE15" s="3554"/>
      <c r="BF15" s="3554"/>
      <c r="BG15" s="3554"/>
      <c r="BH15" s="3554"/>
      <c r="BI15" s="3556"/>
      <c r="BJ15" s="546" t="s">
        <v>645</v>
      </c>
      <c r="BK15" s="774" t="s">
        <v>646</v>
      </c>
      <c r="BL15" s="3557"/>
      <c r="BM15" s="3559"/>
      <c r="BN15" s="2839"/>
      <c r="BO15" s="2839"/>
      <c r="BP15" s="3549"/>
    </row>
    <row r="16" spans="1:68" s="768" customFormat="1" ht="69" customHeight="1" x14ac:dyDescent="0.2">
      <c r="A16" s="760"/>
      <c r="B16" s="761"/>
      <c r="C16" s="536"/>
      <c r="E16" s="769"/>
      <c r="F16" s="769"/>
      <c r="G16" s="2343"/>
      <c r="H16" s="2343"/>
      <c r="I16" s="2413"/>
      <c r="J16" s="2512"/>
      <c r="K16" s="3550"/>
      <c r="L16" s="3530"/>
      <c r="M16" s="3533"/>
      <c r="N16" s="2315"/>
      <c r="O16" s="2993"/>
      <c r="P16" s="2854"/>
      <c r="Q16" s="3537"/>
      <c r="R16" s="3008"/>
      <c r="S16" s="2906"/>
      <c r="T16" s="3552"/>
      <c r="U16" s="781">
        <v>7200000</v>
      </c>
      <c r="V16" s="776">
        <v>7200000</v>
      </c>
      <c r="W16" s="776">
        <v>7200000</v>
      </c>
      <c r="X16" s="782">
        <v>137</v>
      </c>
      <c r="Y16" s="546" t="s">
        <v>647</v>
      </c>
      <c r="Z16" s="3541"/>
      <c r="AA16" s="3536"/>
      <c r="AB16" s="3536"/>
      <c r="AC16" s="3536"/>
      <c r="AD16" s="3536"/>
      <c r="AE16" s="3536"/>
      <c r="AF16" s="3536"/>
      <c r="AG16" s="3536"/>
      <c r="AH16" s="3536"/>
      <c r="AI16" s="3536"/>
      <c r="AJ16" s="3536">
        <v>167</v>
      </c>
      <c r="AK16" s="3536"/>
      <c r="AL16" s="3536">
        <v>274</v>
      </c>
      <c r="AM16" s="3536"/>
      <c r="AN16" s="3536"/>
      <c r="AO16" s="3536"/>
      <c r="AP16" s="3536"/>
      <c r="AQ16" s="3536"/>
      <c r="AR16" s="3536"/>
      <c r="AS16" s="3536"/>
      <c r="AT16" s="3536"/>
      <c r="AU16" s="3536"/>
      <c r="AV16" s="3536"/>
      <c r="AW16" s="3536"/>
      <c r="AX16" s="3536"/>
      <c r="AY16" s="3536"/>
      <c r="AZ16" s="3536"/>
      <c r="BA16" s="3536"/>
      <c r="BB16" s="3536"/>
      <c r="BC16" s="3536"/>
      <c r="BD16" s="3536"/>
      <c r="BE16" s="3554"/>
      <c r="BF16" s="3554"/>
      <c r="BG16" s="3554"/>
      <c r="BH16" s="3554"/>
      <c r="BI16" s="3556"/>
      <c r="BJ16" s="546" t="s">
        <v>647</v>
      </c>
      <c r="BK16" s="774"/>
      <c r="BL16" s="3557"/>
      <c r="BM16" s="3559"/>
      <c r="BN16" s="2839"/>
      <c r="BO16" s="2839"/>
      <c r="BP16" s="3549"/>
    </row>
    <row r="17" spans="1:68" s="768" customFormat="1" ht="69.75" customHeight="1" x14ac:dyDescent="0.2">
      <c r="A17" s="760"/>
      <c r="B17" s="761"/>
      <c r="C17" s="536"/>
      <c r="E17" s="769"/>
      <c r="F17" s="769"/>
      <c r="G17" s="2343"/>
      <c r="H17" s="2343"/>
      <c r="I17" s="2413"/>
      <c r="J17" s="2512"/>
      <c r="K17" s="3550"/>
      <c r="L17" s="3530"/>
      <c r="M17" s="3533"/>
      <c r="N17" s="2315"/>
      <c r="O17" s="2993"/>
      <c r="P17" s="2854"/>
      <c r="Q17" s="3537"/>
      <c r="R17" s="3008"/>
      <c r="S17" s="2903"/>
      <c r="T17" s="597" t="s">
        <v>648</v>
      </c>
      <c r="U17" s="765">
        <v>286000000</v>
      </c>
      <c r="V17" s="783">
        <v>286000000</v>
      </c>
      <c r="W17" s="775">
        <v>73134202</v>
      </c>
      <c r="X17" s="784">
        <v>20</v>
      </c>
      <c r="Y17" s="785" t="s">
        <v>634</v>
      </c>
      <c r="Z17" s="3541"/>
      <c r="AA17" s="3536"/>
      <c r="AB17" s="3536"/>
      <c r="AC17" s="3536"/>
      <c r="AD17" s="3536"/>
      <c r="AE17" s="3536"/>
      <c r="AF17" s="3536"/>
      <c r="AG17" s="3536"/>
      <c r="AH17" s="3536"/>
      <c r="AI17" s="3536"/>
      <c r="AJ17" s="3536">
        <v>167</v>
      </c>
      <c r="AK17" s="3536"/>
      <c r="AL17" s="3536">
        <v>274</v>
      </c>
      <c r="AM17" s="3536"/>
      <c r="AN17" s="3536"/>
      <c r="AO17" s="3536"/>
      <c r="AP17" s="3536"/>
      <c r="AQ17" s="3536"/>
      <c r="AR17" s="3536"/>
      <c r="AS17" s="3536"/>
      <c r="AT17" s="3536"/>
      <c r="AU17" s="3536"/>
      <c r="AV17" s="3536"/>
      <c r="AW17" s="3536"/>
      <c r="AX17" s="3536"/>
      <c r="AY17" s="3536"/>
      <c r="AZ17" s="3536"/>
      <c r="BA17" s="3536"/>
      <c r="BB17" s="3536"/>
      <c r="BC17" s="3536"/>
      <c r="BD17" s="3536"/>
      <c r="BE17" s="3554"/>
      <c r="BF17" s="3554"/>
      <c r="BG17" s="3554"/>
      <c r="BH17" s="3554"/>
      <c r="BI17" s="3556"/>
      <c r="BJ17" s="608" t="s">
        <v>644</v>
      </c>
      <c r="BK17" s="774"/>
      <c r="BL17" s="3557"/>
      <c r="BM17" s="3559"/>
      <c r="BN17" s="2839"/>
      <c r="BO17" s="2839"/>
      <c r="BP17" s="3549"/>
    </row>
    <row r="18" spans="1:68" s="768" customFormat="1" ht="120" x14ac:dyDescent="0.2">
      <c r="A18" s="786"/>
      <c r="C18" s="787"/>
      <c r="G18" s="2343"/>
      <c r="H18" s="2343"/>
      <c r="I18" s="2413"/>
      <c r="J18" s="2512"/>
      <c r="K18" s="3550"/>
      <c r="L18" s="3530"/>
      <c r="M18" s="3533"/>
      <c r="N18" s="2315"/>
      <c r="O18" s="2993"/>
      <c r="P18" s="2854"/>
      <c r="Q18" s="3537"/>
      <c r="R18" s="3008"/>
      <c r="S18" s="2903"/>
      <c r="T18" s="2929" t="s">
        <v>649</v>
      </c>
      <c r="U18" s="779">
        <v>1966896288</v>
      </c>
      <c r="V18" s="775">
        <v>1149585842.55</v>
      </c>
      <c r="W18" s="775">
        <v>24027453.990000002</v>
      </c>
      <c r="X18" s="538">
        <v>81</v>
      </c>
      <c r="Y18" s="546" t="s">
        <v>647</v>
      </c>
      <c r="Z18" s="3541"/>
      <c r="AA18" s="3536"/>
      <c r="AB18" s="3536"/>
      <c r="AC18" s="3536"/>
      <c r="AD18" s="3536"/>
      <c r="AE18" s="3536"/>
      <c r="AF18" s="3536"/>
      <c r="AG18" s="3536"/>
      <c r="AH18" s="3536"/>
      <c r="AI18" s="3536"/>
      <c r="AJ18" s="3536">
        <v>167</v>
      </c>
      <c r="AK18" s="3536"/>
      <c r="AL18" s="3536">
        <v>274</v>
      </c>
      <c r="AM18" s="3536"/>
      <c r="AN18" s="3536"/>
      <c r="AO18" s="3536"/>
      <c r="AP18" s="3536"/>
      <c r="AQ18" s="3536"/>
      <c r="AR18" s="3536"/>
      <c r="AS18" s="3536"/>
      <c r="AT18" s="3536"/>
      <c r="AU18" s="3536"/>
      <c r="AV18" s="3536"/>
      <c r="AW18" s="3536"/>
      <c r="AX18" s="3536"/>
      <c r="AY18" s="3536"/>
      <c r="AZ18" s="3536"/>
      <c r="BA18" s="3536"/>
      <c r="BB18" s="3536"/>
      <c r="BC18" s="3536"/>
      <c r="BD18" s="3536"/>
      <c r="BE18" s="3554"/>
      <c r="BF18" s="3554"/>
      <c r="BG18" s="3554"/>
      <c r="BH18" s="3554"/>
      <c r="BI18" s="3556"/>
      <c r="BJ18" s="546" t="s">
        <v>647</v>
      </c>
      <c r="BK18" s="774"/>
      <c r="BL18" s="3557"/>
      <c r="BM18" s="3559"/>
      <c r="BN18" s="2839"/>
      <c r="BO18" s="2839"/>
      <c r="BP18" s="3549"/>
    </row>
    <row r="19" spans="1:68" s="768" customFormat="1" ht="34.5" customHeight="1" x14ac:dyDescent="0.2">
      <c r="A19" s="786"/>
      <c r="C19" s="787"/>
      <c r="G19" s="2343"/>
      <c r="H19" s="2343"/>
      <c r="I19" s="2413"/>
      <c r="J19" s="2512"/>
      <c r="K19" s="3550"/>
      <c r="L19" s="3530"/>
      <c r="M19" s="3533"/>
      <c r="N19" s="2315"/>
      <c r="O19" s="2993"/>
      <c r="P19" s="2854"/>
      <c r="Q19" s="3537"/>
      <c r="R19" s="3008"/>
      <c r="S19" s="2903"/>
      <c r="T19" s="2993"/>
      <c r="U19" s="779">
        <v>9572546.0099999998</v>
      </c>
      <c r="V19" s="775">
        <v>9572546.0099999998</v>
      </c>
      <c r="W19" s="775">
        <v>9572546.0099999998</v>
      </c>
      <c r="X19" s="538">
        <v>81</v>
      </c>
      <c r="Y19" s="546" t="s">
        <v>644</v>
      </c>
      <c r="Z19" s="3541"/>
      <c r="AA19" s="3536"/>
      <c r="AB19" s="3536"/>
      <c r="AC19" s="3536"/>
      <c r="AD19" s="3536"/>
      <c r="AE19" s="3536"/>
      <c r="AF19" s="3536"/>
      <c r="AG19" s="3536"/>
      <c r="AH19" s="3536"/>
      <c r="AI19" s="3536"/>
      <c r="AJ19" s="3536"/>
      <c r="AK19" s="3536"/>
      <c r="AL19" s="3536"/>
      <c r="AM19" s="3536"/>
      <c r="AN19" s="3536"/>
      <c r="AO19" s="3536"/>
      <c r="AP19" s="3536"/>
      <c r="AQ19" s="3536"/>
      <c r="AR19" s="3536"/>
      <c r="AS19" s="3536"/>
      <c r="AT19" s="3536"/>
      <c r="AU19" s="3536"/>
      <c r="AV19" s="3536"/>
      <c r="AW19" s="3536"/>
      <c r="AX19" s="3536"/>
      <c r="AY19" s="3536"/>
      <c r="AZ19" s="3536"/>
      <c r="BA19" s="3536"/>
      <c r="BB19" s="3536"/>
      <c r="BC19" s="3536"/>
      <c r="BD19" s="3536"/>
      <c r="BE19" s="3554"/>
      <c r="BF19" s="3554"/>
      <c r="BG19" s="3554"/>
      <c r="BH19" s="3554"/>
      <c r="BI19" s="3556"/>
      <c r="BJ19" s="546" t="s">
        <v>650</v>
      </c>
      <c r="BK19" s="774"/>
      <c r="BL19" s="3557"/>
      <c r="BM19" s="3559"/>
      <c r="BN19" s="2839"/>
      <c r="BO19" s="2839"/>
      <c r="BP19" s="3549"/>
    </row>
    <row r="20" spans="1:68" s="768" customFormat="1" ht="75" x14ac:dyDescent="0.2">
      <c r="A20" s="786"/>
      <c r="C20" s="787"/>
      <c r="G20" s="2343"/>
      <c r="H20" s="2343"/>
      <c r="I20" s="2413"/>
      <c r="J20" s="2512"/>
      <c r="K20" s="3550"/>
      <c r="L20" s="3530"/>
      <c r="M20" s="3533"/>
      <c r="N20" s="2315"/>
      <c r="O20" s="2993"/>
      <c r="P20" s="2854"/>
      <c r="Q20" s="3537"/>
      <c r="R20" s="3008"/>
      <c r="S20" s="2903"/>
      <c r="T20" s="2993"/>
      <c r="U20" s="765">
        <v>65830541.869999997</v>
      </c>
      <c r="V20" s="775">
        <v>62110541.869999997</v>
      </c>
      <c r="W20" s="775">
        <v>3600000</v>
      </c>
      <c r="X20" s="538">
        <v>137</v>
      </c>
      <c r="Y20" s="546" t="s">
        <v>647</v>
      </c>
      <c r="Z20" s="3541"/>
      <c r="AA20" s="3536"/>
      <c r="AB20" s="3536"/>
      <c r="AC20" s="3536"/>
      <c r="AD20" s="3536"/>
      <c r="AE20" s="3536"/>
      <c r="AF20" s="3536"/>
      <c r="AG20" s="3536"/>
      <c r="AH20" s="3536"/>
      <c r="AI20" s="3536"/>
      <c r="AJ20" s="3536">
        <v>167</v>
      </c>
      <c r="AK20" s="3536"/>
      <c r="AL20" s="3536">
        <v>274</v>
      </c>
      <c r="AM20" s="3536"/>
      <c r="AN20" s="3536"/>
      <c r="AO20" s="3536"/>
      <c r="AP20" s="3536"/>
      <c r="AQ20" s="3536"/>
      <c r="AR20" s="3536"/>
      <c r="AS20" s="3536"/>
      <c r="AT20" s="3536"/>
      <c r="AU20" s="3536"/>
      <c r="AV20" s="3536"/>
      <c r="AW20" s="3536"/>
      <c r="AX20" s="3536"/>
      <c r="AY20" s="3536"/>
      <c r="AZ20" s="3536"/>
      <c r="BA20" s="3536"/>
      <c r="BB20" s="3536"/>
      <c r="BC20" s="3536"/>
      <c r="BD20" s="3536"/>
      <c r="BE20" s="3554"/>
      <c r="BF20" s="3554"/>
      <c r="BG20" s="3554"/>
      <c r="BH20" s="3554"/>
      <c r="BI20" s="3556"/>
      <c r="BJ20" s="546" t="s">
        <v>651</v>
      </c>
      <c r="BK20" s="774"/>
      <c r="BL20" s="3557"/>
      <c r="BM20" s="3559"/>
      <c r="BN20" s="2839"/>
      <c r="BO20" s="2839"/>
      <c r="BP20" s="3549"/>
    </row>
    <row r="21" spans="1:68" s="768" customFormat="1" ht="45" customHeight="1" x14ac:dyDescent="0.2">
      <c r="A21" s="786"/>
      <c r="C21" s="787"/>
      <c r="G21" s="2343"/>
      <c r="H21" s="2343"/>
      <c r="I21" s="2413"/>
      <c r="J21" s="2512"/>
      <c r="K21" s="3550"/>
      <c r="L21" s="3530"/>
      <c r="M21" s="3533"/>
      <c r="N21" s="2315"/>
      <c r="O21" s="2993"/>
      <c r="P21" s="2854"/>
      <c r="Q21" s="3537"/>
      <c r="R21" s="3008"/>
      <c r="S21" s="2903"/>
      <c r="T21" s="2993"/>
      <c r="U21" s="765">
        <v>1577223665.5699999</v>
      </c>
      <c r="V21" s="775">
        <v>1577223665.5699999</v>
      </c>
      <c r="W21" s="765">
        <v>0</v>
      </c>
      <c r="X21" s="538">
        <v>172</v>
      </c>
      <c r="Y21" s="546" t="s">
        <v>652</v>
      </c>
      <c r="Z21" s="3541"/>
      <c r="AA21" s="3536"/>
      <c r="AB21" s="3536"/>
      <c r="AC21" s="3536"/>
      <c r="AD21" s="3536"/>
      <c r="AE21" s="3536"/>
      <c r="AF21" s="3536"/>
      <c r="AG21" s="3536"/>
      <c r="AH21" s="3536"/>
      <c r="AI21" s="3536"/>
      <c r="AJ21" s="3536">
        <v>167</v>
      </c>
      <c r="AK21" s="3536"/>
      <c r="AL21" s="3536">
        <v>274</v>
      </c>
      <c r="AM21" s="3536"/>
      <c r="AN21" s="3536"/>
      <c r="AO21" s="3536"/>
      <c r="AP21" s="3536"/>
      <c r="AQ21" s="3536"/>
      <c r="AR21" s="3536"/>
      <c r="AS21" s="3536"/>
      <c r="AT21" s="3536"/>
      <c r="AU21" s="3536"/>
      <c r="AV21" s="3536"/>
      <c r="AW21" s="3536"/>
      <c r="AX21" s="3536"/>
      <c r="AY21" s="3536"/>
      <c r="AZ21" s="3536"/>
      <c r="BA21" s="3536"/>
      <c r="BB21" s="3536"/>
      <c r="BC21" s="3536"/>
      <c r="BD21" s="3536"/>
      <c r="BE21" s="3554"/>
      <c r="BF21" s="3554"/>
      <c r="BG21" s="3554"/>
      <c r="BH21" s="3554"/>
      <c r="BI21" s="3556"/>
      <c r="BJ21" s="546" t="s">
        <v>652</v>
      </c>
      <c r="BK21" s="774"/>
      <c r="BL21" s="3557"/>
      <c r="BM21" s="3559"/>
      <c r="BN21" s="2839"/>
      <c r="BO21" s="2839"/>
      <c r="BP21" s="3549"/>
    </row>
    <row r="22" spans="1:68" s="768" customFormat="1" ht="35.25" customHeight="1" x14ac:dyDescent="0.2">
      <c r="A22" s="786"/>
      <c r="C22" s="787"/>
      <c r="G22" s="2343"/>
      <c r="H22" s="2343"/>
      <c r="I22" s="2413"/>
      <c r="J22" s="2512"/>
      <c r="K22" s="3550"/>
      <c r="L22" s="3530"/>
      <c r="M22" s="3533"/>
      <c r="N22" s="2315"/>
      <c r="O22" s="2993"/>
      <c r="P22" s="2854"/>
      <c r="Q22" s="3537"/>
      <c r="R22" s="3008"/>
      <c r="S22" s="2903"/>
      <c r="T22" s="2993"/>
      <c r="U22" s="765">
        <v>394351422</v>
      </c>
      <c r="V22" s="775">
        <v>394351422</v>
      </c>
      <c r="W22" s="765">
        <v>0</v>
      </c>
      <c r="X22" s="538">
        <v>25</v>
      </c>
      <c r="Y22" s="538" t="s">
        <v>653</v>
      </c>
      <c r="Z22" s="3541"/>
      <c r="AA22" s="3536"/>
      <c r="AB22" s="3536"/>
      <c r="AC22" s="3536"/>
      <c r="AD22" s="3536"/>
      <c r="AE22" s="3536"/>
      <c r="AF22" s="3536"/>
      <c r="AG22" s="3536"/>
      <c r="AH22" s="3536"/>
      <c r="AI22" s="3536"/>
      <c r="AJ22" s="3536">
        <v>167</v>
      </c>
      <c r="AK22" s="3536"/>
      <c r="AL22" s="3536">
        <v>274</v>
      </c>
      <c r="AM22" s="3536"/>
      <c r="AN22" s="3536"/>
      <c r="AO22" s="3536"/>
      <c r="AP22" s="3536"/>
      <c r="AQ22" s="3536"/>
      <c r="AR22" s="3536"/>
      <c r="AS22" s="3536"/>
      <c r="AT22" s="3536"/>
      <c r="AU22" s="3536"/>
      <c r="AV22" s="3536"/>
      <c r="AW22" s="3536"/>
      <c r="AX22" s="3536"/>
      <c r="AY22" s="3536"/>
      <c r="AZ22" s="3536"/>
      <c r="BA22" s="3536"/>
      <c r="BB22" s="3536"/>
      <c r="BC22" s="3536"/>
      <c r="BD22" s="3536"/>
      <c r="BE22" s="3554"/>
      <c r="BF22" s="3554"/>
      <c r="BG22" s="3554"/>
      <c r="BH22" s="3554"/>
      <c r="BI22" s="3556"/>
      <c r="BJ22" s="774"/>
      <c r="BK22" s="774"/>
      <c r="BL22" s="3557"/>
      <c r="BM22" s="3559"/>
      <c r="BN22" s="2839"/>
      <c r="BO22" s="2839"/>
      <c r="BP22" s="3549"/>
    </row>
    <row r="23" spans="1:68" s="768" customFormat="1" ht="39.75" customHeight="1" x14ac:dyDescent="0.2">
      <c r="A23" s="786"/>
      <c r="C23" s="787"/>
      <c r="G23" s="2343"/>
      <c r="H23" s="2343"/>
      <c r="I23" s="2413"/>
      <c r="J23" s="2512"/>
      <c r="K23" s="3550"/>
      <c r="L23" s="3530"/>
      <c r="M23" s="3533"/>
      <c r="N23" s="2315"/>
      <c r="O23" s="2993"/>
      <c r="P23" s="2854"/>
      <c r="Q23" s="3537"/>
      <c r="R23" s="3008"/>
      <c r="S23" s="2903"/>
      <c r="T23" s="2993"/>
      <c r="U23" s="771">
        <v>83149.960000000006</v>
      </c>
      <c r="V23" s="771">
        <v>0</v>
      </c>
      <c r="W23" s="771">
        <v>0</v>
      </c>
      <c r="X23" s="539">
        <v>134</v>
      </c>
      <c r="Y23" s="539" t="s">
        <v>654</v>
      </c>
      <c r="Z23" s="3541"/>
      <c r="AA23" s="3536"/>
      <c r="AB23" s="3536"/>
      <c r="AC23" s="3536"/>
      <c r="AD23" s="3536"/>
      <c r="AE23" s="3536"/>
      <c r="AF23" s="3536"/>
      <c r="AG23" s="3536"/>
      <c r="AH23" s="3536"/>
      <c r="AI23" s="3536"/>
      <c r="AJ23" s="3536">
        <v>167</v>
      </c>
      <c r="AK23" s="3536"/>
      <c r="AL23" s="3536">
        <v>274</v>
      </c>
      <c r="AM23" s="3536"/>
      <c r="AN23" s="3536"/>
      <c r="AO23" s="3536"/>
      <c r="AP23" s="3536"/>
      <c r="AQ23" s="3536"/>
      <c r="AR23" s="3536"/>
      <c r="AS23" s="3536"/>
      <c r="AT23" s="3536"/>
      <c r="AU23" s="3536"/>
      <c r="AV23" s="3536"/>
      <c r="AW23" s="3536"/>
      <c r="AX23" s="3536"/>
      <c r="AY23" s="3536"/>
      <c r="AZ23" s="3536"/>
      <c r="BA23" s="3536"/>
      <c r="BB23" s="3536"/>
      <c r="BC23" s="3536"/>
      <c r="BD23" s="3536"/>
      <c r="BE23" s="3554"/>
      <c r="BF23" s="3554"/>
      <c r="BG23" s="3554"/>
      <c r="BH23" s="3554"/>
      <c r="BI23" s="3556"/>
      <c r="BJ23" s="774"/>
      <c r="BK23" s="774"/>
      <c r="BL23" s="3557"/>
      <c r="BM23" s="3559"/>
      <c r="BN23" s="2839"/>
      <c r="BO23" s="2839"/>
      <c r="BP23" s="3549"/>
    </row>
    <row r="24" spans="1:68" s="768" customFormat="1" ht="40.5" customHeight="1" x14ac:dyDescent="0.2">
      <c r="A24" s="786"/>
      <c r="C24" s="787"/>
      <c r="G24" s="2343"/>
      <c r="H24" s="2343"/>
      <c r="I24" s="2413"/>
      <c r="J24" s="2512"/>
      <c r="K24" s="3550"/>
      <c r="L24" s="3531"/>
      <c r="M24" s="3533"/>
      <c r="N24" s="2315"/>
      <c r="O24" s="2993"/>
      <c r="P24" s="2854"/>
      <c r="Q24" s="3537"/>
      <c r="R24" s="3008"/>
      <c r="S24" s="2903"/>
      <c r="T24" s="2930"/>
      <c r="U24" s="788">
        <v>35173966.039999999</v>
      </c>
      <c r="V24" s="776">
        <v>0</v>
      </c>
      <c r="W24" s="776">
        <v>0</v>
      </c>
      <c r="X24" s="546">
        <v>91</v>
      </c>
      <c r="Y24" s="789" t="s">
        <v>638</v>
      </c>
      <c r="Z24" s="3541"/>
      <c r="AA24" s="3536"/>
      <c r="AB24" s="3536"/>
      <c r="AC24" s="3536"/>
      <c r="AD24" s="3536"/>
      <c r="AE24" s="3536"/>
      <c r="AF24" s="3536"/>
      <c r="AG24" s="3536"/>
      <c r="AH24" s="3536"/>
      <c r="AI24" s="3536"/>
      <c r="AJ24" s="3536">
        <v>167</v>
      </c>
      <c r="AK24" s="3536"/>
      <c r="AL24" s="3536">
        <v>274</v>
      </c>
      <c r="AM24" s="3536"/>
      <c r="AN24" s="3536"/>
      <c r="AO24" s="3536"/>
      <c r="AP24" s="3536"/>
      <c r="AQ24" s="3536"/>
      <c r="AR24" s="3536"/>
      <c r="AS24" s="3536"/>
      <c r="AT24" s="3536"/>
      <c r="AU24" s="3536"/>
      <c r="AV24" s="3536"/>
      <c r="AW24" s="3536"/>
      <c r="AX24" s="3536"/>
      <c r="AY24" s="3536"/>
      <c r="AZ24" s="3536"/>
      <c r="BA24" s="3536"/>
      <c r="BB24" s="3536"/>
      <c r="BC24" s="3536"/>
      <c r="BD24" s="3536"/>
      <c r="BE24" s="3554"/>
      <c r="BF24" s="3554"/>
      <c r="BG24" s="3554"/>
      <c r="BH24" s="3554"/>
      <c r="BI24" s="3556"/>
      <c r="BJ24" s="774"/>
      <c r="BK24" s="774"/>
      <c r="BL24" s="3557"/>
      <c r="BM24" s="3559"/>
      <c r="BN24" s="2839"/>
      <c r="BO24" s="2839"/>
      <c r="BP24" s="3549"/>
    </row>
    <row r="25" spans="1:68" s="768" customFormat="1" ht="120" customHeight="1" x14ac:dyDescent="0.2">
      <c r="A25" s="786"/>
      <c r="C25" s="787"/>
      <c r="F25" s="787"/>
      <c r="G25" s="546">
        <v>2201055</v>
      </c>
      <c r="H25" s="546" t="s">
        <v>655</v>
      </c>
      <c r="I25" s="547" t="s">
        <v>656</v>
      </c>
      <c r="J25" s="791" t="s">
        <v>657</v>
      </c>
      <c r="K25" s="790">
        <v>1</v>
      </c>
      <c r="L25" s="1449">
        <v>0</v>
      </c>
      <c r="M25" s="3542" t="s">
        <v>658</v>
      </c>
      <c r="N25" s="2315" t="s">
        <v>659</v>
      </c>
      <c r="O25" s="2993" t="s">
        <v>660</v>
      </c>
      <c r="P25" s="793">
        <f>U25/Q25</f>
        <v>3.1862745098039214E-2</v>
      </c>
      <c r="Q25" s="3544">
        <f>U25+U26</f>
        <v>1632000000</v>
      </c>
      <c r="R25" s="2423" t="s">
        <v>661</v>
      </c>
      <c r="S25" s="2463" t="s">
        <v>662</v>
      </c>
      <c r="T25" s="791" t="s">
        <v>663</v>
      </c>
      <c r="U25" s="794">
        <v>52000000</v>
      </c>
      <c r="V25" s="794">
        <v>0</v>
      </c>
      <c r="W25" s="794">
        <v>0</v>
      </c>
      <c r="X25" s="795">
        <v>25</v>
      </c>
      <c r="Y25" s="538" t="s">
        <v>653</v>
      </c>
      <c r="Z25" s="3540">
        <v>0</v>
      </c>
      <c r="AA25" s="3535">
        <v>2991</v>
      </c>
      <c r="AB25" s="3535">
        <v>0</v>
      </c>
      <c r="AC25" s="3535">
        <v>3559</v>
      </c>
      <c r="AD25" s="3535">
        <v>0</v>
      </c>
      <c r="AE25" s="3535">
        <v>4533</v>
      </c>
      <c r="AF25" s="3535">
        <v>0</v>
      </c>
      <c r="AG25" s="3535">
        <v>1753</v>
      </c>
      <c r="AH25" s="3535">
        <v>0</v>
      </c>
      <c r="AI25" s="3535">
        <v>169</v>
      </c>
      <c r="AJ25" s="3535">
        <v>167</v>
      </c>
      <c r="AK25" s="3535">
        <v>95</v>
      </c>
      <c r="AL25" s="3535">
        <v>274</v>
      </c>
      <c r="AM25" s="3535">
        <v>290</v>
      </c>
      <c r="AN25" s="3535">
        <v>329</v>
      </c>
      <c r="AO25" s="3535">
        <v>332</v>
      </c>
      <c r="AP25" s="3535">
        <v>0</v>
      </c>
      <c r="AQ25" s="3535">
        <v>0</v>
      </c>
      <c r="AR25" s="3535">
        <v>0</v>
      </c>
      <c r="AS25" s="3535">
        <v>0</v>
      </c>
      <c r="AT25" s="3535">
        <v>0</v>
      </c>
      <c r="AU25" s="3535">
        <v>0</v>
      </c>
      <c r="AV25" s="3535">
        <v>0</v>
      </c>
      <c r="AW25" s="3535">
        <v>0</v>
      </c>
      <c r="AX25" s="3535">
        <v>3097</v>
      </c>
      <c r="AY25" s="3535">
        <v>3256</v>
      </c>
      <c r="AZ25" s="3535">
        <v>2611</v>
      </c>
      <c r="BA25" s="3535">
        <v>2467</v>
      </c>
      <c r="BB25" s="3535">
        <v>50</v>
      </c>
      <c r="BC25" s="3535">
        <v>112</v>
      </c>
      <c r="BD25" s="3535">
        <f>SUM(AJ25+BB25+AL25+AN25+AX25+AZ25)</f>
        <v>6528</v>
      </c>
      <c r="BE25" s="3553">
        <f>SUM(AA25+AC25)</f>
        <v>6550</v>
      </c>
      <c r="BF25" s="3553">
        <v>5</v>
      </c>
      <c r="BG25" s="3553">
        <f>SUM(V25:V26)</f>
        <v>1187277568</v>
      </c>
      <c r="BH25" s="3553">
        <f>SUM(W25:W26)</f>
        <v>825138344</v>
      </c>
      <c r="BI25" s="3561">
        <f>(+BH25/Q25)</f>
        <v>0.50559947549019613</v>
      </c>
      <c r="BJ25" s="3553" t="s">
        <v>645</v>
      </c>
      <c r="BK25" s="3569" t="s">
        <v>664</v>
      </c>
      <c r="BL25" s="3557">
        <v>43832</v>
      </c>
      <c r="BM25" s="3558">
        <v>43832</v>
      </c>
      <c r="BN25" s="2838">
        <v>44195</v>
      </c>
      <c r="BO25" s="2838">
        <v>44195</v>
      </c>
      <c r="BP25" s="2422" t="s">
        <v>633</v>
      </c>
    </row>
    <row r="26" spans="1:68" s="768" customFormat="1" ht="76.5" customHeight="1" x14ac:dyDescent="0.2">
      <c r="A26" s="786"/>
      <c r="C26" s="787"/>
      <c r="F26" s="787"/>
      <c r="G26" s="546">
        <v>2201030</v>
      </c>
      <c r="H26" s="528" t="s">
        <v>665</v>
      </c>
      <c r="I26" s="530" t="s">
        <v>666</v>
      </c>
      <c r="J26" s="596" t="s">
        <v>667</v>
      </c>
      <c r="K26" s="790">
        <v>2500</v>
      </c>
      <c r="L26" s="1449">
        <v>2445</v>
      </c>
      <c r="M26" s="3543"/>
      <c r="N26" s="2306"/>
      <c r="O26" s="2993"/>
      <c r="P26" s="793">
        <f>U26/Q25</f>
        <v>0.96813725490196079</v>
      </c>
      <c r="Q26" s="3545"/>
      <c r="R26" s="2423"/>
      <c r="S26" s="2422"/>
      <c r="T26" s="596" t="s">
        <v>668</v>
      </c>
      <c r="U26" s="796">
        <f>1187277568+392722432</f>
        <v>1580000000</v>
      </c>
      <c r="V26" s="775">
        <v>1187277568</v>
      </c>
      <c r="W26" s="775">
        <v>825138344</v>
      </c>
      <c r="X26" s="797">
        <v>25</v>
      </c>
      <c r="Y26" s="536" t="s">
        <v>653</v>
      </c>
      <c r="Z26" s="3547"/>
      <c r="AA26" s="3546"/>
      <c r="AB26" s="3546"/>
      <c r="AC26" s="3546"/>
      <c r="AD26" s="3546"/>
      <c r="AE26" s="3546"/>
      <c r="AF26" s="3546"/>
      <c r="AG26" s="3546"/>
      <c r="AH26" s="3546"/>
      <c r="AI26" s="3546"/>
      <c r="AJ26" s="3546"/>
      <c r="AK26" s="3546"/>
      <c r="AL26" s="3546"/>
      <c r="AM26" s="3546"/>
      <c r="AN26" s="3546"/>
      <c r="AO26" s="3546"/>
      <c r="AP26" s="3546"/>
      <c r="AQ26" s="3546"/>
      <c r="AR26" s="3546"/>
      <c r="AS26" s="3546"/>
      <c r="AT26" s="3546"/>
      <c r="AU26" s="3546"/>
      <c r="AV26" s="3546"/>
      <c r="AW26" s="3546"/>
      <c r="AX26" s="3546"/>
      <c r="AY26" s="3546"/>
      <c r="AZ26" s="3546"/>
      <c r="BA26" s="3546"/>
      <c r="BB26" s="3546"/>
      <c r="BC26" s="3546"/>
      <c r="BD26" s="3546"/>
      <c r="BE26" s="3560"/>
      <c r="BF26" s="3560"/>
      <c r="BG26" s="3560"/>
      <c r="BH26" s="3560"/>
      <c r="BI26" s="3562"/>
      <c r="BJ26" s="3560"/>
      <c r="BK26" s="3569"/>
      <c r="BL26" s="3557"/>
      <c r="BM26" s="3570"/>
      <c r="BN26" s="2983"/>
      <c r="BO26" s="2983"/>
      <c r="BP26" s="2424"/>
    </row>
    <row r="27" spans="1:68" s="768" customFormat="1" ht="39" customHeight="1" x14ac:dyDescent="0.2">
      <c r="A27" s="786"/>
      <c r="C27" s="787"/>
      <c r="F27" s="787"/>
      <c r="G27" s="2447">
        <v>2201071</v>
      </c>
      <c r="H27" s="2343" t="s">
        <v>669</v>
      </c>
      <c r="I27" s="2413" t="s">
        <v>670</v>
      </c>
      <c r="J27" s="2512" t="s">
        <v>671</v>
      </c>
      <c r="K27" s="2665">
        <v>54</v>
      </c>
      <c r="L27" s="3565">
        <v>54</v>
      </c>
      <c r="M27" s="3568" t="s">
        <v>672</v>
      </c>
      <c r="N27" s="2343" t="s">
        <v>673</v>
      </c>
      <c r="O27" s="2413" t="s">
        <v>674</v>
      </c>
      <c r="P27" s="3563">
        <f>SUM(U27:U30)/Q27</f>
        <v>1</v>
      </c>
      <c r="Q27" s="3564">
        <f>SUM(U27:U30)</f>
        <v>151921135465</v>
      </c>
      <c r="R27" s="534"/>
      <c r="S27" s="534"/>
      <c r="T27" s="3552" t="s">
        <v>675</v>
      </c>
      <c r="U27" s="798">
        <f>55449435080</f>
        <v>55449435080</v>
      </c>
      <c r="V27" s="798">
        <f>55449435080</f>
        <v>55449435080</v>
      </c>
      <c r="W27" s="798">
        <f>55449435080</f>
        <v>55449435080</v>
      </c>
      <c r="X27" s="799">
        <v>25</v>
      </c>
      <c r="Y27" s="800" t="s">
        <v>676</v>
      </c>
      <c r="Z27" s="3540">
        <v>20196</v>
      </c>
      <c r="AA27" s="3535">
        <v>19390.222222222223</v>
      </c>
      <c r="AB27" s="3535">
        <v>20595</v>
      </c>
      <c r="AC27" s="3535">
        <v>19836</v>
      </c>
      <c r="AD27" s="3535">
        <v>29775</v>
      </c>
      <c r="AE27" s="3535">
        <v>28890</v>
      </c>
      <c r="AF27" s="3535">
        <v>9453</v>
      </c>
      <c r="AG27" s="3535">
        <v>9117.4444444444453</v>
      </c>
      <c r="AH27" s="3535">
        <v>1396</v>
      </c>
      <c r="AI27" s="3535">
        <v>1123.3333333333333</v>
      </c>
      <c r="AJ27" s="3535">
        <v>167</v>
      </c>
      <c r="AK27" s="3535">
        <v>95</v>
      </c>
      <c r="AL27" s="3535">
        <v>274</v>
      </c>
      <c r="AM27" s="3535">
        <v>290.22222222222223</v>
      </c>
      <c r="AN27" s="3535">
        <v>329</v>
      </c>
      <c r="AO27" s="3535">
        <v>332.22222222222223</v>
      </c>
      <c r="AP27" s="3535">
        <v>0</v>
      </c>
      <c r="AQ27" s="3535">
        <v>0</v>
      </c>
      <c r="AR27" s="3535">
        <v>0</v>
      </c>
      <c r="AS27" s="3535">
        <v>0</v>
      </c>
      <c r="AT27" s="3535">
        <v>0</v>
      </c>
      <c r="AU27" s="3535">
        <v>0</v>
      </c>
      <c r="AV27" s="3535">
        <v>0</v>
      </c>
      <c r="AW27" s="3535">
        <v>0</v>
      </c>
      <c r="AX27" s="3535">
        <v>3097</v>
      </c>
      <c r="AY27" s="3535">
        <v>3256.4444444444443</v>
      </c>
      <c r="AZ27" s="3535">
        <v>2611</v>
      </c>
      <c r="BA27" s="3535">
        <v>2467.8888888888887</v>
      </c>
      <c r="BB27" s="3535">
        <v>50</v>
      </c>
      <c r="BC27" s="3535">
        <v>112.88888888888889</v>
      </c>
      <c r="BD27" s="3535">
        <f>+Z27+AB27</f>
        <v>40791</v>
      </c>
      <c r="BE27" s="3553">
        <f>SUM(AA27+AC27)</f>
        <v>39226.222222222219</v>
      </c>
      <c r="BF27" s="3553" t="s">
        <v>677</v>
      </c>
      <c r="BG27" s="3553">
        <f>SUM(V27:V30)</f>
        <v>106048503639</v>
      </c>
      <c r="BH27" s="3553">
        <f>SUM(W27:W30)</f>
        <v>105801656230</v>
      </c>
      <c r="BI27" s="3561">
        <f>(+BH27/Q27)</f>
        <v>0.69642486482320209</v>
      </c>
      <c r="BJ27" s="546" t="s">
        <v>645</v>
      </c>
      <c r="BK27" s="3569" t="s">
        <v>678</v>
      </c>
      <c r="BL27" s="3557">
        <v>43832</v>
      </c>
      <c r="BM27" s="3558">
        <v>43832</v>
      </c>
      <c r="BN27" s="3571">
        <v>44195</v>
      </c>
      <c r="BO27" s="3571">
        <v>44195</v>
      </c>
      <c r="BP27" s="2306" t="s">
        <v>633</v>
      </c>
    </row>
    <row r="28" spans="1:68" s="768" customFormat="1" ht="43.5" customHeight="1" x14ac:dyDescent="0.2">
      <c r="A28" s="786"/>
      <c r="C28" s="787"/>
      <c r="F28" s="787"/>
      <c r="G28" s="2448"/>
      <c r="H28" s="2343"/>
      <c r="I28" s="2413"/>
      <c r="J28" s="2512"/>
      <c r="K28" s="2665"/>
      <c r="L28" s="3566"/>
      <c r="M28" s="3568"/>
      <c r="N28" s="2343"/>
      <c r="O28" s="2413"/>
      <c r="P28" s="2853"/>
      <c r="Q28" s="3564"/>
      <c r="R28" s="534"/>
      <c r="S28" s="534"/>
      <c r="T28" s="3552"/>
      <c r="U28" s="798">
        <f>13173537263</f>
        <v>13173537263</v>
      </c>
      <c r="V28" s="798">
        <f>13173537263</f>
        <v>13173537263</v>
      </c>
      <c r="W28" s="798">
        <f>13173537263</f>
        <v>13173537263</v>
      </c>
      <c r="X28" s="799">
        <v>26</v>
      </c>
      <c r="Y28" s="800" t="s">
        <v>676</v>
      </c>
      <c r="Z28" s="3541"/>
      <c r="AA28" s="3536"/>
      <c r="AB28" s="3536"/>
      <c r="AC28" s="3536"/>
      <c r="AD28" s="3536"/>
      <c r="AE28" s="3536"/>
      <c r="AF28" s="3536"/>
      <c r="AG28" s="3536"/>
      <c r="AH28" s="3536"/>
      <c r="AI28" s="3536"/>
      <c r="AJ28" s="3536"/>
      <c r="AK28" s="3536"/>
      <c r="AL28" s="3536"/>
      <c r="AM28" s="3536"/>
      <c r="AN28" s="3536"/>
      <c r="AO28" s="3536"/>
      <c r="AP28" s="3536"/>
      <c r="AQ28" s="3536"/>
      <c r="AR28" s="3536"/>
      <c r="AS28" s="3536"/>
      <c r="AT28" s="3536"/>
      <c r="AU28" s="3536"/>
      <c r="AV28" s="3536"/>
      <c r="AW28" s="3536"/>
      <c r="AX28" s="3536"/>
      <c r="AY28" s="3536"/>
      <c r="AZ28" s="3536"/>
      <c r="BA28" s="3536"/>
      <c r="BB28" s="3536"/>
      <c r="BC28" s="3536"/>
      <c r="BD28" s="3536"/>
      <c r="BE28" s="3554"/>
      <c r="BF28" s="3554"/>
      <c r="BG28" s="3554"/>
      <c r="BH28" s="3554"/>
      <c r="BI28" s="3579"/>
      <c r="BJ28" s="546" t="s">
        <v>679</v>
      </c>
      <c r="BK28" s="3569"/>
      <c r="BL28" s="3557"/>
      <c r="BM28" s="3559"/>
      <c r="BN28" s="3572"/>
      <c r="BO28" s="3572"/>
      <c r="BP28" s="2307"/>
    </row>
    <row r="29" spans="1:68" s="768" customFormat="1" ht="109.5" customHeight="1" x14ac:dyDescent="0.2">
      <c r="A29" s="786"/>
      <c r="C29" s="787"/>
      <c r="F29" s="787"/>
      <c r="G29" s="2448"/>
      <c r="H29" s="2343"/>
      <c r="I29" s="2413"/>
      <c r="J29" s="2512"/>
      <c r="K29" s="2665"/>
      <c r="L29" s="3566"/>
      <c r="M29" s="3568"/>
      <c r="N29" s="2343"/>
      <c r="O29" s="2413"/>
      <c r="P29" s="2853"/>
      <c r="Q29" s="3564"/>
      <c r="R29" s="2343" t="s">
        <v>680</v>
      </c>
      <c r="S29" s="2343" t="s">
        <v>681</v>
      </c>
      <c r="T29" s="534" t="s">
        <v>682</v>
      </c>
      <c r="U29" s="798">
        <v>82335686611</v>
      </c>
      <c r="V29" s="775">
        <v>36722880070</v>
      </c>
      <c r="W29" s="775">
        <v>36476032661</v>
      </c>
      <c r="X29" s="795" t="s">
        <v>683</v>
      </c>
      <c r="Y29" s="523" t="s">
        <v>684</v>
      </c>
      <c r="Z29" s="3541"/>
      <c r="AA29" s="3536"/>
      <c r="AB29" s="3536"/>
      <c r="AC29" s="3536"/>
      <c r="AD29" s="3536"/>
      <c r="AE29" s="3536"/>
      <c r="AF29" s="3536"/>
      <c r="AG29" s="3536"/>
      <c r="AH29" s="3536"/>
      <c r="AI29" s="3536"/>
      <c r="AJ29" s="3536"/>
      <c r="AK29" s="3536"/>
      <c r="AL29" s="3536"/>
      <c r="AM29" s="3536"/>
      <c r="AN29" s="3536"/>
      <c r="AO29" s="3536"/>
      <c r="AP29" s="3536"/>
      <c r="AQ29" s="3536"/>
      <c r="AR29" s="3536"/>
      <c r="AS29" s="3536"/>
      <c r="AT29" s="3536"/>
      <c r="AU29" s="3536"/>
      <c r="AV29" s="3536"/>
      <c r="AW29" s="3536"/>
      <c r="AX29" s="3536"/>
      <c r="AY29" s="3536"/>
      <c r="AZ29" s="3536"/>
      <c r="BA29" s="3536"/>
      <c r="BB29" s="3536"/>
      <c r="BC29" s="3536"/>
      <c r="BD29" s="3536"/>
      <c r="BE29" s="3554"/>
      <c r="BF29" s="3554"/>
      <c r="BG29" s="3554"/>
      <c r="BH29" s="3554"/>
      <c r="BI29" s="3579"/>
      <c r="BJ29" s="774"/>
      <c r="BK29" s="3569"/>
      <c r="BL29" s="3557"/>
      <c r="BM29" s="3559"/>
      <c r="BN29" s="3572"/>
      <c r="BO29" s="3572"/>
      <c r="BP29" s="2307"/>
    </row>
    <row r="30" spans="1:68" s="768" customFormat="1" ht="121.5" customHeight="1" x14ac:dyDescent="0.2">
      <c r="A30" s="786"/>
      <c r="C30" s="787"/>
      <c r="F30" s="787"/>
      <c r="G30" s="2449"/>
      <c r="H30" s="2343"/>
      <c r="I30" s="2413"/>
      <c r="J30" s="2512"/>
      <c r="K30" s="2665"/>
      <c r="L30" s="3567"/>
      <c r="M30" s="3568"/>
      <c r="N30" s="2343"/>
      <c r="O30" s="2413"/>
      <c r="P30" s="2853"/>
      <c r="Q30" s="3564"/>
      <c r="R30" s="2343"/>
      <c r="S30" s="2343"/>
      <c r="T30" s="534" t="s">
        <v>685</v>
      </c>
      <c r="U30" s="798">
        <v>962476511</v>
      </c>
      <c r="V30" s="775">
        <v>702651226</v>
      </c>
      <c r="W30" s="775">
        <v>702651226</v>
      </c>
      <c r="X30" s="801" t="s">
        <v>686</v>
      </c>
      <c r="Y30" s="543" t="s">
        <v>684</v>
      </c>
      <c r="Z30" s="3547"/>
      <c r="AA30" s="3546"/>
      <c r="AB30" s="3546"/>
      <c r="AC30" s="3546"/>
      <c r="AD30" s="3546"/>
      <c r="AE30" s="3546"/>
      <c r="AF30" s="3546"/>
      <c r="AG30" s="3546"/>
      <c r="AH30" s="3546"/>
      <c r="AI30" s="3546"/>
      <c r="AJ30" s="3546"/>
      <c r="AK30" s="3546"/>
      <c r="AL30" s="3546"/>
      <c r="AM30" s="3546"/>
      <c r="AN30" s="3546"/>
      <c r="AO30" s="3546"/>
      <c r="AP30" s="3546"/>
      <c r="AQ30" s="3546"/>
      <c r="AR30" s="3546"/>
      <c r="AS30" s="3546"/>
      <c r="AT30" s="3546"/>
      <c r="AU30" s="3546"/>
      <c r="AV30" s="3546"/>
      <c r="AW30" s="3546"/>
      <c r="AX30" s="3546"/>
      <c r="AY30" s="3546"/>
      <c r="AZ30" s="3546"/>
      <c r="BA30" s="3546"/>
      <c r="BB30" s="3546"/>
      <c r="BC30" s="3546"/>
      <c r="BD30" s="3546"/>
      <c r="BE30" s="3560"/>
      <c r="BF30" s="3560"/>
      <c r="BG30" s="3560"/>
      <c r="BH30" s="3560"/>
      <c r="BI30" s="3562"/>
      <c r="BJ30" s="792"/>
      <c r="BK30" s="3569"/>
      <c r="BL30" s="3557"/>
      <c r="BM30" s="3570"/>
      <c r="BN30" s="3573"/>
      <c r="BO30" s="3573"/>
      <c r="BP30" s="2467"/>
    </row>
    <row r="31" spans="1:68" s="768" customFormat="1" ht="46.5" customHeight="1" x14ac:dyDescent="0.2">
      <c r="A31" s="786"/>
      <c r="C31" s="787"/>
      <c r="F31" s="787"/>
      <c r="G31" s="2447">
        <v>2201071</v>
      </c>
      <c r="H31" s="2450" t="s">
        <v>669</v>
      </c>
      <c r="I31" s="3574" t="s">
        <v>670</v>
      </c>
      <c r="J31" s="3577" t="s">
        <v>671</v>
      </c>
      <c r="K31" s="2665">
        <v>54</v>
      </c>
      <c r="L31" s="3565">
        <v>54</v>
      </c>
      <c r="M31" s="3586" t="s">
        <v>687</v>
      </c>
      <c r="N31" s="2496" t="s">
        <v>688</v>
      </c>
      <c r="O31" s="2423" t="s">
        <v>689</v>
      </c>
      <c r="P31" s="3026">
        <f>SUM(U31:U35)/Q31</f>
        <v>1</v>
      </c>
      <c r="Q31" s="3588">
        <f>SUM(U31:U35)</f>
        <v>3762000000</v>
      </c>
      <c r="R31" s="2307" t="s">
        <v>690</v>
      </c>
      <c r="S31" s="2307" t="s">
        <v>691</v>
      </c>
      <c r="T31" s="597" t="s">
        <v>692</v>
      </c>
      <c r="U31" s="783">
        <f>724205719+1444794281</f>
        <v>2169000000</v>
      </c>
      <c r="V31" s="783">
        <v>1211614202</v>
      </c>
      <c r="W31" s="783">
        <v>1211614202</v>
      </c>
      <c r="X31" s="3580" t="s">
        <v>693</v>
      </c>
      <c r="Y31" s="2491" t="s">
        <v>694</v>
      </c>
      <c r="Z31" s="3583">
        <v>20196</v>
      </c>
      <c r="AA31" s="3535">
        <v>19390.222222222223</v>
      </c>
      <c r="AB31" s="3535">
        <v>20595</v>
      </c>
      <c r="AC31" s="3535">
        <v>19836</v>
      </c>
      <c r="AD31" s="3535">
        <v>29775</v>
      </c>
      <c r="AE31" s="3535">
        <v>28890</v>
      </c>
      <c r="AF31" s="3535">
        <v>9453</v>
      </c>
      <c r="AG31" s="3535">
        <v>9117.4444444444453</v>
      </c>
      <c r="AH31" s="3535">
        <v>1396</v>
      </c>
      <c r="AI31" s="3535">
        <v>1123.3333333333333</v>
      </c>
      <c r="AJ31" s="3535">
        <v>167</v>
      </c>
      <c r="AK31" s="3535">
        <v>95</v>
      </c>
      <c r="AL31" s="3535">
        <v>274</v>
      </c>
      <c r="AM31" s="3535">
        <v>290.22222222222223</v>
      </c>
      <c r="AN31" s="3535">
        <v>329</v>
      </c>
      <c r="AO31" s="3535">
        <v>332.22222222222223</v>
      </c>
      <c r="AP31" s="3535">
        <v>0</v>
      </c>
      <c r="AQ31" s="3535">
        <v>0</v>
      </c>
      <c r="AR31" s="3535">
        <v>0</v>
      </c>
      <c r="AS31" s="3535">
        <v>0</v>
      </c>
      <c r="AT31" s="3535">
        <v>0</v>
      </c>
      <c r="AU31" s="3535">
        <v>0</v>
      </c>
      <c r="AV31" s="3535">
        <v>0</v>
      </c>
      <c r="AW31" s="3535">
        <v>0</v>
      </c>
      <c r="AX31" s="3535">
        <v>3097</v>
      </c>
      <c r="AY31" s="3535">
        <v>3256.4444444444443</v>
      </c>
      <c r="AZ31" s="3535">
        <v>2611</v>
      </c>
      <c r="BA31" s="3535">
        <v>2467.8888888888887</v>
      </c>
      <c r="BB31" s="3535">
        <v>50</v>
      </c>
      <c r="BC31" s="3535">
        <v>112.88888888888889</v>
      </c>
      <c r="BD31" s="3535">
        <f>+Z31+AB31</f>
        <v>40791</v>
      </c>
      <c r="BE31" s="3553">
        <f>SUM(AA31+AC31)</f>
        <v>39226.222222222219</v>
      </c>
      <c r="BF31" s="3553" t="s">
        <v>677</v>
      </c>
      <c r="BG31" s="3553">
        <f>SUM(V31:V35)</f>
        <v>1617561925</v>
      </c>
      <c r="BH31" s="3553">
        <f>SUM(W31:W35)</f>
        <v>1600383925</v>
      </c>
      <c r="BI31" s="3561">
        <f>(+BH31/Q31)</f>
        <v>0.42540774189261032</v>
      </c>
      <c r="BJ31" s="3535" t="s">
        <v>645</v>
      </c>
      <c r="BK31" s="3569" t="s">
        <v>678</v>
      </c>
      <c r="BL31" s="3557">
        <v>43832</v>
      </c>
      <c r="BM31" s="3558">
        <v>43832</v>
      </c>
      <c r="BN31" s="3571">
        <v>44195</v>
      </c>
      <c r="BO31" s="3571">
        <v>44195</v>
      </c>
      <c r="BP31" s="2306" t="s">
        <v>633</v>
      </c>
    </row>
    <row r="32" spans="1:68" s="768" customFormat="1" ht="21" customHeight="1" x14ac:dyDescent="0.2">
      <c r="A32" s="786"/>
      <c r="C32" s="787"/>
      <c r="F32" s="787"/>
      <c r="G32" s="2448"/>
      <c r="H32" s="2451"/>
      <c r="I32" s="3575"/>
      <c r="J32" s="3578"/>
      <c r="K32" s="2665"/>
      <c r="L32" s="3566"/>
      <c r="M32" s="3568"/>
      <c r="N32" s="2496"/>
      <c r="O32" s="2423"/>
      <c r="P32" s="3026"/>
      <c r="Q32" s="3588"/>
      <c r="R32" s="2307"/>
      <c r="S32" s="2307"/>
      <c r="T32" s="596" t="s">
        <v>695</v>
      </c>
      <c r="U32" s="765">
        <f>22440000+326560000</f>
        <v>349000000</v>
      </c>
      <c r="V32" s="783">
        <v>22440000</v>
      </c>
      <c r="W32" s="783">
        <v>9900000</v>
      </c>
      <c r="X32" s="3581"/>
      <c r="Y32" s="2761"/>
      <c r="Z32" s="3584"/>
      <c r="AA32" s="3536"/>
      <c r="AB32" s="3536"/>
      <c r="AC32" s="3536"/>
      <c r="AD32" s="3536"/>
      <c r="AE32" s="3536"/>
      <c r="AF32" s="3536"/>
      <c r="AG32" s="3536"/>
      <c r="AH32" s="3536"/>
      <c r="AI32" s="3536"/>
      <c r="AJ32" s="3536"/>
      <c r="AK32" s="3536"/>
      <c r="AL32" s="3536"/>
      <c r="AM32" s="3536"/>
      <c r="AN32" s="3536"/>
      <c r="AO32" s="3536"/>
      <c r="AP32" s="3536"/>
      <c r="AQ32" s="3536"/>
      <c r="AR32" s="3536"/>
      <c r="AS32" s="3536"/>
      <c r="AT32" s="3536"/>
      <c r="AU32" s="3536"/>
      <c r="AV32" s="3536"/>
      <c r="AW32" s="3536"/>
      <c r="AX32" s="3536"/>
      <c r="AY32" s="3536"/>
      <c r="AZ32" s="3536"/>
      <c r="BA32" s="3536"/>
      <c r="BB32" s="3536"/>
      <c r="BC32" s="3536"/>
      <c r="BD32" s="3536"/>
      <c r="BE32" s="3554"/>
      <c r="BF32" s="3554"/>
      <c r="BG32" s="3554"/>
      <c r="BH32" s="3554"/>
      <c r="BI32" s="3579"/>
      <c r="BJ32" s="3536"/>
      <c r="BK32" s="3569"/>
      <c r="BL32" s="3557"/>
      <c r="BM32" s="3559"/>
      <c r="BN32" s="3572"/>
      <c r="BO32" s="3572"/>
      <c r="BP32" s="2307"/>
    </row>
    <row r="33" spans="1:68" s="768" customFormat="1" ht="27.75" customHeight="1" x14ac:dyDescent="0.2">
      <c r="A33" s="786"/>
      <c r="C33" s="787"/>
      <c r="F33" s="787"/>
      <c r="G33" s="2448"/>
      <c r="H33" s="2451"/>
      <c r="I33" s="3575"/>
      <c r="J33" s="3578"/>
      <c r="K33" s="2665"/>
      <c r="L33" s="3566"/>
      <c r="M33" s="3568"/>
      <c r="N33" s="2496"/>
      <c r="O33" s="2423"/>
      <c r="P33" s="3026"/>
      <c r="Q33" s="3588"/>
      <c r="R33" s="2307"/>
      <c r="S33" s="2307"/>
      <c r="T33" s="596" t="s">
        <v>696</v>
      </c>
      <c r="U33" s="765">
        <f>254764080+592235920</f>
        <v>847000000</v>
      </c>
      <c r="V33" s="765">
        <v>375529698</v>
      </c>
      <c r="W33" s="765">
        <v>375529698</v>
      </c>
      <c r="X33" s="3581"/>
      <c r="Y33" s="2761"/>
      <c r="Z33" s="3584"/>
      <c r="AA33" s="3536"/>
      <c r="AB33" s="3536"/>
      <c r="AC33" s="3536"/>
      <c r="AD33" s="3536"/>
      <c r="AE33" s="3536"/>
      <c r="AF33" s="3536"/>
      <c r="AG33" s="3536"/>
      <c r="AH33" s="3536"/>
      <c r="AI33" s="3536"/>
      <c r="AJ33" s="3536"/>
      <c r="AK33" s="3536"/>
      <c r="AL33" s="3536"/>
      <c r="AM33" s="3536"/>
      <c r="AN33" s="3536"/>
      <c r="AO33" s="3536"/>
      <c r="AP33" s="3536"/>
      <c r="AQ33" s="3536"/>
      <c r="AR33" s="3536"/>
      <c r="AS33" s="3536"/>
      <c r="AT33" s="3536"/>
      <c r="AU33" s="3536"/>
      <c r="AV33" s="3536"/>
      <c r="AW33" s="3536"/>
      <c r="AX33" s="3536"/>
      <c r="AY33" s="3536"/>
      <c r="AZ33" s="3536"/>
      <c r="BA33" s="3536"/>
      <c r="BB33" s="3536"/>
      <c r="BC33" s="3536"/>
      <c r="BD33" s="3536"/>
      <c r="BE33" s="3554"/>
      <c r="BF33" s="3554"/>
      <c r="BG33" s="3554"/>
      <c r="BH33" s="3554"/>
      <c r="BI33" s="3579"/>
      <c r="BJ33" s="3536"/>
      <c r="BK33" s="3569"/>
      <c r="BL33" s="3557"/>
      <c r="BM33" s="3559"/>
      <c r="BN33" s="3572"/>
      <c r="BO33" s="3572"/>
      <c r="BP33" s="2307"/>
    </row>
    <row r="34" spans="1:68" s="768" customFormat="1" ht="27.75" customHeight="1" x14ac:dyDescent="0.2">
      <c r="A34" s="786"/>
      <c r="C34" s="787"/>
      <c r="F34" s="787"/>
      <c r="G34" s="2448"/>
      <c r="H34" s="2451"/>
      <c r="I34" s="3575"/>
      <c r="J34" s="3578"/>
      <c r="K34" s="2665"/>
      <c r="L34" s="3566"/>
      <c r="M34" s="3568"/>
      <c r="N34" s="2496"/>
      <c r="O34" s="2423"/>
      <c r="P34" s="3026"/>
      <c r="Q34" s="3588"/>
      <c r="R34" s="2307"/>
      <c r="S34" s="2307"/>
      <c r="T34" s="596" t="s">
        <v>697</v>
      </c>
      <c r="U34" s="765">
        <f>5000000+165000000</f>
        <v>170000000</v>
      </c>
      <c r="V34" s="765">
        <v>5000000</v>
      </c>
      <c r="W34" s="765">
        <v>362000</v>
      </c>
      <c r="X34" s="3581"/>
      <c r="Y34" s="2761"/>
      <c r="Z34" s="3584"/>
      <c r="AA34" s="3536"/>
      <c r="AB34" s="3536"/>
      <c r="AC34" s="3536"/>
      <c r="AD34" s="3536"/>
      <c r="AE34" s="3536"/>
      <c r="AF34" s="3536"/>
      <c r="AG34" s="3536"/>
      <c r="AH34" s="3536"/>
      <c r="AI34" s="3536"/>
      <c r="AJ34" s="3536"/>
      <c r="AK34" s="3536"/>
      <c r="AL34" s="3536"/>
      <c r="AM34" s="3536"/>
      <c r="AN34" s="3536"/>
      <c r="AO34" s="3536"/>
      <c r="AP34" s="3536"/>
      <c r="AQ34" s="3536"/>
      <c r="AR34" s="3536"/>
      <c r="AS34" s="3536"/>
      <c r="AT34" s="3536"/>
      <c r="AU34" s="3536"/>
      <c r="AV34" s="3536"/>
      <c r="AW34" s="3536"/>
      <c r="AX34" s="3536"/>
      <c r="AY34" s="3536"/>
      <c r="AZ34" s="3536"/>
      <c r="BA34" s="3536"/>
      <c r="BB34" s="3536"/>
      <c r="BC34" s="3536"/>
      <c r="BD34" s="3536"/>
      <c r="BE34" s="3554"/>
      <c r="BF34" s="3554"/>
      <c r="BG34" s="3554"/>
      <c r="BH34" s="3554"/>
      <c r="BI34" s="3579"/>
      <c r="BJ34" s="3536"/>
      <c r="BK34" s="3569"/>
      <c r="BL34" s="3557"/>
      <c r="BM34" s="3559"/>
      <c r="BN34" s="3572"/>
      <c r="BO34" s="3572"/>
      <c r="BP34" s="2307"/>
    </row>
    <row r="35" spans="1:68" s="768" customFormat="1" ht="36" customHeight="1" x14ac:dyDescent="0.2">
      <c r="A35" s="786"/>
      <c r="C35" s="787"/>
      <c r="F35" s="787"/>
      <c r="G35" s="2449"/>
      <c r="H35" s="3047"/>
      <c r="I35" s="3576"/>
      <c r="J35" s="3252"/>
      <c r="K35" s="2665"/>
      <c r="L35" s="3567"/>
      <c r="M35" s="3587"/>
      <c r="N35" s="2496"/>
      <c r="O35" s="2423"/>
      <c r="P35" s="3026"/>
      <c r="Q35" s="3589"/>
      <c r="R35" s="2467"/>
      <c r="S35" s="2467"/>
      <c r="T35" s="802" t="s">
        <v>698</v>
      </c>
      <c r="U35" s="765">
        <v>227000000</v>
      </c>
      <c r="V35" s="765">
        <v>2978025</v>
      </c>
      <c r="W35" s="765">
        <v>2978025</v>
      </c>
      <c r="X35" s="3582"/>
      <c r="Y35" s="2342"/>
      <c r="Z35" s="3585"/>
      <c r="AA35" s="3546"/>
      <c r="AB35" s="3546"/>
      <c r="AC35" s="3546"/>
      <c r="AD35" s="3546"/>
      <c r="AE35" s="3546"/>
      <c r="AF35" s="3546"/>
      <c r="AG35" s="3546"/>
      <c r="AH35" s="3546"/>
      <c r="AI35" s="3546"/>
      <c r="AJ35" s="3546"/>
      <c r="AK35" s="3546"/>
      <c r="AL35" s="3546"/>
      <c r="AM35" s="3546"/>
      <c r="AN35" s="3546"/>
      <c r="AO35" s="3546"/>
      <c r="AP35" s="3546"/>
      <c r="AQ35" s="3546"/>
      <c r="AR35" s="3546"/>
      <c r="AS35" s="3546"/>
      <c r="AT35" s="3546"/>
      <c r="AU35" s="3546"/>
      <c r="AV35" s="3546"/>
      <c r="AW35" s="3546"/>
      <c r="AX35" s="3546"/>
      <c r="AY35" s="3546"/>
      <c r="AZ35" s="3546"/>
      <c r="BA35" s="3546"/>
      <c r="BB35" s="3546"/>
      <c r="BC35" s="3546"/>
      <c r="BD35" s="3546"/>
      <c r="BE35" s="3560"/>
      <c r="BF35" s="3560"/>
      <c r="BG35" s="3560"/>
      <c r="BH35" s="3560"/>
      <c r="BI35" s="3562"/>
      <c r="BJ35" s="3546"/>
      <c r="BK35" s="3569"/>
      <c r="BL35" s="3557"/>
      <c r="BM35" s="3570"/>
      <c r="BN35" s="3573"/>
      <c r="BO35" s="3573"/>
      <c r="BP35" s="2467"/>
    </row>
    <row r="36" spans="1:68" s="768" customFormat="1" ht="49.5" customHeight="1" x14ac:dyDescent="0.2">
      <c r="A36" s="786"/>
      <c r="C36" s="787"/>
      <c r="F36" s="787"/>
      <c r="G36" s="2447">
        <v>2201006</v>
      </c>
      <c r="H36" s="2343" t="s">
        <v>699</v>
      </c>
      <c r="I36" s="2413" t="s">
        <v>700</v>
      </c>
      <c r="J36" s="2512" t="s">
        <v>701</v>
      </c>
      <c r="K36" s="2665">
        <v>54</v>
      </c>
      <c r="L36" s="3565">
        <v>54</v>
      </c>
      <c r="M36" s="3568" t="s">
        <v>702</v>
      </c>
      <c r="N36" s="2343" t="s">
        <v>703</v>
      </c>
      <c r="O36" s="2512" t="s">
        <v>704</v>
      </c>
      <c r="P36" s="2853">
        <f>SUM(U36:U37)/Q36</f>
        <v>0.18769787278880948</v>
      </c>
      <c r="Q36" s="3592">
        <f>SUM(U36:U47)</f>
        <v>471822076</v>
      </c>
      <c r="R36" s="544"/>
      <c r="S36" s="532"/>
      <c r="T36" s="803" t="s">
        <v>705</v>
      </c>
      <c r="U36" s="804">
        <f>20600000</f>
        <v>20600000</v>
      </c>
      <c r="V36" s="775">
        <f>U36</f>
        <v>20600000</v>
      </c>
      <c r="W36" s="775">
        <f>V36</f>
        <v>20600000</v>
      </c>
      <c r="X36" s="805">
        <v>20</v>
      </c>
      <c r="Y36" s="800" t="s">
        <v>634</v>
      </c>
      <c r="Z36" s="3540">
        <v>20196</v>
      </c>
      <c r="AA36" s="3535">
        <v>19390.222222222223</v>
      </c>
      <c r="AB36" s="3535">
        <v>20595</v>
      </c>
      <c r="AC36" s="3535">
        <v>19836</v>
      </c>
      <c r="AD36" s="3535">
        <v>29775</v>
      </c>
      <c r="AE36" s="3535">
        <v>28890</v>
      </c>
      <c r="AF36" s="3535">
        <v>9453</v>
      </c>
      <c r="AG36" s="3535">
        <v>9117.4444444444453</v>
      </c>
      <c r="AH36" s="3535">
        <v>1396</v>
      </c>
      <c r="AI36" s="3535">
        <v>1123.3333333333333</v>
      </c>
      <c r="AJ36" s="3535">
        <v>167</v>
      </c>
      <c r="AK36" s="3535">
        <v>95</v>
      </c>
      <c r="AL36" s="3535">
        <v>274</v>
      </c>
      <c r="AM36" s="3535">
        <v>290.22222222222223</v>
      </c>
      <c r="AN36" s="3535">
        <v>329</v>
      </c>
      <c r="AO36" s="3535">
        <v>332.22222222222223</v>
      </c>
      <c r="AP36" s="3535">
        <v>0</v>
      </c>
      <c r="AQ36" s="3535">
        <v>0</v>
      </c>
      <c r="AR36" s="3535">
        <v>0</v>
      </c>
      <c r="AS36" s="3535">
        <v>0</v>
      </c>
      <c r="AT36" s="3535">
        <v>0</v>
      </c>
      <c r="AU36" s="3535">
        <v>0</v>
      </c>
      <c r="AV36" s="3535">
        <v>0</v>
      </c>
      <c r="AW36" s="3535">
        <v>0</v>
      </c>
      <c r="AX36" s="3535">
        <v>3097</v>
      </c>
      <c r="AY36" s="3535">
        <v>3256.4444444444443</v>
      </c>
      <c r="AZ36" s="3535">
        <v>2611</v>
      </c>
      <c r="BA36" s="3535">
        <v>2467.8888888888887</v>
      </c>
      <c r="BB36" s="3535">
        <v>50</v>
      </c>
      <c r="BC36" s="3535">
        <v>112.88888888888889</v>
      </c>
      <c r="BD36" s="3535">
        <f>+Z36+AB36</f>
        <v>40791</v>
      </c>
      <c r="BE36" s="3553">
        <f>SUM(AA36+AC36)</f>
        <v>39226.222222222219</v>
      </c>
      <c r="BF36" s="3553">
        <v>8</v>
      </c>
      <c r="BG36" s="3553">
        <f>SUM(V36:V47)</f>
        <v>111009467</v>
      </c>
      <c r="BH36" s="3553">
        <f>SUM(W36:W47)</f>
        <v>41760000</v>
      </c>
      <c r="BI36" s="3561">
        <f>(+BH36/Q36)</f>
        <v>8.850794001423537E-2</v>
      </c>
      <c r="BJ36" s="546" t="s">
        <v>7</v>
      </c>
      <c r="BK36" s="3569" t="s">
        <v>706</v>
      </c>
      <c r="BL36" s="3557">
        <v>43832</v>
      </c>
      <c r="BM36" s="3558">
        <v>43832</v>
      </c>
      <c r="BN36" s="2838">
        <v>44195</v>
      </c>
      <c r="BO36" s="2838">
        <v>44195</v>
      </c>
      <c r="BP36" s="2306" t="s">
        <v>633</v>
      </c>
    </row>
    <row r="37" spans="1:68" s="768" customFormat="1" ht="93" customHeight="1" x14ac:dyDescent="0.2">
      <c r="A37" s="786"/>
      <c r="C37" s="787"/>
      <c r="F37" s="787"/>
      <c r="G37" s="2449"/>
      <c r="H37" s="2343"/>
      <c r="I37" s="2413"/>
      <c r="J37" s="2512"/>
      <c r="K37" s="2665"/>
      <c r="L37" s="3567"/>
      <c r="M37" s="3568"/>
      <c r="N37" s="2343"/>
      <c r="O37" s="2512"/>
      <c r="P37" s="2853"/>
      <c r="Q37" s="3544"/>
      <c r="R37" s="2422" t="s">
        <v>707</v>
      </c>
      <c r="S37" s="2929" t="s">
        <v>708</v>
      </c>
      <c r="T37" s="523" t="s">
        <v>709</v>
      </c>
      <c r="U37" s="783">
        <v>67960000</v>
      </c>
      <c r="V37" s="775">
        <v>53293332</v>
      </c>
      <c r="W37" s="783">
        <v>2800000</v>
      </c>
      <c r="X37" s="564">
        <v>20</v>
      </c>
      <c r="Y37" s="564" t="s">
        <v>634</v>
      </c>
      <c r="Z37" s="3541"/>
      <c r="AA37" s="3536"/>
      <c r="AB37" s="3536"/>
      <c r="AC37" s="3536"/>
      <c r="AD37" s="3536"/>
      <c r="AE37" s="3536"/>
      <c r="AF37" s="3536"/>
      <c r="AG37" s="3536"/>
      <c r="AH37" s="3536"/>
      <c r="AI37" s="3536"/>
      <c r="AJ37" s="3536"/>
      <c r="AK37" s="3536"/>
      <c r="AL37" s="3536"/>
      <c r="AM37" s="3536"/>
      <c r="AN37" s="3536"/>
      <c r="AO37" s="3536"/>
      <c r="AP37" s="3536"/>
      <c r="AQ37" s="3536"/>
      <c r="AR37" s="3536"/>
      <c r="AS37" s="3536"/>
      <c r="AT37" s="3536"/>
      <c r="AU37" s="3536"/>
      <c r="AV37" s="3536"/>
      <c r="AW37" s="3536"/>
      <c r="AX37" s="3536"/>
      <c r="AY37" s="3536"/>
      <c r="AZ37" s="3536"/>
      <c r="BA37" s="3536"/>
      <c r="BB37" s="3536"/>
      <c r="BC37" s="3536"/>
      <c r="BD37" s="3536"/>
      <c r="BE37" s="3554"/>
      <c r="BF37" s="3554"/>
      <c r="BG37" s="3554"/>
      <c r="BH37" s="3554"/>
      <c r="BI37" s="3579"/>
      <c r="BJ37" s="546" t="s">
        <v>710</v>
      </c>
      <c r="BK37" s="3569"/>
      <c r="BL37" s="3557"/>
      <c r="BM37" s="3559"/>
      <c r="BN37" s="2839"/>
      <c r="BO37" s="2839"/>
      <c r="BP37" s="2307"/>
    </row>
    <row r="38" spans="1:68" s="768" customFormat="1" ht="93" customHeight="1" x14ac:dyDescent="0.2">
      <c r="A38" s="786"/>
      <c r="C38" s="787"/>
      <c r="F38" s="787"/>
      <c r="G38" s="806">
        <v>2201033</v>
      </c>
      <c r="H38" s="538" t="s">
        <v>711</v>
      </c>
      <c r="I38" s="534" t="s">
        <v>623</v>
      </c>
      <c r="J38" s="537" t="s">
        <v>624</v>
      </c>
      <c r="K38" s="790">
        <v>9000</v>
      </c>
      <c r="L38" s="1449">
        <v>0</v>
      </c>
      <c r="M38" s="3568"/>
      <c r="N38" s="2343"/>
      <c r="O38" s="2512"/>
      <c r="P38" s="793">
        <f>U38/Q36</f>
        <v>5.2986075200093012E-2</v>
      </c>
      <c r="Q38" s="3544"/>
      <c r="R38" s="2423"/>
      <c r="S38" s="2993"/>
      <c r="T38" s="534" t="s">
        <v>712</v>
      </c>
      <c r="U38" s="765">
        <v>25000000</v>
      </c>
      <c r="V38" s="765"/>
      <c r="W38" s="765"/>
      <c r="X38" s="562">
        <v>21</v>
      </c>
      <c r="Y38" s="538" t="s">
        <v>713</v>
      </c>
      <c r="Z38" s="3541"/>
      <c r="AA38" s="3536"/>
      <c r="AB38" s="3536"/>
      <c r="AC38" s="3536"/>
      <c r="AD38" s="3536"/>
      <c r="AE38" s="3536"/>
      <c r="AF38" s="3536"/>
      <c r="AG38" s="3536"/>
      <c r="AH38" s="3536"/>
      <c r="AI38" s="3536"/>
      <c r="AJ38" s="3536"/>
      <c r="AK38" s="3536"/>
      <c r="AL38" s="3536"/>
      <c r="AM38" s="3536"/>
      <c r="AN38" s="3536"/>
      <c r="AO38" s="3536"/>
      <c r="AP38" s="3536"/>
      <c r="AQ38" s="3536"/>
      <c r="AR38" s="3536"/>
      <c r="AS38" s="3536"/>
      <c r="AT38" s="3536"/>
      <c r="AU38" s="3536"/>
      <c r="AV38" s="3536"/>
      <c r="AW38" s="3536"/>
      <c r="AX38" s="3536"/>
      <c r="AY38" s="3536"/>
      <c r="AZ38" s="3536"/>
      <c r="BA38" s="3536"/>
      <c r="BB38" s="3536"/>
      <c r="BC38" s="3536"/>
      <c r="BD38" s="3536"/>
      <c r="BE38" s="3554"/>
      <c r="BF38" s="3554"/>
      <c r="BG38" s="3554"/>
      <c r="BH38" s="3554"/>
      <c r="BI38" s="3579"/>
      <c r="BJ38" s="546" t="s">
        <v>4</v>
      </c>
      <c r="BK38" s="3569"/>
      <c r="BL38" s="3557"/>
      <c r="BM38" s="3559"/>
      <c r="BN38" s="2839"/>
      <c r="BO38" s="2839"/>
      <c r="BP38" s="2307"/>
    </row>
    <row r="39" spans="1:68" s="768" customFormat="1" ht="93" customHeight="1" x14ac:dyDescent="0.2">
      <c r="A39" s="786"/>
      <c r="C39" s="787"/>
      <c r="F39" s="787"/>
      <c r="G39" s="806">
        <v>2201068</v>
      </c>
      <c r="H39" s="538" t="s">
        <v>714</v>
      </c>
      <c r="I39" s="534" t="s">
        <v>715</v>
      </c>
      <c r="J39" s="537" t="s">
        <v>716</v>
      </c>
      <c r="K39" s="1538">
        <v>48</v>
      </c>
      <c r="L39" s="1449">
        <v>48</v>
      </c>
      <c r="M39" s="3568"/>
      <c r="N39" s="2343"/>
      <c r="O39" s="2512"/>
      <c r="P39" s="793">
        <f>U39/Q36</f>
        <v>7.3709988932353393E-2</v>
      </c>
      <c r="Q39" s="3544"/>
      <c r="R39" s="2423"/>
      <c r="S39" s="2993"/>
      <c r="T39" s="534" t="s">
        <v>717</v>
      </c>
      <c r="U39" s="765">
        <v>34778000</v>
      </c>
      <c r="V39" s="775">
        <v>18756135</v>
      </c>
      <c r="W39" s="765"/>
      <c r="X39" s="562">
        <v>88</v>
      </c>
      <c r="Y39" s="562" t="s">
        <v>637</v>
      </c>
      <c r="Z39" s="3541"/>
      <c r="AA39" s="3536"/>
      <c r="AB39" s="3536"/>
      <c r="AC39" s="3536"/>
      <c r="AD39" s="3536"/>
      <c r="AE39" s="3536"/>
      <c r="AF39" s="3536"/>
      <c r="AG39" s="3536"/>
      <c r="AH39" s="3536"/>
      <c r="AI39" s="3536"/>
      <c r="AJ39" s="3536"/>
      <c r="AK39" s="3536"/>
      <c r="AL39" s="3536"/>
      <c r="AM39" s="3536"/>
      <c r="AN39" s="3536"/>
      <c r="AO39" s="3536"/>
      <c r="AP39" s="3536"/>
      <c r="AQ39" s="3536"/>
      <c r="AR39" s="3536"/>
      <c r="AS39" s="3536"/>
      <c r="AT39" s="3536"/>
      <c r="AU39" s="3536"/>
      <c r="AV39" s="3536"/>
      <c r="AW39" s="3536"/>
      <c r="AX39" s="3536"/>
      <c r="AY39" s="3536"/>
      <c r="AZ39" s="3536"/>
      <c r="BA39" s="3536"/>
      <c r="BB39" s="3536"/>
      <c r="BC39" s="3536"/>
      <c r="BD39" s="3536"/>
      <c r="BE39" s="3554"/>
      <c r="BF39" s="3554"/>
      <c r="BG39" s="3554"/>
      <c r="BH39" s="3554"/>
      <c r="BI39" s="3579"/>
      <c r="BJ39" s="546" t="s">
        <v>710</v>
      </c>
      <c r="BK39" s="3569"/>
      <c r="BL39" s="3557"/>
      <c r="BM39" s="3559"/>
      <c r="BN39" s="2839"/>
      <c r="BO39" s="2839"/>
      <c r="BP39" s="2307"/>
    </row>
    <row r="40" spans="1:68" s="768" customFormat="1" ht="93" customHeight="1" x14ac:dyDescent="0.2">
      <c r="A40" s="786"/>
      <c r="C40" s="787"/>
      <c r="F40" s="787"/>
      <c r="G40" s="806">
        <v>2201046</v>
      </c>
      <c r="H40" s="538" t="s">
        <v>718</v>
      </c>
      <c r="I40" s="534" t="s">
        <v>719</v>
      </c>
      <c r="J40" s="537" t="s">
        <v>720</v>
      </c>
      <c r="K40" s="790">
        <v>5</v>
      </c>
      <c r="L40" s="1449">
        <v>1</v>
      </c>
      <c r="M40" s="3568"/>
      <c r="N40" s="2343"/>
      <c r="O40" s="2512"/>
      <c r="P40" s="793">
        <f>U40/Q36</f>
        <v>1.1444992243220091E-2</v>
      </c>
      <c r="Q40" s="3544"/>
      <c r="R40" s="2423"/>
      <c r="S40" s="2993"/>
      <c r="T40" s="534" t="s">
        <v>721</v>
      </c>
      <c r="U40" s="765">
        <v>5400000</v>
      </c>
      <c r="V40" s="765"/>
      <c r="W40" s="765"/>
      <c r="X40" s="562">
        <v>20</v>
      </c>
      <c r="Y40" s="562" t="s">
        <v>634</v>
      </c>
      <c r="Z40" s="3541"/>
      <c r="AA40" s="3536"/>
      <c r="AB40" s="3536"/>
      <c r="AC40" s="3536"/>
      <c r="AD40" s="3536"/>
      <c r="AE40" s="3536"/>
      <c r="AF40" s="3536"/>
      <c r="AG40" s="3536"/>
      <c r="AH40" s="3536"/>
      <c r="AI40" s="3536"/>
      <c r="AJ40" s="3536"/>
      <c r="AK40" s="3536"/>
      <c r="AL40" s="3536"/>
      <c r="AM40" s="3536"/>
      <c r="AN40" s="3536"/>
      <c r="AO40" s="3536"/>
      <c r="AP40" s="3536"/>
      <c r="AQ40" s="3536"/>
      <c r="AR40" s="3536"/>
      <c r="AS40" s="3536"/>
      <c r="AT40" s="3536"/>
      <c r="AU40" s="3536"/>
      <c r="AV40" s="3536"/>
      <c r="AW40" s="3536"/>
      <c r="AX40" s="3536"/>
      <c r="AY40" s="3536"/>
      <c r="AZ40" s="3536"/>
      <c r="BA40" s="3536"/>
      <c r="BB40" s="3536"/>
      <c r="BC40" s="3536"/>
      <c r="BD40" s="3536"/>
      <c r="BE40" s="3554"/>
      <c r="BF40" s="3554"/>
      <c r="BG40" s="3554"/>
      <c r="BH40" s="3554"/>
      <c r="BI40" s="3579"/>
      <c r="BJ40" s="546" t="s">
        <v>635</v>
      </c>
      <c r="BK40" s="3569"/>
      <c r="BL40" s="3557"/>
      <c r="BM40" s="3559"/>
      <c r="BN40" s="2839"/>
      <c r="BO40" s="2839"/>
      <c r="BP40" s="2307"/>
    </row>
    <row r="41" spans="1:68" s="768" customFormat="1" ht="45" x14ac:dyDescent="0.2">
      <c r="A41" s="786"/>
      <c r="C41" s="787"/>
      <c r="F41" s="787"/>
      <c r="G41" s="2447" t="s">
        <v>208</v>
      </c>
      <c r="H41" s="2491" t="s">
        <v>722</v>
      </c>
      <c r="I41" s="2493" t="s">
        <v>723</v>
      </c>
      <c r="J41" s="2641" t="s">
        <v>724</v>
      </c>
      <c r="K41" s="2665">
        <v>9</v>
      </c>
      <c r="L41" s="3565">
        <v>2</v>
      </c>
      <c r="M41" s="3568"/>
      <c r="N41" s="2343"/>
      <c r="O41" s="2512"/>
      <c r="P41" s="3563">
        <f>SUM(U41:U43)/Q36</f>
        <v>7.9323607147199271E-2</v>
      </c>
      <c r="Q41" s="3544"/>
      <c r="R41" s="2423"/>
      <c r="S41" s="2993"/>
      <c r="T41" s="522" t="s">
        <v>725</v>
      </c>
      <c r="U41" s="765">
        <f>18360000</f>
        <v>18360000</v>
      </c>
      <c r="V41" s="775">
        <f>U41</f>
        <v>18360000</v>
      </c>
      <c r="W41" s="775">
        <f>V41</f>
        <v>18360000</v>
      </c>
      <c r="X41" s="562">
        <v>20</v>
      </c>
      <c r="Y41" s="562" t="s">
        <v>634</v>
      </c>
      <c r="Z41" s="3541"/>
      <c r="AA41" s="3536"/>
      <c r="AB41" s="3536"/>
      <c r="AC41" s="3536"/>
      <c r="AD41" s="3536"/>
      <c r="AE41" s="3536"/>
      <c r="AF41" s="3536"/>
      <c r="AG41" s="3536"/>
      <c r="AH41" s="3536"/>
      <c r="AI41" s="3536"/>
      <c r="AJ41" s="3536"/>
      <c r="AK41" s="3536"/>
      <c r="AL41" s="3536"/>
      <c r="AM41" s="3536"/>
      <c r="AN41" s="3536"/>
      <c r="AO41" s="3536"/>
      <c r="AP41" s="3536"/>
      <c r="AQ41" s="3536"/>
      <c r="AR41" s="3536"/>
      <c r="AS41" s="3536"/>
      <c r="AT41" s="3536"/>
      <c r="AU41" s="3536"/>
      <c r="AV41" s="3536"/>
      <c r="AW41" s="3536"/>
      <c r="AX41" s="3536"/>
      <c r="AY41" s="3536"/>
      <c r="AZ41" s="3536"/>
      <c r="BA41" s="3536"/>
      <c r="BB41" s="3536"/>
      <c r="BC41" s="3536"/>
      <c r="BD41" s="3536"/>
      <c r="BE41" s="3554"/>
      <c r="BF41" s="3554"/>
      <c r="BG41" s="3554"/>
      <c r="BH41" s="3554"/>
      <c r="BI41" s="3579"/>
      <c r="BJ41" s="546" t="s">
        <v>710</v>
      </c>
      <c r="BK41" s="3569"/>
      <c r="BL41" s="3557"/>
      <c r="BM41" s="3559"/>
      <c r="BN41" s="2839"/>
      <c r="BO41" s="2839"/>
      <c r="BP41" s="2307"/>
    </row>
    <row r="42" spans="1:68" s="768" customFormat="1" ht="45" x14ac:dyDescent="0.2">
      <c r="A42" s="786"/>
      <c r="C42" s="787"/>
      <c r="F42" s="787"/>
      <c r="G42" s="2448"/>
      <c r="H42" s="2761"/>
      <c r="I42" s="2526"/>
      <c r="J42" s="2764"/>
      <c r="K42" s="2665"/>
      <c r="L42" s="3566"/>
      <c r="M42" s="3568"/>
      <c r="N42" s="2343"/>
      <c r="O42" s="2512"/>
      <c r="P42" s="2853"/>
      <c r="Q42" s="3544"/>
      <c r="R42" s="2423"/>
      <c r="S42" s="2993"/>
      <c r="T42" s="2493" t="s">
        <v>726</v>
      </c>
      <c r="U42" s="765">
        <v>12426629</v>
      </c>
      <c r="V42" s="765">
        <v>0</v>
      </c>
      <c r="W42" s="765">
        <v>0</v>
      </c>
      <c r="X42" s="562">
        <v>21</v>
      </c>
      <c r="Y42" s="538" t="s">
        <v>713</v>
      </c>
      <c r="Z42" s="3541"/>
      <c r="AA42" s="3536"/>
      <c r="AB42" s="3536"/>
      <c r="AC42" s="3536"/>
      <c r="AD42" s="3536"/>
      <c r="AE42" s="3536"/>
      <c r="AF42" s="3536"/>
      <c r="AG42" s="3536"/>
      <c r="AH42" s="3536"/>
      <c r="AI42" s="3536"/>
      <c r="AJ42" s="3536"/>
      <c r="AK42" s="3536"/>
      <c r="AL42" s="3536"/>
      <c r="AM42" s="3536"/>
      <c r="AN42" s="3536"/>
      <c r="AO42" s="3536"/>
      <c r="AP42" s="3536"/>
      <c r="AQ42" s="3536"/>
      <c r="AR42" s="3536"/>
      <c r="AS42" s="3536"/>
      <c r="AT42" s="3536"/>
      <c r="AU42" s="3536"/>
      <c r="AV42" s="3536"/>
      <c r="AW42" s="3536"/>
      <c r="AX42" s="3536"/>
      <c r="AY42" s="3536"/>
      <c r="AZ42" s="3536"/>
      <c r="BA42" s="3536"/>
      <c r="BB42" s="3536"/>
      <c r="BC42" s="3536"/>
      <c r="BD42" s="3536"/>
      <c r="BE42" s="3554"/>
      <c r="BF42" s="3554"/>
      <c r="BG42" s="3554"/>
      <c r="BH42" s="3554"/>
      <c r="BI42" s="3579"/>
      <c r="BJ42" s="546" t="s">
        <v>645</v>
      </c>
      <c r="BK42" s="3569"/>
      <c r="BL42" s="3557"/>
      <c r="BM42" s="3559"/>
      <c r="BN42" s="2839"/>
      <c r="BO42" s="2839"/>
      <c r="BP42" s="2307"/>
    </row>
    <row r="43" spans="1:68" s="768" customFormat="1" ht="24.75" customHeight="1" x14ac:dyDescent="0.2">
      <c r="A43" s="786"/>
      <c r="C43" s="787"/>
      <c r="F43" s="787"/>
      <c r="G43" s="2449"/>
      <c r="H43" s="2342"/>
      <c r="I43" s="2492"/>
      <c r="J43" s="2642"/>
      <c r="K43" s="2665"/>
      <c r="L43" s="3567"/>
      <c r="M43" s="3568"/>
      <c r="N43" s="2343"/>
      <c r="O43" s="2512"/>
      <c r="P43" s="2853"/>
      <c r="Q43" s="3544"/>
      <c r="R43" s="2423"/>
      <c r="S43" s="2993"/>
      <c r="T43" s="2492"/>
      <c r="U43" s="765">
        <v>6640000</v>
      </c>
      <c r="V43" s="765">
        <v>0</v>
      </c>
      <c r="W43" s="765">
        <v>0</v>
      </c>
      <c r="X43" s="562">
        <v>20</v>
      </c>
      <c r="Y43" s="562" t="s">
        <v>634</v>
      </c>
      <c r="Z43" s="3541"/>
      <c r="AA43" s="3536"/>
      <c r="AB43" s="3536"/>
      <c r="AC43" s="3536"/>
      <c r="AD43" s="3536"/>
      <c r="AE43" s="3536"/>
      <c r="AF43" s="3536"/>
      <c r="AG43" s="3536"/>
      <c r="AH43" s="3536"/>
      <c r="AI43" s="3536"/>
      <c r="AJ43" s="3536"/>
      <c r="AK43" s="3536"/>
      <c r="AL43" s="3536"/>
      <c r="AM43" s="3536"/>
      <c r="AN43" s="3536"/>
      <c r="AO43" s="3536"/>
      <c r="AP43" s="3536"/>
      <c r="AQ43" s="3536"/>
      <c r="AR43" s="3536"/>
      <c r="AS43" s="3536"/>
      <c r="AT43" s="3536"/>
      <c r="AU43" s="3536"/>
      <c r="AV43" s="3536"/>
      <c r="AW43" s="3536"/>
      <c r="AX43" s="3536"/>
      <c r="AY43" s="3536"/>
      <c r="AZ43" s="3536"/>
      <c r="BA43" s="3536"/>
      <c r="BB43" s="3536"/>
      <c r="BC43" s="3536"/>
      <c r="BD43" s="3536"/>
      <c r="BE43" s="3554"/>
      <c r="BF43" s="3554"/>
      <c r="BG43" s="3554"/>
      <c r="BH43" s="3554"/>
      <c r="BI43" s="3579"/>
      <c r="BJ43" s="546" t="s">
        <v>4</v>
      </c>
      <c r="BK43" s="3569"/>
      <c r="BL43" s="3557"/>
      <c r="BM43" s="3559"/>
      <c r="BN43" s="2839"/>
      <c r="BO43" s="2839"/>
      <c r="BP43" s="2307"/>
    </row>
    <row r="44" spans="1:68" s="768" customFormat="1" ht="28.5" customHeight="1" x14ac:dyDescent="0.2">
      <c r="A44" s="786"/>
      <c r="C44" s="787"/>
      <c r="F44" s="787"/>
      <c r="G44" s="2447">
        <v>2201026</v>
      </c>
      <c r="H44" s="2343" t="s">
        <v>727</v>
      </c>
      <c r="I44" s="2413" t="s">
        <v>728</v>
      </c>
      <c r="J44" s="2512" t="s">
        <v>729</v>
      </c>
      <c r="K44" s="2665">
        <v>5</v>
      </c>
      <c r="L44" s="3565">
        <v>0</v>
      </c>
      <c r="M44" s="3568"/>
      <c r="N44" s="2343"/>
      <c r="O44" s="2512"/>
      <c r="P44" s="2853">
        <f>SUM(U44:U47)/Q36</f>
        <v>0.5948374636883248</v>
      </c>
      <c r="Q44" s="3544"/>
      <c r="R44" s="2423"/>
      <c r="S44" s="2993"/>
      <c r="T44" s="2493" t="s">
        <v>730</v>
      </c>
      <c r="U44" s="765">
        <v>63201500</v>
      </c>
      <c r="V44" s="765">
        <v>0</v>
      </c>
      <c r="W44" s="765">
        <v>0</v>
      </c>
      <c r="X44" s="562">
        <v>88</v>
      </c>
      <c r="Y44" s="562" t="s">
        <v>637</v>
      </c>
      <c r="Z44" s="3541"/>
      <c r="AA44" s="3536"/>
      <c r="AB44" s="3536"/>
      <c r="AC44" s="3536"/>
      <c r="AD44" s="3536"/>
      <c r="AE44" s="3536"/>
      <c r="AF44" s="3536"/>
      <c r="AG44" s="3536"/>
      <c r="AH44" s="3536"/>
      <c r="AI44" s="3536"/>
      <c r="AJ44" s="3536"/>
      <c r="AK44" s="3536"/>
      <c r="AL44" s="3536"/>
      <c r="AM44" s="3536"/>
      <c r="AN44" s="3536"/>
      <c r="AO44" s="3536"/>
      <c r="AP44" s="3536"/>
      <c r="AQ44" s="3536"/>
      <c r="AR44" s="3536"/>
      <c r="AS44" s="3536"/>
      <c r="AT44" s="3536"/>
      <c r="AU44" s="3536"/>
      <c r="AV44" s="3536"/>
      <c r="AW44" s="3536"/>
      <c r="AX44" s="3536"/>
      <c r="AY44" s="3536"/>
      <c r="AZ44" s="3536"/>
      <c r="BA44" s="3536"/>
      <c r="BB44" s="3536"/>
      <c r="BC44" s="3536"/>
      <c r="BD44" s="3536"/>
      <c r="BE44" s="3554"/>
      <c r="BF44" s="3554"/>
      <c r="BG44" s="3554"/>
      <c r="BH44" s="3554"/>
      <c r="BI44" s="3579"/>
      <c r="BJ44" s="774"/>
      <c r="BK44" s="3569"/>
      <c r="BL44" s="3557"/>
      <c r="BM44" s="3559"/>
      <c r="BN44" s="2839"/>
      <c r="BO44" s="2839"/>
      <c r="BP44" s="2307"/>
    </row>
    <row r="45" spans="1:68" s="768" customFormat="1" ht="45" x14ac:dyDescent="0.2">
      <c r="A45" s="786"/>
      <c r="C45" s="787"/>
      <c r="F45" s="787"/>
      <c r="G45" s="2448"/>
      <c r="H45" s="2343"/>
      <c r="I45" s="2413"/>
      <c r="J45" s="2512"/>
      <c r="K45" s="2665"/>
      <c r="L45" s="3566"/>
      <c r="M45" s="3568"/>
      <c r="N45" s="2343"/>
      <c r="O45" s="2512"/>
      <c r="P45" s="2853"/>
      <c r="Q45" s="3544"/>
      <c r="R45" s="2423"/>
      <c r="S45" s="2993"/>
      <c r="T45" s="2526"/>
      <c r="U45" s="765">
        <v>25000000</v>
      </c>
      <c r="V45" s="765">
        <v>0</v>
      </c>
      <c r="W45" s="765">
        <v>0</v>
      </c>
      <c r="X45" s="562">
        <v>21</v>
      </c>
      <c r="Y45" s="538" t="s">
        <v>713</v>
      </c>
      <c r="Z45" s="3541"/>
      <c r="AA45" s="3536"/>
      <c r="AB45" s="3536"/>
      <c r="AC45" s="3536"/>
      <c r="AD45" s="3536"/>
      <c r="AE45" s="3536"/>
      <c r="AF45" s="3536"/>
      <c r="AG45" s="3536"/>
      <c r="AH45" s="3536"/>
      <c r="AI45" s="3536"/>
      <c r="AJ45" s="3536"/>
      <c r="AK45" s="3536"/>
      <c r="AL45" s="3536"/>
      <c r="AM45" s="3536"/>
      <c r="AN45" s="3536"/>
      <c r="AO45" s="3536"/>
      <c r="AP45" s="3536"/>
      <c r="AQ45" s="3536"/>
      <c r="AR45" s="3536"/>
      <c r="AS45" s="3536"/>
      <c r="AT45" s="3536"/>
      <c r="AU45" s="3536"/>
      <c r="AV45" s="3536"/>
      <c r="AW45" s="3536"/>
      <c r="AX45" s="3536"/>
      <c r="AY45" s="3536"/>
      <c r="AZ45" s="3536"/>
      <c r="BA45" s="3536"/>
      <c r="BB45" s="3536"/>
      <c r="BC45" s="3536"/>
      <c r="BD45" s="3536"/>
      <c r="BE45" s="3554"/>
      <c r="BF45" s="3554"/>
      <c r="BG45" s="3554"/>
      <c r="BH45" s="3554"/>
      <c r="BI45" s="3579"/>
      <c r="BJ45" s="774"/>
      <c r="BK45" s="3569"/>
      <c r="BL45" s="3557"/>
      <c r="BM45" s="3559"/>
      <c r="BN45" s="2839"/>
      <c r="BO45" s="2839"/>
      <c r="BP45" s="2307"/>
    </row>
    <row r="46" spans="1:68" s="768" customFormat="1" ht="35.25" customHeight="1" x14ac:dyDescent="0.2">
      <c r="A46" s="786"/>
      <c r="C46" s="787"/>
      <c r="F46" s="787"/>
      <c r="G46" s="2448"/>
      <c r="H46" s="2343"/>
      <c r="I46" s="2413"/>
      <c r="J46" s="2512"/>
      <c r="K46" s="2665"/>
      <c r="L46" s="3566"/>
      <c r="M46" s="3568"/>
      <c r="N46" s="2343"/>
      <c r="O46" s="2512"/>
      <c r="P46" s="2853"/>
      <c r="Q46" s="3544"/>
      <c r="R46" s="2423"/>
      <c r="S46" s="2993"/>
      <c r="T46" s="2526"/>
      <c r="U46" s="765">
        <v>174455947</v>
      </c>
      <c r="V46" s="765">
        <v>0</v>
      </c>
      <c r="W46" s="765">
        <v>0</v>
      </c>
      <c r="X46" s="562">
        <v>91</v>
      </c>
      <c r="Y46" s="562" t="s">
        <v>731</v>
      </c>
      <c r="Z46" s="3541"/>
      <c r="AA46" s="3536"/>
      <c r="AB46" s="3536"/>
      <c r="AC46" s="3536"/>
      <c r="AD46" s="3536"/>
      <c r="AE46" s="3536"/>
      <c r="AF46" s="3536"/>
      <c r="AG46" s="3536"/>
      <c r="AH46" s="3536"/>
      <c r="AI46" s="3536"/>
      <c r="AJ46" s="3536"/>
      <c r="AK46" s="3536"/>
      <c r="AL46" s="3536"/>
      <c r="AM46" s="3536"/>
      <c r="AN46" s="3536"/>
      <c r="AO46" s="3536"/>
      <c r="AP46" s="3536"/>
      <c r="AQ46" s="3536"/>
      <c r="AR46" s="3536"/>
      <c r="AS46" s="3536"/>
      <c r="AT46" s="3536"/>
      <c r="AU46" s="3536"/>
      <c r="AV46" s="3536"/>
      <c r="AW46" s="3536"/>
      <c r="AX46" s="3536"/>
      <c r="AY46" s="3536"/>
      <c r="AZ46" s="3536"/>
      <c r="BA46" s="3536"/>
      <c r="BB46" s="3536"/>
      <c r="BC46" s="3536"/>
      <c r="BD46" s="3536"/>
      <c r="BE46" s="3554"/>
      <c r="BF46" s="3554"/>
      <c r="BG46" s="3554"/>
      <c r="BH46" s="3554"/>
      <c r="BI46" s="3579"/>
      <c r="BJ46" s="774"/>
      <c r="BK46" s="3569"/>
      <c r="BL46" s="3557"/>
      <c r="BM46" s="3559"/>
      <c r="BN46" s="2839"/>
      <c r="BO46" s="2839"/>
      <c r="BP46" s="2307"/>
    </row>
    <row r="47" spans="1:68" s="768" customFormat="1" ht="26.25" customHeight="1" x14ac:dyDescent="0.2">
      <c r="A47" s="786"/>
      <c r="C47" s="787"/>
      <c r="F47" s="787"/>
      <c r="G47" s="2449"/>
      <c r="H47" s="2491"/>
      <c r="I47" s="2493"/>
      <c r="J47" s="2641"/>
      <c r="K47" s="2665"/>
      <c r="L47" s="3567"/>
      <c r="M47" s="3587"/>
      <c r="N47" s="2491"/>
      <c r="O47" s="2641"/>
      <c r="P47" s="3597"/>
      <c r="Q47" s="3544"/>
      <c r="R47" s="2423"/>
      <c r="S47" s="2993"/>
      <c r="T47" s="2526"/>
      <c r="U47" s="771">
        <v>18000000</v>
      </c>
      <c r="V47" s="765">
        <v>0</v>
      </c>
      <c r="W47" s="765">
        <v>0</v>
      </c>
      <c r="X47" s="563">
        <v>25</v>
      </c>
      <c r="Y47" s="539" t="s">
        <v>653</v>
      </c>
      <c r="Z47" s="3590"/>
      <c r="AA47" s="3591"/>
      <c r="AB47" s="3591"/>
      <c r="AC47" s="3591"/>
      <c r="AD47" s="3591"/>
      <c r="AE47" s="3591"/>
      <c r="AF47" s="3591"/>
      <c r="AG47" s="3591"/>
      <c r="AH47" s="3591"/>
      <c r="AI47" s="3591"/>
      <c r="AJ47" s="3591"/>
      <c r="AK47" s="3591"/>
      <c r="AL47" s="3591"/>
      <c r="AM47" s="3591"/>
      <c r="AN47" s="3591"/>
      <c r="AO47" s="3591"/>
      <c r="AP47" s="3591"/>
      <c r="AQ47" s="3591"/>
      <c r="AR47" s="3591"/>
      <c r="AS47" s="3591"/>
      <c r="AT47" s="3591"/>
      <c r="AU47" s="3591"/>
      <c r="AV47" s="3591"/>
      <c r="AW47" s="3591"/>
      <c r="AX47" s="3591"/>
      <c r="AY47" s="3591"/>
      <c r="AZ47" s="3591"/>
      <c r="BA47" s="3591"/>
      <c r="BB47" s="3591"/>
      <c r="BC47" s="3591"/>
      <c r="BD47" s="3591"/>
      <c r="BE47" s="3595"/>
      <c r="BF47" s="3595"/>
      <c r="BG47" s="3595"/>
      <c r="BH47" s="3595"/>
      <c r="BI47" s="3596"/>
      <c r="BJ47" s="807"/>
      <c r="BK47" s="3569"/>
      <c r="BL47" s="3557"/>
      <c r="BM47" s="3593"/>
      <c r="BN47" s="3594"/>
      <c r="BO47" s="3594"/>
      <c r="BP47" s="2467"/>
    </row>
    <row r="48" spans="1:68" s="768" customFormat="1" ht="67.5" customHeight="1" x14ac:dyDescent="0.2">
      <c r="A48" s="786"/>
      <c r="C48" s="787"/>
      <c r="F48" s="787"/>
      <c r="G48" s="2447">
        <v>2201006</v>
      </c>
      <c r="H48" s="2451" t="s">
        <v>699</v>
      </c>
      <c r="I48" s="2413" t="s">
        <v>700</v>
      </c>
      <c r="J48" s="2512" t="s">
        <v>701</v>
      </c>
      <c r="K48" s="2665">
        <v>54</v>
      </c>
      <c r="L48" s="3565">
        <v>54</v>
      </c>
      <c r="M48" s="3568" t="s">
        <v>732</v>
      </c>
      <c r="N48" s="2343" t="s">
        <v>733</v>
      </c>
      <c r="O48" s="2413" t="s">
        <v>734</v>
      </c>
      <c r="P48" s="2853">
        <f>SUM(U48:U49)/Q48</f>
        <v>1</v>
      </c>
      <c r="Q48" s="3564">
        <f>SUM(U48:U49)</f>
        <v>20000000</v>
      </c>
      <c r="R48" s="534"/>
      <c r="S48" s="534"/>
      <c r="T48" s="534" t="s">
        <v>735</v>
      </c>
      <c r="U48" s="765">
        <f>19200000</f>
        <v>19200000</v>
      </c>
      <c r="V48" s="775">
        <f>U48</f>
        <v>19200000</v>
      </c>
      <c r="W48" s="775">
        <f>V48</f>
        <v>19200000</v>
      </c>
      <c r="X48" s="785">
        <v>20</v>
      </c>
      <c r="Y48" s="785" t="s">
        <v>634</v>
      </c>
      <c r="Z48" s="3599">
        <v>20196</v>
      </c>
      <c r="AA48" s="3598">
        <v>19390.222222222223</v>
      </c>
      <c r="AB48" s="3598">
        <v>20595</v>
      </c>
      <c r="AC48" s="3598">
        <v>19836</v>
      </c>
      <c r="AD48" s="3598">
        <v>29775</v>
      </c>
      <c r="AE48" s="3598">
        <v>28890</v>
      </c>
      <c r="AF48" s="3598">
        <v>9453</v>
      </c>
      <c r="AG48" s="3598">
        <v>9117.4444444444453</v>
      </c>
      <c r="AH48" s="3598">
        <v>1396</v>
      </c>
      <c r="AI48" s="3598">
        <v>1123.3333333333333</v>
      </c>
      <c r="AJ48" s="3598">
        <v>167</v>
      </c>
      <c r="AK48" s="3598">
        <v>95</v>
      </c>
      <c r="AL48" s="3598">
        <v>274</v>
      </c>
      <c r="AM48" s="3598">
        <v>290.22222222222223</v>
      </c>
      <c r="AN48" s="3598">
        <v>329</v>
      </c>
      <c r="AO48" s="3598">
        <v>332.22222222222223</v>
      </c>
      <c r="AP48" s="3598">
        <v>0</v>
      </c>
      <c r="AQ48" s="3598">
        <v>0</v>
      </c>
      <c r="AR48" s="3598">
        <v>0</v>
      </c>
      <c r="AS48" s="3598">
        <v>0</v>
      </c>
      <c r="AT48" s="3598">
        <v>0</v>
      </c>
      <c r="AU48" s="3598">
        <v>0</v>
      </c>
      <c r="AV48" s="3598">
        <v>0</v>
      </c>
      <c r="AW48" s="3598">
        <v>0</v>
      </c>
      <c r="AX48" s="3598">
        <v>3097</v>
      </c>
      <c r="AY48" s="3598">
        <v>3256.4444444444443</v>
      </c>
      <c r="AZ48" s="3598">
        <v>2611</v>
      </c>
      <c r="BA48" s="3598">
        <v>2467.8888888888887</v>
      </c>
      <c r="BB48" s="3598">
        <v>50</v>
      </c>
      <c r="BC48" s="3598">
        <v>112.88888888888889</v>
      </c>
      <c r="BD48" s="3598">
        <f>+Z48+AB48</f>
        <v>40791</v>
      </c>
      <c r="BE48" s="3606">
        <f>SUM(AA48+AC48)</f>
        <v>39226.222222222219</v>
      </c>
      <c r="BF48" s="3606">
        <v>1</v>
      </c>
      <c r="BG48" s="3606">
        <f>SUM(V48:V49)</f>
        <v>19200000</v>
      </c>
      <c r="BH48" s="3606">
        <f>SUM(W48:W49)</f>
        <v>19200000</v>
      </c>
      <c r="BI48" s="3607">
        <f>(+BH48/Q48)</f>
        <v>0.96</v>
      </c>
      <c r="BJ48" s="3606" t="s">
        <v>7</v>
      </c>
      <c r="BK48" s="3569"/>
      <c r="BL48" s="3557">
        <v>43832</v>
      </c>
      <c r="BM48" s="2958">
        <v>43832</v>
      </c>
      <c r="BN48" s="3602">
        <v>44195</v>
      </c>
      <c r="BO48" s="3602">
        <v>44195</v>
      </c>
      <c r="BP48" s="3604" t="s">
        <v>633</v>
      </c>
    </row>
    <row r="49" spans="1:68" s="768" customFormat="1" ht="118.5" customHeight="1" x14ac:dyDescent="0.2">
      <c r="A49" s="786"/>
      <c r="C49" s="787"/>
      <c r="F49" s="787"/>
      <c r="G49" s="2449"/>
      <c r="H49" s="3047"/>
      <c r="I49" s="2413"/>
      <c r="J49" s="2512"/>
      <c r="K49" s="2665"/>
      <c r="L49" s="3567"/>
      <c r="M49" s="3568"/>
      <c r="N49" s="2343"/>
      <c r="O49" s="2413"/>
      <c r="P49" s="2853"/>
      <c r="Q49" s="3564"/>
      <c r="R49" s="534" t="s">
        <v>736</v>
      </c>
      <c r="S49" s="534" t="s">
        <v>737</v>
      </c>
      <c r="T49" s="534" t="s">
        <v>738</v>
      </c>
      <c r="U49" s="765">
        <v>800000</v>
      </c>
      <c r="V49" s="765">
        <v>0</v>
      </c>
      <c r="W49" s="765">
        <v>0</v>
      </c>
      <c r="X49" s="611">
        <v>20</v>
      </c>
      <c r="Y49" s="534" t="s">
        <v>739</v>
      </c>
      <c r="Z49" s="3600"/>
      <c r="AA49" s="3591"/>
      <c r="AB49" s="3591"/>
      <c r="AC49" s="3591"/>
      <c r="AD49" s="3591"/>
      <c r="AE49" s="3591"/>
      <c r="AF49" s="3591"/>
      <c r="AG49" s="3591"/>
      <c r="AH49" s="3591"/>
      <c r="AI49" s="3591"/>
      <c r="AJ49" s="3591"/>
      <c r="AK49" s="3591"/>
      <c r="AL49" s="3591"/>
      <c r="AM49" s="3591"/>
      <c r="AN49" s="3591"/>
      <c r="AO49" s="3591"/>
      <c r="AP49" s="3591"/>
      <c r="AQ49" s="3591"/>
      <c r="AR49" s="3591"/>
      <c r="AS49" s="3591"/>
      <c r="AT49" s="3591"/>
      <c r="AU49" s="3591"/>
      <c r="AV49" s="3591"/>
      <c r="AW49" s="3591"/>
      <c r="AX49" s="3591"/>
      <c r="AY49" s="3591"/>
      <c r="AZ49" s="3591"/>
      <c r="BA49" s="3591"/>
      <c r="BB49" s="3591"/>
      <c r="BC49" s="3591"/>
      <c r="BD49" s="3591"/>
      <c r="BE49" s="3595"/>
      <c r="BF49" s="3595"/>
      <c r="BG49" s="3595"/>
      <c r="BH49" s="3595"/>
      <c r="BI49" s="3596"/>
      <c r="BJ49" s="3595"/>
      <c r="BK49" s="3569"/>
      <c r="BL49" s="3557"/>
      <c r="BM49" s="3601"/>
      <c r="BN49" s="3603"/>
      <c r="BO49" s="3603"/>
      <c r="BP49" s="3605"/>
    </row>
    <row r="50" spans="1:68" s="768" customFormat="1" ht="71.25" customHeight="1" x14ac:dyDescent="0.2">
      <c r="A50" s="786"/>
      <c r="C50" s="787"/>
      <c r="F50" s="787"/>
      <c r="G50" s="2447">
        <v>2201046</v>
      </c>
      <c r="H50" s="2343" t="s">
        <v>718</v>
      </c>
      <c r="I50" s="2492" t="s">
        <v>719</v>
      </c>
      <c r="J50" s="2642" t="s">
        <v>720</v>
      </c>
      <c r="K50" s="2665">
        <v>5</v>
      </c>
      <c r="L50" s="3565">
        <v>1</v>
      </c>
      <c r="M50" s="3586" t="s">
        <v>740</v>
      </c>
      <c r="N50" s="2342" t="s">
        <v>741</v>
      </c>
      <c r="O50" s="2492" t="s">
        <v>742</v>
      </c>
      <c r="P50" s="3563">
        <f>SUM(U50:U51)/Q50</f>
        <v>1</v>
      </c>
      <c r="Q50" s="3608">
        <f>U50+U51</f>
        <v>76000000</v>
      </c>
      <c r="R50" s="604"/>
      <c r="S50" s="598"/>
      <c r="T50" s="523" t="s">
        <v>743</v>
      </c>
      <c r="U50" s="783">
        <f>12513333</f>
        <v>12513333</v>
      </c>
      <c r="V50" s="775">
        <f>U50</f>
        <v>12513333</v>
      </c>
      <c r="W50" s="775">
        <v>12513333</v>
      </c>
      <c r="X50" s="808">
        <v>20</v>
      </c>
      <c r="Y50" s="809" t="s">
        <v>744</v>
      </c>
      <c r="Z50" s="3598">
        <v>4129</v>
      </c>
      <c r="AA50" s="3598">
        <v>3991</v>
      </c>
      <c r="AB50" s="3598">
        <v>4094</v>
      </c>
      <c r="AC50" s="3598">
        <v>3922</v>
      </c>
      <c r="AD50" s="3598">
        <v>1792</v>
      </c>
      <c r="AE50" s="3598">
        <v>1622</v>
      </c>
      <c r="AF50" s="3598">
        <v>6403</v>
      </c>
      <c r="AG50" s="3598">
        <v>6262</v>
      </c>
      <c r="AH50" s="3598">
        <v>28</v>
      </c>
      <c r="AI50" s="3598">
        <v>29</v>
      </c>
      <c r="AJ50" s="3598">
        <v>0</v>
      </c>
      <c r="AK50" s="3598">
        <v>0</v>
      </c>
      <c r="AL50" s="3598">
        <v>22</v>
      </c>
      <c r="AM50" s="3598">
        <v>22</v>
      </c>
      <c r="AN50" s="3598">
        <v>95</v>
      </c>
      <c r="AO50" s="3598">
        <v>98</v>
      </c>
      <c r="AP50" s="3598">
        <v>0</v>
      </c>
      <c r="AQ50" s="3598">
        <v>0</v>
      </c>
      <c r="AR50" s="3598">
        <v>0</v>
      </c>
      <c r="AS50" s="3598">
        <v>0</v>
      </c>
      <c r="AT50" s="3598">
        <v>0</v>
      </c>
      <c r="AU50" s="3598">
        <v>0</v>
      </c>
      <c r="AV50" s="3598">
        <v>0</v>
      </c>
      <c r="AW50" s="3598">
        <v>0</v>
      </c>
      <c r="AX50" s="3598">
        <v>590</v>
      </c>
      <c r="AY50" s="3598">
        <v>664</v>
      </c>
      <c r="AZ50" s="3598">
        <v>431</v>
      </c>
      <c r="BA50" s="3598">
        <v>427</v>
      </c>
      <c r="BB50" s="3598">
        <v>6</v>
      </c>
      <c r="BC50" s="3598">
        <v>15</v>
      </c>
      <c r="BD50" s="3598">
        <v>8223</v>
      </c>
      <c r="BE50" s="3606">
        <f t="shared" ref="BE50" si="0">SUM(AA50+AC50)</f>
        <v>7913</v>
      </c>
      <c r="BF50" s="3606">
        <v>2</v>
      </c>
      <c r="BG50" s="3606">
        <f>SUM(V50:V51)</f>
        <v>12513333</v>
      </c>
      <c r="BH50" s="3606">
        <f>SUM(W50:W51)</f>
        <v>12513333</v>
      </c>
      <c r="BI50" s="3607">
        <f>(+BH50/Q50)</f>
        <v>0.16464911842105262</v>
      </c>
      <c r="BJ50" s="546" t="s">
        <v>4</v>
      </c>
      <c r="BK50" s="3569" t="s">
        <v>706</v>
      </c>
      <c r="BL50" s="3557">
        <v>43832</v>
      </c>
      <c r="BM50" s="2958">
        <v>43832</v>
      </c>
      <c r="BN50" s="3602">
        <v>44195</v>
      </c>
      <c r="BO50" s="3602">
        <v>44195</v>
      </c>
      <c r="BP50" s="2495" t="s">
        <v>633</v>
      </c>
    </row>
    <row r="51" spans="1:68" s="768" customFormat="1" ht="83.25" customHeight="1" x14ac:dyDescent="0.2">
      <c r="A51" s="786"/>
      <c r="C51" s="787"/>
      <c r="F51" s="787"/>
      <c r="G51" s="2449"/>
      <c r="H51" s="2491"/>
      <c r="I51" s="2493"/>
      <c r="J51" s="2641"/>
      <c r="K51" s="2665"/>
      <c r="L51" s="3567"/>
      <c r="M51" s="3587"/>
      <c r="N51" s="2491"/>
      <c r="O51" s="2493"/>
      <c r="P51" s="3597"/>
      <c r="Q51" s="3609"/>
      <c r="R51" s="603" t="s">
        <v>745</v>
      </c>
      <c r="S51" s="596" t="s">
        <v>746</v>
      </c>
      <c r="T51" s="522" t="s">
        <v>747</v>
      </c>
      <c r="U51" s="771">
        <v>63486667</v>
      </c>
      <c r="V51" s="771">
        <v>0</v>
      </c>
      <c r="W51" s="771">
        <v>0</v>
      </c>
      <c r="X51" s="797">
        <v>88</v>
      </c>
      <c r="Y51" s="569" t="s">
        <v>637</v>
      </c>
      <c r="Z51" s="3546"/>
      <c r="AA51" s="3546"/>
      <c r="AB51" s="3546"/>
      <c r="AC51" s="3546"/>
      <c r="AD51" s="3546"/>
      <c r="AE51" s="3546"/>
      <c r="AF51" s="3546"/>
      <c r="AG51" s="3546"/>
      <c r="AH51" s="3546"/>
      <c r="AI51" s="3546"/>
      <c r="AJ51" s="3546"/>
      <c r="AK51" s="3546"/>
      <c r="AL51" s="3546"/>
      <c r="AM51" s="3546"/>
      <c r="AN51" s="3546"/>
      <c r="AO51" s="3546"/>
      <c r="AP51" s="3546"/>
      <c r="AQ51" s="3546"/>
      <c r="AR51" s="3546"/>
      <c r="AS51" s="3546"/>
      <c r="AT51" s="3546"/>
      <c r="AU51" s="3546"/>
      <c r="AV51" s="3546"/>
      <c r="AW51" s="3546"/>
      <c r="AX51" s="3546"/>
      <c r="AY51" s="3546"/>
      <c r="AZ51" s="3546"/>
      <c r="BA51" s="3546"/>
      <c r="BB51" s="3546"/>
      <c r="BC51" s="3546"/>
      <c r="BD51" s="3546"/>
      <c r="BE51" s="3560"/>
      <c r="BF51" s="3560"/>
      <c r="BG51" s="3560"/>
      <c r="BH51" s="3560"/>
      <c r="BI51" s="3562"/>
      <c r="BJ51" s="546" t="s">
        <v>7</v>
      </c>
      <c r="BK51" s="3569"/>
      <c r="BL51" s="3557"/>
      <c r="BM51" s="2958"/>
      <c r="BN51" s="3602"/>
      <c r="BO51" s="3602"/>
      <c r="BP51" s="3610"/>
    </row>
    <row r="52" spans="1:68" s="768" customFormat="1" ht="51" customHeight="1" x14ac:dyDescent="0.2">
      <c r="A52" s="786"/>
      <c r="C52" s="787"/>
      <c r="F52" s="787"/>
      <c r="G52" s="2447">
        <v>2201037</v>
      </c>
      <c r="H52" s="2451" t="s">
        <v>748</v>
      </c>
      <c r="I52" s="2413" t="s">
        <v>749</v>
      </c>
      <c r="J52" s="2512" t="s">
        <v>750</v>
      </c>
      <c r="K52" s="2665">
        <v>54</v>
      </c>
      <c r="L52" s="3565">
        <v>54</v>
      </c>
      <c r="M52" s="3568" t="s">
        <v>751</v>
      </c>
      <c r="N52" s="2343" t="s">
        <v>752</v>
      </c>
      <c r="O52" s="2413" t="s">
        <v>753</v>
      </c>
      <c r="P52" s="2853">
        <f>SUM(U52:U54)/Q52</f>
        <v>1</v>
      </c>
      <c r="Q52" s="3564">
        <f>U52+U53+U54</f>
        <v>40000000</v>
      </c>
      <c r="R52" s="534"/>
      <c r="S52" s="534"/>
      <c r="T52" s="534" t="s">
        <v>754</v>
      </c>
      <c r="U52" s="765">
        <f>15680000</f>
        <v>15680000</v>
      </c>
      <c r="V52" s="775">
        <f>U52</f>
        <v>15680000</v>
      </c>
      <c r="W52" s="775">
        <v>15680000</v>
      </c>
      <c r="X52" s="611">
        <v>20</v>
      </c>
      <c r="Y52" s="534" t="s">
        <v>634</v>
      </c>
      <c r="Z52" s="3583">
        <v>1450</v>
      </c>
      <c r="AA52" s="3535">
        <v>1326</v>
      </c>
      <c r="AB52" s="3535">
        <v>1439</v>
      </c>
      <c r="AC52" s="3535">
        <v>1383</v>
      </c>
      <c r="AD52" s="3535">
        <v>2889</v>
      </c>
      <c r="AE52" s="3535">
        <v>2709</v>
      </c>
      <c r="AF52" s="3535">
        <v>0</v>
      </c>
      <c r="AG52" s="3535">
        <v>0</v>
      </c>
      <c r="AH52" s="3535">
        <v>0</v>
      </c>
      <c r="AI52" s="3535">
        <v>0</v>
      </c>
      <c r="AJ52" s="3535">
        <v>0</v>
      </c>
      <c r="AK52" s="3535">
        <v>0</v>
      </c>
      <c r="AL52" s="3535">
        <v>11</v>
      </c>
      <c r="AM52" s="3535">
        <v>10</v>
      </c>
      <c r="AN52" s="3535">
        <v>3</v>
      </c>
      <c r="AO52" s="3535">
        <v>3</v>
      </c>
      <c r="AP52" s="3535">
        <v>0</v>
      </c>
      <c r="AQ52" s="3535">
        <v>0</v>
      </c>
      <c r="AR52" s="3611">
        <v>0</v>
      </c>
      <c r="AS52" s="3535">
        <v>0</v>
      </c>
      <c r="AT52" s="3535">
        <v>0</v>
      </c>
      <c r="AU52" s="3535">
        <v>0</v>
      </c>
      <c r="AV52" s="3535">
        <v>0</v>
      </c>
      <c r="AW52" s="3535">
        <v>0</v>
      </c>
      <c r="AX52" s="3535">
        <v>192</v>
      </c>
      <c r="AY52" s="3535">
        <v>166</v>
      </c>
      <c r="AZ52" s="3535">
        <v>27</v>
      </c>
      <c r="BA52" s="3535">
        <v>18</v>
      </c>
      <c r="BB52" s="3535">
        <v>6</v>
      </c>
      <c r="BC52" s="3535">
        <v>41</v>
      </c>
      <c r="BD52" s="3535">
        <f>SUM(Z52+AB52)</f>
        <v>2889</v>
      </c>
      <c r="BE52" s="3553">
        <f t="shared" ref="BE52" si="1">SUM(AA52+AC52)</f>
        <v>2709</v>
      </c>
      <c r="BF52" s="3553">
        <v>2</v>
      </c>
      <c r="BG52" s="3553">
        <f>SUM(V52:V54)</f>
        <v>25013333</v>
      </c>
      <c r="BH52" s="3553">
        <f>SUM(W52:W54)</f>
        <v>15680000</v>
      </c>
      <c r="BI52" s="3561">
        <f>(+BH52/Q52)</f>
        <v>0.39200000000000002</v>
      </c>
      <c r="BJ52" s="546" t="s">
        <v>7</v>
      </c>
      <c r="BK52" s="3569" t="s">
        <v>755</v>
      </c>
      <c r="BL52" s="3557">
        <v>43832</v>
      </c>
      <c r="BM52" s="3614">
        <v>43832</v>
      </c>
      <c r="BN52" s="3615">
        <v>44195</v>
      </c>
      <c r="BO52" s="3615">
        <v>44195</v>
      </c>
      <c r="BP52" s="2343" t="s">
        <v>633</v>
      </c>
    </row>
    <row r="53" spans="1:68" s="768" customFormat="1" ht="44.25" customHeight="1" x14ac:dyDescent="0.2">
      <c r="A53" s="786"/>
      <c r="C53" s="787"/>
      <c r="F53" s="787"/>
      <c r="G53" s="2448"/>
      <c r="H53" s="2451"/>
      <c r="I53" s="2413"/>
      <c r="J53" s="2512"/>
      <c r="K53" s="2665"/>
      <c r="L53" s="3566"/>
      <c r="M53" s="3568"/>
      <c r="N53" s="2343"/>
      <c r="O53" s="2413"/>
      <c r="P53" s="2853"/>
      <c r="Q53" s="3564"/>
      <c r="R53" s="2343" t="s">
        <v>756</v>
      </c>
      <c r="S53" s="2343" t="s">
        <v>757</v>
      </c>
      <c r="T53" s="2413" t="s">
        <v>758</v>
      </c>
      <c r="U53" s="765">
        <v>11979500</v>
      </c>
      <c r="V53" s="765">
        <v>0</v>
      </c>
      <c r="W53" s="765">
        <v>0</v>
      </c>
      <c r="X53" s="611">
        <v>20</v>
      </c>
      <c r="Y53" s="534" t="s">
        <v>634</v>
      </c>
      <c r="Z53" s="3584"/>
      <c r="AA53" s="3536"/>
      <c r="AB53" s="3536"/>
      <c r="AC53" s="3536"/>
      <c r="AD53" s="3536"/>
      <c r="AE53" s="3536"/>
      <c r="AF53" s="3536"/>
      <c r="AG53" s="3536"/>
      <c r="AH53" s="3536"/>
      <c r="AI53" s="3536"/>
      <c r="AJ53" s="3536"/>
      <c r="AK53" s="3536"/>
      <c r="AL53" s="3536"/>
      <c r="AM53" s="3536"/>
      <c r="AN53" s="3536"/>
      <c r="AO53" s="3536"/>
      <c r="AP53" s="3536"/>
      <c r="AQ53" s="3536"/>
      <c r="AR53" s="3612"/>
      <c r="AS53" s="3536"/>
      <c r="AT53" s="3536"/>
      <c r="AU53" s="3536"/>
      <c r="AV53" s="3536"/>
      <c r="AW53" s="3536"/>
      <c r="AX53" s="3536"/>
      <c r="AY53" s="3536"/>
      <c r="AZ53" s="3536"/>
      <c r="BA53" s="3536"/>
      <c r="BB53" s="3536"/>
      <c r="BC53" s="3536"/>
      <c r="BD53" s="3536"/>
      <c r="BE53" s="3554"/>
      <c r="BF53" s="3554"/>
      <c r="BG53" s="3554"/>
      <c r="BH53" s="3554"/>
      <c r="BI53" s="3579"/>
      <c r="BJ53" s="546" t="s">
        <v>4</v>
      </c>
      <c r="BK53" s="3569"/>
      <c r="BL53" s="3557"/>
      <c r="BM53" s="2958"/>
      <c r="BN53" s="3602"/>
      <c r="BO53" s="3602"/>
      <c r="BP53" s="2343"/>
    </row>
    <row r="54" spans="1:68" s="768" customFormat="1" ht="53.25" customHeight="1" x14ac:dyDescent="0.2">
      <c r="A54" s="786"/>
      <c r="C54" s="787"/>
      <c r="F54" s="787"/>
      <c r="G54" s="2449"/>
      <c r="H54" s="3047"/>
      <c r="I54" s="2413"/>
      <c r="J54" s="2512"/>
      <c r="K54" s="2665"/>
      <c r="L54" s="3567"/>
      <c r="M54" s="3568"/>
      <c r="N54" s="2343"/>
      <c r="O54" s="2413"/>
      <c r="P54" s="2853"/>
      <c r="Q54" s="3564"/>
      <c r="R54" s="2343"/>
      <c r="S54" s="2343"/>
      <c r="T54" s="2413"/>
      <c r="U54" s="765">
        <v>12340500</v>
      </c>
      <c r="V54" s="775">
        <v>9333333</v>
      </c>
      <c r="W54" s="765">
        <v>0</v>
      </c>
      <c r="X54" s="611">
        <v>88</v>
      </c>
      <c r="Y54" s="534" t="s">
        <v>637</v>
      </c>
      <c r="Z54" s="3585"/>
      <c r="AA54" s="3546"/>
      <c r="AB54" s="3546"/>
      <c r="AC54" s="3546"/>
      <c r="AD54" s="3546"/>
      <c r="AE54" s="3546"/>
      <c r="AF54" s="3546"/>
      <c r="AG54" s="3546"/>
      <c r="AH54" s="3546"/>
      <c r="AI54" s="3546"/>
      <c r="AJ54" s="3546"/>
      <c r="AK54" s="3546"/>
      <c r="AL54" s="3546"/>
      <c r="AM54" s="3546"/>
      <c r="AN54" s="3546"/>
      <c r="AO54" s="3546"/>
      <c r="AP54" s="3546"/>
      <c r="AQ54" s="3546"/>
      <c r="AR54" s="3613"/>
      <c r="AS54" s="3546"/>
      <c r="AT54" s="3546"/>
      <c r="AU54" s="3546"/>
      <c r="AV54" s="3546"/>
      <c r="AW54" s="3546"/>
      <c r="AX54" s="3546"/>
      <c r="AY54" s="3546"/>
      <c r="AZ54" s="3546"/>
      <c r="BA54" s="3546"/>
      <c r="BB54" s="3546"/>
      <c r="BC54" s="3546"/>
      <c r="BD54" s="3546"/>
      <c r="BE54" s="3560"/>
      <c r="BF54" s="3560"/>
      <c r="BG54" s="3560"/>
      <c r="BH54" s="3560"/>
      <c r="BI54" s="3562"/>
      <c r="BJ54" s="546"/>
      <c r="BK54" s="3569"/>
      <c r="BL54" s="3557"/>
      <c r="BM54" s="3601"/>
      <c r="BN54" s="3603"/>
      <c r="BO54" s="3603"/>
      <c r="BP54" s="2491"/>
    </row>
    <row r="55" spans="1:68" s="768" customFormat="1" ht="60" customHeight="1" x14ac:dyDescent="0.2">
      <c r="A55" s="786"/>
      <c r="C55" s="787"/>
      <c r="F55" s="787"/>
      <c r="G55" s="2460">
        <v>2201050</v>
      </c>
      <c r="H55" s="2343" t="s">
        <v>759</v>
      </c>
      <c r="I55" s="2492" t="s">
        <v>760</v>
      </c>
      <c r="J55" s="810" t="s">
        <v>761</v>
      </c>
      <c r="K55" s="811">
        <v>150</v>
      </c>
      <c r="L55" s="1449">
        <v>54</v>
      </c>
      <c r="M55" s="3586" t="s">
        <v>762</v>
      </c>
      <c r="N55" s="3616" t="s">
        <v>763</v>
      </c>
      <c r="O55" s="2670" t="s">
        <v>764</v>
      </c>
      <c r="P55" s="3563">
        <f>+U55/Q55</f>
        <v>1</v>
      </c>
      <c r="Q55" s="3608">
        <f>+U55</f>
        <v>700000000</v>
      </c>
      <c r="R55" s="2492" t="s">
        <v>765</v>
      </c>
      <c r="S55" s="2492" t="s">
        <v>766</v>
      </c>
      <c r="T55" s="2492" t="s">
        <v>767</v>
      </c>
      <c r="U55" s="3544">
        <v>700000000</v>
      </c>
      <c r="V55" s="3623">
        <v>549272916</v>
      </c>
      <c r="W55" s="3618">
        <v>549272916</v>
      </c>
      <c r="X55" s="3620">
        <v>25</v>
      </c>
      <c r="Y55" s="3621" t="s">
        <v>768</v>
      </c>
      <c r="Z55" s="3583">
        <v>20196</v>
      </c>
      <c r="AA55" s="3535">
        <v>19390.222222222223</v>
      </c>
      <c r="AB55" s="3535">
        <v>20595</v>
      </c>
      <c r="AC55" s="3535">
        <v>19836</v>
      </c>
      <c r="AD55" s="3535">
        <v>29775</v>
      </c>
      <c r="AE55" s="3535">
        <v>28890</v>
      </c>
      <c r="AF55" s="3535">
        <v>9453</v>
      </c>
      <c r="AG55" s="3535">
        <v>9117.4444444444453</v>
      </c>
      <c r="AH55" s="3535">
        <v>1396</v>
      </c>
      <c r="AI55" s="3535">
        <v>1123.3333333333333</v>
      </c>
      <c r="AJ55" s="3535">
        <v>167</v>
      </c>
      <c r="AK55" s="3535">
        <v>95</v>
      </c>
      <c r="AL55" s="3535">
        <v>274</v>
      </c>
      <c r="AM55" s="3535">
        <v>290.22222222222223</v>
      </c>
      <c r="AN55" s="3535">
        <v>329</v>
      </c>
      <c r="AO55" s="3535">
        <v>332.22222222222223</v>
      </c>
      <c r="AP55" s="3553">
        <v>0</v>
      </c>
      <c r="AQ55" s="3535">
        <v>0</v>
      </c>
      <c r="AR55" s="3535">
        <v>0</v>
      </c>
      <c r="AS55" s="3535">
        <v>0</v>
      </c>
      <c r="AT55" s="3535">
        <v>0</v>
      </c>
      <c r="AU55" s="3535">
        <v>0</v>
      </c>
      <c r="AV55" s="3535">
        <v>0</v>
      </c>
      <c r="AW55" s="3535">
        <v>0</v>
      </c>
      <c r="AX55" s="3535">
        <v>3097</v>
      </c>
      <c r="AY55" s="3535">
        <v>3256.4444444444443</v>
      </c>
      <c r="AZ55" s="3535">
        <v>2611</v>
      </c>
      <c r="BA55" s="3535">
        <v>2467.8888888888887</v>
      </c>
      <c r="BB55" s="3535">
        <v>50</v>
      </c>
      <c r="BC55" s="3535">
        <v>112.88888888888889</v>
      </c>
      <c r="BD55" s="3535">
        <f>+Z55+AB55</f>
        <v>40791</v>
      </c>
      <c r="BE55" s="3553">
        <f>SUM(AA55+AC55)</f>
        <v>39226.222222222219</v>
      </c>
      <c r="BF55" s="3553">
        <v>1</v>
      </c>
      <c r="BG55" s="3553">
        <f>SUM(V55)</f>
        <v>549272916</v>
      </c>
      <c r="BH55" s="3553">
        <f>SUM(W55)</f>
        <v>549272916</v>
      </c>
      <c r="BI55" s="3561">
        <f>(+BH55/Q55)</f>
        <v>0.78467559428571432</v>
      </c>
      <c r="BJ55" s="3553" t="s">
        <v>645</v>
      </c>
      <c r="BK55" s="3569" t="s">
        <v>769</v>
      </c>
      <c r="BL55" s="3557">
        <v>43832</v>
      </c>
      <c r="BM55" s="3558">
        <v>43832</v>
      </c>
      <c r="BN55" s="2838">
        <v>44195</v>
      </c>
      <c r="BO55" s="2838">
        <v>44195</v>
      </c>
      <c r="BP55" s="2306" t="s">
        <v>633</v>
      </c>
    </row>
    <row r="56" spans="1:68" s="768" customFormat="1" ht="78.75" customHeight="1" x14ac:dyDescent="0.2">
      <c r="A56" s="786"/>
      <c r="C56" s="787"/>
      <c r="F56" s="787"/>
      <c r="G56" s="2462"/>
      <c r="H56" s="2491"/>
      <c r="I56" s="2493"/>
      <c r="J56" s="812" t="s">
        <v>770</v>
      </c>
      <c r="K56" s="811">
        <v>10000</v>
      </c>
      <c r="L56" s="1449">
        <v>7650</v>
      </c>
      <c r="M56" s="3568"/>
      <c r="N56" s="3617"/>
      <c r="O56" s="2670"/>
      <c r="P56" s="3597"/>
      <c r="Q56" s="3609"/>
      <c r="R56" s="2413"/>
      <c r="S56" s="2413"/>
      <c r="T56" s="2413"/>
      <c r="U56" s="3544"/>
      <c r="V56" s="3619"/>
      <c r="W56" s="3619"/>
      <c r="X56" s="3620"/>
      <c r="Y56" s="3622"/>
      <c r="Z56" s="3585"/>
      <c r="AA56" s="3546"/>
      <c r="AB56" s="3546"/>
      <c r="AC56" s="3546"/>
      <c r="AD56" s="3546"/>
      <c r="AE56" s="3546"/>
      <c r="AF56" s="3546"/>
      <c r="AG56" s="3546"/>
      <c r="AH56" s="3546"/>
      <c r="AI56" s="3546"/>
      <c r="AJ56" s="3546"/>
      <c r="AK56" s="3546"/>
      <c r="AL56" s="3546"/>
      <c r="AM56" s="3546"/>
      <c r="AN56" s="3546"/>
      <c r="AO56" s="3546"/>
      <c r="AP56" s="3560"/>
      <c r="AQ56" s="3546"/>
      <c r="AR56" s="3546"/>
      <c r="AS56" s="3546"/>
      <c r="AT56" s="3546"/>
      <c r="AU56" s="3546"/>
      <c r="AV56" s="3546"/>
      <c r="AW56" s="3546"/>
      <c r="AX56" s="3546"/>
      <c r="AY56" s="3546"/>
      <c r="AZ56" s="3546"/>
      <c r="BA56" s="3546"/>
      <c r="BB56" s="3546"/>
      <c r="BC56" s="3546"/>
      <c r="BD56" s="3546"/>
      <c r="BE56" s="3560"/>
      <c r="BF56" s="3560"/>
      <c r="BG56" s="3560"/>
      <c r="BH56" s="3560"/>
      <c r="BI56" s="3562"/>
      <c r="BJ56" s="3560"/>
      <c r="BK56" s="3569"/>
      <c r="BL56" s="3557"/>
      <c r="BM56" s="3570"/>
      <c r="BN56" s="2983"/>
      <c r="BO56" s="2983"/>
      <c r="BP56" s="2467"/>
    </row>
    <row r="57" spans="1:68" s="768" customFormat="1" ht="85.5" customHeight="1" x14ac:dyDescent="0.2">
      <c r="A57" s="786"/>
      <c r="C57" s="787"/>
      <c r="F57" s="787"/>
      <c r="G57" s="2460">
        <v>2201034</v>
      </c>
      <c r="H57" s="2315" t="s">
        <v>771</v>
      </c>
      <c r="I57" s="2463" t="s">
        <v>772</v>
      </c>
      <c r="J57" s="791" t="s">
        <v>773</v>
      </c>
      <c r="K57" s="811">
        <v>100</v>
      </c>
      <c r="L57" s="1449">
        <v>102</v>
      </c>
      <c r="M57" s="3624" t="s">
        <v>774</v>
      </c>
      <c r="N57" s="2343" t="s">
        <v>775</v>
      </c>
      <c r="O57" s="2512" t="s">
        <v>776</v>
      </c>
      <c r="P57" s="3025">
        <f>(U57+U58)/Q57</f>
        <v>0.75</v>
      </c>
      <c r="Q57" s="3626">
        <f>SUM(U57:U59)</f>
        <v>20000000</v>
      </c>
      <c r="R57" s="3008" t="s">
        <v>777</v>
      </c>
      <c r="S57" s="2423" t="s">
        <v>778</v>
      </c>
      <c r="T57" s="3627" t="s">
        <v>779</v>
      </c>
      <c r="U57" s="813">
        <v>5000000</v>
      </c>
      <c r="V57" s="813"/>
      <c r="W57" s="813"/>
      <c r="X57" s="611">
        <v>88</v>
      </c>
      <c r="Y57" s="531" t="s">
        <v>780</v>
      </c>
      <c r="Z57" s="3569">
        <v>19649</v>
      </c>
      <c r="AA57" s="3569">
        <v>19390.222222222223</v>
      </c>
      <c r="AB57" s="3569">
        <v>20118</v>
      </c>
      <c r="AC57" s="3569">
        <v>19836</v>
      </c>
      <c r="AD57" s="3569">
        <v>28907</v>
      </c>
      <c r="AE57" s="3569">
        <v>28890</v>
      </c>
      <c r="AF57" s="3569">
        <v>9525</v>
      </c>
      <c r="AG57" s="3569">
        <v>9117.4444444444453</v>
      </c>
      <c r="AH57" s="3569">
        <v>1222</v>
      </c>
      <c r="AI57" s="3569">
        <v>1123.3333333333333</v>
      </c>
      <c r="AJ57" s="3569">
        <v>113</v>
      </c>
      <c r="AK57" s="3569">
        <v>95</v>
      </c>
      <c r="AL57" s="3569">
        <v>297</v>
      </c>
      <c r="AM57" s="3569">
        <v>290.22222222222223</v>
      </c>
      <c r="AN57" s="3569">
        <v>345</v>
      </c>
      <c r="AO57" s="3569">
        <v>332.22222222222223</v>
      </c>
      <c r="AP57" s="3569">
        <v>0</v>
      </c>
      <c r="AQ57" s="3569">
        <v>0</v>
      </c>
      <c r="AR57" s="3569">
        <v>0</v>
      </c>
      <c r="AS57" s="3569">
        <v>0</v>
      </c>
      <c r="AT57" s="3569">
        <v>0</v>
      </c>
      <c r="AU57" s="3569">
        <v>0</v>
      </c>
      <c r="AV57" s="3569">
        <v>0</v>
      </c>
      <c r="AW57" s="3569">
        <v>0</v>
      </c>
      <c r="AX57" s="3569">
        <v>3302</v>
      </c>
      <c r="AY57" s="3569">
        <v>3256.4444444444443</v>
      </c>
      <c r="AZ57" s="3569">
        <v>2507</v>
      </c>
      <c r="BA57" s="3569">
        <v>2467.8888888888887</v>
      </c>
      <c r="BB57" s="3569">
        <v>3414</v>
      </c>
      <c r="BC57" s="3569">
        <v>112.88888888888889</v>
      </c>
      <c r="BD57" s="3569">
        <f>SUM(Z57+AB57)</f>
        <v>39767</v>
      </c>
      <c r="BE57" s="3569">
        <f t="shared" ref="BE57" si="2">SUM(AA57+AC57)</f>
        <v>39226.222222222219</v>
      </c>
      <c r="BF57" s="3569">
        <v>0</v>
      </c>
      <c r="BG57" s="3569">
        <f>SUM(V57:V59)</f>
        <v>0</v>
      </c>
      <c r="BH57" s="3569">
        <f>SUM(W57:W59)</f>
        <v>0</v>
      </c>
      <c r="BI57" s="3561">
        <f>(+BH57/Q57)</f>
        <v>0</v>
      </c>
      <c r="BJ57" s="3569" t="s">
        <v>4</v>
      </c>
      <c r="BK57" s="3569" t="s">
        <v>781</v>
      </c>
      <c r="BL57" s="2838">
        <v>44033</v>
      </c>
      <c r="BM57" s="2838">
        <v>44033</v>
      </c>
      <c r="BN57" s="2838">
        <v>44195</v>
      </c>
      <c r="BO57" s="2838">
        <v>44195</v>
      </c>
      <c r="BP57" s="2460" t="s">
        <v>633</v>
      </c>
    </row>
    <row r="58" spans="1:68" s="768" customFormat="1" ht="93" customHeight="1" x14ac:dyDescent="0.2">
      <c r="A58" s="786"/>
      <c r="C58" s="787"/>
      <c r="F58" s="787"/>
      <c r="G58" s="2462"/>
      <c r="H58" s="2315"/>
      <c r="I58" s="2463"/>
      <c r="J58" s="810" t="s">
        <v>782</v>
      </c>
      <c r="K58" s="811">
        <v>54</v>
      </c>
      <c r="L58" s="1449">
        <v>54</v>
      </c>
      <c r="M58" s="3624"/>
      <c r="N58" s="2343"/>
      <c r="O58" s="2512"/>
      <c r="P58" s="3027"/>
      <c r="Q58" s="3626"/>
      <c r="R58" s="3008"/>
      <c r="S58" s="2423"/>
      <c r="T58" s="3037"/>
      <c r="U58" s="813">
        <v>10000000</v>
      </c>
      <c r="V58" s="813"/>
      <c r="W58" s="813"/>
      <c r="X58" s="611">
        <v>88</v>
      </c>
      <c r="Y58" s="531" t="s">
        <v>780</v>
      </c>
      <c r="Z58" s="3569"/>
      <c r="AA58" s="3569"/>
      <c r="AB58" s="3569"/>
      <c r="AC58" s="3569"/>
      <c r="AD58" s="3569"/>
      <c r="AE58" s="3569"/>
      <c r="AF58" s="3569"/>
      <c r="AG58" s="3569"/>
      <c r="AH58" s="3569"/>
      <c r="AI58" s="3569"/>
      <c r="AJ58" s="3569"/>
      <c r="AK58" s="3569"/>
      <c r="AL58" s="3569"/>
      <c r="AM58" s="3569"/>
      <c r="AN58" s="3569"/>
      <c r="AO58" s="3569"/>
      <c r="AP58" s="3569"/>
      <c r="AQ58" s="3569"/>
      <c r="AR58" s="3569"/>
      <c r="AS58" s="3569"/>
      <c r="AT58" s="3569"/>
      <c r="AU58" s="3569"/>
      <c r="AV58" s="3569"/>
      <c r="AW58" s="3569"/>
      <c r="AX58" s="3569"/>
      <c r="AY58" s="3569"/>
      <c r="AZ58" s="3569"/>
      <c r="BA58" s="3569"/>
      <c r="BB58" s="3569"/>
      <c r="BC58" s="3569"/>
      <c r="BD58" s="3569"/>
      <c r="BE58" s="3569"/>
      <c r="BF58" s="3569"/>
      <c r="BG58" s="3569"/>
      <c r="BH58" s="3569"/>
      <c r="BI58" s="3579"/>
      <c r="BJ58" s="3569"/>
      <c r="BK58" s="3569"/>
      <c r="BL58" s="2839"/>
      <c r="BM58" s="2839"/>
      <c r="BN58" s="2839"/>
      <c r="BO58" s="2839"/>
      <c r="BP58" s="2461"/>
    </row>
    <row r="59" spans="1:68" s="768" customFormat="1" ht="45" x14ac:dyDescent="0.2">
      <c r="A59" s="786"/>
      <c r="C59" s="787"/>
      <c r="F59" s="787"/>
      <c r="G59" s="806">
        <v>2201060</v>
      </c>
      <c r="H59" s="546" t="s">
        <v>783</v>
      </c>
      <c r="I59" s="547" t="s">
        <v>784</v>
      </c>
      <c r="J59" s="791" t="s">
        <v>785</v>
      </c>
      <c r="K59" s="790">
        <v>50</v>
      </c>
      <c r="L59" s="1449">
        <v>37</v>
      </c>
      <c r="M59" s="3625"/>
      <c r="N59" s="2343"/>
      <c r="O59" s="2512"/>
      <c r="P59" s="814">
        <f>U59/Q57</f>
        <v>0.25</v>
      </c>
      <c r="Q59" s="3626"/>
      <c r="R59" s="3009"/>
      <c r="S59" s="2424"/>
      <c r="T59" s="791" t="s">
        <v>784</v>
      </c>
      <c r="U59" s="798">
        <v>5000000</v>
      </c>
      <c r="V59" s="798"/>
      <c r="W59" s="798"/>
      <c r="X59" s="611">
        <v>88</v>
      </c>
      <c r="Y59" s="531" t="s">
        <v>780</v>
      </c>
      <c r="Z59" s="3569"/>
      <c r="AA59" s="3569"/>
      <c r="AB59" s="3569"/>
      <c r="AC59" s="3569"/>
      <c r="AD59" s="3569"/>
      <c r="AE59" s="3569"/>
      <c r="AF59" s="3569"/>
      <c r="AG59" s="3569"/>
      <c r="AH59" s="3569"/>
      <c r="AI59" s="3569"/>
      <c r="AJ59" s="3569"/>
      <c r="AK59" s="3569"/>
      <c r="AL59" s="3569"/>
      <c r="AM59" s="3569"/>
      <c r="AN59" s="3569"/>
      <c r="AO59" s="3569"/>
      <c r="AP59" s="3569"/>
      <c r="AQ59" s="3569"/>
      <c r="AR59" s="3569"/>
      <c r="AS59" s="3569"/>
      <c r="AT59" s="3569"/>
      <c r="AU59" s="3569"/>
      <c r="AV59" s="3569"/>
      <c r="AW59" s="3569"/>
      <c r="AX59" s="3569"/>
      <c r="AY59" s="3569"/>
      <c r="AZ59" s="3569"/>
      <c r="BA59" s="3569"/>
      <c r="BB59" s="3569"/>
      <c r="BC59" s="3569"/>
      <c r="BD59" s="3569"/>
      <c r="BE59" s="3569"/>
      <c r="BF59" s="3569"/>
      <c r="BG59" s="3569"/>
      <c r="BH59" s="3569"/>
      <c r="BI59" s="3562"/>
      <c r="BJ59" s="3569"/>
      <c r="BK59" s="3569"/>
      <c r="BL59" s="2983"/>
      <c r="BM59" s="2983"/>
      <c r="BN59" s="2983"/>
      <c r="BO59" s="2983"/>
      <c r="BP59" s="2462"/>
    </row>
    <row r="60" spans="1:68" s="768" customFormat="1" ht="107.25" customHeight="1" x14ac:dyDescent="0.2">
      <c r="A60" s="786"/>
      <c r="C60" s="787"/>
      <c r="D60" s="815"/>
      <c r="E60" s="815"/>
      <c r="F60" s="816"/>
      <c r="G60" s="546">
        <v>2201015</v>
      </c>
      <c r="H60" s="529" t="s">
        <v>786</v>
      </c>
      <c r="I60" s="531" t="s">
        <v>787</v>
      </c>
      <c r="J60" s="598" t="s">
        <v>788</v>
      </c>
      <c r="K60" s="790">
        <v>11</v>
      </c>
      <c r="L60" s="1449">
        <v>0</v>
      </c>
      <c r="M60" s="817" t="s">
        <v>789</v>
      </c>
      <c r="N60" s="529" t="s">
        <v>790</v>
      </c>
      <c r="O60" s="531" t="s">
        <v>791</v>
      </c>
      <c r="P60" s="818">
        <f>+U60/Q60</f>
        <v>1</v>
      </c>
      <c r="Q60" s="819">
        <f t="shared" ref="Q60" si="3">+U60</f>
        <v>10000000</v>
      </c>
      <c r="R60" s="547" t="s">
        <v>792</v>
      </c>
      <c r="S60" s="547" t="s">
        <v>793</v>
      </c>
      <c r="T60" s="530" t="s">
        <v>787</v>
      </c>
      <c r="U60" s="820">
        <v>10000000</v>
      </c>
      <c r="V60" s="820"/>
      <c r="W60" s="820"/>
      <c r="X60" s="821">
        <v>88</v>
      </c>
      <c r="Y60" s="543" t="s">
        <v>780</v>
      </c>
      <c r="Z60" s="822">
        <v>19649</v>
      </c>
      <c r="AA60" s="822">
        <v>19390.222222222223</v>
      </c>
      <c r="AB60" s="822">
        <v>20118</v>
      </c>
      <c r="AC60" s="822">
        <v>19836</v>
      </c>
      <c r="AD60" s="822">
        <v>28907</v>
      </c>
      <c r="AE60" s="822">
        <v>28890</v>
      </c>
      <c r="AF60" s="822">
        <v>9525</v>
      </c>
      <c r="AG60" s="822">
        <v>9117.4444444444453</v>
      </c>
      <c r="AH60" s="822">
        <v>1222</v>
      </c>
      <c r="AI60" s="822">
        <v>1123.3333333333333</v>
      </c>
      <c r="AJ60" s="822">
        <v>113</v>
      </c>
      <c r="AK60" s="822">
        <v>95</v>
      </c>
      <c r="AL60" s="822">
        <v>297</v>
      </c>
      <c r="AM60" s="822">
        <v>290.22222222222223</v>
      </c>
      <c r="AN60" s="822">
        <v>345</v>
      </c>
      <c r="AO60" s="822">
        <v>332.22222222222223</v>
      </c>
      <c r="AP60" s="822">
        <v>0</v>
      </c>
      <c r="AQ60" s="822">
        <v>0</v>
      </c>
      <c r="AR60" s="822">
        <v>0</v>
      </c>
      <c r="AS60" s="822">
        <v>0</v>
      </c>
      <c r="AT60" s="822">
        <v>0</v>
      </c>
      <c r="AU60" s="822">
        <v>0</v>
      </c>
      <c r="AV60" s="822">
        <v>0</v>
      </c>
      <c r="AW60" s="822">
        <v>0</v>
      </c>
      <c r="AX60" s="822">
        <v>3302</v>
      </c>
      <c r="AY60" s="822">
        <v>3256.4444444444443</v>
      </c>
      <c r="AZ60" s="822">
        <v>2507</v>
      </c>
      <c r="BA60" s="822">
        <v>2467.8888888888887</v>
      </c>
      <c r="BB60" s="822">
        <v>3414</v>
      </c>
      <c r="BC60" s="822">
        <v>112.88888888888889</v>
      </c>
      <c r="BD60" s="822">
        <f>SUM(Z60+AB60)</f>
        <v>39767</v>
      </c>
      <c r="BE60" s="823">
        <f t="shared" ref="BE60" si="4">SUM(AA60+AC60)</f>
        <v>39226.222222222219</v>
      </c>
      <c r="BF60" s="790">
        <v>0</v>
      </c>
      <c r="BG60" s="824">
        <f>SUM(V60)</f>
        <v>0</v>
      </c>
      <c r="BH60" s="824">
        <f>SUM(W60)</f>
        <v>0</v>
      </c>
      <c r="BI60" s="825">
        <f>(+BH60/Q60)</f>
        <v>0</v>
      </c>
      <c r="BJ60" s="790">
        <v>0</v>
      </c>
      <c r="BK60" s="790" t="s">
        <v>794</v>
      </c>
      <c r="BL60" s="826">
        <v>44033</v>
      </c>
      <c r="BM60" s="827">
        <v>44033</v>
      </c>
      <c r="BN60" s="828">
        <v>44195</v>
      </c>
      <c r="BO60" s="828">
        <v>44195</v>
      </c>
      <c r="BP60" s="547" t="s">
        <v>633</v>
      </c>
    </row>
    <row r="61" spans="1:68" s="1" customFormat="1" ht="24.75" customHeight="1" x14ac:dyDescent="0.2">
      <c r="A61" s="108"/>
      <c r="B61" s="109"/>
      <c r="C61" s="110"/>
      <c r="D61" s="44">
        <v>44</v>
      </c>
      <c r="E61" s="829" t="s">
        <v>622</v>
      </c>
      <c r="F61" s="46"/>
      <c r="G61" s="47"/>
      <c r="H61" s="745"/>
      <c r="I61" s="744"/>
      <c r="J61" s="744"/>
      <c r="K61" s="257"/>
      <c r="L61" s="830"/>
      <c r="M61" s="831"/>
      <c r="N61" s="48"/>
      <c r="O61" s="744"/>
      <c r="P61" s="832"/>
      <c r="Q61" s="833"/>
      <c r="R61" s="753"/>
      <c r="S61" s="753"/>
      <c r="T61" s="834"/>
      <c r="U61" s="835"/>
      <c r="V61" s="835"/>
      <c r="W61" s="835"/>
      <c r="X61" s="836"/>
      <c r="Y61" s="837"/>
      <c r="Z61" s="838"/>
      <c r="AA61" s="838"/>
      <c r="AB61" s="838"/>
      <c r="AC61" s="838"/>
      <c r="AD61" s="838"/>
      <c r="AE61" s="838"/>
      <c r="AF61" s="838"/>
      <c r="AG61" s="838"/>
      <c r="AH61" s="838"/>
      <c r="AI61" s="838"/>
      <c r="AJ61" s="838"/>
      <c r="AK61" s="838"/>
      <c r="AL61" s="838"/>
      <c r="AM61" s="838"/>
      <c r="AN61" s="838"/>
      <c r="AO61" s="838"/>
      <c r="AP61" s="838"/>
      <c r="AQ61" s="838"/>
      <c r="AR61" s="838"/>
      <c r="AS61" s="838"/>
      <c r="AT61" s="838"/>
      <c r="AU61" s="838"/>
      <c r="AV61" s="838"/>
      <c r="AW61" s="838"/>
      <c r="AX61" s="838"/>
      <c r="AY61" s="838"/>
      <c r="AZ61" s="838"/>
      <c r="BA61" s="838"/>
      <c r="BB61" s="838"/>
      <c r="BC61" s="838"/>
      <c r="BD61" s="838"/>
      <c r="BE61" s="839"/>
      <c r="BF61" s="839"/>
      <c r="BG61" s="650"/>
      <c r="BH61" s="650"/>
      <c r="BI61" s="840"/>
      <c r="BJ61" s="650"/>
      <c r="BK61" s="650"/>
      <c r="BL61" s="713"/>
      <c r="BM61" s="841"/>
      <c r="BN61" s="842"/>
      <c r="BO61" s="55"/>
      <c r="BP61" s="843"/>
    </row>
    <row r="62" spans="1:68" s="768" customFormat="1" ht="49.5" customHeight="1" x14ac:dyDescent="0.2">
      <c r="A62" s="760"/>
      <c r="B62" s="761"/>
      <c r="C62" s="761"/>
      <c r="D62" s="3198"/>
      <c r="E62" s="3629"/>
      <c r="F62" s="2933"/>
      <c r="G62" s="2491">
        <v>2202006</v>
      </c>
      <c r="H62" s="2341" t="s">
        <v>795</v>
      </c>
      <c r="I62" s="2413" t="s">
        <v>796</v>
      </c>
      <c r="J62" s="2512" t="s">
        <v>797</v>
      </c>
      <c r="K62" s="2665">
        <v>1</v>
      </c>
      <c r="L62" s="3628">
        <v>0.7</v>
      </c>
      <c r="M62" s="3568" t="s">
        <v>798</v>
      </c>
      <c r="N62" s="2343" t="s">
        <v>741</v>
      </c>
      <c r="O62" s="3251" t="s">
        <v>799</v>
      </c>
      <c r="P62" s="2853">
        <f>SUM(U62:U63)/Q62</f>
        <v>1</v>
      </c>
      <c r="Q62" s="3564">
        <f>SUM(U62:U63)</f>
        <v>43838500</v>
      </c>
      <c r="R62" s="2343" t="s">
        <v>745</v>
      </c>
      <c r="S62" s="2451" t="s">
        <v>746</v>
      </c>
      <c r="T62" s="2413" t="s">
        <v>800</v>
      </c>
      <c r="U62" s="765">
        <v>3838500</v>
      </c>
      <c r="V62" s="765"/>
      <c r="W62" s="765"/>
      <c r="X62" s="611">
        <v>20</v>
      </c>
      <c r="Y62" s="534" t="s">
        <v>634</v>
      </c>
      <c r="Z62" s="3599">
        <v>4129</v>
      </c>
      <c r="AA62" s="3598">
        <v>3991</v>
      </c>
      <c r="AB62" s="3598">
        <v>4094</v>
      </c>
      <c r="AC62" s="3598">
        <v>3922</v>
      </c>
      <c r="AD62" s="3598">
        <v>1792</v>
      </c>
      <c r="AE62" s="3598">
        <v>1622</v>
      </c>
      <c r="AF62" s="3598">
        <v>6403</v>
      </c>
      <c r="AG62" s="3598">
        <v>6262</v>
      </c>
      <c r="AH62" s="3598">
        <v>28</v>
      </c>
      <c r="AI62" s="3598">
        <v>29</v>
      </c>
      <c r="AJ62" s="3598">
        <v>0</v>
      </c>
      <c r="AK62" s="3598">
        <v>0</v>
      </c>
      <c r="AL62" s="3598">
        <v>22</v>
      </c>
      <c r="AM62" s="3598">
        <v>22</v>
      </c>
      <c r="AN62" s="3598">
        <v>95</v>
      </c>
      <c r="AO62" s="3598">
        <v>98</v>
      </c>
      <c r="AP62" s="3598">
        <v>0</v>
      </c>
      <c r="AQ62" s="3598">
        <v>0</v>
      </c>
      <c r="AR62" s="3598">
        <v>0</v>
      </c>
      <c r="AS62" s="3598">
        <v>0</v>
      </c>
      <c r="AT62" s="3598">
        <v>0</v>
      </c>
      <c r="AU62" s="3598">
        <v>0</v>
      </c>
      <c r="AV62" s="3598">
        <v>0</v>
      </c>
      <c r="AW62" s="3598">
        <v>0</v>
      </c>
      <c r="AX62" s="3598">
        <v>590</v>
      </c>
      <c r="AY62" s="3598">
        <v>664</v>
      </c>
      <c r="AZ62" s="3598">
        <v>431</v>
      </c>
      <c r="BA62" s="3598">
        <v>427</v>
      </c>
      <c r="BB62" s="3598">
        <v>6</v>
      </c>
      <c r="BC62" s="3598">
        <v>15</v>
      </c>
      <c r="BD62" s="3598">
        <v>8223</v>
      </c>
      <c r="BE62" s="3606">
        <f t="shared" ref="BE62" si="5">SUM(AA62+AC62)</f>
        <v>7913</v>
      </c>
      <c r="BF62" s="3606">
        <v>1</v>
      </c>
      <c r="BG62" s="3606">
        <f>SUM(V62:V63)</f>
        <v>29294579</v>
      </c>
      <c r="BH62" s="3606">
        <f>SUM(W62:W63)</f>
        <v>0</v>
      </c>
      <c r="BI62" s="3561">
        <f>(+BH62/Q62)</f>
        <v>0</v>
      </c>
      <c r="BJ62" s="546" t="s">
        <v>7</v>
      </c>
      <c r="BK62" s="3569" t="s">
        <v>801</v>
      </c>
      <c r="BL62" s="3557">
        <v>43832</v>
      </c>
      <c r="BM62" s="2958">
        <v>43832</v>
      </c>
      <c r="BN62" s="3602">
        <v>44195</v>
      </c>
      <c r="BO62" s="3602">
        <v>44195</v>
      </c>
      <c r="BP62" s="3038" t="s">
        <v>633</v>
      </c>
    </row>
    <row r="63" spans="1:68" s="768" customFormat="1" ht="67.5" customHeight="1" x14ac:dyDescent="0.2">
      <c r="A63" s="786"/>
      <c r="D63" s="3205"/>
      <c r="E63" s="3630"/>
      <c r="F63" s="2411"/>
      <c r="G63" s="2761"/>
      <c r="H63" s="2933"/>
      <c r="I63" s="2493"/>
      <c r="J63" s="2641"/>
      <c r="K63" s="2665"/>
      <c r="L63" s="3628"/>
      <c r="M63" s="3568"/>
      <c r="N63" s="2343"/>
      <c r="O63" s="2750"/>
      <c r="P63" s="3597"/>
      <c r="Q63" s="3609"/>
      <c r="R63" s="2343"/>
      <c r="S63" s="2451"/>
      <c r="T63" s="2413"/>
      <c r="U63" s="765">
        <v>40000000</v>
      </c>
      <c r="V63" s="775">
        <v>29294579</v>
      </c>
      <c r="W63" s="765"/>
      <c r="X63" s="611">
        <v>91</v>
      </c>
      <c r="Y63" s="534" t="s">
        <v>731</v>
      </c>
      <c r="Z63" s="3585"/>
      <c r="AA63" s="3591"/>
      <c r="AB63" s="3546"/>
      <c r="AC63" s="3591"/>
      <c r="AD63" s="3546"/>
      <c r="AE63" s="3591"/>
      <c r="AF63" s="3546"/>
      <c r="AG63" s="3591"/>
      <c r="AH63" s="3546"/>
      <c r="AI63" s="3591"/>
      <c r="AJ63" s="3546"/>
      <c r="AK63" s="3591"/>
      <c r="AL63" s="3546"/>
      <c r="AM63" s="3591"/>
      <c r="AN63" s="3546"/>
      <c r="AO63" s="3591"/>
      <c r="AP63" s="3546"/>
      <c r="AQ63" s="3591"/>
      <c r="AR63" s="3546"/>
      <c r="AS63" s="3591"/>
      <c r="AT63" s="3546"/>
      <c r="AU63" s="3591"/>
      <c r="AV63" s="3536"/>
      <c r="AW63" s="3536"/>
      <c r="AX63" s="3546"/>
      <c r="AY63" s="3591"/>
      <c r="AZ63" s="3546"/>
      <c r="BA63" s="3591"/>
      <c r="BB63" s="3546"/>
      <c r="BC63" s="3591"/>
      <c r="BD63" s="3546"/>
      <c r="BE63" s="3595"/>
      <c r="BF63" s="3595"/>
      <c r="BG63" s="3595"/>
      <c r="BH63" s="3595"/>
      <c r="BI63" s="3596"/>
      <c r="BJ63" s="546" t="s">
        <v>635</v>
      </c>
      <c r="BK63" s="3569"/>
      <c r="BL63" s="3557"/>
      <c r="BM63" s="2958"/>
      <c r="BN63" s="3602"/>
      <c r="BO63" s="3602"/>
      <c r="BP63" s="3631"/>
    </row>
    <row r="64" spans="1:68" s="768" customFormat="1" ht="72.75" customHeight="1" x14ac:dyDescent="0.2">
      <c r="A64" s="786"/>
      <c r="C64" s="787"/>
      <c r="D64" s="2920"/>
      <c r="E64" s="2921"/>
      <c r="F64" s="3633"/>
      <c r="G64" s="2491">
        <v>2202006</v>
      </c>
      <c r="H64" s="2343" t="s">
        <v>795</v>
      </c>
      <c r="I64" s="3251" t="s">
        <v>796</v>
      </c>
      <c r="J64" s="2512" t="s">
        <v>797</v>
      </c>
      <c r="K64" s="2665">
        <v>1</v>
      </c>
      <c r="L64" s="3628">
        <v>0.8</v>
      </c>
      <c r="M64" s="3568" t="s">
        <v>802</v>
      </c>
      <c r="N64" s="2962" t="s">
        <v>803</v>
      </c>
      <c r="O64" s="3251" t="s">
        <v>804</v>
      </c>
      <c r="P64" s="2853">
        <f>SUM(U64:U66)/Q64</f>
        <v>1</v>
      </c>
      <c r="Q64" s="3564">
        <f>SUM(U64:U66)</f>
        <v>200000000</v>
      </c>
      <c r="R64" s="761"/>
      <c r="S64" s="761"/>
      <c r="T64" s="523" t="s">
        <v>805</v>
      </c>
      <c r="U64" s="783">
        <v>100000000</v>
      </c>
      <c r="V64" s="775">
        <f>U64</f>
        <v>100000000</v>
      </c>
      <c r="W64" s="775">
        <v>100000000</v>
      </c>
      <c r="X64" s="844">
        <v>20</v>
      </c>
      <c r="Y64" s="523" t="s">
        <v>634</v>
      </c>
      <c r="Z64" s="3583">
        <v>4129</v>
      </c>
      <c r="AA64" s="3598">
        <v>3991</v>
      </c>
      <c r="AB64" s="3535">
        <v>4094</v>
      </c>
      <c r="AC64" s="3598">
        <v>3922</v>
      </c>
      <c r="AD64" s="3535">
        <v>1792</v>
      </c>
      <c r="AE64" s="3598">
        <v>1622</v>
      </c>
      <c r="AF64" s="3535">
        <v>6403</v>
      </c>
      <c r="AG64" s="3598">
        <v>6262</v>
      </c>
      <c r="AH64" s="3535">
        <v>28</v>
      </c>
      <c r="AI64" s="3598">
        <v>29</v>
      </c>
      <c r="AJ64" s="3535">
        <v>0</v>
      </c>
      <c r="AK64" s="3598">
        <v>0</v>
      </c>
      <c r="AL64" s="3535">
        <v>22</v>
      </c>
      <c r="AM64" s="3598">
        <v>22</v>
      </c>
      <c r="AN64" s="3535">
        <v>95</v>
      </c>
      <c r="AO64" s="3598">
        <v>98</v>
      </c>
      <c r="AP64" s="3535">
        <v>0</v>
      </c>
      <c r="AQ64" s="3598">
        <v>0</v>
      </c>
      <c r="AR64" s="3535">
        <v>0</v>
      </c>
      <c r="AS64" s="3598">
        <v>0</v>
      </c>
      <c r="AT64" s="3535">
        <v>0</v>
      </c>
      <c r="AU64" s="3598">
        <v>0</v>
      </c>
      <c r="AV64" s="3569">
        <v>0</v>
      </c>
      <c r="AW64" s="3598">
        <v>0</v>
      </c>
      <c r="AX64" s="3535">
        <v>590</v>
      </c>
      <c r="AY64" s="3598">
        <v>664</v>
      </c>
      <c r="AZ64" s="3535">
        <v>431</v>
      </c>
      <c r="BA64" s="3598">
        <v>427</v>
      </c>
      <c r="BB64" s="3535">
        <v>6</v>
      </c>
      <c r="BC64" s="3598">
        <v>15</v>
      </c>
      <c r="BD64" s="3535">
        <v>8223</v>
      </c>
      <c r="BE64" s="3606">
        <f t="shared" ref="BE64" si="6">SUM(AA64+AC64)</f>
        <v>7913</v>
      </c>
      <c r="BF64" s="3606">
        <v>3</v>
      </c>
      <c r="BG64" s="3606">
        <f>SUM(V64:V66)</f>
        <v>143727499</v>
      </c>
      <c r="BH64" s="3606">
        <f>SUM(W64:W66)</f>
        <v>143727499</v>
      </c>
      <c r="BI64" s="3607">
        <f>(+BH64/Q64)</f>
        <v>0.71863749499999996</v>
      </c>
      <c r="BJ64" s="546" t="s">
        <v>632</v>
      </c>
      <c r="BK64" s="3569" t="s">
        <v>806</v>
      </c>
      <c r="BL64" s="3557">
        <v>43832</v>
      </c>
      <c r="BM64" s="3559">
        <v>43832</v>
      </c>
      <c r="BN64" s="3572">
        <v>44195</v>
      </c>
      <c r="BO64" s="3572">
        <v>44195</v>
      </c>
      <c r="BP64" s="2306" t="s">
        <v>633</v>
      </c>
    </row>
    <row r="65" spans="1:68" s="768" customFormat="1" ht="36" customHeight="1" x14ac:dyDescent="0.2">
      <c r="A65" s="786"/>
      <c r="C65" s="787"/>
      <c r="D65" s="2920"/>
      <c r="E65" s="2921"/>
      <c r="F65" s="3633"/>
      <c r="G65" s="2761"/>
      <c r="H65" s="2343"/>
      <c r="I65" s="3251"/>
      <c r="J65" s="2512"/>
      <c r="K65" s="2665"/>
      <c r="L65" s="3628"/>
      <c r="M65" s="3568"/>
      <c r="N65" s="2962"/>
      <c r="O65" s="3251"/>
      <c r="P65" s="2853"/>
      <c r="Q65" s="3564"/>
      <c r="R65" s="2495" t="s">
        <v>745</v>
      </c>
      <c r="S65" s="2460" t="s">
        <v>746</v>
      </c>
      <c r="T65" s="2413" t="s">
        <v>807</v>
      </c>
      <c r="U65" s="765">
        <v>50000000</v>
      </c>
      <c r="V65" s="775">
        <v>9928826</v>
      </c>
      <c r="W65" s="775">
        <v>9928826</v>
      </c>
      <c r="X65" s="611">
        <v>35</v>
      </c>
      <c r="Y65" s="534" t="s">
        <v>631</v>
      </c>
      <c r="Z65" s="3584"/>
      <c r="AA65" s="3536"/>
      <c r="AB65" s="3536"/>
      <c r="AC65" s="3536"/>
      <c r="AD65" s="3536"/>
      <c r="AE65" s="3536"/>
      <c r="AF65" s="3536"/>
      <c r="AG65" s="3536"/>
      <c r="AH65" s="3536"/>
      <c r="AI65" s="3536"/>
      <c r="AJ65" s="3536"/>
      <c r="AK65" s="3536"/>
      <c r="AL65" s="3536"/>
      <c r="AM65" s="3536"/>
      <c r="AN65" s="3536"/>
      <c r="AO65" s="3536"/>
      <c r="AP65" s="3536"/>
      <c r="AQ65" s="3536"/>
      <c r="AR65" s="3536"/>
      <c r="AS65" s="3536"/>
      <c r="AT65" s="3536"/>
      <c r="AU65" s="3536"/>
      <c r="AV65" s="3569"/>
      <c r="AW65" s="3536"/>
      <c r="AX65" s="3536"/>
      <c r="AY65" s="3536"/>
      <c r="AZ65" s="3536"/>
      <c r="BA65" s="3536"/>
      <c r="BB65" s="3536"/>
      <c r="BC65" s="3536"/>
      <c r="BD65" s="3536"/>
      <c r="BE65" s="3554"/>
      <c r="BF65" s="3554"/>
      <c r="BG65" s="3554"/>
      <c r="BH65" s="3554"/>
      <c r="BI65" s="3579"/>
      <c r="BJ65" s="546" t="s">
        <v>4</v>
      </c>
      <c r="BK65" s="3569"/>
      <c r="BL65" s="3557"/>
      <c r="BM65" s="3559"/>
      <c r="BN65" s="3572"/>
      <c r="BO65" s="3572"/>
      <c r="BP65" s="2307"/>
    </row>
    <row r="66" spans="1:68" s="768" customFormat="1" ht="36.75" customHeight="1" x14ac:dyDescent="0.2">
      <c r="A66" s="786"/>
      <c r="C66" s="787"/>
      <c r="D66" s="3030"/>
      <c r="E66" s="3632"/>
      <c r="F66" s="3634"/>
      <c r="G66" s="2342"/>
      <c r="H66" s="2343"/>
      <c r="I66" s="3251"/>
      <c r="J66" s="2512"/>
      <c r="K66" s="2665"/>
      <c r="L66" s="3628"/>
      <c r="M66" s="3568"/>
      <c r="N66" s="2962"/>
      <c r="O66" s="3251"/>
      <c r="P66" s="3597"/>
      <c r="Q66" s="3564"/>
      <c r="R66" s="2496"/>
      <c r="S66" s="2461"/>
      <c r="T66" s="2413"/>
      <c r="U66" s="845">
        <v>50000000</v>
      </c>
      <c r="V66" s="775">
        <v>33798673</v>
      </c>
      <c r="W66" s="775">
        <v>33798673</v>
      </c>
      <c r="X66" s="611">
        <v>88</v>
      </c>
      <c r="Y66" s="538" t="s">
        <v>731</v>
      </c>
      <c r="Z66" s="3585"/>
      <c r="AA66" s="3546"/>
      <c r="AB66" s="3546"/>
      <c r="AC66" s="3546"/>
      <c r="AD66" s="3546"/>
      <c r="AE66" s="3546"/>
      <c r="AF66" s="3546"/>
      <c r="AG66" s="3546"/>
      <c r="AH66" s="3546"/>
      <c r="AI66" s="3546"/>
      <c r="AJ66" s="3546"/>
      <c r="AK66" s="3546"/>
      <c r="AL66" s="3546"/>
      <c r="AM66" s="3546"/>
      <c r="AN66" s="3546"/>
      <c r="AO66" s="3546"/>
      <c r="AP66" s="3546"/>
      <c r="AQ66" s="3546"/>
      <c r="AR66" s="3546"/>
      <c r="AS66" s="3546"/>
      <c r="AT66" s="3546"/>
      <c r="AU66" s="3546"/>
      <c r="AV66" s="3569"/>
      <c r="AW66" s="3546"/>
      <c r="AX66" s="3546"/>
      <c r="AY66" s="3546"/>
      <c r="AZ66" s="3546"/>
      <c r="BA66" s="3546"/>
      <c r="BB66" s="3546"/>
      <c r="BC66" s="3546"/>
      <c r="BD66" s="3546"/>
      <c r="BE66" s="3560"/>
      <c r="BF66" s="3560"/>
      <c r="BG66" s="3560"/>
      <c r="BH66" s="3560"/>
      <c r="BI66" s="3562"/>
      <c r="BJ66" s="546" t="s">
        <v>7</v>
      </c>
      <c r="BK66" s="3569"/>
      <c r="BL66" s="3557"/>
      <c r="BM66" s="3570"/>
      <c r="BN66" s="3573"/>
      <c r="BO66" s="3573"/>
      <c r="BP66" s="2467"/>
    </row>
    <row r="67" spans="1:68" ht="23.25" customHeight="1" x14ac:dyDescent="0.2">
      <c r="A67" s="846"/>
      <c r="B67" s="701"/>
      <c r="C67" s="847"/>
      <c r="D67" s="848"/>
      <c r="E67" s="701"/>
      <c r="F67" s="847"/>
      <c r="G67" s="849"/>
      <c r="H67" s="849"/>
      <c r="I67" s="849"/>
      <c r="J67" s="850"/>
      <c r="K67" s="851"/>
      <c r="L67" s="852"/>
      <c r="M67" s="853"/>
      <c r="N67" s="854"/>
      <c r="O67" s="855"/>
      <c r="P67" s="856"/>
      <c r="Q67" s="857">
        <f>SUM(Q10:Q64)</f>
        <v>179058544425.63</v>
      </c>
      <c r="R67" s="858"/>
      <c r="S67" s="858"/>
      <c r="T67" s="859"/>
      <c r="U67" s="860">
        <f>SUM(U10:U66)-0.75</f>
        <v>179058544424.88</v>
      </c>
      <c r="V67" s="860">
        <f>SUM(V10:V66)</f>
        <v>127325536038</v>
      </c>
      <c r="W67" s="860">
        <f>SUM(W10:W66)</f>
        <v>119626101892</v>
      </c>
      <c r="X67" s="861"/>
      <c r="Y67" s="862"/>
      <c r="Z67" s="863"/>
      <c r="AA67" s="863"/>
      <c r="AB67" s="863"/>
      <c r="AC67" s="863"/>
      <c r="AD67" s="863"/>
      <c r="AE67" s="863"/>
      <c r="AF67" s="863"/>
      <c r="AG67" s="863"/>
      <c r="AH67" s="863"/>
      <c r="AI67" s="863"/>
      <c r="AJ67" s="863"/>
      <c r="AK67" s="863"/>
      <c r="AL67" s="863"/>
      <c r="AM67" s="863"/>
      <c r="AN67" s="863"/>
      <c r="AO67" s="863"/>
      <c r="AP67" s="863"/>
      <c r="AQ67" s="863"/>
      <c r="AR67" s="863"/>
      <c r="AS67" s="863"/>
      <c r="AT67" s="863"/>
      <c r="AU67" s="863"/>
      <c r="AV67" s="863"/>
      <c r="AW67" s="863"/>
      <c r="AX67" s="863"/>
      <c r="AY67" s="863"/>
      <c r="AZ67" s="863"/>
      <c r="BA67" s="863"/>
      <c r="BB67" s="863"/>
      <c r="BC67" s="863"/>
      <c r="BD67" s="863"/>
      <c r="BE67" s="863"/>
      <c r="BF67" s="863"/>
      <c r="BG67" s="864">
        <f>SUM(BG10:BG66)</f>
        <v>127325536038</v>
      </c>
      <c r="BH67" s="864">
        <f>SUM(BH10:BH66)</f>
        <v>119626101892</v>
      </c>
      <c r="BI67" s="865"/>
      <c r="BJ67" s="863"/>
      <c r="BK67" s="863"/>
      <c r="BL67" s="866"/>
      <c r="BM67" s="867"/>
      <c r="BN67" s="868"/>
      <c r="BO67" s="868"/>
      <c r="BP67" s="869"/>
    </row>
    <row r="68" spans="1:68" x14ac:dyDescent="0.2">
      <c r="Q68" s="702"/>
      <c r="BG68" s="872"/>
      <c r="BH68" s="872"/>
    </row>
    <row r="69" spans="1:68" ht="42.75" customHeight="1" x14ac:dyDescent="0.2">
      <c r="Q69" s="702"/>
      <c r="T69" s="873"/>
      <c r="U69" s="874"/>
      <c r="V69" s="874"/>
      <c r="W69" s="874"/>
    </row>
    <row r="70" spans="1:68" x14ac:dyDescent="0.2">
      <c r="Q70" s="702"/>
      <c r="T70" s="873"/>
      <c r="U70" s="874"/>
      <c r="V70" s="874"/>
      <c r="W70" s="874"/>
    </row>
    <row r="71" spans="1:68" x14ac:dyDescent="0.2">
      <c r="O71" s="873"/>
      <c r="T71" s="873"/>
      <c r="U71" s="874"/>
      <c r="V71" s="874"/>
      <c r="W71" s="874"/>
    </row>
    <row r="72" spans="1:68" x14ac:dyDescent="0.2">
      <c r="B72" s="875"/>
      <c r="C72" s="876"/>
      <c r="D72" s="125"/>
      <c r="E72" s="125"/>
      <c r="F72" s="125"/>
      <c r="G72" s="125"/>
      <c r="H72" s="1"/>
      <c r="O72" s="873"/>
      <c r="T72" s="873"/>
      <c r="U72" s="874"/>
      <c r="V72" s="874"/>
      <c r="W72" s="874"/>
    </row>
    <row r="73" spans="1:68" ht="19.5" customHeight="1" x14ac:dyDescent="0.25">
      <c r="B73" s="156" t="s">
        <v>808</v>
      </c>
      <c r="C73" s="158"/>
      <c r="D73" s="1"/>
      <c r="E73" s="1"/>
      <c r="F73" s="1"/>
      <c r="G73" s="1"/>
      <c r="H73" s="1"/>
      <c r="O73" s="873"/>
      <c r="T73" s="873"/>
      <c r="U73" s="874"/>
      <c r="V73" s="874"/>
      <c r="W73" s="874"/>
    </row>
    <row r="74" spans="1:68" ht="27" customHeight="1" x14ac:dyDescent="0.25">
      <c r="B74" s="156" t="s">
        <v>809</v>
      </c>
      <c r="C74" s="158"/>
      <c r="D74" s="1"/>
      <c r="E74" s="1"/>
      <c r="F74" s="1"/>
      <c r="G74" s="1"/>
      <c r="H74" s="1"/>
      <c r="O74" s="873"/>
      <c r="T74" s="873"/>
      <c r="U74" s="874"/>
      <c r="V74" s="874"/>
      <c r="W74" s="874"/>
    </row>
  </sheetData>
  <sheetProtection password="A60F" sheet="1" objects="1" scenarios="1"/>
  <mergeCells count="745">
    <mergeCell ref="BN64:BN66"/>
    <mergeCell ref="BO64:BO66"/>
    <mergeCell ref="BP64:BP66"/>
    <mergeCell ref="R65:R66"/>
    <mergeCell ref="S65:S66"/>
    <mergeCell ref="T65:T66"/>
    <mergeCell ref="BG64:BG66"/>
    <mergeCell ref="BH64:BH66"/>
    <mergeCell ref="BI64:BI66"/>
    <mergeCell ref="BK64:BK66"/>
    <mergeCell ref="BL64:BL66"/>
    <mergeCell ref="BM64:BM66"/>
    <mergeCell ref="BA64:BA66"/>
    <mergeCell ref="BB64:BB66"/>
    <mergeCell ref="BC64:BC66"/>
    <mergeCell ref="BD64:BD66"/>
    <mergeCell ref="BE64:BE66"/>
    <mergeCell ref="BF64:BF66"/>
    <mergeCell ref="AU64:AU66"/>
    <mergeCell ref="AV64:AV66"/>
    <mergeCell ref="AW64:AW66"/>
    <mergeCell ref="AX64:AX66"/>
    <mergeCell ref="AY64:AY66"/>
    <mergeCell ref="AZ64:AZ66"/>
    <mergeCell ref="AO64:AO66"/>
    <mergeCell ref="AP64:AP66"/>
    <mergeCell ref="AQ64:AQ66"/>
    <mergeCell ref="AR64:AR66"/>
    <mergeCell ref="AS64:AS66"/>
    <mergeCell ref="AT64:AT66"/>
    <mergeCell ref="AI64:AI66"/>
    <mergeCell ref="AJ64:AJ66"/>
    <mergeCell ref="AK64:AK66"/>
    <mergeCell ref="AL64:AL66"/>
    <mergeCell ref="AM64:AM66"/>
    <mergeCell ref="AN64:AN66"/>
    <mergeCell ref="AC64:AC66"/>
    <mergeCell ref="AD64:AD66"/>
    <mergeCell ref="AE64:AE66"/>
    <mergeCell ref="AF64:AF66"/>
    <mergeCell ref="AG64:AG66"/>
    <mergeCell ref="AH64:AH66"/>
    <mergeCell ref="O64:O66"/>
    <mergeCell ref="P64:P66"/>
    <mergeCell ref="Q64:Q66"/>
    <mergeCell ref="Z64:Z66"/>
    <mergeCell ref="AA64:AA66"/>
    <mergeCell ref="AB64:AB66"/>
    <mergeCell ref="I64:I66"/>
    <mergeCell ref="J64:J66"/>
    <mergeCell ref="K64:K66"/>
    <mergeCell ref="L64:L66"/>
    <mergeCell ref="M64:M66"/>
    <mergeCell ref="N64:N66"/>
    <mergeCell ref="BL62:BL63"/>
    <mergeCell ref="BM62:BM63"/>
    <mergeCell ref="BN62:BN63"/>
    <mergeCell ref="AX62:AX63"/>
    <mergeCell ref="AM62:AM63"/>
    <mergeCell ref="AN62:AN63"/>
    <mergeCell ref="AO62:AO63"/>
    <mergeCell ref="AP62:AP63"/>
    <mergeCell ref="AQ62:AQ63"/>
    <mergeCell ref="AR62:AR63"/>
    <mergeCell ref="AG62:AG63"/>
    <mergeCell ref="AH62:AH63"/>
    <mergeCell ref="AI62:AI63"/>
    <mergeCell ref="AJ62:AJ63"/>
    <mergeCell ref="AK62:AK63"/>
    <mergeCell ref="AL62:AL63"/>
    <mergeCell ref="AA62:AA63"/>
    <mergeCell ref="AB62:AB63"/>
    <mergeCell ref="BO62:BO63"/>
    <mergeCell ref="BP62:BP63"/>
    <mergeCell ref="D64:D66"/>
    <mergeCell ref="E64:E66"/>
    <mergeCell ref="F64:F66"/>
    <mergeCell ref="G64:G66"/>
    <mergeCell ref="H64:H66"/>
    <mergeCell ref="BE62:BE63"/>
    <mergeCell ref="BF62:BF63"/>
    <mergeCell ref="BG62:BG63"/>
    <mergeCell ref="BH62:BH63"/>
    <mergeCell ref="BI62:BI63"/>
    <mergeCell ref="BK62:BK63"/>
    <mergeCell ref="AY62:AY63"/>
    <mergeCell ref="AZ62:AZ63"/>
    <mergeCell ref="BA62:BA63"/>
    <mergeCell ref="BB62:BB63"/>
    <mergeCell ref="BC62:BC63"/>
    <mergeCell ref="BD62:BD63"/>
    <mergeCell ref="AS62:AS63"/>
    <mergeCell ref="AT62:AT63"/>
    <mergeCell ref="AU62:AU63"/>
    <mergeCell ref="AV62:AV63"/>
    <mergeCell ref="AW62:AW63"/>
    <mergeCell ref="AC62:AC63"/>
    <mergeCell ref="AD62:AD63"/>
    <mergeCell ref="AE62:AE63"/>
    <mergeCell ref="AF62:AF63"/>
    <mergeCell ref="P62:P63"/>
    <mergeCell ref="Q62:Q63"/>
    <mergeCell ref="R62:R63"/>
    <mergeCell ref="S62:S63"/>
    <mergeCell ref="T62:T63"/>
    <mergeCell ref="Z62:Z63"/>
    <mergeCell ref="J62:J63"/>
    <mergeCell ref="K62:K63"/>
    <mergeCell ref="L62:L63"/>
    <mergeCell ref="M62:M63"/>
    <mergeCell ref="N62:N63"/>
    <mergeCell ref="O62:O63"/>
    <mergeCell ref="D62:D63"/>
    <mergeCell ref="E62:E63"/>
    <mergeCell ref="F62:F63"/>
    <mergeCell ref="G62:G63"/>
    <mergeCell ref="H62:H63"/>
    <mergeCell ref="I62:I63"/>
    <mergeCell ref="BK57:BK59"/>
    <mergeCell ref="BL57:BL59"/>
    <mergeCell ref="BM57:BM59"/>
    <mergeCell ref="BN57:BN59"/>
    <mergeCell ref="BO57:BO59"/>
    <mergeCell ref="BP57:BP59"/>
    <mergeCell ref="BE57:BE59"/>
    <mergeCell ref="BF57:BF59"/>
    <mergeCell ref="BG57:BG59"/>
    <mergeCell ref="BH57:BH59"/>
    <mergeCell ref="BI57:BI59"/>
    <mergeCell ref="BJ57:BJ59"/>
    <mergeCell ref="AY57:AY59"/>
    <mergeCell ref="AZ57:AZ59"/>
    <mergeCell ref="BA57:BA59"/>
    <mergeCell ref="BB57:BB59"/>
    <mergeCell ref="BC57:BC59"/>
    <mergeCell ref="BD57:BD59"/>
    <mergeCell ref="AS57:AS59"/>
    <mergeCell ref="AT57:AT59"/>
    <mergeCell ref="AU57:AU59"/>
    <mergeCell ref="AV57:AV59"/>
    <mergeCell ref="AW57:AW59"/>
    <mergeCell ref="AX57:AX59"/>
    <mergeCell ref="AM57:AM59"/>
    <mergeCell ref="AN57:AN59"/>
    <mergeCell ref="AO57:AO59"/>
    <mergeCell ref="AP57:AP59"/>
    <mergeCell ref="AQ57:AQ59"/>
    <mergeCell ref="AR57:AR59"/>
    <mergeCell ref="AG57:AG59"/>
    <mergeCell ref="AH57:AH59"/>
    <mergeCell ref="AI57:AI59"/>
    <mergeCell ref="AJ57:AJ59"/>
    <mergeCell ref="AK57:AK59"/>
    <mergeCell ref="AL57:AL59"/>
    <mergeCell ref="AA57:AA59"/>
    <mergeCell ref="AB57:AB59"/>
    <mergeCell ref="AC57:AC59"/>
    <mergeCell ref="AD57:AD59"/>
    <mergeCell ref="AE57:AE59"/>
    <mergeCell ref="AF57:AF59"/>
    <mergeCell ref="P57:P58"/>
    <mergeCell ref="Q57:Q59"/>
    <mergeCell ref="R57:R59"/>
    <mergeCell ref="S57:S59"/>
    <mergeCell ref="T57:T58"/>
    <mergeCell ref="Z57:Z59"/>
    <mergeCell ref="BM55:BM56"/>
    <mergeCell ref="BN55:BN56"/>
    <mergeCell ref="BO55:BO56"/>
    <mergeCell ref="BP55:BP56"/>
    <mergeCell ref="G57:G58"/>
    <mergeCell ref="H57:H58"/>
    <mergeCell ref="I57:I58"/>
    <mergeCell ref="M57:M59"/>
    <mergeCell ref="N57:N59"/>
    <mergeCell ref="O57:O59"/>
    <mergeCell ref="BG55:BG56"/>
    <mergeCell ref="BH55:BH56"/>
    <mergeCell ref="BI55:BI56"/>
    <mergeCell ref="BJ55:BJ56"/>
    <mergeCell ref="BK55:BK56"/>
    <mergeCell ref="BL55:BL56"/>
    <mergeCell ref="BA55:BA56"/>
    <mergeCell ref="BB55:BB56"/>
    <mergeCell ref="BC55:BC56"/>
    <mergeCell ref="BD55:BD56"/>
    <mergeCell ref="BE55:BE56"/>
    <mergeCell ref="BF55:BF56"/>
    <mergeCell ref="AU55:AU56"/>
    <mergeCell ref="AV55:AV56"/>
    <mergeCell ref="AW55:AW56"/>
    <mergeCell ref="AX55:AX56"/>
    <mergeCell ref="AY55:AY56"/>
    <mergeCell ref="AZ55:AZ56"/>
    <mergeCell ref="AO55:AO56"/>
    <mergeCell ref="AP55:AP56"/>
    <mergeCell ref="AQ55:AQ56"/>
    <mergeCell ref="AR55:AR56"/>
    <mergeCell ref="AS55:AS56"/>
    <mergeCell ref="AT55:AT56"/>
    <mergeCell ref="AI55:AI56"/>
    <mergeCell ref="AJ55:AJ56"/>
    <mergeCell ref="AK55:AK56"/>
    <mergeCell ref="AL55:AL56"/>
    <mergeCell ref="AM55:AM56"/>
    <mergeCell ref="AN55:AN56"/>
    <mergeCell ref="AC55:AC56"/>
    <mergeCell ref="AD55:AD56"/>
    <mergeCell ref="AE55:AE56"/>
    <mergeCell ref="AF55:AF56"/>
    <mergeCell ref="AG55:AG56"/>
    <mergeCell ref="AH55:AH56"/>
    <mergeCell ref="Y55:Y56"/>
    <mergeCell ref="Z55:Z56"/>
    <mergeCell ref="AA55:AA56"/>
    <mergeCell ref="AB55:AB56"/>
    <mergeCell ref="Q55:Q56"/>
    <mergeCell ref="R55:R56"/>
    <mergeCell ref="S55:S56"/>
    <mergeCell ref="T55:T56"/>
    <mergeCell ref="U55:U56"/>
    <mergeCell ref="V55:V56"/>
    <mergeCell ref="G55:G56"/>
    <mergeCell ref="H55:H56"/>
    <mergeCell ref="I55:I56"/>
    <mergeCell ref="M55:M56"/>
    <mergeCell ref="N55:N56"/>
    <mergeCell ref="O55:O56"/>
    <mergeCell ref="P55:P56"/>
    <mergeCell ref="W55:W56"/>
    <mergeCell ref="X55:X56"/>
    <mergeCell ref="BK52:BK54"/>
    <mergeCell ref="BL52:BL54"/>
    <mergeCell ref="BM52:BM54"/>
    <mergeCell ref="BN52:BN54"/>
    <mergeCell ref="BO52:BO54"/>
    <mergeCell ref="BP52:BP54"/>
    <mergeCell ref="BD52:BD54"/>
    <mergeCell ref="BE52:BE54"/>
    <mergeCell ref="BF52:BF54"/>
    <mergeCell ref="BG52:BG54"/>
    <mergeCell ref="BH52:BH54"/>
    <mergeCell ref="BI52:BI54"/>
    <mergeCell ref="AX52:AX54"/>
    <mergeCell ref="AY52:AY54"/>
    <mergeCell ref="AZ52:AZ54"/>
    <mergeCell ref="BA52:BA54"/>
    <mergeCell ref="BB52:BB54"/>
    <mergeCell ref="BC52:BC54"/>
    <mergeCell ref="AR52:AR54"/>
    <mergeCell ref="AS52:AS54"/>
    <mergeCell ref="AT52:AT54"/>
    <mergeCell ref="AU52:AU54"/>
    <mergeCell ref="AV52:AV54"/>
    <mergeCell ref="AW52:AW54"/>
    <mergeCell ref="AL52:AL54"/>
    <mergeCell ref="AM52:AM54"/>
    <mergeCell ref="AN52:AN54"/>
    <mergeCell ref="AO52:AO54"/>
    <mergeCell ref="AP52:AP54"/>
    <mergeCell ref="AQ52:AQ54"/>
    <mergeCell ref="AF52:AF54"/>
    <mergeCell ref="AG52:AG54"/>
    <mergeCell ref="AH52:AH54"/>
    <mergeCell ref="AI52:AI54"/>
    <mergeCell ref="AJ52:AJ54"/>
    <mergeCell ref="AK52:AK54"/>
    <mergeCell ref="Z52:Z54"/>
    <mergeCell ref="AA52:AA54"/>
    <mergeCell ref="AB52:AB54"/>
    <mergeCell ref="AC52:AC54"/>
    <mergeCell ref="AD52:AD54"/>
    <mergeCell ref="AE52:AE54"/>
    <mergeCell ref="L52:L54"/>
    <mergeCell ref="M52:M54"/>
    <mergeCell ref="N52:N54"/>
    <mergeCell ref="O52:O54"/>
    <mergeCell ref="P52:P54"/>
    <mergeCell ref="Q52:Q54"/>
    <mergeCell ref="R53:R54"/>
    <mergeCell ref="S53:S54"/>
    <mergeCell ref="T53:T54"/>
    <mergeCell ref="BL50:BL51"/>
    <mergeCell ref="BM50:BM51"/>
    <mergeCell ref="BN50:BN51"/>
    <mergeCell ref="BO50:BO51"/>
    <mergeCell ref="BP50:BP51"/>
    <mergeCell ref="G52:G54"/>
    <mergeCell ref="H52:H54"/>
    <mergeCell ref="I52:I54"/>
    <mergeCell ref="J52:J54"/>
    <mergeCell ref="K52:K54"/>
    <mergeCell ref="BE50:BE51"/>
    <mergeCell ref="BF50:BF51"/>
    <mergeCell ref="BG50:BG51"/>
    <mergeCell ref="BH50:BH51"/>
    <mergeCell ref="BI50:BI51"/>
    <mergeCell ref="BK50:BK51"/>
    <mergeCell ref="AY50:AY51"/>
    <mergeCell ref="AZ50:AZ51"/>
    <mergeCell ref="BA50:BA51"/>
    <mergeCell ref="BB50:BB51"/>
    <mergeCell ref="BC50:BC51"/>
    <mergeCell ref="BD50:BD51"/>
    <mergeCell ref="AS50:AS51"/>
    <mergeCell ref="AT50:AT51"/>
    <mergeCell ref="AU50:AU51"/>
    <mergeCell ref="AV50:AV51"/>
    <mergeCell ref="AW50:AW51"/>
    <mergeCell ref="AX50:AX51"/>
    <mergeCell ref="AM50:AM51"/>
    <mergeCell ref="AN50:AN51"/>
    <mergeCell ref="AO50:AO51"/>
    <mergeCell ref="AP50:AP51"/>
    <mergeCell ref="AQ50:AQ51"/>
    <mergeCell ref="AR50:AR51"/>
    <mergeCell ref="AG50:AG51"/>
    <mergeCell ref="AH50:AH51"/>
    <mergeCell ref="AI50:AI51"/>
    <mergeCell ref="AJ50:AJ51"/>
    <mergeCell ref="AK50:AK51"/>
    <mergeCell ref="AL50:AL51"/>
    <mergeCell ref="AA50:AA51"/>
    <mergeCell ref="AB50:AB51"/>
    <mergeCell ref="AC50:AC51"/>
    <mergeCell ref="AD50:AD51"/>
    <mergeCell ref="AE50:AE51"/>
    <mergeCell ref="AF50:AF51"/>
    <mergeCell ref="M50:M51"/>
    <mergeCell ref="N50:N51"/>
    <mergeCell ref="O50:O51"/>
    <mergeCell ref="P50:P51"/>
    <mergeCell ref="Q50:Q51"/>
    <mergeCell ref="Z50:Z51"/>
    <mergeCell ref="G50:G51"/>
    <mergeCell ref="H50:H51"/>
    <mergeCell ref="I50:I51"/>
    <mergeCell ref="J50:J51"/>
    <mergeCell ref="K50:K51"/>
    <mergeCell ref="L50:L51"/>
    <mergeCell ref="BK48:BK49"/>
    <mergeCell ref="BL48:BL49"/>
    <mergeCell ref="BM48:BM49"/>
    <mergeCell ref="BN48:BN49"/>
    <mergeCell ref="BO48:BO49"/>
    <mergeCell ref="BP48:BP49"/>
    <mergeCell ref="BE48:BE49"/>
    <mergeCell ref="BF48:BF49"/>
    <mergeCell ref="BG48:BG49"/>
    <mergeCell ref="BH48:BH49"/>
    <mergeCell ref="BI48:BI49"/>
    <mergeCell ref="BJ48:BJ49"/>
    <mergeCell ref="AY48:AY49"/>
    <mergeCell ref="AZ48:AZ49"/>
    <mergeCell ref="BA48:BA49"/>
    <mergeCell ref="BB48:BB49"/>
    <mergeCell ref="BC48:BC49"/>
    <mergeCell ref="BD48:BD49"/>
    <mergeCell ref="AS48:AS49"/>
    <mergeCell ref="AT48:AT49"/>
    <mergeCell ref="AU48:AU49"/>
    <mergeCell ref="AV48:AV49"/>
    <mergeCell ref="AW48:AW49"/>
    <mergeCell ref="AX48:AX49"/>
    <mergeCell ref="AM48:AM49"/>
    <mergeCell ref="AN48:AN49"/>
    <mergeCell ref="AO48:AO49"/>
    <mergeCell ref="AP48:AP49"/>
    <mergeCell ref="AQ48:AQ49"/>
    <mergeCell ref="AR48:AR49"/>
    <mergeCell ref="AG48:AG49"/>
    <mergeCell ref="AH48:AH49"/>
    <mergeCell ref="AI48:AI49"/>
    <mergeCell ref="AJ48:AJ49"/>
    <mergeCell ref="AK48:AK49"/>
    <mergeCell ref="AL48:AL49"/>
    <mergeCell ref="AA48:AA49"/>
    <mergeCell ref="AB48:AB49"/>
    <mergeCell ref="AC48:AC49"/>
    <mergeCell ref="AD48:AD49"/>
    <mergeCell ref="AE48:AE49"/>
    <mergeCell ref="AF48:AF49"/>
    <mergeCell ref="M48:M49"/>
    <mergeCell ref="N48:N49"/>
    <mergeCell ref="O48:O49"/>
    <mergeCell ref="P48:P49"/>
    <mergeCell ref="Q48:Q49"/>
    <mergeCell ref="Z48:Z49"/>
    <mergeCell ref="G48:G49"/>
    <mergeCell ref="H48:H49"/>
    <mergeCell ref="I48:I49"/>
    <mergeCell ref="J48:J49"/>
    <mergeCell ref="K48:K49"/>
    <mergeCell ref="L48:L49"/>
    <mergeCell ref="T42:T43"/>
    <mergeCell ref="G44:G47"/>
    <mergeCell ref="H44:H47"/>
    <mergeCell ref="I44:I47"/>
    <mergeCell ref="J44:J47"/>
    <mergeCell ref="K44:K47"/>
    <mergeCell ref="L44:L47"/>
    <mergeCell ref="P44:P47"/>
    <mergeCell ref="T44:T47"/>
    <mergeCell ref="R37:R47"/>
    <mergeCell ref="S37:S47"/>
    <mergeCell ref="G41:G43"/>
    <mergeCell ref="H41:H43"/>
    <mergeCell ref="I41:I43"/>
    <mergeCell ref="J41:J43"/>
    <mergeCell ref="K41:K43"/>
    <mergeCell ref="L41:L43"/>
    <mergeCell ref="P41:P43"/>
    <mergeCell ref="BK36:BK47"/>
    <mergeCell ref="BL36:BL47"/>
    <mergeCell ref="BM36:BM47"/>
    <mergeCell ref="BN36:BN47"/>
    <mergeCell ref="BO36:BO47"/>
    <mergeCell ref="BP36:BP47"/>
    <mergeCell ref="BD36:BD47"/>
    <mergeCell ref="BE36:BE47"/>
    <mergeCell ref="BF36:BF47"/>
    <mergeCell ref="BG36:BG47"/>
    <mergeCell ref="BH36:BH47"/>
    <mergeCell ref="BI36:BI47"/>
    <mergeCell ref="AX36:AX47"/>
    <mergeCell ref="AY36:AY47"/>
    <mergeCell ref="AZ36:AZ47"/>
    <mergeCell ref="BA36:BA47"/>
    <mergeCell ref="BB36:BB47"/>
    <mergeCell ref="BC36:BC47"/>
    <mergeCell ref="AR36:AR47"/>
    <mergeCell ref="AS36:AS47"/>
    <mergeCell ref="AT36:AT47"/>
    <mergeCell ref="AU36:AU47"/>
    <mergeCell ref="AV36:AV47"/>
    <mergeCell ref="AW36:AW47"/>
    <mergeCell ref="AL36:AL47"/>
    <mergeCell ref="AM36:AM47"/>
    <mergeCell ref="AN36:AN47"/>
    <mergeCell ref="AO36:AO47"/>
    <mergeCell ref="AP36:AP47"/>
    <mergeCell ref="AQ36:AQ47"/>
    <mergeCell ref="AF36:AF47"/>
    <mergeCell ref="AG36:AG47"/>
    <mergeCell ref="AH36:AH47"/>
    <mergeCell ref="AI36:AI47"/>
    <mergeCell ref="AJ36:AJ47"/>
    <mergeCell ref="AK36:AK47"/>
    <mergeCell ref="Z36:Z47"/>
    <mergeCell ref="AA36:AA47"/>
    <mergeCell ref="AB36:AB47"/>
    <mergeCell ref="AC36:AC47"/>
    <mergeCell ref="AD36:AD47"/>
    <mergeCell ref="AE36:AE47"/>
    <mergeCell ref="L36:L37"/>
    <mergeCell ref="M36:M47"/>
    <mergeCell ref="N36:N47"/>
    <mergeCell ref="O36:O47"/>
    <mergeCell ref="P36:P37"/>
    <mergeCell ref="Q36:Q47"/>
    <mergeCell ref="BL31:BL35"/>
    <mergeCell ref="BM31:BM35"/>
    <mergeCell ref="BN31:BN35"/>
    <mergeCell ref="BO31:BO35"/>
    <mergeCell ref="BP31:BP35"/>
    <mergeCell ref="G36:G37"/>
    <mergeCell ref="H36:H37"/>
    <mergeCell ref="I36:I37"/>
    <mergeCell ref="J36:J37"/>
    <mergeCell ref="K36:K37"/>
    <mergeCell ref="BF31:BF35"/>
    <mergeCell ref="BG31:BG35"/>
    <mergeCell ref="BH31:BH35"/>
    <mergeCell ref="BI31:BI35"/>
    <mergeCell ref="BJ31:BJ35"/>
    <mergeCell ref="BK31:BK35"/>
    <mergeCell ref="AZ31:AZ35"/>
    <mergeCell ref="BA31:BA35"/>
    <mergeCell ref="BB31:BB35"/>
    <mergeCell ref="BC31:BC35"/>
    <mergeCell ref="BD31:BD35"/>
    <mergeCell ref="BE31:BE35"/>
    <mergeCell ref="AT31:AT35"/>
    <mergeCell ref="AU31:AU35"/>
    <mergeCell ref="AV31:AV35"/>
    <mergeCell ref="AW31:AW35"/>
    <mergeCell ref="AX31:AX35"/>
    <mergeCell ref="AY31:AY35"/>
    <mergeCell ref="AN31:AN35"/>
    <mergeCell ref="AO31:AO35"/>
    <mergeCell ref="AP31:AP35"/>
    <mergeCell ref="AQ31:AQ35"/>
    <mergeCell ref="AR31:AR35"/>
    <mergeCell ref="AS31:AS35"/>
    <mergeCell ref="AH31:AH35"/>
    <mergeCell ref="AI31:AI35"/>
    <mergeCell ref="AJ31:AJ35"/>
    <mergeCell ref="AK31:AK35"/>
    <mergeCell ref="AL31:AL35"/>
    <mergeCell ref="AM31:AM35"/>
    <mergeCell ref="AB31:AB35"/>
    <mergeCell ref="AC31:AC35"/>
    <mergeCell ref="AD31:AD35"/>
    <mergeCell ref="AE31:AE35"/>
    <mergeCell ref="AF31:AF35"/>
    <mergeCell ref="AG31:AG35"/>
    <mergeCell ref="R31:R35"/>
    <mergeCell ref="S31:S35"/>
    <mergeCell ref="X31:X35"/>
    <mergeCell ref="Y31:Y35"/>
    <mergeCell ref="Z31:Z35"/>
    <mergeCell ref="AA31:AA35"/>
    <mergeCell ref="L31:L35"/>
    <mergeCell ref="M31:M35"/>
    <mergeCell ref="N31:N35"/>
    <mergeCell ref="O31:O35"/>
    <mergeCell ref="P31:P35"/>
    <mergeCell ref="Q31:Q35"/>
    <mergeCell ref="BN27:BN30"/>
    <mergeCell ref="BO27:BO30"/>
    <mergeCell ref="BP27:BP30"/>
    <mergeCell ref="R29:R30"/>
    <mergeCell ref="S29:S30"/>
    <mergeCell ref="G31:G35"/>
    <mergeCell ref="H31:H35"/>
    <mergeCell ref="I31:I35"/>
    <mergeCell ref="J31:J35"/>
    <mergeCell ref="K31:K35"/>
    <mergeCell ref="BG27:BG30"/>
    <mergeCell ref="BH27:BH30"/>
    <mergeCell ref="BI27:BI30"/>
    <mergeCell ref="BK27:BK30"/>
    <mergeCell ref="BL27:BL30"/>
    <mergeCell ref="BM27:BM30"/>
    <mergeCell ref="BA27:BA30"/>
    <mergeCell ref="BB27:BB30"/>
    <mergeCell ref="BC27:BC30"/>
    <mergeCell ref="BD27:BD30"/>
    <mergeCell ref="BE27:BE30"/>
    <mergeCell ref="BF27:BF30"/>
    <mergeCell ref="AU27:AU30"/>
    <mergeCell ref="AV27:AV30"/>
    <mergeCell ref="AW27:AW30"/>
    <mergeCell ref="AX27:AX30"/>
    <mergeCell ref="AY27:AY30"/>
    <mergeCell ref="AZ27:AZ30"/>
    <mergeCell ref="AO27:AO30"/>
    <mergeCell ref="AP27:AP30"/>
    <mergeCell ref="AQ27:AQ30"/>
    <mergeCell ref="AR27:AR30"/>
    <mergeCell ref="AS27:AS30"/>
    <mergeCell ref="AT27:AT30"/>
    <mergeCell ref="AI27:AI30"/>
    <mergeCell ref="AJ27:AJ30"/>
    <mergeCell ref="AK27:AK30"/>
    <mergeCell ref="AL27:AL30"/>
    <mergeCell ref="AM27:AM30"/>
    <mergeCell ref="AN27:AN30"/>
    <mergeCell ref="AC27:AC30"/>
    <mergeCell ref="AD27:AD30"/>
    <mergeCell ref="AE27:AE30"/>
    <mergeCell ref="AF27:AF30"/>
    <mergeCell ref="AG27:AG30"/>
    <mergeCell ref="AH27:AH30"/>
    <mergeCell ref="P27:P30"/>
    <mergeCell ref="Q27:Q30"/>
    <mergeCell ref="T27:T28"/>
    <mergeCell ref="Z27:Z30"/>
    <mergeCell ref="AA27:AA30"/>
    <mergeCell ref="AB27:AB30"/>
    <mergeCell ref="BP25:BP26"/>
    <mergeCell ref="G27:G30"/>
    <mergeCell ref="H27:H30"/>
    <mergeCell ref="I27:I30"/>
    <mergeCell ref="J27:J30"/>
    <mergeCell ref="K27:K30"/>
    <mergeCell ref="L27:L30"/>
    <mergeCell ref="M27:M30"/>
    <mergeCell ref="N27:N30"/>
    <mergeCell ref="O27:O30"/>
    <mergeCell ref="BJ25:BJ26"/>
    <mergeCell ref="BK25:BK26"/>
    <mergeCell ref="BL25:BL26"/>
    <mergeCell ref="BM25:BM26"/>
    <mergeCell ref="BN25:BN26"/>
    <mergeCell ref="BO25:BO26"/>
    <mergeCell ref="BD25:BD26"/>
    <mergeCell ref="BE25:BE26"/>
    <mergeCell ref="BF25:BF26"/>
    <mergeCell ref="BG25:BG26"/>
    <mergeCell ref="BH25:BH26"/>
    <mergeCell ref="BI25:BI26"/>
    <mergeCell ref="AX25:AX26"/>
    <mergeCell ref="AY25:AY26"/>
    <mergeCell ref="AZ25:AZ26"/>
    <mergeCell ref="BA25:BA26"/>
    <mergeCell ref="BB25:BB26"/>
    <mergeCell ref="BC25:BC26"/>
    <mergeCell ref="AD25:AD26"/>
    <mergeCell ref="AE25:AE26"/>
    <mergeCell ref="AR25:AR26"/>
    <mergeCell ref="AS25:AS26"/>
    <mergeCell ref="AT25:AT26"/>
    <mergeCell ref="AU25:AU26"/>
    <mergeCell ref="AV25:AV26"/>
    <mergeCell ref="AW25:AW26"/>
    <mergeCell ref="AL25:AL26"/>
    <mergeCell ref="AM25:AM26"/>
    <mergeCell ref="AN25:AN26"/>
    <mergeCell ref="AO25:AO26"/>
    <mergeCell ref="AP25:AP26"/>
    <mergeCell ref="AQ25:AQ26"/>
    <mergeCell ref="BO10:BO24"/>
    <mergeCell ref="BP10:BP24"/>
    <mergeCell ref="G14:G24"/>
    <mergeCell ref="H14:H24"/>
    <mergeCell ref="I14:I24"/>
    <mergeCell ref="J14:J24"/>
    <mergeCell ref="K14:K24"/>
    <mergeCell ref="L14:L24"/>
    <mergeCell ref="P14:P24"/>
    <mergeCell ref="T14:T16"/>
    <mergeCell ref="BG10:BG24"/>
    <mergeCell ref="BH10:BH24"/>
    <mergeCell ref="BI10:BI24"/>
    <mergeCell ref="BL10:BL24"/>
    <mergeCell ref="BM10:BM24"/>
    <mergeCell ref="BN10:BN24"/>
    <mergeCell ref="BA10:BA24"/>
    <mergeCell ref="BB10:BB24"/>
    <mergeCell ref="BE10:BE24"/>
    <mergeCell ref="BF10:BF24"/>
    <mergeCell ref="AU10:AU24"/>
    <mergeCell ref="AV10:AV24"/>
    <mergeCell ref="AW10:AW24"/>
    <mergeCell ref="AX10:AX24"/>
    <mergeCell ref="AY10:AY24"/>
    <mergeCell ref="AZ10:AZ24"/>
    <mergeCell ref="M25:M26"/>
    <mergeCell ref="N25:N26"/>
    <mergeCell ref="O25:O26"/>
    <mergeCell ref="Q25:Q26"/>
    <mergeCell ref="R25:R26"/>
    <mergeCell ref="S25:S26"/>
    <mergeCell ref="AF25:AF26"/>
    <mergeCell ref="AG25:AG26"/>
    <mergeCell ref="AH25:AH26"/>
    <mergeCell ref="AI25:AI26"/>
    <mergeCell ref="AJ25:AJ26"/>
    <mergeCell ref="AK25:AK26"/>
    <mergeCell ref="Z25:Z26"/>
    <mergeCell ref="AA25:AA26"/>
    <mergeCell ref="AB25:AB26"/>
    <mergeCell ref="AC25:AC26"/>
    <mergeCell ref="AT10:AT24"/>
    <mergeCell ref="AI10:AI24"/>
    <mergeCell ref="AJ10:AJ24"/>
    <mergeCell ref="AK10:AK24"/>
    <mergeCell ref="AL10:AL24"/>
    <mergeCell ref="AM10:AM24"/>
    <mergeCell ref="AN10:AN24"/>
    <mergeCell ref="BC10:BC24"/>
    <mergeCell ref="BD10:BD24"/>
    <mergeCell ref="O10:O24"/>
    <mergeCell ref="P10:P13"/>
    <mergeCell ref="Q10:Q24"/>
    <mergeCell ref="BG6:BG7"/>
    <mergeCell ref="BH6:BH7"/>
    <mergeCell ref="BI6:BI7"/>
    <mergeCell ref="AC10:AC24"/>
    <mergeCell ref="AD10:AD24"/>
    <mergeCell ref="AE10:AE24"/>
    <mergeCell ref="AF10:AF24"/>
    <mergeCell ref="AG10:AG24"/>
    <mergeCell ref="AH10:AH24"/>
    <mergeCell ref="R10:R24"/>
    <mergeCell ref="S10:S24"/>
    <mergeCell ref="T10:T13"/>
    <mergeCell ref="Z10:Z24"/>
    <mergeCell ref="AA10:AA24"/>
    <mergeCell ref="AB10:AB24"/>
    <mergeCell ref="T18:T24"/>
    <mergeCell ref="AO10:AO24"/>
    <mergeCell ref="AP10:AP24"/>
    <mergeCell ref="AQ10:AQ24"/>
    <mergeCell ref="AR10:AR24"/>
    <mergeCell ref="AS10:AS24"/>
    <mergeCell ref="BJ6:BJ7"/>
    <mergeCell ref="BK6:BK7"/>
    <mergeCell ref="G10:G13"/>
    <mergeCell ref="H10:H13"/>
    <mergeCell ref="I10:I13"/>
    <mergeCell ref="J10:J13"/>
    <mergeCell ref="K10:K13"/>
    <mergeCell ref="AT6:AU6"/>
    <mergeCell ref="AV6:AW6"/>
    <mergeCell ref="AX6:AY6"/>
    <mergeCell ref="AZ6:BA6"/>
    <mergeCell ref="BB6:BC6"/>
    <mergeCell ref="BF6:BF7"/>
    <mergeCell ref="S5:S7"/>
    <mergeCell ref="T5:T7"/>
    <mergeCell ref="M5:M7"/>
    <mergeCell ref="N5:N7"/>
    <mergeCell ref="O5:O7"/>
    <mergeCell ref="P5:P7"/>
    <mergeCell ref="Q5:Q7"/>
    <mergeCell ref="R5:R7"/>
    <mergeCell ref="L10:L13"/>
    <mergeCell ref="M10:M24"/>
    <mergeCell ref="N10:N24"/>
    <mergeCell ref="BP5:BP7"/>
    <mergeCell ref="U6:U7"/>
    <mergeCell ref="V6:V7"/>
    <mergeCell ref="W6:W7"/>
    <mergeCell ref="Z6:AA6"/>
    <mergeCell ref="AB6:AC6"/>
    <mergeCell ref="AD6:AE6"/>
    <mergeCell ref="AF6:AG6"/>
    <mergeCell ref="AH6:AI6"/>
    <mergeCell ref="AJ6:AK6"/>
    <mergeCell ref="AL5:AW5"/>
    <mergeCell ref="AX5:BC5"/>
    <mergeCell ref="BD5:BE6"/>
    <mergeCell ref="BF5:BK5"/>
    <mergeCell ref="BL5:BM6"/>
    <mergeCell ref="BN5:BO6"/>
    <mergeCell ref="AL6:AM6"/>
    <mergeCell ref="AN6:AO6"/>
    <mergeCell ref="AP6:AQ6"/>
    <mergeCell ref="AR6:AS6"/>
    <mergeCell ref="U5:W5"/>
    <mergeCell ref="Y5:Y7"/>
    <mergeCell ref="Z5:AC5"/>
    <mergeCell ref="AD5:AK5"/>
    <mergeCell ref="A1:Y4"/>
    <mergeCell ref="A5:A7"/>
    <mergeCell ref="B5:C7"/>
    <mergeCell ref="D5:D7"/>
    <mergeCell ref="E5:F7"/>
    <mergeCell ref="G5:G7"/>
    <mergeCell ref="H5:H7"/>
    <mergeCell ref="I5:I7"/>
    <mergeCell ref="J5:J7"/>
    <mergeCell ref="K5:L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A187"/>
  <sheetViews>
    <sheetView showGridLines="0" zoomScale="50" zoomScaleNormal="50" workbookViewId="0">
      <selection sqref="A1:BL4"/>
    </sheetView>
  </sheetViews>
  <sheetFormatPr baseColWidth="10" defaultRowHeight="15" x14ac:dyDescent="0.25"/>
  <cols>
    <col min="1" max="1" width="16.7109375" customWidth="1"/>
    <col min="4" max="4" width="17.5703125" customWidth="1"/>
    <col min="7" max="7" width="18.140625" customWidth="1"/>
    <col min="8" max="8" width="16.7109375" customWidth="1"/>
    <col min="9" max="9" width="34.7109375" customWidth="1"/>
    <col min="10" max="10" width="44.140625" customWidth="1"/>
    <col min="13" max="13" width="38.42578125" customWidth="1"/>
    <col min="14" max="14" width="30.42578125" customWidth="1"/>
    <col min="15" max="15" width="44.28515625" customWidth="1"/>
    <col min="16" max="16" width="16.42578125" customWidth="1"/>
    <col min="17" max="17" width="31.140625" customWidth="1"/>
    <col min="18" max="18" width="36.140625" customWidth="1"/>
    <col min="19" max="19" width="37.85546875" customWidth="1"/>
    <col min="20" max="20" width="45.140625" customWidth="1"/>
    <col min="21" max="21" width="30" customWidth="1"/>
    <col min="22" max="22" width="28.85546875" customWidth="1"/>
    <col min="23" max="23" width="31.5703125" customWidth="1"/>
    <col min="24" max="24" width="15.42578125" customWidth="1"/>
    <col min="25" max="25" width="20.7109375" customWidth="1"/>
    <col min="58" max="58" width="11.42578125" customWidth="1"/>
    <col min="59" max="59" width="21.140625" customWidth="1"/>
    <col min="60" max="60" width="24" customWidth="1"/>
    <col min="61" max="61" width="18" customWidth="1"/>
    <col min="62" max="62" width="16.42578125" customWidth="1"/>
    <col min="63" max="63" width="20.42578125" customWidth="1"/>
    <col min="64" max="64" width="17.140625" customWidth="1"/>
    <col min="65" max="66" width="15.7109375" customWidth="1"/>
    <col min="67" max="67" width="18.28515625" customWidth="1"/>
    <col min="68" max="68" width="25.5703125" customWidth="1"/>
  </cols>
  <sheetData>
    <row r="1" spans="1:75" ht="18" customHeight="1" x14ac:dyDescent="0.25">
      <c r="A1" s="2241" t="s">
        <v>1394</v>
      </c>
      <c r="B1" s="2242"/>
      <c r="C1" s="2242"/>
      <c r="D1" s="2242"/>
      <c r="E1" s="2242"/>
      <c r="F1" s="2242"/>
      <c r="G1" s="2242"/>
      <c r="H1" s="2242"/>
      <c r="I1" s="2242"/>
      <c r="J1" s="2242"/>
      <c r="K1" s="2242"/>
      <c r="L1" s="2242"/>
      <c r="M1" s="2242"/>
      <c r="N1" s="2242"/>
      <c r="O1" s="2242"/>
      <c r="P1" s="2242"/>
      <c r="Q1" s="2242"/>
      <c r="R1" s="2242"/>
      <c r="S1" s="2242"/>
      <c r="T1" s="2242"/>
      <c r="U1" s="2242"/>
      <c r="V1" s="2242"/>
      <c r="W1" s="2242"/>
      <c r="X1" s="2242"/>
      <c r="Y1" s="2242"/>
      <c r="Z1" s="2242"/>
      <c r="AA1" s="2242"/>
      <c r="AB1" s="2242"/>
      <c r="AC1" s="2242"/>
      <c r="AD1" s="2242"/>
      <c r="AE1" s="2242"/>
      <c r="AF1" s="2242"/>
      <c r="AG1" s="2242"/>
      <c r="AH1" s="2242"/>
      <c r="AI1" s="2242"/>
      <c r="AJ1" s="2242"/>
      <c r="AK1" s="2242"/>
      <c r="AL1" s="2242"/>
      <c r="AM1" s="2242"/>
      <c r="AN1" s="2242"/>
      <c r="AO1" s="2242"/>
      <c r="AP1" s="2242"/>
      <c r="AQ1" s="2242"/>
      <c r="AR1" s="2242"/>
      <c r="AS1" s="2242"/>
      <c r="AT1" s="2242"/>
      <c r="AU1" s="2242"/>
      <c r="AV1" s="2242"/>
      <c r="AW1" s="2242"/>
      <c r="AX1" s="2242"/>
      <c r="AY1" s="2242"/>
      <c r="AZ1" s="2242"/>
      <c r="BA1" s="2242"/>
      <c r="BB1" s="2242"/>
      <c r="BC1" s="2242"/>
      <c r="BD1" s="2242"/>
      <c r="BE1" s="2242"/>
      <c r="BF1" s="2242"/>
      <c r="BG1" s="2242"/>
      <c r="BH1" s="2242"/>
      <c r="BI1" s="2242"/>
      <c r="BJ1" s="2242"/>
      <c r="BK1" s="2242"/>
      <c r="BL1" s="2242"/>
      <c r="BM1" s="1544"/>
      <c r="BO1" s="628" t="s">
        <v>29</v>
      </c>
      <c r="BP1" s="705" t="s">
        <v>336</v>
      </c>
      <c r="BQ1" s="15"/>
      <c r="BR1" s="15"/>
      <c r="BS1" s="15"/>
      <c r="BT1" s="15"/>
      <c r="BU1" s="15"/>
      <c r="BV1" s="15"/>
    </row>
    <row r="2" spans="1:75" x14ac:dyDescent="0.25">
      <c r="A2" s="2244"/>
      <c r="B2" s="2245"/>
      <c r="C2" s="2245"/>
      <c r="D2" s="2245"/>
      <c r="E2" s="2245"/>
      <c r="F2" s="2245"/>
      <c r="G2" s="2245"/>
      <c r="H2" s="2245"/>
      <c r="I2" s="2245"/>
      <c r="J2" s="2245"/>
      <c r="K2" s="2245"/>
      <c r="L2" s="2245"/>
      <c r="M2" s="2245"/>
      <c r="N2" s="2245"/>
      <c r="O2" s="2245"/>
      <c r="P2" s="2245"/>
      <c r="Q2" s="2245"/>
      <c r="R2" s="2245"/>
      <c r="S2" s="2245"/>
      <c r="T2" s="2245"/>
      <c r="U2" s="2245"/>
      <c r="V2" s="2245"/>
      <c r="W2" s="2245"/>
      <c r="X2" s="2245"/>
      <c r="Y2" s="2245"/>
      <c r="Z2" s="2245"/>
      <c r="AA2" s="2245"/>
      <c r="AB2" s="2245"/>
      <c r="AC2" s="2245"/>
      <c r="AD2" s="2245"/>
      <c r="AE2" s="2245"/>
      <c r="AF2" s="2245"/>
      <c r="AG2" s="2245"/>
      <c r="AH2" s="2245"/>
      <c r="AI2" s="2245"/>
      <c r="AJ2" s="2245"/>
      <c r="AK2" s="2245"/>
      <c r="AL2" s="2245"/>
      <c r="AM2" s="2245"/>
      <c r="AN2" s="2245"/>
      <c r="AO2" s="2245"/>
      <c r="AP2" s="2245"/>
      <c r="AQ2" s="2245"/>
      <c r="AR2" s="2245"/>
      <c r="AS2" s="2245"/>
      <c r="AT2" s="2245"/>
      <c r="AU2" s="2245"/>
      <c r="AV2" s="2245"/>
      <c r="AW2" s="2245"/>
      <c r="AX2" s="2245"/>
      <c r="AY2" s="2245"/>
      <c r="AZ2" s="2245"/>
      <c r="BA2" s="2245"/>
      <c r="BB2" s="2245"/>
      <c r="BC2" s="2245"/>
      <c r="BD2" s="2245"/>
      <c r="BE2" s="2245"/>
      <c r="BF2" s="2245"/>
      <c r="BG2" s="2245"/>
      <c r="BH2" s="2245"/>
      <c r="BI2" s="2245"/>
      <c r="BJ2" s="2245"/>
      <c r="BK2" s="2245"/>
      <c r="BL2" s="2245"/>
      <c r="BM2" s="1545"/>
      <c r="BO2" s="631" t="s">
        <v>30</v>
      </c>
      <c r="BP2" s="707">
        <v>6</v>
      </c>
      <c r="BQ2" s="15"/>
      <c r="BR2" s="15"/>
      <c r="BS2" s="15"/>
      <c r="BT2" s="15"/>
      <c r="BU2" s="15"/>
      <c r="BV2" s="15"/>
    </row>
    <row r="3" spans="1:75" x14ac:dyDescent="0.25">
      <c r="A3" s="2244"/>
      <c r="B3" s="2245"/>
      <c r="C3" s="2245"/>
      <c r="D3" s="2245"/>
      <c r="E3" s="2245"/>
      <c r="F3" s="2245"/>
      <c r="G3" s="2245"/>
      <c r="H3" s="2245"/>
      <c r="I3" s="2245"/>
      <c r="J3" s="2245"/>
      <c r="K3" s="2245"/>
      <c r="L3" s="2245"/>
      <c r="M3" s="2245"/>
      <c r="N3" s="2245"/>
      <c r="O3" s="2245"/>
      <c r="P3" s="2245"/>
      <c r="Q3" s="2245"/>
      <c r="R3" s="2245"/>
      <c r="S3" s="2245"/>
      <c r="T3" s="2245"/>
      <c r="U3" s="2245"/>
      <c r="V3" s="2245"/>
      <c r="W3" s="2245"/>
      <c r="X3" s="2245"/>
      <c r="Y3" s="2245"/>
      <c r="Z3" s="2245"/>
      <c r="AA3" s="2245"/>
      <c r="AB3" s="2245"/>
      <c r="AC3" s="2245"/>
      <c r="AD3" s="2245"/>
      <c r="AE3" s="2245"/>
      <c r="AF3" s="2245"/>
      <c r="AG3" s="2245"/>
      <c r="AH3" s="2245"/>
      <c r="AI3" s="2245"/>
      <c r="AJ3" s="2245"/>
      <c r="AK3" s="2245"/>
      <c r="AL3" s="2245"/>
      <c r="AM3" s="2245"/>
      <c r="AN3" s="2245"/>
      <c r="AO3" s="2245"/>
      <c r="AP3" s="2245"/>
      <c r="AQ3" s="2245"/>
      <c r="AR3" s="2245"/>
      <c r="AS3" s="2245"/>
      <c r="AT3" s="2245"/>
      <c r="AU3" s="2245"/>
      <c r="AV3" s="2245"/>
      <c r="AW3" s="2245"/>
      <c r="AX3" s="2245"/>
      <c r="AY3" s="2245"/>
      <c r="AZ3" s="2245"/>
      <c r="BA3" s="2245"/>
      <c r="BB3" s="2245"/>
      <c r="BC3" s="2245"/>
      <c r="BD3" s="2245"/>
      <c r="BE3" s="2245"/>
      <c r="BF3" s="2245"/>
      <c r="BG3" s="2245"/>
      <c r="BH3" s="2245"/>
      <c r="BI3" s="2245"/>
      <c r="BJ3" s="2245"/>
      <c r="BK3" s="2245"/>
      <c r="BL3" s="2245"/>
      <c r="BM3" s="1545"/>
      <c r="BO3" s="631" t="s">
        <v>32</v>
      </c>
      <c r="BP3" s="708" t="s">
        <v>33</v>
      </c>
      <c r="BQ3" s="15"/>
      <c r="BR3" s="15"/>
      <c r="BS3" s="15"/>
      <c r="BT3" s="15"/>
      <c r="BU3" s="15"/>
      <c r="BV3" s="15"/>
    </row>
    <row r="4" spans="1:75" x14ac:dyDescent="0.25">
      <c r="A4" s="2247"/>
      <c r="B4" s="2248"/>
      <c r="C4" s="2248"/>
      <c r="D4" s="2248"/>
      <c r="E4" s="2248"/>
      <c r="F4" s="2248"/>
      <c r="G4" s="2248"/>
      <c r="H4" s="2248"/>
      <c r="I4" s="2248"/>
      <c r="J4" s="2248"/>
      <c r="K4" s="2248"/>
      <c r="L4" s="2248"/>
      <c r="M4" s="2248"/>
      <c r="N4" s="2248"/>
      <c r="O4" s="2248"/>
      <c r="P4" s="2248"/>
      <c r="Q4" s="2248"/>
      <c r="R4" s="2248"/>
      <c r="S4" s="2248"/>
      <c r="T4" s="2248"/>
      <c r="U4" s="2248"/>
      <c r="V4" s="2248"/>
      <c r="W4" s="2248"/>
      <c r="X4" s="2248"/>
      <c r="Y4" s="2248"/>
      <c r="Z4" s="2248"/>
      <c r="AA4" s="2248"/>
      <c r="AB4" s="2248"/>
      <c r="AC4" s="2248"/>
      <c r="AD4" s="2248"/>
      <c r="AE4" s="2248"/>
      <c r="AF4" s="2248"/>
      <c r="AG4" s="2248"/>
      <c r="AH4" s="2248"/>
      <c r="AI4" s="2248"/>
      <c r="AJ4" s="2248"/>
      <c r="AK4" s="2248"/>
      <c r="AL4" s="2248"/>
      <c r="AM4" s="2248"/>
      <c r="AN4" s="2248"/>
      <c r="AO4" s="2248"/>
      <c r="AP4" s="2248"/>
      <c r="AQ4" s="2248"/>
      <c r="AR4" s="2248"/>
      <c r="AS4" s="2248"/>
      <c r="AT4" s="2248"/>
      <c r="AU4" s="2248"/>
      <c r="AV4" s="2248"/>
      <c r="AW4" s="2248"/>
      <c r="AX4" s="2248"/>
      <c r="AY4" s="2248"/>
      <c r="AZ4" s="2248"/>
      <c r="BA4" s="2248"/>
      <c r="BB4" s="2248"/>
      <c r="BC4" s="2248"/>
      <c r="BD4" s="2248"/>
      <c r="BE4" s="2248"/>
      <c r="BF4" s="2248"/>
      <c r="BG4" s="2248"/>
      <c r="BH4" s="2248"/>
      <c r="BI4" s="2248"/>
      <c r="BJ4" s="2248"/>
      <c r="BK4" s="2248"/>
      <c r="BL4" s="2248"/>
      <c r="BM4" s="1546"/>
      <c r="BN4" s="950"/>
      <c r="BO4" s="631" t="s">
        <v>34</v>
      </c>
      <c r="BP4" s="710" t="s">
        <v>339</v>
      </c>
      <c r="BQ4" s="15"/>
      <c r="BR4" s="15"/>
      <c r="BS4" s="15"/>
      <c r="BT4" s="15"/>
      <c r="BU4" s="15"/>
      <c r="BV4" s="15"/>
    </row>
    <row r="5" spans="1:75" ht="15.75" x14ac:dyDescent="0.25">
      <c r="A5" s="2250" t="s">
        <v>340</v>
      </c>
      <c r="B5" s="2251"/>
      <c r="C5" s="2251"/>
      <c r="D5" s="2251"/>
      <c r="E5" s="2251"/>
      <c r="F5" s="2251"/>
      <c r="G5" s="2251"/>
      <c r="H5" s="2251"/>
      <c r="I5" s="2251"/>
      <c r="J5" s="2251"/>
      <c r="K5" s="2251"/>
      <c r="L5" s="1547"/>
      <c r="M5" s="2555" t="s">
        <v>37</v>
      </c>
      <c r="N5" s="2555"/>
      <c r="O5" s="2555"/>
      <c r="P5" s="2555"/>
      <c r="Q5" s="2555"/>
      <c r="R5" s="2555"/>
      <c r="S5" s="2555"/>
      <c r="T5" s="2555"/>
      <c r="U5" s="2555"/>
      <c r="V5" s="2555"/>
      <c r="W5" s="2555"/>
      <c r="X5" s="2555"/>
      <c r="Y5" s="2555"/>
      <c r="Z5" s="2555"/>
      <c r="AA5" s="2555"/>
      <c r="AB5" s="2555"/>
      <c r="AC5" s="2555"/>
      <c r="AD5" s="2555"/>
      <c r="AE5" s="2555"/>
      <c r="AF5" s="2555"/>
      <c r="AG5" s="2555"/>
      <c r="AH5" s="2555"/>
      <c r="AI5" s="2555"/>
      <c r="AJ5" s="2555"/>
      <c r="AK5" s="2555"/>
      <c r="AL5" s="2555"/>
      <c r="AM5" s="2555"/>
      <c r="AN5" s="2555"/>
      <c r="AO5" s="2555"/>
      <c r="AP5" s="2555"/>
      <c r="AQ5" s="2555"/>
      <c r="AR5" s="2555"/>
      <c r="AS5" s="2555"/>
      <c r="AT5" s="2555"/>
      <c r="AU5" s="2555"/>
      <c r="AV5" s="2555"/>
      <c r="AW5" s="2555"/>
      <c r="AX5" s="2555"/>
      <c r="AY5" s="2555"/>
      <c r="AZ5" s="2555"/>
      <c r="BA5" s="2555"/>
      <c r="BB5" s="2555"/>
      <c r="BC5" s="2555"/>
      <c r="BD5" s="2555"/>
      <c r="BE5" s="2555"/>
      <c r="BF5" s="2555"/>
      <c r="BG5" s="2555"/>
      <c r="BH5" s="2555"/>
      <c r="BI5" s="2555"/>
      <c r="BJ5" s="2555"/>
      <c r="BK5" s="2555"/>
      <c r="BL5" s="2555"/>
      <c r="BM5" s="2555"/>
      <c r="BN5" s="2555"/>
      <c r="BO5" s="2254"/>
      <c r="BP5" s="2556"/>
      <c r="BQ5" s="15"/>
      <c r="BR5" s="15"/>
      <c r="BS5" s="15"/>
      <c r="BT5" s="15"/>
      <c r="BU5" s="15"/>
      <c r="BV5" s="15"/>
    </row>
    <row r="6" spans="1:75" ht="16.5" thickBot="1" x14ac:dyDescent="0.3">
      <c r="A6" s="2252"/>
      <c r="B6" s="2253"/>
      <c r="C6" s="2253"/>
      <c r="D6" s="2253"/>
      <c r="E6" s="2253"/>
      <c r="F6" s="2253"/>
      <c r="G6" s="2253"/>
      <c r="H6" s="2253"/>
      <c r="I6" s="2253"/>
      <c r="J6" s="2253"/>
      <c r="K6" s="2253"/>
      <c r="L6" s="1548"/>
      <c r="M6" s="1174"/>
      <c r="N6" s="952"/>
      <c r="O6" s="1176"/>
      <c r="P6" s="1548"/>
      <c r="Q6" s="1571"/>
      <c r="R6" s="1176"/>
      <c r="S6" s="1176"/>
      <c r="T6" s="1548"/>
      <c r="U6" s="1548"/>
      <c r="V6" s="1548"/>
      <c r="W6" s="1548"/>
      <c r="X6" s="1558"/>
      <c r="Y6" s="1548"/>
      <c r="Z6" s="2557" t="s">
        <v>38</v>
      </c>
      <c r="AA6" s="2253"/>
      <c r="AB6" s="2253"/>
      <c r="AC6" s="2253"/>
      <c r="AD6" s="2253"/>
      <c r="AE6" s="2253"/>
      <c r="AF6" s="2253"/>
      <c r="AG6" s="2253"/>
      <c r="AH6" s="2253"/>
      <c r="AI6" s="2253"/>
      <c r="AJ6" s="2253"/>
      <c r="AK6" s="2253"/>
      <c r="AL6" s="2253"/>
      <c r="AM6" s="2253"/>
      <c r="AN6" s="2253"/>
      <c r="AO6" s="2253"/>
      <c r="AP6" s="2253"/>
      <c r="AQ6" s="2253"/>
      <c r="AR6" s="2253"/>
      <c r="AS6" s="2253"/>
      <c r="AT6" s="2253"/>
      <c r="AU6" s="2253"/>
      <c r="AV6" s="2253"/>
      <c r="AW6" s="2253"/>
      <c r="AX6" s="2253"/>
      <c r="AY6" s="2253"/>
      <c r="AZ6" s="2253"/>
      <c r="BA6" s="2253"/>
      <c r="BB6" s="2253"/>
      <c r="BC6" s="1548"/>
      <c r="BD6" s="638"/>
      <c r="BE6" s="638"/>
      <c r="BF6" s="638"/>
      <c r="BG6" s="638"/>
      <c r="BH6" s="638"/>
      <c r="BI6" s="638"/>
      <c r="BJ6" s="638"/>
      <c r="BK6" s="1572"/>
      <c r="BL6" s="639"/>
      <c r="BM6" s="639"/>
      <c r="BN6" s="639"/>
      <c r="BO6" s="639"/>
      <c r="BP6" s="956"/>
      <c r="BQ6" s="15"/>
      <c r="BR6" s="15"/>
      <c r="BS6" s="15"/>
      <c r="BT6" s="15"/>
      <c r="BU6" s="15"/>
      <c r="BV6" s="15"/>
    </row>
    <row r="7" spans="1:75" ht="42.75" customHeight="1" x14ac:dyDescent="0.25">
      <c r="A7" s="2257" t="s">
        <v>39</v>
      </c>
      <c r="B7" s="2259" t="s">
        <v>40</v>
      </c>
      <c r="C7" s="2239"/>
      <c r="D7" s="2260" t="s">
        <v>39</v>
      </c>
      <c r="E7" s="2259" t="s">
        <v>41</v>
      </c>
      <c r="F7" s="2259"/>
      <c r="G7" s="2303" t="s">
        <v>39</v>
      </c>
      <c r="H7" s="2239" t="s">
        <v>1395</v>
      </c>
      <c r="I7" s="2259" t="s">
        <v>43</v>
      </c>
      <c r="J7" s="2239" t="s">
        <v>44</v>
      </c>
      <c r="K7" s="3635" t="s">
        <v>45</v>
      </c>
      <c r="L7" s="3651"/>
      <c r="M7" s="2239" t="s">
        <v>46</v>
      </c>
      <c r="N7" s="2239" t="s">
        <v>47</v>
      </c>
      <c r="O7" s="2239" t="s">
        <v>37</v>
      </c>
      <c r="P7" s="3649" t="s">
        <v>48</v>
      </c>
      <c r="Q7" s="2287" t="s">
        <v>49</v>
      </c>
      <c r="R7" s="3650" t="s">
        <v>50</v>
      </c>
      <c r="S7" s="3650" t="s">
        <v>51</v>
      </c>
      <c r="T7" s="2259" t="s">
        <v>52</v>
      </c>
      <c r="U7" s="2289" t="s">
        <v>49</v>
      </c>
      <c r="V7" s="2289"/>
      <c r="W7" s="2289"/>
      <c r="X7" s="2239" t="s">
        <v>39</v>
      </c>
      <c r="Y7" s="2303" t="s">
        <v>53</v>
      </c>
      <c r="Z7" s="2274" t="s">
        <v>54</v>
      </c>
      <c r="AA7" s="2275"/>
      <c r="AB7" s="2275"/>
      <c r="AC7" s="2276"/>
      <c r="AD7" s="2277" t="s">
        <v>55</v>
      </c>
      <c r="AE7" s="2278"/>
      <c r="AF7" s="2278"/>
      <c r="AG7" s="2278"/>
      <c r="AH7" s="2278"/>
      <c r="AI7" s="2278"/>
      <c r="AJ7" s="2278"/>
      <c r="AK7" s="2279"/>
      <c r="AL7" s="2542" t="s">
        <v>56</v>
      </c>
      <c r="AM7" s="2543"/>
      <c r="AN7" s="2543"/>
      <c r="AO7" s="2543"/>
      <c r="AP7" s="2543"/>
      <c r="AQ7" s="2543"/>
      <c r="AR7" s="2543"/>
      <c r="AS7" s="2543"/>
      <c r="AT7" s="2543"/>
      <c r="AU7" s="2543"/>
      <c r="AV7" s="2543"/>
      <c r="AW7" s="2544"/>
      <c r="AX7" s="2277" t="s">
        <v>57</v>
      </c>
      <c r="AY7" s="2278"/>
      <c r="AZ7" s="2278"/>
      <c r="BA7" s="2278"/>
      <c r="BB7" s="2278"/>
      <c r="BC7" s="2279"/>
      <c r="BD7" s="2559" t="s">
        <v>58</v>
      </c>
      <c r="BE7" s="2560"/>
      <c r="BF7" s="3501" t="s">
        <v>335</v>
      </c>
      <c r="BG7" s="3502"/>
      <c r="BH7" s="3502"/>
      <c r="BI7" s="3502"/>
      <c r="BJ7" s="3502"/>
      <c r="BK7" s="3503"/>
      <c r="BL7" s="2264" t="s">
        <v>59</v>
      </c>
      <c r="BM7" s="2265"/>
      <c r="BN7" s="2264" t="s">
        <v>60</v>
      </c>
      <c r="BO7" s="2265"/>
      <c r="BP7" s="2391" t="s">
        <v>61</v>
      </c>
      <c r="BQ7" s="18"/>
      <c r="BR7" s="18"/>
      <c r="BS7" s="18"/>
      <c r="BT7" s="18"/>
      <c r="BU7" s="18"/>
      <c r="BV7" s="18"/>
      <c r="BW7" s="1"/>
    </row>
    <row r="8" spans="1:75" ht="66.75" customHeight="1" x14ac:dyDescent="0.25">
      <c r="A8" s="2257"/>
      <c r="B8" s="3635"/>
      <c r="C8" s="2303"/>
      <c r="D8" s="2260"/>
      <c r="E8" s="2259"/>
      <c r="F8" s="2259"/>
      <c r="G8" s="2303"/>
      <c r="H8" s="2239"/>
      <c r="I8" s="2259"/>
      <c r="J8" s="2239"/>
      <c r="K8" s="1542" t="s">
        <v>158</v>
      </c>
      <c r="L8" s="1542" t="s">
        <v>159</v>
      </c>
      <c r="M8" s="2239"/>
      <c r="N8" s="2239"/>
      <c r="O8" s="2239"/>
      <c r="P8" s="3649"/>
      <c r="Q8" s="2287"/>
      <c r="R8" s="3650"/>
      <c r="S8" s="3650"/>
      <c r="T8" s="2259"/>
      <c r="U8" s="977" t="s">
        <v>62</v>
      </c>
      <c r="V8" s="1543" t="s">
        <v>150</v>
      </c>
      <c r="W8" s="1543" t="s">
        <v>151</v>
      </c>
      <c r="X8" s="2263"/>
      <c r="Y8" s="2303"/>
      <c r="Z8" s="3292" t="s">
        <v>63</v>
      </c>
      <c r="AA8" s="3293"/>
      <c r="AB8" s="3294" t="s">
        <v>64</v>
      </c>
      <c r="AC8" s="3295"/>
      <c r="AD8" s="3292" t="s">
        <v>65</v>
      </c>
      <c r="AE8" s="3293"/>
      <c r="AF8" s="3292" t="s">
        <v>66</v>
      </c>
      <c r="AG8" s="3293"/>
      <c r="AH8" s="3292" t="s">
        <v>67</v>
      </c>
      <c r="AI8" s="3293"/>
      <c r="AJ8" s="3292" t="s">
        <v>68</v>
      </c>
      <c r="AK8" s="3293"/>
      <c r="AL8" s="3292" t="s">
        <v>69</v>
      </c>
      <c r="AM8" s="3293"/>
      <c r="AN8" s="3292" t="s">
        <v>70</v>
      </c>
      <c r="AO8" s="3293"/>
      <c r="AP8" s="3292" t="s">
        <v>71</v>
      </c>
      <c r="AQ8" s="3293"/>
      <c r="AR8" s="3292" t="s">
        <v>72</v>
      </c>
      <c r="AS8" s="3293"/>
      <c r="AT8" s="3292" t="s">
        <v>73</v>
      </c>
      <c r="AU8" s="3293"/>
      <c r="AV8" s="3292" t="s">
        <v>74</v>
      </c>
      <c r="AW8" s="3293"/>
      <c r="AX8" s="3292" t="s">
        <v>75</v>
      </c>
      <c r="AY8" s="3293"/>
      <c r="AZ8" s="3292" t="s">
        <v>76</v>
      </c>
      <c r="BA8" s="3293"/>
      <c r="BB8" s="3292" t="s">
        <v>77</v>
      </c>
      <c r="BC8" s="3293"/>
      <c r="BD8" s="2561"/>
      <c r="BE8" s="2562"/>
      <c r="BF8" s="3171" t="s">
        <v>152</v>
      </c>
      <c r="BG8" s="3174" t="s">
        <v>153</v>
      </c>
      <c r="BH8" s="3171" t="s">
        <v>154</v>
      </c>
      <c r="BI8" s="3175" t="s">
        <v>155</v>
      </c>
      <c r="BJ8" s="3171" t="s">
        <v>156</v>
      </c>
      <c r="BK8" s="3172" t="s">
        <v>157</v>
      </c>
      <c r="BL8" s="2266"/>
      <c r="BM8" s="2267"/>
      <c r="BN8" s="2266"/>
      <c r="BO8" s="2267"/>
      <c r="BP8" s="2391"/>
      <c r="BQ8" s="144"/>
      <c r="BR8" s="144"/>
      <c r="BS8" s="144"/>
      <c r="BT8" s="144"/>
      <c r="BU8" s="144"/>
      <c r="BV8" s="144"/>
      <c r="BW8" s="1570"/>
    </row>
    <row r="9" spans="1:75" ht="33.75" customHeight="1" x14ac:dyDescent="0.25">
      <c r="A9" s="1573"/>
      <c r="B9" s="301"/>
      <c r="C9" s="301"/>
      <c r="D9" s="301"/>
      <c r="E9" s="301"/>
      <c r="F9" s="301"/>
      <c r="G9" s="1574"/>
      <c r="H9" s="301"/>
      <c r="I9" s="1575"/>
      <c r="J9" s="1575"/>
      <c r="K9" s="301"/>
      <c r="L9" s="301"/>
      <c r="M9" s="1575"/>
      <c r="N9" s="301"/>
      <c r="O9" s="1575"/>
      <c r="P9" s="1576"/>
      <c r="Q9" s="1577"/>
      <c r="R9" s="1575"/>
      <c r="S9" s="1575"/>
      <c r="T9" s="301"/>
      <c r="U9" s="1578"/>
      <c r="V9" s="1579"/>
      <c r="W9" s="1579"/>
      <c r="X9" s="296"/>
      <c r="Y9" s="296"/>
      <c r="Z9" s="1562" t="s">
        <v>158</v>
      </c>
      <c r="AA9" s="1562" t="s">
        <v>159</v>
      </c>
      <c r="AB9" s="1562" t="s">
        <v>158</v>
      </c>
      <c r="AC9" s="1562" t="s">
        <v>159</v>
      </c>
      <c r="AD9" s="1562" t="s">
        <v>158</v>
      </c>
      <c r="AE9" s="1562" t="s">
        <v>159</v>
      </c>
      <c r="AF9" s="1562" t="s">
        <v>158</v>
      </c>
      <c r="AG9" s="1562" t="s">
        <v>159</v>
      </c>
      <c r="AH9" s="1562" t="s">
        <v>158</v>
      </c>
      <c r="AI9" s="1562" t="s">
        <v>159</v>
      </c>
      <c r="AJ9" s="1562" t="s">
        <v>158</v>
      </c>
      <c r="AK9" s="1562" t="s">
        <v>159</v>
      </c>
      <c r="AL9" s="1562" t="s">
        <v>158</v>
      </c>
      <c r="AM9" s="1562" t="s">
        <v>159</v>
      </c>
      <c r="AN9" s="1562" t="s">
        <v>158</v>
      </c>
      <c r="AO9" s="1562" t="s">
        <v>159</v>
      </c>
      <c r="AP9" s="1562" t="s">
        <v>158</v>
      </c>
      <c r="AQ9" s="1562" t="s">
        <v>159</v>
      </c>
      <c r="AR9" s="1562" t="s">
        <v>158</v>
      </c>
      <c r="AS9" s="1562" t="s">
        <v>159</v>
      </c>
      <c r="AT9" s="1562" t="s">
        <v>158</v>
      </c>
      <c r="AU9" s="1562" t="s">
        <v>159</v>
      </c>
      <c r="AV9" s="1562" t="s">
        <v>158</v>
      </c>
      <c r="AW9" s="1562" t="s">
        <v>159</v>
      </c>
      <c r="AX9" s="1562" t="s">
        <v>158</v>
      </c>
      <c r="AY9" s="1562" t="s">
        <v>159</v>
      </c>
      <c r="AZ9" s="1562" t="s">
        <v>158</v>
      </c>
      <c r="BA9" s="1562" t="s">
        <v>159</v>
      </c>
      <c r="BB9" s="1562" t="s">
        <v>158</v>
      </c>
      <c r="BC9" s="1562" t="s">
        <v>159</v>
      </c>
      <c r="BD9" s="1562" t="s">
        <v>158</v>
      </c>
      <c r="BE9" s="1562" t="s">
        <v>159</v>
      </c>
      <c r="BF9" s="3171"/>
      <c r="BG9" s="3174"/>
      <c r="BH9" s="3171"/>
      <c r="BI9" s="3175"/>
      <c r="BJ9" s="3171"/>
      <c r="BK9" s="3173"/>
      <c r="BL9" s="1562" t="s">
        <v>158</v>
      </c>
      <c r="BM9" s="1562" t="s">
        <v>159</v>
      </c>
      <c r="BN9" s="1562" t="s">
        <v>158</v>
      </c>
      <c r="BO9" s="1562" t="s">
        <v>159</v>
      </c>
      <c r="BP9" s="1580"/>
      <c r="BQ9" s="144"/>
      <c r="BR9" s="144"/>
      <c r="BS9" s="144"/>
      <c r="BT9" s="144"/>
      <c r="BU9" s="144"/>
      <c r="BV9" s="144"/>
      <c r="BW9" s="1570"/>
    </row>
    <row r="10" spans="1:75" ht="15.75" x14ac:dyDescent="0.25">
      <c r="A10" s="1581">
        <v>1</v>
      </c>
      <c r="B10" s="1319" t="s">
        <v>1396</v>
      </c>
      <c r="C10" s="1322"/>
      <c r="D10" s="29"/>
      <c r="E10" s="986"/>
      <c r="F10" s="986"/>
      <c r="G10" s="986"/>
      <c r="H10" s="986"/>
      <c r="I10" s="1582"/>
      <c r="J10" s="1582"/>
      <c r="K10" s="986"/>
      <c r="L10" s="986"/>
      <c r="M10" s="1582"/>
      <c r="N10" s="986"/>
      <c r="O10" s="1582"/>
      <c r="P10" s="1583"/>
      <c r="Q10" s="1584"/>
      <c r="R10" s="1582"/>
      <c r="S10" s="1582"/>
      <c r="T10" s="1585"/>
      <c r="U10" s="1584"/>
      <c r="V10" s="986"/>
      <c r="W10" s="1584"/>
      <c r="X10" s="1586"/>
      <c r="Y10" s="1586"/>
      <c r="Z10" s="986"/>
      <c r="AA10" s="986"/>
      <c r="AB10" s="986"/>
      <c r="AC10" s="986"/>
      <c r="AD10" s="986"/>
      <c r="AE10" s="986"/>
      <c r="AF10" s="986"/>
      <c r="AG10" s="986"/>
      <c r="AH10" s="986"/>
      <c r="AI10" s="986"/>
      <c r="AJ10" s="986"/>
      <c r="AK10" s="986"/>
      <c r="AL10" s="986"/>
      <c r="AM10" s="986"/>
      <c r="AN10" s="986"/>
      <c r="AO10" s="986"/>
      <c r="AP10" s="986"/>
      <c r="AQ10" s="986"/>
      <c r="AR10" s="986"/>
      <c r="AS10" s="986"/>
      <c r="AT10" s="986"/>
      <c r="AU10" s="986"/>
      <c r="AV10" s="986"/>
      <c r="AW10" s="986"/>
      <c r="AX10" s="986"/>
      <c r="AY10" s="986"/>
      <c r="AZ10" s="986"/>
      <c r="BA10" s="986"/>
      <c r="BB10" s="986"/>
      <c r="BC10" s="986"/>
      <c r="BD10" s="986"/>
      <c r="BE10" s="986"/>
      <c r="BF10" s="986"/>
      <c r="BG10" s="986"/>
      <c r="BH10" s="986"/>
      <c r="BI10" s="986"/>
      <c r="BJ10" s="986"/>
      <c r="BK10" s="1582"/>
      <c r="BL10" s="986"/>
      <c r="BM10" s="986"/>
      <c r="BN10" s="986"/>
      <c r="BO10" s="986"/>
      <c r="BP10" s="986"/>
      <c r="BQ10" s="1"/>
      <c r="BR10" s="1"/>
      <c r="BS10" s="1"/>
      <c r="BT10" s="1"/>
      <c r="BU10" s="1"/>
      <c r="BV10" s="1"/>
      <c r="BW10" s="1"/>
    </row>
    <row r="11" spans="1:75" ht="15.75" x14ac:dyDescent="0.25">
      <c r="A11" s="1587"/>
      <c r="B11" s="1587"/>
      <c r="C11" s="1587"/>
      <c r="D11" s="1262">
        <v>12</v>
      </c>
      <c r="E11" s="989" t="s">
        <v>1397</v>
      </c>
      <c r="F11" s="46"/>
      <c r="G11" s="745"/>
      <c r="H11" s="47"/>
      <c r="I11" s="46"/>
      <c r="J11" s="46"/>
      <c r="K11" s="746"/>
      <c r="L11" s="746"/>
      <c r="M11" s="744"/>
      <c r="N11" s="745"/>
      <c r="O11" s="1588"/>
      <c r="P11" s="1589"/>
      <c r="Q11" s="1590"/>
      <c r="R11" s="1588"/>
      <c r="S11" s="1588"/>
      <c r="T11" s="744"/>
      <c r="U11" s="1591"/>
      <c r="V11" s="1043"/>
      <c r="W11" s="1591"/>
      <c r="X11" s="1592"/>
      <c r="Y11" s="1593"/>
      <c r="Z11" s="995"/>
      <c r="AA11" s="995"/>
      <c r="AB11" s="995"/>
      <c r="AC11" s="995"/>
      <c r="AD11" s="995"/>
      <c r="AE11" s="995"/>
      <c r="AF11" s="995"/>
      <c r="AG11" s="995"/>
      <c r="AH11" s="995"/>
      <c r="AI11" s="995"/>
      <c r="AJ11" s="995"/>
      <c r="AK11" s="995"/>
      <c r="AL11" s="995"/>
      <c r="AM11" s="995"/>
      <c r="AN11" s="995"/>
      <c r="AO11" s="995"/>
      <c r="AP11" s="995"/>
      <c r="AQ11" s="995"/>
      <c r="AR11" s="995"/>
      <c r="AS11" s="995"/>
      <c r="AT11" s="995"/>
      <c r="AU11" s="995"/>
      <c r="AV11" s="995"/>
      <c r="AW11" s="995"/>
      <c r="AX11" s="995"/>
      <c r="AY11" s="995"/>
      <c r="AZ11" s="995"/>
      <c r="BA11" s="995"/>
      <c r="BB11" s="995"/>
      <c r="BC11" s="995"/>
      <c r="BD11" s="995"/>
      <c r="BE11" s="995"/>
      <c r="BF11" s="995"/>
      <c r="BG11" s="995"/>
      <c r="BH11" s="995"/>
      <c r="BI11" s="995"/>
      <c r="BJ11" s="995"/>
      <c r="BK11" s="1588"/>
      <c r="BL11" s="995"/>
      <c r="BM11" s="995"/>
      <c r="BN11" s="995"/>
      <c r="BO11" s="995"/>
      <c r="BP11" s="995"/>
      <c r="BQ11" s="1"/>
      <c r="BR11" s="1"/>
      <c r="BS11" s="1"/>
      <c r="BT11" s="1"/>
      <c r="BU11" s="1"/>
      <c r="BV11" s="1"/>
      <c r="BW11" s="1"/>
    </row>
    <row r="12" spans="1:75" s="1601" customFormat="1" ht="105" customHeight="1" x14ac:dyDescent="0.25">
      <c r="A12" s="1460"/>
      <c r="B12" s="1461"/>
      <c r="C12" s="1461"/>
      <c r="D12" s="1594"/>
      <c r="E12" s="1595"/>
      <c r="F12" s="1567"/>
      <c r="G12" s="3636" t="s">
        <v>1398</v>
      </c>
      <c r="H12" s="3639">
        <v>12.6</v>
      </c>
      <c r="I12" s="3641" t="s">
        <v>1399</v>
      </c>
      <c r="J12" s="3641" t="s">
        <v>1400</v>
      </c>
      <c r="K12" s="3643">
        <v>12</v>
      </c>
      <c r="L12" s="3646">
        <v>0</v>
      </c>
      <c r="M12" s="3658" t="s">
        <v>1401</v>
      </c>
      <c r="N12" s="3109" t="s">
        <v>1402</v>
      </c>
      <c r="O12" s="3659" t="s">
        <v>1403</v>
      </c>
      <c r="P12" s="3233">
        <v>0.64246548147694005</v>
      </c>
      <c r="Q12" s="3660">
        <f>SUM(U12:U20)</f>
        <v>54477635</v>
      </c>
      <c r="R12" s="3661" t="s">
        <v>1404</v>
      </c>
      <c r="S12" s="3655" t="s">
        <v>1405</v>
      </c>
      <c r="T12" s="1596" t="s">
        <v>1406</v>
      </c>
      <c r="U12" s="1597">
        <v>12000000</v>
      </c>
      <c r="V12" s="1598">
        <v>8266667</v>
      </c>
      <c r="W12" s="1598">
        <v>0</v>
      </c>
      <c r="X12" s="1599">
        <v>20</v>
      </c>
      <c r="Y12" s="1600" t="s">
        <v>7</v>
      </c>
      <c r="Z12" s="3657">
        <v>4500</v>
      </c>
      <c r="AA12" s="3652"/>
      <c r="AB12" s="3652">
        <v>4500</v>
      </c>
      <c r="AC12" s="3652"/>
      <c r="AD12" s="3652">
        <v>1560</v>
      </c>
      <c r="AE12" s="3652"/>
      <c r="AF12" s="3652">
        <v>1560</v>
      </c>
      <c r="AG12" s="3652"/>
      <c r="AH12" s="3652">
        <v>1560</v>
      </c>
      <c r="AI12" s="3652"/>
      <c r="AJ12" s="3652">
        <v>2000</v>
      </c>
      <c r="AK12" s="3652"/>
      <c r="AL12" s="3652">
        <v>400</v>
      </c>
      <c r="AM12" s="3652"/>
      <c r="AN12" s="3652">
        <v>400</v>
      </c>
      <c r="AO12" s="3652"/>
      <c r="AP12" s="3652">
        <v>400</v>
      </c>
      <c r="AQ12" s="3652"/>
      <c r="AR12" s="3652">
        <v>50</v>
      </c>
      <c r="AS12" s="3652"/>
      <c r="AT12" s="3652">
        <v>50</v>
      </c>
      <c r="AU12" s="3652"/>
      <c r="AV12" s="3652">
        <v>70</v>
      </c>
      <c r="AW12" s="3652"/>
      <c r="AX12" s="3652">
        <v>50</v>
      </c>
      <c r="AY12" s="3652"/>
      <c r="AZ12" s="3652">
        <v>500</v>
      </c>
      <c r="BA12" s="3652"/>
      <c r="BB12" s="3652">
        <v>400</v>
      </c>
      <c r="BC12" s="3652"/>
      <c r="BD12" s="3652">
        <v>9000</v>
      </c>
      <c r="BE12" s="3652"/>
      <c r="BF12" s="3652">
        <v>3</v>
      </c>
      <c r="BG12" s="3662">
        <f>SUM(V12:V20)</f>
        <v>27640000</v>
      </c>
      <c r="BH12" s="3662">
        <f>SUM(W12:W20)</f>
        <v>0</v>
      </c>
      <c r="BI12" s="3688">
        <f>+BH12/BG12</f>
        <v>0</v>
      </c>
      <c r="BJ12" s="3652" t="s">
        <v>1407</v>
      </c>
      <c r="BK12" s="3691" t="s">
        <v>1408</v>
      </c>
      <c r="BL12" s="3694">
        <v>44033</v>
      </c>
      <c r="BM12" s="3694">
        <v>44077</v>
      </c>
      <c r="BN12" s="3677">
        <v>44195</v>
      </c>
      <c r="BO12" s="3677">
        <v>44186</v>
      </c>
      <c r="BP12" s="3680" t="s">
        <v>1409</v>
      </c>
      <c r="BQ12" s="1471"/>
      <c r="BR12" s="1471"/>
      <c r="BS12" s="1471"/>
      <c r="BT12" s="1471"/>
      <c r="BU12" s="1471"/>
      <c r="BV12" s="1471"/>
      <c r="BW12" s="1471"/>
    </row>
    <row r="13" spans="1:75" s="1601" customFormat="1" ht="60" customHeight="1" x14ac:dyDescent="0.25">
      <c r="A13" s="1460"/>
      <c r="B13" s="1461"/>
      <c r="C13" s="1461"/>
      <c r="D13" s="1602"/>
      <c r="E13" s="1461"/>
      <c r="F13" s="1568"/>
      <c r="G13" s="3637"/>
      <c r="H13" s="3640"/>
      <c r="I13" s="3642"/>
      <c r="J13" s="3642"/>
      <c r="K13" s="3644"/>
      <c r="L13" s="3647"/>
      <c r="M13" s="3658"/>
      <c r="N13" s="3109"/>
      <c r="O13" s="3659"/>
      <c r="P13" s="3234"/>
      <c r="Q13" s="3660"/>
      <c r="R13" s="3661"/>
      <c r="S13" s="3656"/>
      <c r="T13" s="3683" t="s">
        <v>1410</v>
      </c>
      <c r="U13" s="1603">
        <v>10000000</v>
      </c>
      <c r="V13" s="1604">
        <v>10000000</v>
      </c>
      <c r="W13" s="1605">
        <v>0</v>
      </c>
      <c r="X13" s="1606">
        <v>88</v>
      </c>
      <c r="Y13" s="1600" t="s">
        <v>7</v>
      </c>
      <c r="Z13" s="3652"/>
      <c r="AA13" s="3653"/>
      <c r="AB13" s="3652"/>
      <c r="AC13" s="3653"/>
      <c r="AD13" s="3652"/>
      <c r="AE13" s="3653"/>
      <c r="AF13" s="3652"/>
      <c r="AG13" s="3653"/>
      <c r="AH13" s="3652"/>
      <c r="AI13" s="3653"/>
      <c r="AJ13" s="3652"/>
      <c r="AK13" s="3653"/>
      <c r="AL13" s="3652"/>
      <c r="AM13" s="3653"/>
      <c r="AN13" s="3652"/>
      <c r="AO13" s="3653"/>
      <c r="AP13" s="3652"/>
      <c r="AQ13" s="3653"/>
      <c r="AR13" s="3652"/>
      <c r="AS13" s="3653"/>
      <c r="AT13" s="3652"/>
      <c r="AU13" s="3653"/>
      <c r="AV13" s="3652"/>
      <c r="AW13" s="3653"/>
      <c r="AX13" s="3652"/>
      <c r="AY13" s="3653"/>
      <c r="AZ13" s="3652"/>
      <c r="BA13" s="3653"/>
      <c r="BB13" s="3652"/>
      <c r="BC13" s="3653"/>
      <c r="BD13" s="3652"/>
      <c r="BE13" s="3653"/>
      <c r="BF13" s="3653"/>
      <c r="BG13" s="3663"/>
      <c r="BH13" s="3663"/>
      <c r="BI13" s="3689"/>
      <c r="BJ13" s="3653"/>
      <c r="BK13" s="3692"/>
      <c r="BL13" s="3695"/>
      <c r="BM13" s="3695"/>
      <c r="BN13" s="3678"/>
      <c r="BO13" s="3678"/>
      <c r="BP13" s="3681"/>
      <c r="BQ13" s="1471"/>
      <c r="BR13" s="1471"/>
      <c r="BS13" s="1471"/>
      <c r="BT13" s="1471"/>
      <c r="BU13" s="1471"/>
      <c r="BV13" s="1471"/>
      <c r="BW13" s="1471"/>
    </row>
    <row r="14" spans="1:75" s="1601" customFormat="1" ht="47.25" customHeight="1" x14ac:dyDescent="0.25">
      <c r="A14" s="1460"/>
      <c r="B14" s="1461"/>
      <c r="C14" s="1461"/>
      <c r="D14" s="1602"/>
      <c r="E14" s="1461"/>
      <c r="F14" s="1568"/>
      <c r="G14" s="3637"/>
      <c r="H14" s="3640"/>
      <c r="I14" s="3642"/>
      <c r="J14" s="3642"/>
      <c r="K14" s="3644"/>
      <c r="L14" s="3647"/>
      <c r="M14" s="3658"/>
      <c r="N14" s="3109"/>
      <c r="O14" s="3659"/>
      <c r="P14" s="3234"/>
      <c r="Q14" s="3660"/>
      <c r="R14" s="3661"/>
      <c r="S14" s="3656"/>
      <c r="T14" s="3683"/>
      <c r="U14" s="1603">
        <v>10000000</v>
      </c>
      <c r="V14" s="1604">
        <v>0</v>
      </c>
      <c r="W14" s="1605">
        <v>0</v>
      </c>
      <c r="X14" s="1606">
        <v>20</v>
      </c>
      <c r="Y14" s="1600" t="s">
        <v>7</v>
      </c>
      <c r="Z14" s="3652"/>
      <c r="AA14" s="3653"/>
      <c r="AB14" s="3652"/>
      <c r="AC14" s="3653"/>
      <c r="AD14" s="3652"/>
      <c r="AE14" s="3653"/>
      <c r="AF14" s="3652"/>
      <c r="AG14" s="3653"/>
      <c r="AH14" s="3652"/>
      <c r="AI14" s="3653"/>
      <c r="AJ14" s="3652"/>
      <c r="AK14" s="3653"/>
      <c r="AL14" s="3652"/>
      <c r="AM14" s="3653"/>
      <c r="AN14" s="3652"/>
      <c r="AO14" s="3653"/>
      <c r="AP14" s="3652"/>
      <c r="AQ14" s="3653"/>
      <c r="AR14" s="3652"/>
      <c r="AS14" s="3653"/>
      <c r="AT14" s="3652"/>
      <c r="AU14" s="3653"/>
      <c r="AV14" s="3652"/>
      <c r="AW14" s="3653"/>
      <c r="AX14" s="3652"/>
      <c r="AY14" s="3653"/>
      <c r="AZ14" s="3652"/>
      <c r="BA14" s="3653"/>
      <c r="BB14" s="3652"/>
      <c r="BC14" s="3653"/>
      <c r="BD14" s="3652"/>
      <c r="BE14" s="3653"/>
      <c r="BF14" s="3653"/>
      <c r="BG14" s="3663"/>
      <c r="BH14" s="3663"/>
      <c r="BI14" s="3689"/>
      <c r="BJ14" s="3653"/>
      <c r="BK14" s="3692"/>
      <c r="BL14" s="3695"/>
      <c r="BM14" s="3695"/>
      <c r="BN14" s="3678"/>
      <c r="BO14" s="3678"/>
      <c r="BP14" s="3681"/>
      <c r="BQ14" s="1471"/>
      <c r="BR14" s="1471"/>
      <c r="BS14" s="1471"/>
      <c r="BT14" s="1471"/>
      <c r="BU14" s="1471"/>
      <c r="BV14" s="1471"/>
      <c r="BW14" s="1471"/>
    </row>
    <row r="15" spans="1:75" s="1601" customFormat="1" ht="46.5" customHeight="1" x14ac:dyDescent="0.25">
      <c r="A15" s="1460"/>
      <c r="B15" s="1461"/>
      <c r="C15" s="1461"/>
      <c r="D15" s="1602"/>
      <c r="E15" s="1461"/>
      <c r="F15" s="1568"/>
      <c r="G15" s="3637"/>
      <c r="H15" s="3640"/>
      <c r="I15" s="3642"/>
      <c r="J15" s="3642"/>
      <c r="K15" s="3644"/>
      <c r="L15" s="3647"/>
      <c r="M15" s="3658"/>
      <c r="N15" s="3109"/>
      <c r="O15" s="3659"/>
      <c r="P15" s="3234"/>
      <c r="Q15" s="3660"/>
      <c r="R15" s="3661"/>
      <c r="S15" s="3655"/>
      <c r="T15" s="3684" t="s">
        <v>1411</v>
      </c>
      <c r="U15" s="1607">
        <v>2477635</v>
      </c>
      <c r="V15" s="1608">
        <v>2000000</v>
      </c>
      <c r="W15" s="1598">
        <v>0</v>
      </c>
      <c r="X15" s="1606">
        <v>20</v>
      </c>
      <c r="Y15" s="1600" t="s">
        <v>7</v>
      </c>
      <c r="Z15" s="3652"/>
      <c r="AA15" s="3653"/>
      <c r="AB15" s="3652"/>
      <c r="AC15" s="3653"/>
      <c r="AD15" s="3652"/>
      <c r="AE15" s="3653"/>
      <c r="AF15" s="3652"/>
      <c r="AG15" s="3653"/>
      <c r="AH15" s="3652"/>
      <c r="AI15" s="3653"/>
      <c r="AJ15" s="3652"/>
      <c r="AK15" s="3653"/>
      <c r="AL15" s="3652"/>
      <c r="AM15" s="3653"/>
      <c r="AN15" s="3652"/>
      <c r="AO15" s="3653"/>
      <c r="AP15" s="3652"/>
      <c r="AQ15" s="3653"/>
      <c r="AR15" s="3652"/>
      <c r="AS15" s="3653"/>
      <c r="AT15" s="3652"/>
      <c r="AU15" s="3653"/>
      <c r="AV15" s="3652"/>
      <c r="AW15" s="3653"/>
      <c r="AX15" s="3652"/>
      <c r="AY15" s="3653"/>
      <c r="AZ15" s="3652"/>
      <c r="BA15" s="3653"/>
      <c r="BB15" s="3652"/>
      <c r="BC15" s="3653"/>
      <c r="BD15" s="3652"/>
      <c r="BE15" s="3653"/>
      <c r="BF15" s="3653"/>
      <c r="BG15" s="3663"/>
      <c r="BH15" s="3663"/>
      <c r="BI15" s="3689"/>
      <c r="BJ15" s="3653"/>
      <c r="BK15" s="3692"/>
      <c r="BL15" s="3695"/>
      <c r="BM15" s="3695"/>
      <c r="BN15" s="3678"/>
      <c r="BO15" s="3678"/>
      <c r="BP15" s="3681"/>
      <c r="BQ15" s="1471"/>
      <c r="BR15" s="1471"/>
      <c r="BS15" s="1471"/>
      <c r="BT15" s="1471"/>
      <c r="BU15" s="1471"/>
      <c r="BV15" s="1471"/>
      <c r="BW15" s="1471"/>
    </row>
    <row r="16" spans="1:75" s="1601" customFormat="1" ht="54" customHeight="1" x14ac:dyDescent="0.25">
      <c r="A16" s="1460"/>
      <c r="B16" s="1461"/>
      <c r="C16" s="1461"/>
      <c r="D16" s="1602"/>
      <c r="E16" s="1461"/>
      <c r="F16" s="1568"/>
      <c r="G16" s="3638"/>
      <c r="H16" s="3640"/>
      <c r="I16" s="3642"/>
      <c r="J16" s="3642"/>
      <c r="K16" s="3645"/>
      <c r="L16" s="3648"/>
      <c r="M16" s="3658"/>
      <c r="N16" s="3109"/>
      <c r="O16" s="3659"/>
      <c r="P16" s="3235"/>
      <c r="Q16" s="3660"/>
      <c r="R16" s="3661"/>
      <c r="S16" s="3655"/>
      <c r="T16" s="3685"/>
      <c r="U16" s="1603">
        <v>522365</v>
      </c>
      <c r="V16" s="1605">
        <v>0</v>
      </c>
      <c r="W16" s="1598">
        <v>0</v>
      </c>
      <c r="X16" s="1606">
        <v>88</v>
      </c>
      <c r="Y16" s="1600" t="s">
        <v>620</v>
      </c>
      <c r="Z16" s="3652"/>
      <c r="AA16" s="3653"/>
      <c r="AB16" s="3652"/>
      <c r="AC16" s="3653"/>
      <c r="AD16" s="3652"/>
      <c r="AE16" s="3653"/>
      <c r="AF16" s="3652"/>
      <c r="AG16" s="3653"/>
      <c r="AH16" s="3652"/>
      <c r="AI16" s="3653"/>
      <c r="AJ16" s="3652"/>
      <c r="AK16" s="3653"/>
      <c r="AL16" s="3652"/>
      <c r="AM16" s="3653"/>
      <c r="AN16" s="3652"/>
      <c r="AO16" s="3653"/>
      <c r="AP16" s="3652"/>
      <c r="AQ16" s="3653"/>
      <c r="AR16" s="3652"/>
      <c r="AS16" s="3653"/>
      <c r="AT16" s="3652"/>
      <c r="AU16" s="3653"/>
      <c r="AV16" s="3652"/>
      <c r="AW16" s="3653"/>
      <c r="AX16" s="3652"/>
      <c r="AY16" s="3653"/>
      <c r="AZ16" s="3652"/>
      <c r="BA16" s="3653"/>
      <c r="BB16" s="3652"/>
      <c r="BC16" s="3653"/>
      <c r="BD16" s="3652"/>
      <c r="BE16" s="3653"/>
      <c r="BF16" s="3653"/>
      <c r="BG16" s="3663"/>
      <c r="BH16" s="3663"/>
      <c r="BI16" s="3689"/>
      <c r="BJ16" s="3653"/>
      <c r="BK16" s="3692"/>
      <c r="BL16" s="3695"/>
      <c r="BM16" s="3695"/>
      <c r="BN16" s="3678"/>
      <c r="BO16" s="3678"/>
      <c r="BP16" s="3681"/>
      <c r="BQ16" s="1471"/>
      <c r="BR16" s="1471"/>
      <c r="BS16" s="1471"/>
      <c r="BT16" s="1471"/>
      <c r="BU16" s="1471"/>
      <c r="BV16" s="1471"/>
      <c r="BW16" s="1471"/>
    </row>
    <row r="17" spans="1:75" s="1601" customFormat="1" ht="77.25" customHeight="1" x14ac:dyDescent="0.25">
      <c r="A17" s="1460"/>
      <c r="B17" s="1461"/>
      <c r="C17" s="1461"/>
      <c r="D17" s="1602"/>
      <c r="E17" s="1461"/>
      <c r="F17" s="1568"/>
      <c r="G17" s="3636">
        <v>1905022</v>
      </c>
      <c r="H17" s="3670">
        <v>12.7</v>
      </c>
      <c r="I17" s="3686" t="s">
        <v>1412</v>
      </c>
      <c r="J17" s="3144" t="s">
        <v>1413</v>
      </c>
      <c r="K17" s="3687">
        <v>12</v>
      </c>
      <c r="L17" s="3646">
        <v>0</v>
      </c>
      <c r="M17" s="3658"/>
      <c r="N17" s="3109"/>
      <c r="O17" s="3659"/>
      <c r="P17" s="3233">
        <v>0.35753451852305995</v>
      </c>
      <c r="Q17" s="3660"/>
      <c r="R17" s="3661"/>
      <c r="S17" s="3656"/>
      <c r="T17" s="1609" t="s">
        <v>1414</v>
      </c>
      <c r="U17" s="1610">
        <v>4000000</v>
      </c>
      <c r="V17" s="1604">
        <v>2000000</v>
      </c>
      <c r="W17" s="1598">
        <v>0</v>
      </c>
      <c r="X17" s="1611">
        <v>88</v>
      </c>
      <c r="Y17" s="1600" t="s">
        <v>620</v>
      </c>
      <c r="Z17" s="3652"/>
      <c r="AA17" s="3653"/>
      <c r="AB17" s="3652"/>
      <c r="AC17" s="3653"/>
      <c r="AD17" s="3652"/>
      <c r="AE17" s="3653"/>
      <c r="AF17" s="3652"/>
      <c r="AG17" s="3653"/>
      <c r="AH17" s="3652"/>
      <c r="AI17" s="3653"/>
      <c r="AJ17" s="3652"/>
      <c r="AK17" s="3653"/>
      <c r="AL17" s="3652"/>
      <c r="AM17" s="3653"/>
      <c r="AN17" s="3652"/>
      <c r="AO17" s="3653"/>
      <c r="AP17" s="3652"/>
      <c r="AQ17" s="3653"/>
      <c r="AR17" s="3652"/>
      <c r="AS17" s="3653"/>
      <c r="AT17" s="3652"/>
      <c r="AU17" s="3653"/>
      <c r="AV17" s="3652"/>
      <c r="AW17" s="3653"/>
      <c r="AX17" s="3652"/>
      <c r="AY17" s="3653"/>
      <c r="AZ17" s="3652"/>
      <c r="BA17" s="3653"/>
      <c r="BB17" s="3652"/>
      <c r="BC17" s="3653"/>
      <c r="BD17" s="3652"/>
      <c r="BE17" s="3653"/>
      <c r="BF17" s="3653"/>
      <c r="BG17" s="3663"/>
      <c r="BH17" s="3663"/>
      <c r="BI17" s="3689"/>
      <c r="BJ17" s="3653"/>
      <c r="BK17" s="3692"/>
      <c r="BL17" s="3695"/>
      <c r="BM17" s="3695"/>
      <c r="BN17" s="3678"/>
      <c r="BO17" s="3678"/>
      <c r="BP17" s="3681"/>
      <c r="BQ17" s="1471"/>
      <c r="BR17" s="1471"/>
      <c r="BS17" s="1471"/>
      <c r="BT17" s="1471"/>
      <c r="BU17" s="1471"/>
      <c r="BV17" s="1471"/>
      <c r="BW17" s="1471"/>
    </row>
    <row r="18" spans="1:75" s="1601" customFormat="1" ht="62.25" customHeight="1" x14ac:dyDescent="0.25">
      <c r="A18" s="1460"/>
      <c r="B18" s="1461"/>
      <c r="C18" s="1461"/>
      <c r="D18" s="1602"/>
      <c r="E18" s="1461"/>
      <c r="F18" s="1568"/>
      <c r="G18" s="3637"/>
      <c r="H18" s="3670"/>
      <c r="I18" s="3686"/>
      <c r="J18" s="3144"/>
      <c r="K18" s="3644"/>
      <c r="L18" s="3647"/>
      <c r="M18" s="3658"/>
      <c r="N18" s="3109"/>
      <c r="O18" s="3659"/>
      <c r="P18" s="3234"/>
      <c r="Q18" s="3660"/>
      <c r="R18" s="3661"/>
      <c r="S18" s="3656"/>
      <c r="T18" s="1612" t="s">
        <v>1415</v>
      </c>
      <c r="U18" s="1610">
        <v>11000000</v>
      </c>
      <c r="V18" s="1604">
        <v>5373333</v>
      </c>
      <c r="W18" s="1598">
        <v>0</v>
      </c>
      <c r="X18" s="1611">
        <v>88</v>
      </c>
      <c r="Y18" s="1600" t="s">
        <v>620</v>
      </c>
      <c r="Z18" s="3652"/>
      <c r="AA18" s="3653"/>
      <c r="AB18" s="3652"/>
      <c r="AC18" s="3653"/>
      <c r="AD18" s="3652"/>
      <c r="AE18" s="3653"/>
      <c r="AF18" s="3652"/>
      <c r="AG18" s="3653"/>
      <c r="AH18" s="3652"/>
      <c r="AI18" s="3653"/>
      <c r="AJ18" s="3652"/>
      <c r="AK18" s="3653"/>
      <c r="AL18" s="3652"/>
      <c r="AM18" s="3653"/>
      <c r="AN18" s="3652"/>
      <c r="AO18" s="3653"/>
      <c r="AP18" s="3652"/>
      <c r="AQ18" s="3653"/>
      <c r="AR18" s="3652"/>
      <c r="AS18" s="3653"/>
      <c r="AT18" s="3652"/>
      <c r="AU18" s="3653"/>
      <c r="AV18" s="3652"/>
      <c r="AW18" s="3653"/>
      <c r="AX18" s="3652"/>
      <c r="AY18" s="3653"/>
      <c r="AZ18" s="3652"/>
      <c r="BA18" s="3653"/>
      <c r="BB18" s="3652"/>
      <c r="BC18" s="3653"/>
      <c r="BD18" s="3652"/>
      <c r="BE18" s="3653"/>
      <c r="BF18" s="3653"/>
      <c r="BG18" s="3663"/>
      <c r="BH18" s="3663"/>
      <c r="BI18" s="3689"/>
      <c r="BJ18" s="3653"/>
      <c r="BK18" s="3692"/>
      <c r="BL18" s="3695"/>
      <c r="BM18" s="3695"/>
      <c r="BN18" s="3678"/>
      <c r="BO18" s="3678"/>
      <c r="BP18" s="3681"/>
    </row>
    <row r="19" spans="1:75" s="1601" customFormat="1" ht="57.75" customHeight="1" x14ac:dyDescent="0.25">
      <c r="A19" s="1460"/>
      <c r="B19" s="1461"/>
      <c r="C19" s="1461"/>
      <c r="D19" s="1602"/>
      <c r="E19" s="1461"/>
      <c r="F19" s="1568"/>
      <c r="G19" s="3637"/>
      <c r="H19" s="3670"/>
      <c r="I19" s="3686"/>
      <c r="J19" s="3144"/>
      <c r="K19" s="3644"/>
      <c r="L19" s="3647"/>
      <c r="M19" s="3658"/>
      <c r="N19" s="3109"/>
      <c r="O19" s="3659"/>
      <c r="P19" s="3234"/>
      <c r="Q19" s="3660"/>
      <c r="R19" s="3661"/>
      <c r="S19" s="3655"/>
      <c r="T19" s="1609" t="s">
        <v>1416</v>
      </c>
      <c r="U19" s="1613">
        <v>4477635</v>
      </c>
      <c r="V19" s="1614">
        <v>0</v>
      </c>
      <c r="W19" s="1598">
        <v>0</v>
      </c>
      <c r="X19" s="1606">
        <v>88</v>
      </c>
      <c r="Y19" s="1600" t="s">
        <v>620</v>
      </c>
      <c r="Z19" s="3652"/>
      <c r="AA19" s="3653"/>
      <c r="AB19" s="3652"/>
      <c r="AC19" s="3653"/>
      <c r="AD19" s="3652"/>
      <c r="AE19" s="3653"/>
      <c r="AF19" s="3652"/>
      <c r="AG19" s="3653"/>
      <c r="AH19" s="3652"/>
      <c r="AI19" s="3653"/>
      <c r="AJ19" s="3652"/>
      <c r="AK19" s="3653"/>
      <c r="AL19" s="3652"/>
      <c r="AM19" s="3653"/>
      <c r="AN19" s="3652"/>
      <c r="AO19" s="3653"/>
      <c r="AP19" s="3652"/>
      <c r="AQ19" s="3653"/>
      <c r="AR19" s="3652"/>
      <c r="AS19" s="3653"/>
      <c r="AT19" s="3652"/>
      <c r="AU19" s="3653"/>
      <c r="AV19" s="3652"/>
      <c r="AW19" s="3653"/>
      <c r="AX19" s="3652"/>
      <c r="AY19" s="3653"/>
      <c r="AZ19" s="3652"/>
      <c r="BA19" s="3653"/>
      <c r="BB19" s="3652"/>
      <c r="BC19" s="3653"/>
      <c r="BD19" s="3652"/>
      <c r="BE19" s="3653"/>
      <c r="BF19" s="3653"/>
      <c r="BG19" s="3663"/>
      <c r="BH19" s="3663"/>
      <c r="BI19" s="3689"/>
      <c r="BJ19" s="3653"/>
      <c r="BK19" s="3692"/>
      <c r="BL19" s="3695"/>
      <c r="BM19" s="3695"/>
      <c r="BN19" s="3678"/>
      <c r="BO19" s="3678"/>
      <c r="BP19" s="3681"/>
    </row>
    <row r="20" spans="1:75" s="1601" customFormat="1" ht="51.75" customHeight="1" x14ac:dyDescent="0.25">
      <c r="A20" s="1460"/>
      <c r="B20" s="3671"/>
      <c r="C20" s="3671"/>
      <c r="D20" s="1615"/>
      <c r="E20" s="3672"/>
      <c r="F20" s="3673"/>
      <c r="G20" s="3638"/>
      <c r="H20" s="3670"/>
      <c r="I20" s="3686"/>
      <c r="J20" s="3144"/>
      <c r="K20" s="3645"/>
      <c r="L20" s="3648"/>
      <c r="M20" s="3658"/>
      <c r="N20" s="3109"/>
      <c r="O20" s="3659"/>
      <c r="P20" s="3235"/>
      <c r="Q20" s="3660"/>
      <c r="R20" s="3661"/>
      <c r="S20" s="3655"/>
      <c r="T20" s="1612" t="s">
        <v>1417</v>
      </c>
      <c r="U20" s="1616">
        <v>0</v>
      </c>
      <c r="V20" s="1598">
        <v>0</v>
      </c>
      <c r="W20" s="1598">
        <v>0</v>
      </c>
      <c r="X20" s="1606"/>
      <c r="Y20" s="1617"/>
      <c r="Z20" s="3652"/>
      <c r="AA20" s="3654"/>
      <c r="AB20" s="3652"/>
      <c r="AC20" s="3654"/>
      <c r="AD20" s="3652"/>
      <c r="AE20" s="3654"/>
      <c r="AF20" s="3652"/>
      <c r="AG20" s="3654"/>
      <c r="AH20" s="3652"/>
      <c r="AI20" s="3654"/>
      <c r="AJ20" s="3652"/>
      <c r="AK20" s="3654"/>
      <c r="AL20" s="3652"/>
      <c r="AM20" s="3654"/>
      <c r="AN20" s="3652"/>
      <c r="AO20" s="3654"/>
      <c r="AP20" s="3652"/>
      <c r="AQ20" s="3654"/>
      <c r="AR20" s="3652"/>
      <c r="AS20" s="3654"/>
      <c r="AT20" s="3652"/>
      <c r="AU20" s="3654"/>
      <c r="AV20" s="3652"/>
      <c r="AW20" s="3654"/>
      <c r="AX20" s="3652"/>
      <c r="AY20" s="3654"/>
      <c r="AZ20" s="3652"/>
      <c r="BA20" s="3654"/>
      <c r="BB20" s="3652"/>
      <c r="BC20" s="3654"/>
      <c r="BD20" s="3652"/>
      <c r="BE20" s="3654"/>
      <c r="BF20" s="3654"/>
      <c r="BG20" s="3664"/>
      <c r="BH20" s="3664"/>
      <c r="BI20" s="3690"/>
      <c r="BJ20" s="3654"/>
      <c r="BK20" s="3693"/>
      <c r="BL20" s="3696"/>
      <c r="BM20" s="3696"/>
      <c r="BN20" s="3679"/>
      <c r="BO20" s="3679"/>
      <c r="BP20" s="3682"/>
    </row>
    <row r="21" spans="1:75" ht="15.75" x14ac:dyDescent="0.25">
      <c r="A21" s="1539"/>
      <c r="B21" s="1551"/>
      <c r="C21" s="1551"/>
      <c r="D21" s="1618">
        <v>25</v>
      </c>
      <c r="E21" s="1196" t="s">
        <v>618</v>
      </c>
      <c r="F21" s="1619"/>
      <c r="G21" s="1620"/>
      <c r="H21" s="1621"/>
      <c r="I21" s="422"/>
      <c r="J21" s="422"/>
      <c r="K21" s="406"/>
      <c r="L21" s="1622"/>
      <c r="M21" s="406"/>
      <c r="N21" s="1623"/>
      <c r="O21" s="1624"/>
      <c r="P21" s="1625"/>
      <c r="Q21" s="1626"/>
      <c r="R21" s="1627"/>
      <c r="S21" s="1627"/>
      <c r="T21" s="1627"/>
      <c r="U21" s="1628"/>
      <c r="V21" s="1628"/>
      <c r="W21" s="1628"/>
      <c r="X21" s="1623"/>
      <c r="Y21" s="1623"/>
      <c r="Z21" s="1623"/>
      <c r="AA21" s="1623"/>
      <c r="AB21" s="1623"/>
      <c r="AC21" s="1623"/>
      <c r="AD21" s="1623"/>
      <c r="AE21" s="1623"/>
      <c r="AF21" s="1623"/>
      <c r="AG21" s="1623"/>
      <c r="AH21" s="1623"/>
      <c r="AI21" s="1623"/>
      <c r="AJ21" s="1623"/>
      <c r="AK21" s="1623"/>
      <c r="AL21" s="1623"/>
      <c r="AM21" s="1623"/>
      <c r="AN21" s="1623"/>
      <c r="AO21" s="1623"/>
      <c r="AP21" s="1623"/>
      <c r="AQ21" s="1623"/>
      <c r="AR21" s="1623"/>
      <c r="AS21" s="1623"/>
      <c r="AT21" s="1623"/>
      <c r="AU21" s="1623"/>
      <c r="AV21" s="1623"/>
      <c r="AW21" s="1623"/>
      <c r="AX21" s="1623"/>
      <c r="AY21" s="1623"/>
      <c r="AZ21" s="1623"/>
      <c r="BA21" s="1623"/>
      <c r="BB21" s="1623"/>
      <c r="BC21" s="1623"/>
      <c r="BD21" s="1623"/>
      <c r="BE21" s="1623"/>
      <c r="BF21" s="1623"/>
      <c r="BG21" s="1629"/>
      <c r="BH21" s="1629"/>
      <c r="BI21" s="1623"/>
      <c r="BJ21" s="1623"/>
      <c r="BK21" s="1623"/>
      <c r="BL21" s="1623"/>
      <c r="BM21" s="1623"/>
      <c r="BN21" s="1623"/>
      <c r="BO21" s="1623"/>
      <c r="BP21" s="1623"/>
    </row>
    <row r="22" spans="1:75" s="1601" customFormat="1" ht="71.25" customHeight="1" x14ac:dyDescent="0.25">
      <c r="A22" s="1460"/>
      <c r="B22" s="1461"/>
      <c r="C22" s="1461"/>
      <c r="D22" s="1594"/>
      <c r="E22" s="3674"/>
      <c r="F22" s="3675"/>
      <c r="G22" s="2770">
        <v>3301051</v>
      </c>
      <c r="H22" s="2786">
        <v>25.1</v>
      </c>
      <c r="I22" s="3091" t="s">
        <v>1418</v>
      </c>
      <c r="J22" s="3144" t="s">
        <v>1419</v>
      </c>
      <c r="K22" s="3665">
        <v>50</v>
      </c>
      <c r="L22" s="3666">
        <v>0</v>
      </c>
      <c r="M22" s="3669" t="s">
        <v>1420</v>
      </c>
      <c r="N22" s="3670" t="s">
        <v>1421</v>
      </c>
      <c r="O22" s="3698" t="s">
        <v>1422</v>
      </c>
      <c r="P22" s="3197">
        <f>SUM(U22:U27)/(Q22+Q62+Q87)</f>
        <v>0.41083317790144769</v>
      </c>
      <c r="Q22" s="3699">
        <f>SUM(U22:U27)</f>
        <v>47000000</v>
      </c>
      <c r="R22" s="3700" t="s">
        <v>1423</v>
      </c>
      <c r="S22" s="3701" t="s">
        <v>1424</v>
      </c>
      <c r="T22" s="1630" t="s">
        <v>1425</v>
      </c>
      <c r="U22" s="1631">
        <v>16000000</v>
      </c>
      <c r="V22" s="1631">
        <v>15866666</v>
      </c>
      <c r="W22" s="1631">
        <v>0</v>
      </c>
      <c r="X22" s="1632">
        <v>20</v>
      </c>
      <c r="Y22" s="1633" t="s">
        <v>7</v>
      </c>
      <c r="Z22" s="3670">
        <v>4600</v>
      </c>
      <c r="AA22" s="3639">
        <v>25</v>
      </c>
      <c r="AB22" s="3670">
        <v>3810</v>
      </c>
      <c r="AC22" s="3639">
        <v>25</v>
      </c>
      <c r="AD22" s="3670">
        <v>0</v>
      </c>
      <c r="AE22" s="3639"/>
      <c r="AF22" s="3670">
        <v>5300</v>
      </c>
      <c r="AG22" s="3639"/>
      <c r="AH22" s="3670">
        <v>2900</v>
      </c>
      <c r="AI22" s="3639"/>
      <c r="AJ22" s="3670">
        <v>0</v>
      </c>
      <c r="AK22" s="3639"/>
      <c r="AL22" s="3670" t="s">
        <v>1426</v>
      </c>
      <c r="AM22" s="3639"/>
      <c r="AN22" s="3670">
        <v>110</v>
      </c>
      <c r="AO22" s="3639"/>
      <c r="AP22" s="3670">
        <v>0</v>
      </c>
      <c r="AQ22" s="3639"/>
      <c r="AR22" s="3670">
        <v>0</v>
      </c>
      <c r="AS22" s="3639"/>
      <c r="AT22" s="3670">
        <v>0</v>
      </c>
      <c r="AU22" s="3639"/>
      <c r="AV22" s="3670">
        <v>0</v>
      </c>
      <c r="AW22" s="3639"/>
      <c r="AX22" s="3670">
        <v>0</v>
      </c>
      <c r="AY22" s="3639"/>
      <c r="AZ22" s="3670">
        <v>100</v>
      </c>
      <c r="BA22" s="3639"/>
      <c r="BB22" s="3670">
        <v>0</v>
      </c>
      <c r="BC22" s="3639"/>
      <c r="BD22" s="3670">
        <v>8410</v>
      </c>
      <c r="BE22" s="3639">
        <f>AA22+AC22+AE22+AG22+AI22+AK22+AM22+AO22+AQ22+AS22+AU22+AW22+AY22+BA22+BC22</f>
        <v>50</v>
      </c>
      <c r="BF22" s="3639">
        <v>2</v>
      </c>
      <c r="BG22" s="3706">
        <f>SUM(V22:V27)</f>
        <v>32133333</v>
      </c>
      <c r="BH22" s="3706">
        <f>SUM(W22:W27)</f>
        <v>0</v>
      </c>
      <c r="BI22" s="2924">
        <f>BG22/Q22</f>
        <v>0.68368793617021273</v>
      </c>
      <c r="BJ22" s="3639">
        <v>20</v>
      </c>
      <c r="BK22" s="3639" t="s">
        <v>1427</v>
      </c>
      <c r="BL22" s="3702">
        <v>43832</v>
      </c>
      <c r="BM22" s="3703"/>
      <c r="BN22" s="3702">
        <v>44195</v>
      </c>
      <c r="BO22" s="3703"/>
      <c r="BP22" s="3670" t="s">
        <v>1409</v>
      </c>
    </row>
    <row r="23" spans="1:75" s="1601" customFormat="1" ht="72" customHeight="1" x14ac:dyDescent="0.25">
      <c r="A23" s="1460"/>
      <c r="B23" s="1461"/>
      <c r="C23" s="1461"/>
      <c r="D23" s="1602"/>
      <c r="E23" s="3671"/>
      <c r="F23" s="3676"/>
      <c r="G23" s="2770"/>
      <c r="H23" s="2786"/>
      <c r="I23" s="3091"/>
      <c r="J23" s="3144"/>
      <c r="K23" s="3665"/>
      <c r="L23" s="3667"/>
      <c r="M23" s="3669"/>
      <c r="N23" s="3670"/>
      <c r="O23" s="3698"/>
      <c r="P23" s="3197"/>
      <c r="Q23" s="3699"/>
      <c r="R23" s="3700"/>
      <c r="S23" s="3701"/>
      <c r="T23" s="1630" t="s">
        <v>1428</v>
      </c>
      <c r="U23" s="1631">
        <v>7000000</v>
      </c>
      <c r="V23" s="1631">
        <v>6066667</v>
      </c>
      <c r="W23" s="1631">
        <v>0</v>
      </c>
      <c r="X23" s="1632">
        <v>20</v>
      </c>
      <c r="Y23" s="1633" t="s">
        <v>7</v>
      </c>
      <c r="Z23" s="3670"/>
      <c r="AA23" s="3640"/>
      <c r="AB23" s="3670"/>
      <c r="AC23" s="3640"/>
      <c r="AD23" s="3670"/>
      <c r="AE23" s="3640"/>
      <c r="AF23" s="3670"/>
      <c r="AG23" s="3640"/>
      <c r="AH23" s="3670"/>
      <c r="AI23" s="3640"/>
      <c r="AJ23" s="3670"/>
      <c r="AK23" s="3640"/>
      <c r="AL23" s="3670"/>
      <c r="AM23" s="3640"/>
      <c r="AN23" s="3670"/>
      <c r="AO23" s="3640"/>
      <c r="AP23" s="3670"/>
      <c r="AQ23" s="3640"/>
      <c r="AR23" s="3670"/>
      <c r="AS23" s="3640"/>
      <c r="AT23" s="3670"/>
      <c r="AU23" s="3640"/>
      <c r="AV23" s="3670"/>
      <c r="AW23" s="3640"/>
      <c r="AX23" s="3670"/>
      <c r="AY23" s="3640"/>
      <c r="AZ23" s="3670"/>
      <c r="BA23" s="3640"/>
      <c r="BB23" s="3670"/>
      <c r="BC23" s="3640"/>
      <c r="BD23" s="3670"/>
      <c r="BE23" s="3640"/>
      <c r="BF23" s="3640"/>
      <c r="BG23" s="3707"/>
      <c r="BH23" s="3707"/>
      <c r="BI23" s="2994"/>
      <c r="BJ23" s="3640"/>
      <c r="BK23" s="3640"/>
      <c r="BL23" s="3702"/>
      <c r="BM23" s="3704"/>
      <c r="BN23" s="3702"/>
      <c r="BO23" s="3704"/>
      <c r="BP23" s="3670"/>
    </row>
    <row r="24" spans="1:75" s="1601" customFormat="1" ht="96" customHeight="1" x14ac:dyDescent="0.25">
      <c r="A24" s="1460"/>
      <c r="B24" s="1461"/>
      <c r="C24" s="1461"/>
      <c r="D24" s="1602"/>
      <c r="E24" s="3671"/>
      <c r="F24" s="3676"/>
      <c r="G24" s="2770"/>
      <c r="H24" s="2786"/>
      <c r="I24" s="3091"/>
      <c r="J24" s="3144"/>
      <c r="K24" s="3665"/>
      <c r="L24" s="3667"/>
      <c r="M24" s="3669"/>
      <c r="N24" s="3670"/>
      <c r="O24" s="3698"/>
      <c r="P24" s="3197"/>
      <c r="Q24" s="3699"/>
      <c r="R24" s="3700"/>
      <c r="S24" s="3701"/>
      <c r="T24" s="1630" t="s">
        <v>1429</v>
      </c>
      <c r="U24" s="1631">
        <v>8000000</v>
      </c>
      <c r="V24" s="1631"/>
      <c r="W24" s="1631"/>
      <c r="X24" s="1632">
        <v>20</v>
      </c>
      <c r="Y24" s="1633" t="s">
        <v>7</v>
      </c>
      <c r="Z24" s="3670"/>
      <c r="AA24" s="3640"/>
      <c r="AB24" s="3670"/>
      <c r="AC24" s="3640"/>
      <c r="AD24" s="3670"/>
      <c r="AE24" s="3640"/>
      <c r="AF24" s="3670"/>
      <c r="AG24" s="3640"/>
      <c r="AH24" s="3670"/>
      <c r="AI24" s="3640"/>
      <c r="AJ24" s="3670"/>
      <c r="AK24" s="3640"/>
      <c r="AL24" s="3670"/>
      <c r="AM24" s="3640"/>
      <c r="AN24" s="3670"/>
      <c r="AO24" s="3640"/>
      <c r="AP24" s="3670"/>
      <c r="AQ24" s="3640"/>
      <c r="AR24" s="3670"/>
      <c r="AS24" s="3640"/>
      <c r="AT24" s="3670"/>
      <c r="AU24" s="3640"/>
      <c r="AV24" s="3670"/>
      <c r="AW24" s="3640"/>
      <c r="AX24" s="3670"/>
      <c r="AY24" s="3640"/>
      <c r="AZ24" s="3670"/>
      <c r="BA24" s="3640"/>
      <c r="BB24" s="3670"/>
      <c r="BC24" s="3640"/>
      <c r="BD24" s="3670"/>
      <c r="BE24" s="3640"/>
      <c r="BF24" s="3640"/>
      <c r="BG24" s="3707"/>
      <c r="BH24" s="3707"/>
      <c r="BI24" s="2994"/>
      <c r="BJ24" s="3640"/>
      <c r="BK24" s="3640"/>
      <c r="BL24" s="3702"/>
      <c r="BM24" s="3704"/>
      <c r="BN24" s="3702"/>
      <c r="BO24" s="3704"/>
      <c r="BP24" s="3670"/>
    </row>
    <row r="25" spans="1:75" s="1601" customFormat="1" ht="60" x14ac:dyDescent="0.25">
      <c r="A25" s="1460"/>
      <c r="B25" s="1461"/>
      <c r="C25" s="1461"/>
      <c r="D25" s="1602"/>
      <c r="E25" s="3671"/>
      <c r="F25" s="3676"/>
      <c r="G25" s="2770"/>
      <c r="H25" s="2786"/>
      <c r="I25" s="3091"/>
      <c r="J25" s="3144"/>
      <c r="K25" s="3665"/>
      <c r="L25" s="3667"/>
      <c r="M25" s="3669"/>
      <c r="N25" s="3670"/>
      <c r="O25" s="3698"/>
      <c r="P25" s="3197"/>
      <c r="Q25" s="3699"/>
      <c r="R25" s="3700"/>
      <c r="S25" s="3701"/>
      <c r="T25" s="1630" t="s">
        <v>1430</v>
      </c>
      <c r="U25" s="1631">
        <v>7000000</v>
      </c>
      <c r="V25" s="1631">
        <v>4200000</v>
      </c>
      <c r="W25" s="1631"/>
      <c r="X25" s="1632">
        <v>20</v>
      </c>
      <c r="Y25" s="1633" t="s">
        <v>7</v>
      </c>
      <c r="Z25" s="3670"/>
      <c r="AA25" s="3640"/>
      <c r="AB25" s="3670"/>
      <c r="AC25" s="3640"/>
      <c r="AD25" s="3670"/>
      <c r="AE25" s="3640"/>
      <c r="AF25" s="3670"/>
      <c r="AG25" s="3640"/>
      <c r="AH25" s="3670"/>
      <c r="AI25" s="3640"/>
      <c r="AJ25" s="3670"/>
      <c r="AK25" s="3640"/>
      <c r="AL25" s="3670"/>
      <c r="AM25" s="3640"/>
      <c r="AN25" s="3670"/>
      <c r="AO25" s="3640"/>
      <c r="AP25" s="3670"/>
      <c r="AQ25" s="3640"/>
      <c r="AR25" s="3670"/>
      <c r="AS25" s="3640"/>
      <c r="AT25" s="3670"/>
      <c r="AU25" s="3640"/>
      <c r="AV25" s="3670"/>
      <c r="AW25" s="3640"/>
      <c r="AX25" s="3670"/>
      <c r="AY25" s="3640"/>
      <c r="AZ25" s="3670"/>
      <c r="BA25" s="3640"/>
      <c r="BB25" s="3670"/>
      <c r="BC25" s="3640"/>
      <c r="BD25" s="3670"/>
      <c r="BE25" s="3640"/>
      <c r="BF25" s="3640"/>
      <c r="BG25" s="3707"/>
      <c r="BH25" s="3707"/>
      <c r="BI25" s="2994"/>
      <c r="BJ25" s="3640"/>
      <c r="BK25" s="3640"/>
      <c r="BL25" s="3702"/>
      <c r="BM25" s="3704"/>
      <c r="BN25" s="3702"/>
      <c r="BO25" s="3704"/>
      <c r="BP25" s="3670"/>
    </row>
    <row r="26" spans="1:75" s="1601" customFormat="1" ht="81" customHeight="1" x14ac:dyDescent="0.25">
      <c r="A26" s="1460"/>
      <c r="B26" s="1461"/>
      <c r="C26" s="1461"/>
      <c r="D26" s="1602"/>
      <c r="E26" s="3671"/>
      <c r="F26" s="3676"/>
      <c r="G26" s="2770"/>
      <c r="H26" s="2786"/>
      <c r="I26" s="3091"/>
      <c r="J26" s="3144"/>
      <c r="K26" s="3665"/>
      <c r="L26" s="3667"/>
      <c r="M26" s="3669"/>
      <c r="N26" s="3670"/>
      <c r="O26" s="3698"/>
      <c r="P26" s="3197"/>
      <c r="Q26" s="3699"/>
      <c r="R26" s="3700"/>
      <c r="S26" s="3701"/>
      <c r="T26" s="1630" t="s">
        <v>1431</v>
      </c>
      <c r="U26" s="1631">
        <v>9000000</v>
      </c>
      <c r="V26" s="1631">
        <v>6000000</v>
      </c>
      <c r="W26" s="1631">
        <v>0</v>
      </c>
      <c r="X26" s="1632">
        <v>20</v>
      </c>
      <c r="Y26" s="1633" t="s">
        <v>7</v>
      </c>
      <c r="Z26" s="3670"/>
      <c r="AA26" s="3640"/>
      <c r="AB26" s="3670"/>
      <c r="AC26" s="3640"/>
      <c r="AD26" s="3670"/>
      <c r="AE26" s="3640"/>
      <c r="AF26" s="3670"/>
      <c r="AG26" s="3640"/>
      <c r="AH26" s="3670"/>
      <c r="AI26" s="3640"/>
      <c r="AJ26" s="3670"/>
      <c r="AK26" s="3640"/>
      <c r="AL26" s="3670"/>
      <c r="AM26" s="3640"/>
      <c r="AN26" s="3670"/>
      <c r="AO26" s="3640"/>
      <c r="AP26" s="3670"/>
      <c r="AQ26" s="3640"/>
      <c r="AR26" s="3670"/>
      <c r="AS26" s="3640"/>
      <c r="AT26" s="3670"/>
      <c r="AU26" s="3640"/>
      <c r="AV26" s="3670"/>
      <c r="AW26" s="3640"/>
      <c r="AX26" s="3670"/>
      <c r="AY26" s="3640"/>
      <c r="AZ26" s="3670"/>
      <c r="BA26" s="3640"/>
      <c r="BB26" s="3670"/>
      <c r="BC26" s="3640"/>
      <c r="BD26" s="3670"/>
      <c r="BE26" s="3640"/>
      <c r="BF26" s="3640"/>
      <c r="BG26" s="3707"/>
      <c r="BH26" s="3707"/>
      <c r="BI26" s="2994"/>
      <c r="BJ26" s="3640"/>
      <c r="BK26" s="3640"/>
      <c r="BL26" s="3702"/>
      <c r="BM26" s="3704"/>
      <c r="BN26" s="3702"/>
      <c r="BO26" s="3704"/>
      <c r="BP26" s="3670"/>
    </row>
    <row r="27" spans="1:75" s="1601" customFormat="1" ht="60" customHeight="1" x14ac:dyDescent="0.25">
      <c r="A27" s="1460"/>
      <c r="B27" s="1461"/>
      <c r="C27" s="1461"/>
      <c r="D27" s="1615"/>
      <c r="E27" s="3672"/>
      <c r="F27" s="3673"/>
      <c r="G27" s="2770"/>
      <c r="H27" s="2786"/>
      <c r="I27" s="3091"/>
      <c r="J27" s="3144"/>
      <c r="K27" s="3665"/>
      <c r="L27" s="3668"/>
      <c r="M27" s="3669"/>
      <c r="N27" s="3670"/>
      <c r="O27" s="3698"/>
      <c r="P27" s="3197"/>
      <c r="Q27" s="3699"/>
      <c r="R27" s="3700"/>
      <c r="S27" s="3701"/>
      <c r="T27" s="1634" t="s">
        <v>1432</v>
      </c>
      <c r="U27" s="1635">
        <v>0</v>
      </c>
      <c r="V27" s="1635"/>
      <c r="W27" s="1631"/>
      <c r="X27" s="1636"/>
      <c r="Y27" s="1633"/>
      <c r="Z27" s="3670"/>
      <c r="AA27" s="3697"/>
      <c r="AB27" s="3670"/>
      <c r="AC27" s="3697"/>
      <c r="AD27" s="3670"/>
      <c r="AE27" s="3697"/>
      <c r="AF27" s="3670"/>
      <c r="AG27" s="3697"/>
      <c r="AH27" s="3670"/>
      <c r="AI27" s="3697"/>
      <c r="AJ27" s="3670"/>
      <c r="AK27" s="3697"/>
      <c r="AL27" s="3670"/>
      <c r="AM27" s="3697"/>
      <c r="AN27" s="3670"/>
      <c r="AO27" s="3697"/>
      <c r="AP27" s="3670"/>
      <c r="AQ27" s="3697"/>
      <c r="AR27" s="3670"/>
      <c r="AS27" s="3697"/>
      <c r="AT27" s="3670"/>
      <c r="AU27" s="3697"/>
      <c r="AV27" s="3670"/>
      <c r="AW27" s="3697"/>
      <c r="AX27" s="3670"/>
      <c r="AY27" s="3697"/>
      <c r="AZ27" s="3670"/>
      <c r="BA27" s="3697"/>
      <c r="BB27" s="3670"/>
      <c r="BC27" s="3697"/>
      <c r="BD27" s="3670"/>
      <c r="BE27" s="3697"/>
      <c r="BF27" s="3697"/>
      <c r="BG27" s="3708"/>
      <c r="BH27" s="3708"/>
      <c r="BI27" s="2923"/>
      <c r="BJ27" s="3697"/>
      <c r="BK27" s="3697"/>
      <c r="BL27" s="3702"/>
      <c r="BM27" s="3705"/>
      <c r="BN27" s="3702"/>
      <c r="BO27" s="3705"/>
      <c r="BP27" s="3670"/>
    </row>
    <row r="28" spans="1:75" ht="15.75" x14ac:dyDescent="0.25">
      <c r="A28" s="1539"/>
      <c r="B28" s="1551"/>
      <c r="C28" s="1551"/>
      <c r="D28" s="1618">
        <v>36</v>
      </c>
      <c r="E28" s="1196" t="s">
        <v>1433</v>
      </c>
      <c r="F28" s="1196"/>
      <c r="G28" s="1083"/>
      <c r="H28" s="1083"/>
      <c r="I28" s="1085"/>
      <c r="J28" s="1085"/>
      <c r="K28" s="1240"/>
      <c r="L28" s="1637"/>
      <c r="M28" s="1085"/>
      <c r="N28" s="1082"/>
      <c r="O28" s="1085"/>
      <c r="P28" s="1242"/>
      <c r="Q28" s="1638"/>
      <c r="R28" s="1639"/>
      <c r="S28" s="1639"/>
      <c r="T28" s="1640"/>
      <c r="U28" s="1641"/>
      <c r="V28" s="1641"/>
      <c r="W28" s="1641"/>
      <c r="X28" s="1642"/>
      <c r="Y28" s="1643"/>
      <c r="Z28" s="1082"/>
      <c r="AA28" s="1082"/>
      <c r="AB28" s="1082"/>
      <c r="AC28" s="1082"/>
      <c r="AD28" s="1082"/>
      <c r="AE28" s="1082"/>
      <c r="AF28" s="1082"/>
      <c r="AG28" s="1082"/>
      <c r="AH28" s="1082"/>
      <c r="AI28" s="1082"/>
      <c r="AJ28" s="1082"/>
      <c r="AK28" s="1082"/>
      <c r="AL28" s="1082"/>
      <c r="AM28" s="1082"/>
      <c r="AN28" s="1082"/>
      <c r="AO28" s="1082"/>
      <c r="AP28" s="1082"/>
      <c r="AQ28" s="1082"/>
      <c r="AR28" s="1082"/>
      <c r="AS28" s="1082"/>
      <c r="AT28" s="1082"/>
      <c r="AU28" s="1082"/>
      <c r="AV28" s="1082"/>
      <c r="AW28" s="1082"/>
      <c r="AX28" s="1082"/>
      <c r="AY28" s="1082"/>
      <c r="AZ28" s="1082"/>
      <c r="BA28" s="1082"/>
      <c r="BB28" s="1082"/>
      <c r="BC28" s="1082"/>
      <c r="BD28" s="1082"/>
      <c r="BE28" s="1082"/>
      <c r="BF28" s="1082"/>
      <c r="BG28" s="1644"/>
      <c r="BH28" s="1644"/>
      <c r="BI28" s="1082"/>
      <c r="BJ28" s="1082"/>
      <c r="BK28" s="1083"/>
      <c r="BL28" s="1082"/>
      <c r="BM28" s="1082"/>
      <c r="BN28" s="1082"/>
      <c r="BO28" s="1082"/>
      <c r="BP28" s="1645"/>
    </row>
    <row r="29" spans="1:75" ht="49.5" customHeight="1" x14ac:dyDescent="0.25">
      <c r="A29" s="1539"/>
      <c r="B29" s="1551"/>
      <c r="C29" s="1551"/>
      <c r="D29" s="964"/>
      <c r="E29" s="1553"/>
      <c r="F29" s="1554"/>
      <c r="G29" s="2495" t="s">
        <v>1140</v>
      </c>
      <c r="H29" s="2306">
        <v>36.4</v>
      </c>
      <c r="I29" s="2308" t="s">
        <v>1434</v>
      </c>
      <c r="J29" s="2439" t="s">
        <v>1435</v>
      </c>
      <c r="K29" s="2318">
        <v>1</v>
      </c>
      <c r="L29" s="3646">
        <v>0</v>
      </c>
      <c r="M29" s="2439" t="s">
        <v>1436</v>
      </c>
      <c r="N29" s="2307" t="s">
        <v>1437</v>
      </c>
      <c r="O29" s="2993" t="s">
        <v>1438</v>
      </c>
      <c r="P29" s="2310">
        <v>0.54545454545454541</v>
      </c>
      <c r="Q29" s="3711">
        <v>55000000</v>
      </c>
      <c r="R29" s="3712" t="s">
        <v>1439</v>
      </c>
      <c r="S29" s="3709" t="s">
        <v>1440</v>
      </c>
      <c r="T29" s="3710" t="s">
        <v>1441</v>
      </c>
      <c r="U29" s="1604">
        <v>9000000</v>
      </c>
      <c r="V29" s="1604">
        <v>0</v>
      </c>
      <c r="W29" s="1604">
        <v>0</v>
      </c>
      <c r="X29" s="1646">
        <v>88</v>
      </c>
      <c r="Y29" s="1647" t="s">
        <v>4</v>
      </c>
      <c r="Z29" s="2495">
        <v>2000</v>
      </c>
      <c r="AA29" s="2306"/>
      <c r="AB29" s="2306">
        <v>1900</v>
      </c>
      <c r="AC29" s="2306"/>
      <c r="AD29" s="2306">
        <v>2500</v>
      </c>
      <c r="AE29" s="2306"/>
      <c r="AF29" s="2306">
        <v>700</v>
      </c>
      <c r="AG29" s="2306"/>
      <c r="AH29" s="2306">
        <v>700</v>
      </c>
      <c r="AI29" s="2306"/>
      <c r="AJ29" s="2306">
        <v>0</v>
      </c>
      <c r="AK29" s="2306"/>
      <c r="AL29" s="2306">
        <v>0</v>
      </c>
      <c r="AM29" s="2306"/>
      <c r="AN29" s="2306">
        <v>0</v>
      </c>
      <c r="AO29" s="2306"/>
      <c r="AP29" s="2306">
        <v>0</v>
      </c>
      <c r="AQ29" s="2306"/>
      <c r="AR29" s="2306">
        <v>0</v>
      </c>
      <c r="AS29" s="2306"/>
      <c r="AT29" s="2306">
        <v>0</v>
      </c>
      <c r="AU29" s="2306"/>
      <c r="AV29" s="2306">
        <v>0</v>
      </c>
      <c r="AW29" s="2306"/>
      <c r="AX29" s="2306">
        <v>0</v>
      </c>
      <c r="AY29" s="2306"/>
      <c r="AZ29" s="2306">
        <v>0</v>
      </c>
      <c r="BA29" s="2306"/>
      <c r="BB29" s="2306">
        <v>0</v>
      </c>
      <c r="BC29" s="2306"/>
      <c r="BD29" s="2306">
        <v>3900</v>
      </c>
      <c r="BE29" s="2306"/>
      <c r="BF29" s="2306">
        <v>2</v>
      </c>
      <c r="BG29" s="3713">
        <f>SUM(V29:V38)</f>
        <v>27199999</v>
      </c>
      <c r="BH29" s="3713">
        <f>SUM(W29:W38)</f>
        <v>8533333</v>
      </c>
      <c r="BI29" s="3723">
        <f>BG29/Q29</f>
        <v>0.49454543636363635</v>
      </c>
      <c r="BJ29" s="2306" t="s">
        <v>1407</v>
      </c>
      <c r="BK29" s="3151" t="s">
        <v>1442</v>
      </c>
      <c r="BL29" s="3719">
        <v>43832</v>
      </c>
      <c r="BM29" s="3719">
        <v>44082</v>
      </c>
      <c r="BN29" s="3719">
        <v>44195</v>
      </c>
      <c r="BO29" s="3719">
        <v>44187</v>
      </c>
      <c r="BP29" s="2467" t="s">
        <v>1409</v>
      </c>
    </row>
    <row r="30" spans="1:75" ht="73.5" customHeight="1" x14ac:dyDescent="0.25">
      <c r="A30" s="1539"/>
      <c r="B30" s="1551"/>
      <c r="C30" s="1551"/>
      <c r="D30" s="1549"/>
      <c r="E30" s="1551"/>
      <c r="F30" s="1550"/>
      <c r="G30" s="2495"/>
      <c r="H30" s="2306"/>
      <c r="I30" s="2308"/>
      <c r="J30" s="2439"/>
      <c r="K30" s="2318"/>
      <c r="L30" s="3647"/>
      <c r="M30" s="2439"/>
      <c r="N30" s="2307"/>
      <c r="O30" s="2993"/>
      <c r="P30" s="2310"/>
      <c r="Q30" s="3711"/>
      <c r="R30" s="3712"/>
      <c r="S30" s="3709"/>
      <c r="T30" s="3710"/>
      <c r="U30" s="1604">
        <v>12000000</v>
      </c>
      <c r="V30" s="1604">
        <v>0</v>
      </c>
      <c r="W30" s="1604">
        <v>0</v>
      </c>
      <c r="X30" s="1646">
        <v>20</v>
      </c>
      <c r="Y30" s="1647" t="s">
        <v>1443</v>
      </c>
      <c r="Z30" s="2495"/>
      <c r="AA30" s="2307"/>
      <c r="AB30" s="2306"/>
      <c r="AC30" s="2307"/>
      <c r="AD30" s="2306"/>
      <c r="AE30" s="2307"/>
      <c r="AF30" s="2306"/>
      <c r="AG30" s="2307"/>
      <c r="AH30" s="2306"/>
      <c r="AI30" s="2307"/>
      <c r="AJ30" s="2306"/>
      <c r="AK30" s="2307"/>
      <c r="AL30" s="2306"/>
      <c r="AM30" s="2307"/>
      <c r="AN30" s="2306"/>
      <c r="AO30" s="2307"/>
      <c r="AP30" s="2306"/>
      <c r="AQ30" s="2307"/>
      <c r="AR30" s="2306"/>
      <c r="AS30" s="2307"/>
      <c r="AT30" s="2306"/>
      <c r="AU30" s="2307"/>
      <c r="AV30" s="2306"/>
      <c r="AW30" s="2307"/>
      <c r="AX30" s="2306"/>
      <c r="AY30" s="2307"/>
      <c r="AZ30" s="2306"/>
      <c r="BA30" s="2307"/>
      <c r="BB30" s="2306"/>
      <c r="BC30" s="2307"/>
      <c r="BD30" s="2306"/>
      <c r="BE30" s="2307"/>
      <c r="BF30" s="2307"/>
      <c r="BG30" s="3714"/>
      <c r="BH30" s="3714"/>
      <c r="BI30" s="3724"/>
      <c r="BJ30" s="2307"/>
      <c r="BK30" s="3152"/>
      <c r="BL30" s="3719"/>
      <c r="BM30" s="3719"/>
      <c r="BN30" s="3719"/>
      <c r="BO30" s="3719"/>
      <c r="BP30" s="2467"/>
    </row>
    <row r="31" spans="1:75" ht="71.25" customHeight="1" x14ac:dyDescent="0.25">
      <c r="A31" s="1539"/>
      <c r="B31" s="1551"/>
      <c r="C31" s="1551"/>
      <c r="D31" s="1549"/>
      <c r="E31" s="1551"/>
      <c r="F31" s="1550"/>
      <c r="G31" s="2495"/>
      <c r="H31" s="2306"/>
      <c r="I31" s="2308"/>
      <c r="J31" s="2439"/>
      <c r="K31" s="2318"/>
      <c r="L31" s="3648"/>
      <c r="M31" s="2439"/>
      <c r="N31" s="2307"/>
      <c r="O31" s="2993"/>
      <c r="P31" s="2310"/>
      <c r="Q31" s="3711"/>
      <c r="R31" s="3712"/>
      <c r="S31" s="3709"/>
      <c r="T31" s="1648" t="s">
        <v>1444</v>
      </c>
      <c r="U31" s="1604">
        <v>9000000</v>
      </c>
      <c r="V31" s="1604">
        <v>5333333</v>
      </c>
      <c r="W31" s="1604">
        <v>0</v>
      </c>
      <c r="X31" s="1646">
        <v>88</v>
      </c>
      <c r="Y31" s="1647" t="s">
        <v>4</v>
      </c>
      <c r="Z31" s="2495"/>
      <c r="AA31" s="2307"/>
      <c r="AB31" s="2306"/>
      <c r="AC31" s="2307"/>
      <c r="AD31" s="2306"/>
      <c r="AE31" s="2307"/>
      <c r="AF31" s="2306"/>
      <c r="AG31" s="2307"/>
      <c r="AH31" s="2306"/>
      <c r="AI31" s="2307"/>
      <c r="AJ31" s="2306"/>
      <c r="AK31" s="2307"/>
      <c r="AL31" s="2306"/>
      <c r="AM31" s="2307"/>
      <c r="AN31" s="2306"/>
      <c r="AO31" s="2307"/>
      <c r="AP31" s="2306"/>
      <c r="AQ31" s="2307"/>
      <c r="AR31" s="2306"/>
      <c r="AS31" s="2307"/>
      <c r="AT31" s="2306"/>
      <c r="AU31" s="2307"/>
      <c r="AV31" s="2306"/>
      <c r="AW31" s="2307"/>
      <c r="AX31" s="2306"/>
      <c r="AY31" s="2307"/>
      <c r="AZ31" s="2306"/>
      <c r="BA31" s="2307"/>
      <c r="BB31" s="2306"/>
      <c r="BC31" s="2307"/>
      <c r="BD31" s="2306"/>
      <c r="BE31" s="2307"/>
      <c r="BF31" s="2307"/>
      <c r="BG31" s="3714"/>
      <c r="BH31" s="3714"/>
      <c r="BI31" s="3724"/>
      <c r="BJ31" s="2307"/>
      <c r="BK31" s="3152"/>
      <c r="BL31" s="3719"/>
      <c r="BM31" s="3719"/>
      <c r="BN31" s="3719"/>
      <c r="BO31" s="3719"/>
      <c r="BP31" s="2467"/>
    </row>
    <row r="32" spans="1:75" ht="103.5" customHeight="1" x14ac:dyDescent="0.25">
      <c r="A32" s="1539"/>
      <c r="B32" s="1551"/>
      <c r="C32" s="1551"/>
      <c r="D32" s="1549"/>
      <c r="E32" s="1551"/>
      <c r="F32" s="1550"/>
      <c r="G32" s="2341" t="s">
        <v>1140</v>
      </c>
      <c r="H32" s="2343">
        <v>36.299999999999997</v>
      </c>
      <c r="I32" s="2331" t="s">
        <v>1445</v>
      </c>
      <c r="J32" s="2416" t="s">
        <v>1446</v>
      </c>
      <c r="K32" s="2348">
        <v>12</v>
      </c>
      <c r="L32" s="3720">
        <v>12</v>
      </c>
      <c r="M32" s="2439"/>
      <c r="N32" s="2307"/>
      <c r="O32" s="2993"/>
      <c r="P32" s="2310">
        <v>0.45454545454545453</v>
      </c>
      <c r="Q32" s="3711"/>
      <c r="R32" s="3712"/>
      <c r="S32" s="3709"/>
      <c r="T32" s="1648" t="s">
        <v>1447</v>
      </c>
      <c r="U32" s="1604">
        <v>3000000</v>
      </c>
      <c r="V32" s="1604">
        <v>3000000</v>
      </c>
      <c r="W32" s="1604">
        <v>3000000</v>
      </c>
      <c r="X32" s="1646">
        <v>20</v>
      </c>
      <c r="Y32" s="1647" t="s">
        <v>1443</v>
      </c>
      <c r="Z32" s="2495"/>
      <c r="AA32" s="2307"/>
      <c r="AB32" s="2306"/>
      <c r="AC32" s="2307"/>
      <c r="AD32" s="2306"/>
      <c r="AE32" s="2307"/>
      <c r="AF32" s="2306"/>
      <c r="AG32" s="2307"/>
      <c r="AH32" s="2306"/>
      <c r="AI32" s="2307"/>
      <c r="AJ32" s="2306"/>
      <c r="AK32" s="2307"/>
      <c r="AL32" s="2306"/>
      <c r="AM32" s="2307"/>
      <c r="AN32" s="2306"/>
      <c r="AO32" s="2307"/>
      <c r="AP32" s="2306"/>
      <c r="AQ32" s="2307"/>
      <c r="AR32" s="2306"/>
      <c r="AS32" s="2307"/>
      <c r="AT32" s="2306"/>
      <c r="AU32" s="2307"/>
      <c r="AV32" s="2306"/>
      <c r="AW32" s="2307"/>
      <c r="AX32" s="2306"/>
      <c r="AY32" s="2307"/>
      <c r="AZ32" s="2306"/>
      <c r="BA32" s="2307"/>
      <c r="BB32" s="2306"/>
      <c r="BC32" s="2307"/>
      <c r="BD32" s="2306"/>
      <c r="BE32" s="2307"/>
      <c r="BF32" s="2307"/>
      <c r="BG32" s="3714"/>
      <c r="BH32" s="3714"/>
      <c r="BI32" s="3724"/>
      <c r="BJ32" s="2307"/>
      <c r="BK32" s="3152"/>
      <c r="BL32" s="3719"/>
      <c r="BM32" s="3719"/>
      <c r="BN32" s="3719"/>
      <c r="BO32" s="3719"/>
      <c r="BP32" s="2467"/>
    </row>
    <row r="33" spans="1:68" ht="77.25" customHeight="1" x14ac:dyDescent="0.25">
      <c r="A33" s="1539"/>
      <c r="B33" s="1551"/>
      <c r="C33" s="1551"/>
      <c r="D33" s="1549"/>
      <c r="E33" s="1551"/>
      <c r="F33" s="1550"/>
      <c r="G33" s="2341"/>
      <c r="H33" s="2343"/>
      <c r="I33" s="2331"/>
      <c r="J33" s="2416"/>
      <c r="K33" s="2348"/>
      <c r="L33" s="3721"/>
      <c r="M33" s="2439"/>
      <c r="N33" s="2307"/>
      <c r="O33" s="2993"/>
      <c r="P33" s="2310"/>
      <c r="Q33" s="3711"/>
      <c r="R33" s="3712"/>
      <c r="S33" s="3709"/>
      <c r="T33" s="1648" t="s">
        <v>1448</v>
      </c>
      <c r="U33" s="1604">
        <v>3720000</v>
      </c>
      <c r="V33" s="1604">
        <v>3720000</v>
      </c>
      <c r="W33" s="1604">
        <v>3720000</v>
      </c>
      <c r="X33" s="1646">
        <v>20</v>
      </c>
      <c r="Y33" s="1647" t="s">
        <v>1443</v>
      </c>
      <c r="Z33" s="2495"/>
      <c r="AA33" s="2307"/>
      <c r="AB33" s="2306"/>
      <c r="AC33" s="2307"/>
      <c r="AD33" s="2306"/>
      <c r="AE33" s="2307"/>
      <c r="AF33" s="2306"/>
      <c r="AG33" s="2307"/>
      <c r="AH33" s="2306"/>
      <c r="AI33" s="2307"/>
      <c r="AJ33" s="2306"/>
      <c r="AK33" s="2307"/>
      <c r="AL33" s="2306"/>
      <c r="AM33" s="2307"/>
      <c r="AN33" s="2306"/>
      <c r="AO33" s="2307"/>
      <c r="AP33" s="2306"/>
      <c r="AQ33" s="2307"/>
      <c r="AR33" s="2306"/>
      <c r="AS33" s="2307"/>
      <c r="AT33" s="2306"/>
      <c r="AU33" s="2307"/>
      <c r="AV33" s="2306"/>
      <c r="AW33" s="2307"/>
      <c r="AX33" s="2306"/>
      <c r="AY33" s="2307"/>
      <c r="AZ33" s="2306"/>
      <c r="BA33" s="2307"/>
      <c r="BB33" s="2306"/>
      <c r="BC33" s="2307"/>
      <c r="BD33" s="2306"/>
      <c r="BE33" s="2307"/>
      <c r="BF33" s="2307"/>
      <c r="BG33" s="3714"/>
      <c r="BH33" s="3714"/>
      <c r="BI33" s="3724"/>
      <c r="BJ33" s="2307"/>
      <c r="BK33" s="3152"/>
      <c r="BL33" s="3719"/>
      <c r="BM33" s="3719"/>
      <c r="BN33" s="3719"/>
      <c r="BO33" s="3719"/>
      <c r="BP33" s="2467"/>
    </row>
    <row r="34" spans="1:68" ht="57.75" customHeight="1" x14ac:dyDescent="0.25">
      <c r="A34" s="1539"/>
      <c r="B34" s="1551"/>
      <c r="C34" s="1551"/>
      <c r="D34" s="1549"/>
      <c r="E34" s="1551"/>
      <c r="F34" s="1550"/>
      <c r="G34" s="2341"/>
      <c r="H34" s="2343"/>
      <c r="I34" s="2331"/>
      <c r="J34" s="2416"/>
      <c r="K34" s="2348"/>
      <c r="L34" s="3721"/>
      <c r="M34" s="2439"/>
      <c r="N34" s="2307"/>
      <c r="O34" s="2993"/>
      <c r="P34" s="2310"/>
      <c r="Q34" s="3711"/>
      <c r="R34" s="3712"/>
      <c r="S34" s="3709"/>
      <c r="T34" s="1648" t="s">
        <v>1449</v>
      </c>
      <c r="U34" s="1604">
        <v>1813333</v>
      </c>
      <c r="V34" s="1604">
        <v>1813333</v>
      </c>
      <c r="W34" s="1604">
        <v>1813333</v>
      </c>
      <c r="X34" s="1646">
        <v>20</v>
      </c>
      <c r="Y34" s="1647" t="s">
        <v>1443</v>
      </c>
      <c r="Z34" s="2495"/>
      <c r="AA34" s="2307"/>
      <c r="AB34" s="2306"/>
      <c r="AC34" s="2307"/>
      <c r="AD34" s="2306"/>
      <c r="AE34" s="2307"/>
      <c r="AF34" s="2306"/>
      <c r="AG34" s="2307"/>
      <c r="AH34" s="2306"/>
      <c r="AI34" s="2307"/>
      <c r="AJ34" s="2306"/>
      <c r="AK34" s="2307"/>
      <c r="AL34" s="2306"/>
      <c r="AM34" s="2307"/>
      <c r="AN34" s="2306"/>
      <c r="AO34" s="2307"/>
      <c r="AP34" s="2306"/>
      <c r="AQ34" s="2307"/>
      <c r="AR34" s="2306"/>
      <c r="AS34" s="2307"/>
      <c r="AT34" s="2306"/>
      <c r="AU34" s="2307"/>
      <c r="AV34" s="2306"/>
      <c r="AW34" s="2307"/>
      <c r="AX34" s="2306"/>
      <c r="AY34" s="2307"/>
      <c r="AZ34" s="2306"/>
      <c r="BA34" s="2307"/>
      <c r="BB34" s="2306"/>
      <c r="BC34" s="2307"/>
      <c r="BD34" s="2306"/>
      <c r="BE34" s="2307"/>
      <c r="BF34" s="2307"/>
      <c r="BG34" s="3714"/>
      <c r="BH34" s="3714"/>
      <c r="BI34" s="3724"/>
      <c r="BJ34" s="2307"/>
      <c r="BK34" s="3152"/>
      <c r="BL34" s="3719"/>
      <c r="BM34" s="3719"/>
      <c r="BN34" s="3719"/>
      <c r="BO34" s="3719"/>
      <c r="BP34" s="2467"/>
    </row>
    <row r="35" spans="1:68" ht="75" customHeight="1" x14ac:dyDescent="0.25">
      <c r="A35" s="1539"/>
      <c r="B35" s="1551"/>
      <c r="C35" s="1551"/>
      <c r="D35" s="1549"/>
      <c r="E35" s="1551"/>
      <c r="F35" s="1550"/>
      <c r="G35" s="2341"/>
      <c r="H35" s="2343"/>
      <c r="I35" s="2331"/>
      <c r="J35" s="2416"/>
      <c r="K35" s="2348"/>
      <c r="L35" s="3721"/>
      <c r="M35" s="2439"/>
      <c r="N35" s="2307"/>
      <c r="O35" s="2993"/>
      <c r="P35" s="2310"/>
      <c r="Q35" s="3711"/>
      <c r="R35" s="3712"/>
      <c r="S35" s="3709"/>
      <c r="T35" s="1648" t="s">
        <v>1450</v>
      </c>
      <c r="U35" s="1604">
        <v>5000000</v>
      </c>
      <c r="V35" s="1604">
        <v>4000000</v>
      </c>
      <c r="W35" s="1604">
        <v>0</v>
      </c>
      <c r="X35" s="1646">
        <v>88</v>
      </c>
      <c r="Y35" s="1647" t="s">
        <v>4</v>
      </c>
      <c r="Z35" s="2495"/>
      <c r="AA35" s="2307"/>
      <c r="AB35" s="2306"/>
      <c r="AC35" s="2307"/>
      <c r="AD35" s="2306"/>
      <c r="AE35" s="2307"/>
      <c r="AF35" s="2306"/>
      <c r="AG35" s="2307"/>
      <c r="AH35" s="2306"/>
      <c r="AI35" s="2307"/>
      <c r="AJ35" s="2306"/>
      <c r="AK35" s="2307"/>
      <c r="AL35" s="2306"/>
      <c r="AM35" s="2307"/>
      <c r="AN35" s="2306"/>
      <c r="AO35" s="2307"/>
      <c r="AP35" s="2306"/>
      <c r="AQ35" s="2307"/>
      <c r="AR35" s="2306"/>
      <c r="AS35" s="2307"/>
      <c r="AT35" s="2306"/>
      <c r="AU35" s="2307"/>
      <c r="AV35" s="2306"/>
      <c r="AW35" s="2307"/>
      <c r="AX35" s="2306"/>
      <c r="AY35" s="2307"/>
      <c r="AZ35" s="2306"/>
      <c r="BA35" s="2307"/>
      <c r="BB35" s="2306"/>
      <c r="BC35" s="2307"/>
      <c r="BD35" s="2306"/>
      <c r="BE35" s="2307"/>
      <c r="BF35" s="2307"/>
      <c r="BG35" s="3714"/>
      <c r="BH35" s="3714"/>
      <c r="BI35" s="3724"/>
      <c r="BJ35" s="2307"/>
      <c r="BK35" s="3152"/>
      <c r="BL35" s="3719"/>
      <c r="BM35" s="3719"/>
      <c r="BN35" s="3719"/>
      <c r="BO35" s="3719"/>
      <c r="BP35" s="2467"/>
    </row>
    <row r="36" spans="1:68" ht="75" customHeight="1" x14ac:dyDescent="0.25">
      <c r="A36" s="1539"/>
      <c r="B36" s="1551"/>
      <c r="C36" s="1551"/>
      <c r="D36" s="1549"/>
      <c r="E36" s="1551"/>
      <c r="F36" s="1550"/>
      <c r="G36" s="2341"/>
      <c r="H36" s="2343"/>
      <c r="I36" s="2331"/>
      <c r="J36" s="2416"/>
      <c r="K36" s="2348"/>
      <c r="L36" s="3721"/>
      <c r="M36" s="2439"/>
      <c r="N36" s="2307"/>
      <c r="O36" s="2993"/>
      <c r="P36" s="2310"/>
      <c r="Q36" s="3711"/>
      <c r="R36" s="3712"/>
      <c r="S36" s="3709"/>
      <c r="T36" s="1648" t="s">
        <v>1451</v>
      </c>
      <c r="U36" s="1604">
        <v>11466667</v>
      </c>
      <c r="V36" s="1604">
        <v>9333333</v>
      </c>
      <c r="W36" s="1604"/>
      <c r="X36" s="1646">
        <v>20</v>
      </c>
      <c r="Y36" s="1647" t="s">
        <v>1443</v>
      </c>
      <c r="Z36" s="2495"/>
      <c r="AA36" s="2307"/>
      <c r="AB36" s="2306"/>
      <c r="AC36" s="2307"/>
      <c r="AD36" s="2306"/>
      <c r="AE36" s="2307"/>
      <c r="AF36" s="2306"/>
      <c r="AG36" s="2307"/>
      <c r="AH36" s="2306"/>
      <c r="AI36" s="2307"/>
      <c r="AJ36" s="2306"/>
      <c r="AK36" s="2307"/>
      <c r="AL36" s="2306"/>
      <c r="AM36" s="2307"/>
      <c r="AN36" s="2306"/>
      <c r="AO36" s="2307"/>
      <c r="AP36" s="2306"/>
      <c r="AQ36" s="2307"/>
      <c r="AR36" s="2306"/>
      <c r="AS36" s="2307"/>
      <c r="AT36" s="2306"/>
      <c r="AU36" s="2307"/>
      <c r="AV36" s="2306"/>
      <c r="AW36" s="2307"/>
      <c r="AX36" s="2306"/>
      <c r="AY36" s="2307"/>
      <c r="AZ36" s="2306"/>
      <c r="BA36" s="2307"/>
      <c r="BB36" s="2306"/>
      <c r="BC36" s="2307"/>
      <c r="BD36" s="2306"/>
      <c r="BE36" s="2307"/>
      <c r="BF36" s="2307"/>
      <c r="BG36" s="3714"/>
      <c r="BH36" s="3714"/>
      <c r="BI36" s="3724"/>
      <c r="BJ36" s="2307"/>
      <c r="BK36" s="3152"/>
      <c r="BL36" s="3719"/>
      <c r="BM36" s="3719"/>
      <c r="BN36" s="3719"/>
      <c r="BO36" s="3719"/>
      <c r="BP36" s="2467"/>
    </row>
    <row r="37" spans="1:68" ht="90" customHeight="1" x14ac:dyDescent="0.25">
      <c r="A37" s="1539"/>
      <c r="B37" s="1551"/>
      <c r="C37" s="1551"/>
      <c r="D37" s="1549"/>
      <c r="E37" s="1551"/>
      <c r="F37" s="1550"/>
      <c r="G37" s="2341"/>
      <c r="H37" s="2343"/>
      <c r="I37" s="2331"/>
      <c r="J37" s="2416"/>
      <c r="K37" s="2348"/>
      <c r="L37" s="3721"/>
      <c r="M37" s="2439"/>
      <c r="N37" s="2307"/>
      <c r="O37" s="2993"/>
      <c r="P37" s="2310"/>
      <c r="Q37" s="3711"/>
      <c r="R37" s="3712"/>
      <c r="S37" s="3709"/>
      <c r="T37" s="1648" t="s">
        <v>1452</v>
      </c>
      <c r="U37" s="1604"/>
      <c r="V37" s="1604">
        <v>0</v>
      </c>
      <c r="W37" s="1604">
        <v>0</v>
      </c>
      <c r="X37" s="1646"/>
      <c r="Y37" s="1647"/>
      <c r="Z37" s="2495"/>
      <c r="AA37" s="2307"/>
      <c r="AB37" s="2306"/>
      <c r="AC37" s="2307"/>
      <c r="AD37" s="2306"/>
      <c r="AE37" s="2307"/>
      <c r="AF37" s="2306"/>
      <c r="AG37" s="2307"/>
      <c r="AH37" s="2306"/>
      <c r="AI37" s="2307"/>
      <c r="AJ37" s="2306"/>
      <c r="AK37" s="2307"/>
      <c r="AL37" s="2306"/>
      <c r="AM37" s="2307"/>
      <c r="AN37" s="2306"/>
      <c r="AO37" s="2307"/>
      <c r="AP37" s="2306"/>
      <c r="AQ37" s="2307"/>
      <c r="AR37" s="2306"/>
      <c r="AS37" s="2307"/>
      <c r="AT37" s="2306"/>
      <c r="AU37" s="2307"/>
      <c r="AV37" s="2306"/>
      <c r="AW37" s="2307"/>
      <c r="AX37" s="2306"/>
      <c r="AY37" s="2307"/>
      <c r="AZ37" s="2306"/>
      <c r="BA37" s="2307"/>
      <c r="BB37" s="2306"/>
      <c r="BC37" s="2307"/>
      <c r="BD37" s="2306"/>
      <c r="BE37" s="2307"/>
      <c r="BF37" s="2307"/>
      <c r="BG37" s="3714"/>
      <c r="BH37" s="3714"/>
      <c r="BI37" s="3724"/>
      <c r="BJ37" s="2307"/>
      <c r="BK37" s="3152"/>
      <c r="BL37" s="3719"/>
      <c r="BM37" s="3719"/>
      <c r="BN37" s="3719"/>
      <c r="BO37" s="3719"/>
      <c r="BP37" s="2467"/>
    </row>
    <row r="38" spans="1:68" ht="75" customHeight="1" x14ac:dyDescent="0.25">
      <c r="A38" s="1539"/>
      <c r="B38" s="2517"/>
      <c r="C38" s="2517"/>
      <c r="D38" s="1549"/>
      <c r="E38" s="2517"/>
      <c r="F38" s="2516"/>
      <c r="G38" s="2341"/>
      <c r="H38" s="2343"/>
      <c r="I38" s="2331"/>
      <c r="J38" s="2416"/>
      <c r="K38" s="2348"/>
      <c r="L38" s="3722"/>
      <c r="M38" s="2439"/>
      <c r="N38" s="2307"/>
      <c r="O38" s="2993"/>
      <c r="P38" s="2310"/>
      <c r="Q38" s="3711"/>
      <c r="R38" s="3712"/>
      <c r="S38" s="3709"/>
      <c r="T38" s="1648" t="s">
        <v>1453</v>
      </c>
      <c r="U38" s="1649"/>
      <c r="V38" s="1649"/>
      <c r="W38" s="1649">
        <v>0</v>
      </c>
      <c r="X38" s="1646"/>
      <c r="Y38" s="1647"/>
      <c r="Z38" s="2495"/>
      <c r="AA38" s="2467"/>
      <c r="AB38" s="2306"/>
      <c r="AC38" s="2467"/>
      <c r="AD38" s="2306"/>
      <c r="AE38" s="2467"/>
      <c r="AF38" s="2306"/>
      <c r="AG38" s="2467"/>
      <c r="AH38" s="2306"/>
      <c r="AI38" s="2467"/>
      <c r="AJ38" s="2306"/>
      <c r="AK38" s="2467"/>
      <c r="AL38" s="2306"/>
      <c r="AM38" s="2467"/>
      <c r="AN38" s="2306"/>
      <c r="AO38" s="2467"/>
      <c r="AP38" s="2306"/>
      <c r="AQ38" s="2467"/>
      <c r="AR38" s="2306"/>
      <c r="AS38" s="2467"/>
      <c r="AT38" s="2306"/>
      <c r="AU38" s="2467"/>
      <c r="AV38" s="2306"/>
      <c r="AW38" s="2467"/>
      <c r="AX38" s="2306"/>
      <c r="AY38" s="2467"/>
      <c r="AZ38" s="2306"/>
      <c r="BA38" s="2467"/>
      <c r="BB38" s="2306"/>
      <c r="BC38" s="2467"/>
      <c r="BD38" s="2306"/>
      <c r="BE38" s="2467"/>
      <c r="BF38" s="2467"/>
      <c r="BG38" s="3715"/>
      <c r="BH38" s="3715"/>
      <c r="BI38" s="3725"/>
      <c r="BJ38" s="2467"/>
      <c r="BK38" s="3206"/>
      <c r="BL38" s="3719"/>
      <c r="BM38" s="3719"/>
      <c r="BN38" s="3719"/>
      <c r="BO38" s="3719"/>
      <c r="BP38" s="2467"/>
    </row>
    <row r="39" spans="1:68" ht="57.75" customHeight="1" x14ac:dyDescent="0.25">
      <c r="A39" s="1540"/>
      <c r="B39" s="2517"/>
      <c r="C39" s="2517"/>
      <c r="D39" s="1549"/>
      <c r="E39" s="2517"/>
      <c r="F39" s="2516"/>
      <c r="G39" s="2341" t="s">
        <v>1140</v>
      </c>
      <c r="H39" s="2451" t="s">
        <v>1454</v>
      </c>
      <c r="I39" s="2331" t="s">
        <v>1455</v>
      </c>
      <c r="J39" s="2745" t="s">
        <v>1456</v>
      </c>
      <c r="K39" s="2348">
        <v>1</v>
      </c>
      <c r="L39" s="3716">
        <v>0.6</v>
      </c>
      <c r="M39" s="2416" t="s">
        <v>1457</v>
      </c>
      <c r="N39" s="2341" t="s">
        <v>1458</v>
      </c>
      <c r="O39" s="3251" t="s">
        <v>1459</v>
      </c>
      <c r="P39" s="2332">
        <v>1</v>
      </c>
      <c r="Q39" s="3726">
        <v>79896166</v>
      </c>
      <c r="R39" s="3728" t="s">
        <v>1460</v>
      </c>
      <c r="S39" s="3730" t="s">
        <v>1461</v>
      </c>
      <c r="T39" s="1648" t="s">
        <v>1462</v>
      </c>
      <c r="U39" s="1604">
        <v>7000000</v>
      </c>
      <c r="V39" s="1604">
        <v>5600000</v>
      </c>
      <c r="W39" s="1604"/>
      <c r="X39" s="1646">
        <v>88</v>
      </c>
      <c r="Y39" s="1650" t="s">
        <v>4</v>
      </c>
      <c r="Z39" s="2495">
        <v>3900</v>
      </c>
      <c r="AA39" s="2306"/>
      <c r="AB39" s="2306">
        <v>3600</v>
      </c>
      <c r="AC39" s="2306"/>
      <c r="AD39" s="2306">
        <v>2000</v>
      </c>
      <c r="AE39" s="2306"/>
      <c r="AF39" s="2306">
        <v>4000</v>
      </c>
      <c r="AG39" s="2306"/>
      <c r="AH39" s="2306">
        <v>1000</v>
      </c>
      <c r="AI39" s="2306"/>
      <c r="AJ39" s="2306">
        <v>500</v>
      </c>
      <c r="AK39" s="2306"/>
      <c r="AL39" s="2306">
        <v>0</v>
      </c>
      <c r="AM39" s="2306"/>
      <c r="AN39" s="2306">
        <v>0</v>
      </c>
      <c r="AO39" s="2306"/>
      <c r="AP39" s="2306">
        <v>0</v>
      </c>
      <c r="AQ39" s="2306"/>
      <c r="AR39" s="2306">
        <v>0</v>
      </c>
      <c r="AS39" s="2306"/>
      <c r="AT39" s="2306">
        <v>0</v>
      </c>
      <c r="AU39" s="2306"/>
      <c r="AV39" s="2306">
        <v>0</v>
      </c>
      <c r="AW39" s="2306"/>
      <c r="AX39" s="2306">
        <v>0</v>
      </c>
      <c r="AY39" s="2306"/>
      <c r="AZ39" s="2306">
        <v>0</v>
      </c>
      <c r="BA39" s="2306"/>
      <c r="BB39" s="2306">
        <v>0</v>
      </c>
      <c r="BC39" s="2306"/>
      <c r="BD39" s="2306">
        <v>7500</v>
      </c>
      <c r="BE39" s="2306"/>
      <c r="BF39" s="2306">
        <v>3</v>
      </c>
      <c r="BG39" s="3713">
        <f>SUM(V39:V47)</f>
        <v>60296166</v>
      </c>
      <c r="BH39" s="3713">
        <f>SUM(W39:W47)</f>
        <v>32896166</v>
      </c>
      <c r="BI39" s="3031">
        <f>BG39/Q39</f>
        <v>0.7546815951093323</v>
      </c>
      <c r="BJ39" s="2306" t="s">
        <v>1407</v>
      </c>
      <c r="BK39" s="2306" t="s">
        <v>1442</v>
      </c>
      <c r="BL39" s="3719">
        <v>43832</v>
      </c>
      <c r="BM39" s="3737">
        <v>44067</v>
      </c>
      <c r="BN39" s="3719">
        <v>44195</v>
      </c>
      <c r="BO39" s="3737">
        <v>44190</v>
      </c>
      <c r="BP39" s="2306" t="s">
        <v>1409</v>
      </c>
    </row>
    <row r="40" spans="1:68" ht="65.25" customHeight="1" x14ac:dyDescent="0.25">
      <c r="A40" s="1540"/>
      <c r="B40" s="1551"/>
      <c r="C40" s="1551"/>
      <c r="D40" s="1549"/>
      <c r="E40" s="1551"/>
      <c r="F40" s="1550"/>
      <c r="G40" s="2341"/>
      <c r="H40" s="2451"/>
      <c r="I40" s="2331"/>
      <c r="J40" s="2745"/>
      <c r="K40" s="2348"/>
      <c r="L40" s="3717"/>
      <c r="M40" s="2416"/>
      <c r="N40" s="2341"/>
      <c r="O40" s="3251"/>
      <c r="P40" s="2332"/>
      <c r="Q40" s="3726"/>
      <c r="R40" s="3728"/>
      <c r="S40" s="3730"/>
      <c r="T40" s="3732" t="s">
        <v>1463</v>
      </c>
      <c r="U40" s="1651">
        <v>7000000</v>
      </c>
      <c r="V40" s="1651">
        <v>5600000</v>
      </c>
      <c r="W40" s="1651"/>
      <c r="X40" s="1652">
        <v>88</v>
      </c>
      <c r="Y40" s="1653" t="s">
        <v>4</v>
      </c>
      <c r="Z40" s="2496"/>
      <c r="AA40" s="2307"/>
      <c r="AB40" s="2307"/>
      <c r="AC40" s="2307"/>
      <c r="AD40" s="2307"/>
      <c r="AE40" s="2307"/>
      <c r="AF40" s="2307"/>
      <c r="AG40" s="2307"/>
      <c r="AH40" s="2307"/>
      <c r="AI40" s="2307"/>
      <c r="AJ40" s="2307"/>
      <c r="AK40" s="2307"/>
      <c r="AL40" s="2307"/>
      <c r="AM40" s="2307"/>
      <c r="AN40" s="2307"/>
      <c r="AO40" s="2307"/>
      <c r="AP40" s="2307"/>
      <c r="AQ40" s="2307"/>
      <c r="AR40" s="2307"/>
      <c r="AS40" s="2307"/>
      <c r="AT40" s="2307"/>
      <c r="AU40" s="2307"/>
      <c r="AV40" s="2307"/>
      <c r="AW40" s="2307"/>
      <c r="AX40" s="2307"/>
      <c r="AY40" s="2307"/>
      <c r="AZ40" s="2307"/>
      <c r="BA40" s="2307"/>
      <c r="BB40" s="2307"/>
      <c r="BC40" s="2307"/>
      <c r="BD40" s="2307"/>
      <c r="BE40" s="2307"/>
      <c r="BF40" s="2307"/>
      <c r="BG40" s="3714"/>
      <c r="BH40" s="3714"/>
      <c r="BI40" s="3032"/>
      <c r="BJ40" s="2307"/>
      <c r="BK40" s="2307"/>
      <c r="BL40" s="3736"/>
      <c r="BM40" s="2496"/>
      <c r="BN40" s="3736"/>
      <c r="BO40" s="2496"/>
      <c r="BP40" s="2307"/>
    </row>
    <row r="41" spans="1:68" ht="38.25" customHeight="1" x14ac:dyDescent="0.25">
      <c r="A41" s="1540"/>
      <c r="B41" s="1551"/>
      <c r="C41" s="1551"/>
      <c r="D41" s="1549"/>
      <c r="E41" s="1551"/>
      <c r="F41" s="1550"/>
      <c r="G41" s="2341"/>
      <c r="H41" s="2451"/>
      <c r="I41" s="2331"/>
      <c r="J41" s="2745"/>
      <c r="K41" s="2348"/>
      <c r="L41" s="3717"/>
      <c r="M41" s="2416"/>
      <c r="N41" s="2341"/>
      <c r="O41" s="3251"/>
      <c r="P41" s="2332"/>
      <c r="Q41" s="3726"/>
      <c r="R41" s="3728"/>
      <c r="S41" s="3730"/>
      <c r="T41" s="3733"/>
      <c r="U41" s="1604">
        <v>7200000</v>
      </c>
      <c r="V41" s="1654">
        <v>7200000</v>
      </c>
      <c r="W41" s="1604">
        <f>+V41</f>
        <v>7200000</v>
      </c>
      <c r="X41" s="1646">
        <v>20</v>
      </c>
      <c r="Y41" s="1600" t="s">
        <v>1074</v>
      </c>
      <c r="Z41" s="2496"/>
      <c r="AA41" s="2307"/>
      <c r="AB41" s="2307"/>
      <c r="AC41" s="2307"/>
      <c r="AD41" s="2307"/>
      <c r="AE41" s="2307"/>
      <c r="AF41" s="2307"/>
      <c r="AG41" s="2307"/>
      <c r="AH41" s="2307"/>
      <c r="AI41" s="2307"/>
      <c r="AJ41" s="2307"/>
      <c r="AK41" s="2307"/>
      <c r="AL41" s="2307"/>
      <c r="AM41" s="2307"/>
      <c r="AN41" s="2307"/>
      <c r="AO41" s="2307"/>
      <c r="AP41" s="2307"/>
      <c r="AQ41" s="2307"/>
      <c r="AR41" s="2307"/>
      <c r="AS41" s="2307"/>
      <c r="AT41" s="2307"/>
      <c r="AU41" s="2307"/>
      <c r="AV41" s="2307"/>
      <c r="AW41" s="2307"/>
      <c r="AX41" s="2307"/>
      <c r="AY41" s="2307"/>
      <c r="AZ41" s="2307"/>
      <c r="BA41" s="2307"/>
      <c r="BB41" s="2307"/>
      <c r="BC41" s="2307"/>
      <c r="BD41" s="2307"/>
      <c r="BE41" s="2307"/>
      <c r="BF41" s="2307"/>
      <c r="BG41" s="3714"/>
      <c r="BH41" s="3714"/>
      <c r="BI41" s="3032"/>
      <c r="BJ41" s="2307"/>
      <c r="BK41" s="2307"/>
      <c r="BL41" s="3736"/>
      <c r="BM41" s="2496"/>
      <c r="BN41" s="3736"/>
      <c r="BO41" s="2496"/>
      <c r="BP41" s="2307"/>
    </row>
    <row r="42" spans="1:68" ht="69.75" customHeight="1" x14ac:dyDescent="0.25">
      <c r="A42" s="1540"/>
      <c r="B42" s="1551"/>
      <c r="C42" s="1551"/>
      <c r="D42" s="1549"/>
      <c r="E42" s="1551"/>
      <c r="F42" s="1550"/>
      <c r="G42" s="2341"/>
      <c r="H42" s="2451"/>
      <c r="I42" s="2331"/>
      <c r="J42" s="2745"/>
      <c r="K42" s="2348"/>
      <c r="L42" s="3717"/>
      <c r="M42" s="2416"/>
      <c r="N42" s="2341"/>
      <c r="O42" s="3251"/>
      <c r="P42" s="2332"/>
      <c r="Q42" s="3726"/>
      <c r="R42" s="3728"/>
      <c r="S42" s="3730"/>
      <c r="T42" s="1655" t="s">
        <v>1464</v>
      </c>
      <c r="U42" s="1656">
        <v>31000000</v>
      </c>
      <c r="V42" s="1656">
        <f>7200000+12000000</f>
        <v>19200000</v>
      </c>
      <c r="W42" s="1656">
        <v>3000000</v>
      </c>
      <c r="X42" s="1657">
        <v>88</v>
      </c>
      <c r="Y42" s="1658" t="s">
        <v>4</v>
      </c>
      <c r="Z42" s="2496"/>
      <c r="AA42" s="2307"/>
      <c r="AB42" s="2307"/>
      <c r="AC42" s="2307"/>
      <c r="AD42" s="2307"/>
      <c r="AE42" s="2307"/>
      <c r="AF42" s="2307"/>
      <c r="AG42" s="2307"/>
      <c r="AH42" s="2307"/>
      <c r="AI42" s="2307"/>
      <c r="AJ42" s="2307"/>
      <c r="AK42" s="2307"/>
      <c r="AL42" s="2307"/>
      <c r="AM42" s="2307"/>
      <c r="AN42" s="2307"/>
      <c r="AO42" s="2307"/>
      <c r="AP42" s="2307"/>
      <c r="AQ42" s="2307"/>
      <c r="AR42" s="2307"/>
      <c r="AS42" s="2307"/>
      <c r="AT42" s="2307"/>
      <c r="AU42" s="2307"/>
      <c r="AV42" s="2307"/>
      <c r="AW42" s="2307"/>
      <c r="AX42" s="2307"/>
      <c r="AY42" s="2307"/>
      <c r="AZ42" s="2307"/>
      <c r="BA42" s="2307"/>
      <c r="BB42" s="2307"/>
      <c r="BC42" s="2307"/>
      <c r="BD42" s="2307"/>
      <c r="BE42" s="2307"/>
      <c r="BF42" s="2307"/>
      <c r="BG42" s="3714"/>
      <c r="BH42" s="3714"/>
      <c r="BI42" s="3032"/>
      <c r="BJ42" s="2307"/>
      <c r="BK42" s="2307"/>
      <c r="BL42" s="3736"/>
      <c r="BM42" s="2496"/>
      <c r="BN42" s="3736"/>
      <c r="BO42" s="2496"/>
      <c r="BP42" s="2307"/>
    </row>
    <row r="43" spans="1:68" ht="52.5" customHeight="1" x14ac:dyDescent="0.25">
      <c r="A43" s="1540"/>
      <c r="B43" s="1551"/>
      <c r="C43" s="1551"/>
      <c r="D43" s="1549"/>
      <c r="E43" s="1551"/>
      <c r="F43" s="1550"/>
      <c r="G43" s="2341"/>
      <c r="H43" s="2451"/>
      <c r="I43" s="2331"/>
      <c r="J43" s="2745"/>
      <c r="K43" s="2348"/>
      <c r="L43" s="3717"/>
      <c r="M43" s="2416"/>
      <c r="N43" s="2341"/>
      <c r="O43" s="3251"/>
      <c r="P43" s="2332"/>
      <c r="Q43" s="3726"/>
      <c r="R43" s="3728"/>
      <c r="S43" s="3730"/>
      <c r="T43" s="1648" t="s">
        <v>1465</v>
      </c>
      <c r="U43" s="1659">
        <v>5000000</v>
      </c>
      <c r="V43" s="1656"/>
      <c r="W43" s="1656"/>
      <c r="X43" s="1657">
        <v>88</v>
      </c>
      <c r="Y43" s="1658" t="s">
        <v>4</v>
      </c>
      <c r="Z43" s="2496"/>
      <c r="AA43" s="2307"/>
      <c r="AB43" s="2307"/>
      <c r="AC43" s="2307"/>
      <c r="AD43" s="2307"/>
      <c r="AE43" s="2307"/>
      <c r="AF43" s="2307"/>
      <c r="AG43" s="2307"/>
      <c r="AH43" s="2307"/>
      <c r="AI43" s="2307"/>
      <c r="AJ43" s="2307"/>
      <c r="AK43" s="2307"/>
      <c r="AL43" s="2307"/>
      <c r="AM43" s="2307"/>
      <c r="AN43" s="2307"/>
      <c r="AO43" s="2307"/>
      <c r="AP43" s="2307"/>
      <c r="AQ43" s="2307"/>
      <c r="AR43" s="2307"/>
      <c r="AS43" s="2307"/>
      <c r="AT43" s="2307"/>
      <c r="AU43" s="2307"/>
      <c r="AV43" s="2307"/>
      <c r="AW43" s="2307"/>
      <c r="AX43" s="2307"/>
      <c r="AY43" s="2307"/>
      <c r="AZ43" s="2307"/>
      <c r="BA43" s="2307"/>
      <c r="BB43" s="2307"/>
      <c r="BC43" s="2307"/>
      <c r="BD43" s="2307"/>
      <c r="BE43" s="2307"/>
      <c r="BF43" s="2307"/>
      <c r="BG43" s="3714"/>
      <c r="BH43" s="3714"/>
      <c r="BI43" s="3032"/>
      <c r="BJ43" s="2307"/>
      <c r="BK43" s="2307"/>
      <c r="BL43" s="3736"/>
      <c r="BM43" s="2496"/>
      <c r="BN43" s="3736"/>
      <c r="BO43" s="2496"/>
      <c r="BP43" s="2307"/>
    </row>
    <row r="44" spans="1:68" ht="107.25" customHeight="1" x14ac:dyDescent="0.25">
      <c r="A44" s="1540"/>
      <c r="B44" s="1551"/>
      <c r="C44" s="1551"/>
      <c r="D44" s="1549"/>
      <c r="E44" s="1551"/>
      <c r="F44" s="1550"/>
      <c r="G44" s="2341"/>
      <c r="H44" s="2451"/>
      <c r="I44" s="2331"/>
      <c r="J44" s="2745"/>
      <c r="K44" s="2348"/>
      <c r="L44" s="3717"/>
      <c r="M44" s="2416"/>
      <c r="N44" s="2341"/>
      <c r="O44" s="3251"/>
      <c r="P44" s="2332"/>
      <c r="Q44" s="3726"/>
      <c r="R44" s="3728"/>
      <c r="S44" s="3730"/>
      <c r="T44" s="1648" t="s">
        <v>1466</v>
      </c>
      <c r="U44" s="1660">
        <v>782666</v>
      </c>
      <c r="V44" s="1660">
        <v>782666</v>
      </c>
      <c r="W44" s="1660">
        <v>782666</v>
      </c>
      <c r="X44" s="1661">
        <v>20</v>
      </c>
      <c r="Y44" s="1662" t="s">
        <v>7</v>
      </c>
      <c r="Z44" s="2496"/>
      <c r="AA44" s="2307"/>
      <c r="AB44" s="2307"/>
      <c r="AC44" s="2307"/>
      <c r="AD44" s="2307"/>
      <c r="AE44" s="2307"/>
      <c r="AF44" s="2307"/>
      <c r="AG44" s="2307"/>
      <c r="AH44" s="2307"/>
      <c r="AI44" s="2307"/>
      <c r="AJ44" s="2307"/>
      <c r="AK44" s="2307"/>
      <c r="AL44" s="2307"/>
      <c r="AM44" s="2307"/>
      <c r="AN44" s="2307"/>
      <c r="AO44" s="2307"/>
      <c r="AP44" s="2307"/>
      <c r="AQ44" s="2307"/>
      <c r="AR44" s="2307"/>
      <c r="AS44" s="2307"/>
      <c r="AT44" s="2307"/>
      <c r="AU44" s="2307"/>
      <c r="AV44" s="2307"/>
      <c r="AW44" s="2307"/>
      <c r="AX44" s="2307"/>
      <c r="AY44" s="2307"/>
      <c r="AZ44" s="2307"/>
      <c r="BA44" s="2307"/>
      <c r="BB44" s="2307"/>
      <c r="BC44" s="2307"/>
      <c r="BD44" s="2307"/>
      <c r="BE44" s="2307"/>
      <c r="BF44" s="2307"/>
      <c r="BG44" s="3714"/>
      <c r="BH44" s="3714"/>
      <c r="BI44" s="3032"/>
      <c r="BJ44" s="2307"/>
      <c r="BK44" s="2307"/>
      <c r="BL44" s="3736"/>
      <c r="BM44" s="2496"/>
      <c r="BN44" s="3736"/>
      <c r="BO44" s="2496"/>
      <c r="BP44" s="2307"/>
    </row>
    <row r="45" spans="1:68" ht="56.25" customHeight="1" x14ac:dyDescent="0.25">
      <c r="A45" s="1540"/>
      <c r="B45" s="1551"/>
      <c r="C45" s="1551"/>
      <c r="D45" s="1549"/>
      <c r="E45" s="1551"/>
      <c r="F45" s="1550"/>
      <c r="G45" s="2341"/>
      <c r="H45" s="2451"/>
      <c r="I45" s="2331"/>
      <c r="J45" s="2745"/>
      <c r="K45" s="2348"/>
      <c r="L45" s="3717"/>
      <c r="M45" s="2416"/>
      <c r="N45" s="2341"/>
      <c r="O45" s="3251"/>
      <c r="P45" s="2332"/>
      <c r="Q45" s="3726"/>
      <c r="R45" s="3728"/>
      <c r="S45" s="3730"/>
      <c r="T45" s="1648" t="s">
        <v>1467</v>
      </c>
      <c r="U45" s="1660">
        <v>7460000</v>
      </c>
      <c r="V45" s="1660">
        <v>7460000</v>
      </c>
      <c r="W45" s="1660">
        <v>7460000</v>
      </c>
      <c r="X45" s="1661">
        <v>20</v>
      </c>
      <c r="Y45" s="1662" t="s">
        <v>7</v>
      </c>
      <c r="Z45" s="2496"/>
      <c r="AA45" s="2307"/>
      <c r="AB45" s="2307"/>
      <c r="AC45" s="2307"/>
      <c r="AD45" s="2307"/>
      <c r="AE45" s="2307"/>
      <c r="AF45" s="2307"/>
      <c r="AG45" s="2307"/>
      <c r="AH45" s="2307"/>
      <c r="AI45" s="2307"/>
      <c r="AJ45" s="2307"/>
      <c r="AK45" s="2307"/>
      <c r="AL45" s="2307"/>
      <c r="AM45" s="2307"/>
      <c r="AN45" s="2307"/>
      <c r="AO45" s="2307"/>
      <c r="AP45" s="2307"/>
      <c r="AQ45" s="2307"/>
      <c r="AR45" s="2307"/>
      <c r="AS45" s="2307"/>
      <c r="AT45" s="2307"/>
      <c r="AU45" s="2307"/>
      <c r="AV45" s="2307"/>
      <c r="AW45" s="2307"/>
      <c r="AX45" s="2307"/>
      <c r="AY45" s="2307"/>
      <c r="AZ45" s="2307"/>
      <c r="BA45" s="2307"/>
      <c r="BB45" s="2307"/>
      <c r="BC45" s="2307"/>
      <c r="BD45" s="2307"/>
      <c r="BE45" s="2307"/>
      <c r="BF45" s="2307"/>
      <c r="BG45" s="3714"/>
      <c r="BH45" s="3714"/>
      <c r="BI45" s="3032"/>
      <c r="BJ45" s="2307"/>
      <c r="BK45" s="2307"/>
      <c r="BL45" s="3736"/>
      <c r="BM45" s="2496"/>
      <c r="BN45" s="3736"/>
      <c r="BO45" s="2496"/>
      <c r="BP45" s="2307"/>
    </row>
    <row r="46" spans="1:68" ht="66" customHeight="1" x14ac:dyDescent="0.25">
      <c r="A46" s="1540"/>
      <c r="B46" s="1551"/>
      <c r="C46" s="1551"/>
      <c r="D46" s="1549"/>
      <c r="E46" s="1551"/>
      <c r="F46" s="1550"/>
      <c r="G46" s="2341"/>
      <c r="H46" s="2451"/>
      <c r="I46" s="2331"/>
      <c r="J46" s="2745"/>
      <c r="K46" s="2348"/>
      <c r="L46" s="3717"/>
      <c r="M46" s="2416"/>
      <c r="N46" s="2341"/>
      <c r="O46" s="3251"/>
      <c r="P46" s="2332"/>
      <c r="Q46" s="3726"/>
      <c r="R46" s="3728"/>
      <c r="S46" s="3730"/>
      <c r="T46" s="1648" t="s">
        <v>1468</v>
      </c>
      <c r="U46" s="1659">
        <v>5500000</v>
      </c>
      <c r="V46" s="1659">
        <v>5500000</v>
      </c>
      <c r="W46" s="1659">
        <v>5500000</v>
      </c>
      <c r="X46" s="1661">
        <v>20</v>
      </c>
      <c r="Y46" s="1662" t="s">
        <v>7</v>
      </c>
      <c r="Z46" s="2496"/>
      <c r="AA46" s="2307"/>
      <c r="AB46" s="2307"/>
      <c r="AC46" s="2307"/>
      <c r="AD46" s="2307"/>
      <c r="AE46" s="2307"/>
      <c r="AF46" s="2307"/>
      <c r="AG46" s="2307"/>
      <c r="AH46" s="2307"/>
      <c r="AI46" s="2307"/>
      <c r="AJ46" s="2307"/>
      <c r="AK46" s="2307"/>
      <c r="AL46" s="2307"/>
      <c r="AM46" s="2307"/>
      <c r="AN46" s="2307"/>
      <c r="AO46" s="2307"/>
      <c r="AP46" s="2307"/>
      <c r="AQ46" s="2307"/>
      <c r="AR46" s="2307"/>
      <c r="AS46" s="2307"/>
      <c r="AT46" s="2307"/>
      <c r="AU46" s="2307"/>
      <c r="AV46" s="2307"/>
      <c r="AW46" s="2307"/>
      <c r="AX46" s="2307"/>
      <c r="AY46" s="2307"/>
      <c r="AZ46" s="2307"/>
      <c r="BA46" s="2307"/>
      <c r="BB46" s="2307"/>
      <c r="BC46" s="2307"/>
      <c r="BD46" s="2307"/>
      <c r="BE46" s="2307"/>
      <c r="BF46" s="2307"/>
      <c r="BG46" s="3714"/>
      <c r="BH46" s="3714"/>
      <c r="BI46" s="3032"/>
      <c r="BJ46" s="2307"/>
      <c r="BK46" s="2307"/>
      <c r="BL46" s="3736"/>
      <c r="BM46" s="2496"/>
      <c r="BN46" s="3736"/>
      <c r="BO46" s="2496"/>
      <c r="BP46" s="2307"/>
    </row>
    <row r="47" spans="1:68" ht="65.25" customHeight="1" x14ac:dyDescent="0.25">
      <c r="A47" s="1540"/>
      <c r="B47" s="1551"/>
      <c r="C47" s="1551"/>
      <c r="D47" s="1549"/>
      <c r="E47" s="1551"/>
      <c r="F47" s="1550"/>
      <c r="G47" s="2341"/>
      <c r="H47" s="2451"/>
      <c r="I47" s="2331"/>
      <c r="J47" s="2745"/>
      <c r="K47" s="2348"/>
      <c r="L47" s="3718"/>
      <c r="M47" s="2416"/>
      <c r="N47" s="2933"/>
      <c r="O47" s="2750"/>
      <c r="P47" s="2442"/>
      <c r="Q47" s="3727"/>
      <c r="R47" s="3729"/>
      <c r="S47" s="3731"/>
      <c r="T47" s="1663" t="s">
        <v>1469</v>
      </c>
      <c r="U47" s="1664">
        <v>8953500</v>
      </c>
      <c r="V47" s="1664">
        <v>8953500</v>
      </c>
      <c r="W47" s="1664">
        <v>8953500</v>
      </c>
      <c r="X47" s="1665">
        <v>20</v>
      </c>
      <c r="Y47" s="1666" t="s">
        <v>7</v>
      </c>
      <c r="Z47" s="2496"/>
      <c r="AA47" s="2995"/>
      <c r="AB47" s="2307"/>
      <c r="AC47" s="2995"/>
      <c r="AD47" s="2307"/>
      <c r="AE47" s="2995"/>
      <c r="AF47" s="2307"/>
      <c r="AG47" s="2995"/>
      <c r="AH47" s="2307"/>
      <c r="AI47" s="2995"/>
      <c r="AJ47" s="2307"/>
      <c r="AK47" s="2995"/>
      <c r="AL47" s="2307"/>
      <c r="AM47" s="2995"/>
      <c r="AN47" s="2307"/>
      <c r="AO47" s="2995"/>
      <c r="AP47" s="2307"/>
      <c r="AQ47" s="2995"/>
      <c r="AR47" s="2307"/>
      <c r="AS47" s="2995"/>
      <c r="AT47" s="2307"/>
      <c r="AU47" s="2995"/>
      <c r="AV47" s="2307"/>
      <c r="AW47" s="2995"/>
      <c r="AX47" s="2307"/>
      <c r="AY47" s="2995"/>
      <c r="AZ47" s="2307"/>
      <c r="BA47" s="2995"/>
      <c r="BB47" s="2307"/>
      <c r="BC47" s="2995"/>
      <c r="BD47" s="2307"/>
      <c r="BE47" s="2995"/>
      <c r="BF47" s="2995"/>
      <c r="BG47" s="3738"/>
      <c r="BH47" s="3738"/>
      <c r="BI47" s="3739"/>
      <c r="BJ47" s="2995"/>
      <c r="BK47" s="2995"/>
      <c r="BL47" s="3736"/>
      <c r="BM47" s="2496"/>
      <c r="BN47" s="3736"/>
      <c r="BO47" s="2496"/>
      <c r="BP47" s="2307"/>
    </row>
    <row r="48" spans="1:68" ht="52.5" customHeight="1" x14ac:dyDescent="0.25">
      <c r="A48" s="1540"/>
      <c r="B48" s="1551"/>
      <c r="C48" s="1551"/>
      <c r="D48" s="1549"/>
      <c r="E48" s="1551"/>
      <c r="F48" s="1550"/>
      <c r="G48" s="3515" t="s">
        <v>1140</v>
      </c>
      <c r="H48" s="2451">
        <v>36.700000000000003</v>
      </c>
      <c r="I48" s="2416" t="s">
        <v>1470</v>
      </c>
      <c r="J48" s="3311" t="s">
        <v>1471</v>
      </c>
      <c r="K48" s="2594">
        <v>1</v>
      </c>
      <c r="L48" s="3716">
        <v>0.45</v>
      </c>
      <c r="M48" s="3311" t="s">
        <v>1472</v>
      </c>
      <c r="N48" s="2343" t="s">
        <v>1473</v>
      </c>
      <c r="O48" s="2413" t="s">
        <v>1474</v>
      </c>
      <c r="P48" s="3331">
        <v>1</v>
      </c>
      <c r="Q48" s="3742">
        <v>240000000</v>
      </c>
      <c r="R48" s="3728" t="s">
        <v>1475</v>
      </c>
      <c r="S48" s="3740" t="s">
        <v>1476</v>
      </c>
      <c r="T48" s="1648" t="s">
        <v>1477</v>
      </c>
      <c r="U48" s="1604">
        <v>14000000</v>
      </c>
      <c r="V48" s="1604">
        <v>8866666</v>
      </c>
      <c r="W48" s="1604">
        <v>2800000</v>
      </c>
      <c r="X48" s="1646">
        <v>88</v>
      </c>
      <c r="Y48" s="1600" t="s">
        <v>4</v>
      </c>
      <c r="Z48" s="2343">
        <v>8900</v>
      </c>
      <c r="AA48" s="2343">
        <v>5</v>
      </c>
      <c r="AB48" s="2343">
        <v>8600</v>
      </c>
      <c r="AC48" s="2343">
        <v>5</v>
      </c>
      <c r="AD48" s="2343">
        <v>12000</v>
      </c>
      <c r="AE48" s="2343"/>
      <c r="AF48" s="2343">
        <v>4000</v>
      </c>
      <c r="AG48" s="2343">
        <v>4</v>
      </c>
      <c r="AH48" s="2343">
        <v>1500</v>
      </c>
      <c r="AI48" s="2343">
        <v>4</v>
      </c>
      <c r="AJ48" s="2343">
        <v>0</v>
      </c>
      <c r="AK48" s="2343">
        <v>2</v>
      </c>
      <c r="AL48" s="2343">
        <v>0</v>
      </c>
      <c r="AM48" s="2343"/>
      <c r="AN48" s="2343">
        <v>0</v>
      </c>
      <c r="AO48" s="2343"/>
      <c r="AP48" s="2343">
        <v>0</v>
      </c>
      <c r="AQ48" s="2343"/>
      <c r="AR48" s="2343">
        <v>0</v>
      </c>
      <c r="AS48" s="2343"/>
      <c r="AT48" s="2343">
        <v>0</v>
      </c>
      <c r="AU48" s="2343"/>
      <c r="AV48" s="2343">
        <v>0</v>
      </c>
      <c r="AW48" s="2343"/>
      <c r="AX48" s="2343">
        <v>0</v>
      </c>
      <c r="AY48" s="2343"/>
      <c r="AZ48" s="2343">
        <v>0</v>
      </c>
      <c r="BA48" s="2343"/>
      <c r="BB48" s="2343">
        <v>0</v>
      </c>
      <c r="BC48" s="2343"/>
      <c r="BD48" s="2343">
        <v>17500</v>
      </c>
      <c r="BE48" s="2343">
        <v>10</v>
      </c>
      <c r="BF48" s="2343">
        <v>5</v>
      </c>
      <c r="BG48" s="3744">
        <f>SUM(V48:V61)</f>
        <v>104135832</v>
      </c>
      <c r="BH48" s="3744">
        <f>SUM(W48:W61)</f>
        <v>61402499</v>
      </c>
      <c r="BI48" s="3748">
        <f>BG48/Q48</f>
        <v>0.43389929999999999</v>
      </c>
      <c r="BJ48" s="2343" t="s">
        <v>1407</v>
      </c>
      <c r="BK48" s="2491" t="s">
        <v>1442</v>
      </c>
      <c r="BL48" s="3750">
        <v>43832</v>
      </c>
      <c r="BM48" s="3747">
        <v>44068</v>
      </c>
      <c r="BN48" s="3747">
        <v>44195</v>
      </c>
      <c r="BO48" s="3747">
        <v>44190</v>
      </c>
      <c r="BP48" s="2343" t="s">
        <v>1409</v>
      </c>
    </row>
    <row r="49" spans="1:68" ht="80.25" customHeight="1" x14ac:dyDescent="0.25">
      <c r="A49" s="1540"/>
      <c r="B49" s="1551"/>
      <c r="C49" s="1551"/>
      <c r="D49" s="1549"/>
      <c r="E49" s="1551"/>
      <c r="F49" s="1550"/>
      <c r="G49" s="3515"/>
      <c r="H49" s="2451"/>
      <c r="I49" s="2416"/>
      <c r="J49" s="3311"/>
      <c r="K49" s="2594"/>
      <c r="L49" s="3717"/>
      <c r="M49" s="3311"/>
      <c r="N49" s="2343"/>
      <c r="O49" s="2413"/>
      <c r="P49" s="3331"/>
      <c r="Q49" s="3742"/>
      <c r="R49" s="3728"/>
      <c r="S49" s="3740"/>
      <c r="T49" s="1648" t="s">
        <v>1478</v>
      </c>
      <c r="U49" s="1604">
        <v>30573500</v>
      </c>
      <c r="V49" s="1604">
        <f>16573500+6600000</f>
        <v>23173500</v>
      </c>
      <c r="W49" s="1604">
        <f>16573500</f>
        <v>16573500</v>
      </c>
      <c r="X49" s="1646">
        <v>20</v>
      </c>
      <c r="Y49" s="1600" t="s">
        <v>7</v>
      </c>
      <c r="Z49" s="2343"/>
      <c r="AA49" s="2343"/>
      <c r="AB49" s="2343"/>
      <c r="AC49" s="2343"/>
      <c r="AD49" s="2343"/>
      <c r="AE49" s="2343"/>
      <c r="AF49" s="2343"/>
      <c r="AG49" s="2343"/>
      <c r="AH49" s="2343"/>
      <c r="AI49" s="2343"/>
      <c r="AJ49" s="2343"/>
      <c r="AK49" s="2343"/>
      <c r="AL49" s="2343"/>
      <c r="AM49" s="2343"/>
      <c r="AN49" s="2343"/>
      <c r="AO49" s="2343"/>
      <c r="AP49" s="2343"/>
      <c r="AQ49" s="2343"/>
      <c r="AR49" s="2343"/>
      <c r="AS49" s="2343"/>
      <c r="AT49" s="2343"/>
      <c r="AU49" s="2343"/>
      <c r="AV49" s="2343"/>
      <c r="AW49" s="2343"/>
      <c r="AX49" s="2343"/>
      <c r="AY49" s="2343"/>
      <c r="AZ49" s="2343"/>
      <c r="BA49" s="2343"/>
      <c r="BB49" s="2343"/>
      <c r="BC49" s="2343"/>
      <c r="BD49" s="2343"/>
      <c r="BE49" s="2343"/>
      <c r="BF49" s="2343"/>
      <c r="BG49" s="3744"/>
      <c r="BH49" s="3744"/>
      <c r="BI49" s="3748"/>
      <c r="BJ49" s="2343"/>
      <c r="BK49" s="2761"/>
      <c r="BL49" s="3751"/>
      <c r="BM49" s="2343"/>
      <c r="BN49" s="3747"/>
      <c r="BO49" s="2343"/>
      <c r="BP49" s="2343"/>
    </row>
    <row r="50" spans="1:68" ht="120" customHeight="1" x14ac:dyDescent="0.25">
      <c r="A50" s="1540"/>
      <c r="B50" s="1551"/>
      <c r="C50" s="1551"/>
      <c r="D50" s="1549"/>
      <c r="E50" s="1551"/>
      <c r="F50" s="1550"/>
      <c r="G50" s="3515"/>
      <c r="H50" s="2451"/>
      <c r="I50" s="2416"/>
      <c r="J50" s="3311"/>
      <c r="K50" s="2594"/>
      <c r="L50" s="3717"/>
      <c r="M50" s="3311"/>
      <c r="N50" s="2343"/>
      <c r="O50" s="2413"/>
      <c r="P50" s="3331"/>
      <c r="Q50" s="3742"/>
      <c r="R50" s="3728"/>
      <c r="S50" s="3740"/>
      <c r="T50" s="1648" t="s">
        <v>1479</v>
      </c>
      <c r="U50" s="1604">
        <v>7000000</v>
      </c>
      <c r="V50" s="1604">
        <v>6066667</v>
      </c>
      <c r="W50" s="1604">
        <v>0</v>
      </c>
      <c r="X50" s="1646">
        <v>20</v>
      </c>
      <c r="Y50" s="1600" t="s">
        <v>7</v>
      </c>
      <c r="Z50" s="2343"/>
      <c r="AA50" s="2343"/>
      <c r="AB50" s="2343"/>
      <c r="AC50" s="2343"/>
      <c r="AD50" s="2343"/>
      <c r="AE50" s="2343"/>
      <c r="AF50" s="2343"/>
      <c r="AG50" s="2343"/>
      <c r="AH50" s="2343"/>
      <c r="AI50" s="2343"/>
      <c r="AJ50" s="2343"/>
      <c r="AK50" s="2343"/>
      <c r="AL50" s="2343"/>
      <c r="AM50" s="2343"/>
      <c r="AN50" s="2343"/>
      <c r="AO50" s="2343"/>
      <c r="AP50" s="2343"/>
      <c r="AQ50" s="2343"/>
      <c r="AR50" s="2343"/>
      <c r="AS50" s="2343"/>
      <c r="AT50" s="2343"/>
      <c r="AU50" s="2343"/>
      <c r="AV50" s="2343"/>
      <c r="AW50" s="2343"/>
      <c r="AX50" s="2343"/>
      <c r="AY50" s="2343"/>
      <c r="AZ50" s="2343"/>
      <c r="BA50" s="2343"/>
      <c r="BB50" s="2343"/>
      <c r="BC50" s="2343"/>
      <c r="BD50" s="2343"/>
      <c r="BE50" s="2343"/>
      <c r="BF50" s="2343"/>
      <c r="BG50" s="3744"/>
      <c r="BH50" s="3744"/>
      <c r="BI50" s="3748"/>
      <c r="BJ50" s="2343"/>
      <c r="BK50" s="2761"/>
      <c r="BL50" s="3751"/>
      <c r="BM50" s="2343"/>
      <c r="BN50" s="3747"/>
      <c r="BO50" s="2343"/>
      <c r="BP50" s="2343"/>
    </row>
    <row r="51" spans="1:68" ht="48" customHeight="1" x14ac:dyDescent="0.25">
      <c r="A51" s="1540"/>
      <c r="B51" s="1551"/>
      <c r="C51" s="1551"/>
      <c r="D51" s="1549"/>
      <c r="E51" s="1551"/>
      <c r="F51" s="1550"/>
      <c r="G51" s="3515"/>
      <c r="H51" s="2451"/>
      <c r="I51" s="2416"/>
      <c r="J51" s="3311"/>
      <c r="K51" s="2594"/>
      <c r="L51" s="3717"/>
      <c r="M51" s="3311"/>
      <c r="N51" s="2343"/>
      <c r="O51" s="2413"/>
      <c r="P51" s="3331"/>
      <c r="Q51" s="3742"/>
      <c r="R51" s="3728"/>
      <c r="S51" s="3740"/>
      <c r="T51" s="3710" t="s">
        <v>1480</v>
      </c>
      <c r="U51" s="1604">
        <v>98670834</v>
      </c>
      <c r="V51" s="1604">
        <v>13023333</v>
      </c>
      <c r="W51" s="1604">
        <f>+V51</f>
        <v>13023333</v>
      </c>
      <c r="X51" s="1646">
        <v>20</v>
      </c>
      <c r="Y51" s="1600" t="s">
        <v>7</v>
      </c>
      <c r="Z51" s="2343"/>
      <c r="AA51" s="2343"/>
      <c r="AB51" s="2343"/>
      <c r="AC51" s="2343"/>
      <c r="AD51" s="2343"/>
      <c r="AE51" s="2343"/>
      <c r="AF51" s="2343"/>
      <c r="AG51" s="2343"/>
      <c r="AH51" s="2343"/>
      <c r="AI51" s="2343"/>
      <c r="AJ51" s="2343"/>
      <c r="AK51" s="2343"/>
      <c r="AL51" s="2343"/>
      <c r="AM51" s="2343"/>
      <c r="AN51" s="2343"/>
      <c r="AO51" s="2343"/>
      <c r="AP51" s="2343"/>
      <c r="AQ51" s="2343"/>
      <c r="AR51" s="2343"/>
      <c r="AS51" s="2343"/>
      <c r="AT51" s="2343"/>
      <c r="AU51" s="2343"/>
      <c r="AV51" s="2343"/>
      <c r="AW51" s="2343"/>
      <c r="AX51" s="2343"/>
      <c r="AY51" s="2343"/>
      <c r="AZ51" s="2343"/>
      <c r="BA51" s="2343"/>
      <c r="BB51" s="2343"/>
      <c r="BC51" s="2343"/>
      <c r="BD51" s="2343"/>
      <c r="BE51" s="2343"/>
      <c r="BF51" s="2343"/>
      <c r="BG51" s="3744"/>
      <c r="BH51" s="3744"/>
      <c r="BI51" s="3748"/>
      <c r="BJ51" s="2343"/>
      <c r="BK51" s="2761"/>
      <c r="BL51" s="3751"/>
      <c r="BM51" s="2343"/>
      <c r="BN51" s="3747"/>
      <c r="BO51" s="2343"/>
      <c r="BP51" s="2343"/>
    </row>
    <row r="52" spans="1:68" ht="42.75" customHeight="1" x14ac:dyDescent="0.25">
      <c r="A52" s="1540"/>
      <c r="B52" s="1551"/>
      <c r="C52" s="1551"/>
      <c r="D52" s="1549"/>
      <c r="E52" s="1551"/>
      <c r="F52" s="1550"/>
      <c r="G52" s="3515"/>
      <c r="H52" s="2451"/>
      <c r="I52" s="2416"/>
      <c r="J52" s="3311"/>
      <c r="K52" s="2594"/>
      <c r="L52" s="3717"/>
      <c r="M52" s="3311"/>
      <c r="N52" s="2343"/>
      <c r="O52" s="2413"/>
      <c r="P52" s="3331"/>
      <c r="Q52" s="3742"/>
      <c r="R52" s="3728"/>
      <c r="S52" s="3740"/>
      <c r="T52" s="3710"/>
      <c r="U52" s="1604">
        <v>31000000</v>
      </c>
      <c r="V52" s="1604">
        <v>5133333</v>
      </c>
      <c r="W52" s="1604">
        <v>0</v>
      </c>
      <c r="X52" s="1646">
        <v>88</v>
      </c>
      <c r="Y52" s="1600" t="s">
        <v>4</v>
      </c>
      <c r="Z52" s="2343"/>
      <c r="AA52" s="2343"/>
      <c r="AB52" s="2343"/>
      <c r="AC52" s="2343"/>
      <c r="AD52" s="2343"/>
      <c r="AE52" s="2343"/>
      <c r="AF52" s="2343"/>
      <c r="AG52" s="2343"/>
      <c r="AH52" s="2343"/>
      <c r="AI52" s="2343"/>
      <c r="AJ52" s="2343"/>
      <c r="AK52" s="2343"/>
      <c r="AL52" s="2343"/>
      <c r="AM52" s="2343"/>
      <c r="AN52" s="2343"/>
      <c r="AO52" s="2343"/>
      <c r="AP52" s="2343"/>
      <c r="AQ52" s="2343"/>
      <c r="AR52" s="2343"/>
      <c r="AS52" s="2343"/>
      <c r="AT52" s="2343"/>
      <c r="AU52" s="2343"/>
      <c r="AV52" s="2343"/>
      <c r="AW52" s="2343"/>
      <c r="AX52" s="2343"/>
      <c r="AY52" s="2343"/>
      <c r="AZ52" s="2343"/>
      <c r="BA52" s="2343"/>
      <c r="BB52" s="2343"/>
      <c r="BC52" s="2343"/>
      <c r="BD52" s="2343"/>
      <c r="BE52" s="2343"/>
      <c r="BF52" s="2343"/>
      <c r="BG52" s="3744"/>
      <c r="BH52" s="3744"/>
      <c r="BI52" s="3748"/>
      <c r="BJ52" s="2343"/>
      <c r="BK52" s="2761"/>
      <c r="BL52" s="3751"/>
      <c r="BM52" s="2343"/>
      <c r="BN52" s="3747"/>
      <c r="BO52" s="2343"/>
      <c r="BP52" s="2343"/>
    </row>
    <row r="53" spans="1:68" ht="107.25" customHeight="1" x14ac:dyDescent="0.25">
      <c r="A53" s="1540"/>
      <c r="B53" s="1551"/>
      <c r="C53" s="1551"/>
      <c r="D53" s="1549"/>
      <c r="E53" s="1551"/>
      <c r="F53" s="1550"/>
      <c r="G53" s="3515"/>
      <c r="H53" s="2451"/>
      <c r="I53" s="2416"/>
      <c r="J53" s="3311"/>
      <c r="K53" s="2594"/>
      <c r="L53" s="3717"/>
      <c r="M53" s="3311"/>
      <c r="N53" s="2343"/>
      <c r="O53" s="2413"/>
      <c r="P53" s="3331"/>
      <c r="Q53" s="3742"/>
      <c r="R53" s="3728"/>
      <c r="S53" s="3740"/>
      <c r="T53" s="1648" t="s">
        <v>1481</v>
      </c>
      <c r="U53" s="1604">
        <v>21093333</v>
      </c>
      <c r="V53" s="1604">
        <f>7093333+10266667+8600000</f>
        <v>25960000</v>
      </c>
      <c r="W53" s="1604">
        <v>7093333</v>
      </c>
      <c r="X53" s="1646">
        <v>20</v>
      </c>
      <c r="Y53" s="1600" t="s">
        <v>7</v>
      </c>
      <c r="Z53" s="2343"/>
      <c r="AA53" s="2343"/>
      <c r="AB53" s="2343"/>
      <c r="AC53" s="2343"/>
      <c r="AD53" s="2343"/>
      <c r="AE53" s="2343"/>
      <c r="AF53" s="2343"/>
      <c r="AG53" s="2343"/>
      <c r="AH53" s="2343"/>
      <c r="AI53" s="2343"/>
      <c r="AJ53" s="2343"/>
      <c r="AK53" s="2343"/>
      <c r="AL53" s="2343"/>
      <c r="AM53" s="2343"/>
      <c r="AN53" s="2343"/>
      <c r="AO53" s="2343"/>
      <c r="AP53" s="2343"/>
      <c r="AQ53" s="2343"/>
      <c r="AR53" s="2343"/>
      <c r="AS53" s="2343"/>
      <c r="AT53" s="2343"/>
      <c r="AU53" s="2343"/>
      <c r="AV53" s="2343"/>
      <c r="AW53" s="2343"/>
      <c r="AX53" s="2343"/>
      <c r="AY53" s="2343"/>
      <c r="AZ53" s="2343"/>
      <c r="BA53" s="2343"/>
      <c r="BB53" s="2343"/>
      <c r="BC53" s="2343"/>
      <c r="BD53" s="2343"/>
      <c r="BE53" s="2343"/>
      <c r="BF53" s="2343"/>
      <c r="BG53" s="3744"/>
      <c r="BH53" s="3744"/>
      <c r="BI53" s="3748"/>
      <c r="BJ53" s="2343"/>
      <c r="BK53" s="2761"/>
      <c r="BL53" s="3751"/>
      <c r="BM53" s="2343"/>
      <c r="BN53" s="3747"/>
      <c r="BO53" s="2343"/>
      <c r="BP53" s="2343"/>
    </row>
    <row r="54" spans="1:68" ht="57.75" customHeight="1" x14ac:dyDescent="0.25">
      <c r="A54" s="1540"/>
      <c r="B54" s="1551"/>
      <c r="C54" s="1551"/>
      <c r="D54" s="1549"/>
      <c r="E54" s="1551"/>
      <c r="F54" s="1550"/>
      <c r="G54" s="3515"/>
      <c r="H54" s="2451"/>
      <c r="I54" s="2416"/>
      <c r="J54" s="3311"/>
      <c r="K54" s="2594"/>
      <c r="L54" s="3717"/>
      <c r="M54" s="3311"/>
      <c r="N54" s="2343"/>
      <c r="O54" s="2413"/>
      <c r="P54" s="3331"/>
      <c r="Q54" s="3742"/>
      <c r="R54" s="3728"/>
      <c r="S54" s="3740"/>
      <c r="T54" s="1648" t="s">
        <v>1482</v>
      </c>
      <c r="U54" s="1604">
        <v>5000000</v>
      </c>
      <c r="V54" s="1604"/>
      <c r="W54" s="1667">
        <f t="shared" ref="W54:W60" si="0">+V54</f>
        <v>0</v>
      </c>
      <c r="X54" s="1646">
        <v>88</v>
      </c>
      <c r="Y54" s="1600" t="s">
        <v>4</v>
      </c>
      <c r="Z54" s="2343"/>
      <c r="AA54" s="2343"/>
      <c r="AB54" s="2343"/>
      <c r="AC54" s="2343"/>
      <c r="AD54" s="2343"/>
      <c r="AE54" s="2343"/>
      <c r="AF54" s="2343"/>
      <c r="AG54" s="2343"/>
      <c r="AH54" s="2343"/>
      <c r="AI54" s="2343"/>
      <c r="AJ54" s="2343"/>
      <c r="AK54" s="2343"/>
      <c r="AL54" s="2343"/>
      <c r="AM54" s="2343"/>
      <c r="AN54" s="2343"/>
      <c r="AO54" s="2343"/>
      <c r="AP54" s="2343"/>
      <c r="AQ54" s="2343"/>
      <c r="AR54" s="2343"/>
      <c r="AS54" s="2343"/>
      <c r="AT54" s="2343"/>
      <c r="AU54" s="2343"/>
      <c r="AV54" s="2343"/>
      <c r="AW54" s="2343"/>
      <c r="AX54" s="2343"/>
      <c r="AY54" s="2343"/>
      <c r="AZ54" s="2343"/>
      <c r="BA54" s="2343"/>
      <c r="BB54" s="2343"/>
      <c r="BC54" s="2343"/>
      <c r="BD54" s="2343"/>
      <c r="BE54" s="2343"/>
      <c r="BF54" s="2343"/>
      <c r="BG54" s="3744"/>
      <c r="BH54" s="3744"/>
      <c r="BI54" s="3748"/>
      <c r="BJ54" s="2343"/>
      <c r="BK54" s="2761"/>
      <c r="BL54" s="3751"/>
      <c r="BM54" s="2343"/>
      <c r="BN54" s="3747"/>
      <c r="BO54" s="2343"/>
      <c r="BP54" s="2343"/>
    </row>
    <row r="55" spans="1:68" ht="63.75" customHeight="1" x14ac:dyDescent="0.25">
      <c r="A55" s="1540"/>
      <c r="B55" s="1551"/>
      <c r="C55" s="1551"/>
      <c r="D55" s="1549"/>
      <c r="E55" s="1551"/>
      <c r="F55" s="1550"/>
      <c r="G55" s="3515"/>
      <c r="H55" s="2451"/>
      <c r="I55" s="2416"/>
      <c r="J55" s="3311"/>
      <c r="K55" s="2594"/>
      <c r="L55" s="3717"/>
      <c r="M55" s="3311"/>
      <c r="N55" s="2343"/>
      <c r="O55" s="2413"/>
      <c r="P55" s="3331"/>
      <c r="Q55" s="3742"/>
      <c r="R55" s="3728"/>
      <c r="S55" s="3740"/>
      <c r="T55" s="1648" t="s">
        <v>1483</v>
      </c>
      <c r="U55" s="1604">
        <v>1075000</v>
      </c>
      <c r="V55" s="1604">
        <v>1075000</v>
      </c>
      <c r="W55" s="1667">
        <f t="shared" si="0"/>
        <v>1075000</v>
      </c>
      <c r="X55" s="1646">
        <v>20</v>
      </c>
      <c r="Y55" s="1600" t="s">
        <v>7</v>
      </c>
      <c r="Z55" s="2343"/>
      <c r="AA55" s="2343"/>
      <c r="AB55" s="2343"/>
      <c r="AC55" s="2343"/>
      <c r="AD55" s="2343"/>
      <c r="AE55" s="2343"/>
      <c r="AF55" s="2343"/>
      <c r="AG55" s="2343"/>
      <c r="AH55" s="2343"/>
      <c r="AI55" s="2343"/>
      <c r="AJ55" s="2343"/>
      <c r="AK55" s="2343"/>
      <c r="AL55" s="2343"/>
      <c r="AM55" s="2343"/>
      <c r="AN55" s="2343"/>
      <c r="AO55" s="2343"/>
      <c r="AP55" s="2343"/>
      <c r="AQ55" s="2343"/>
      <c r="AR55" s="2343"/>
      <c r="AS55" s="2343"/>
      <c r="AT55" s="2343"/>
      <c r="AU55" s="2343"/>
      <c r="AV55" s="2343"/>
      <c r="AW55" s="2343"/>
      <c r="AX55" s="2343"/>
      <c r="AY55" s="2343"/>
      <c r="AZ55" s="2343"/>
      <c r="BA55" s="2343"/>
      <c r="BB55" s="2343"/>
      <c r="BC55" s="2343"/>
      <c r="BD55" s="2343"/>
      <c r="BE55" s="2343"/>
      <c r="BF55" s="2343"/>
      <c r="BG55" s="3744"/>
      <c r="BH55" s="3744"/>
      <c r="BI55" s="3748"/>
      <c r="BJ55" s="2343"/>
      <c r="BK55" s="2761"/>
      <c r="BL55" s="3751"/>
      <c r="BM55" s="2343"/>
      <c r="BN55" s="3747"/>
      <c r="BO55" s="2343"/>
      <c r="BP55" s="2343"/>
    </row>
    <row r="56" spans="1:68" ht="105" customHeight="1" x14ac:dyDescent="0.25">
      <c r="A56" s="1540"/>
      <c r="B56" s="1551"/>
      <c r="C56" s="1551"/>
      <c r="D56" s="1549"/>
      <c r="E56" s="1551"/>
      <c r="F56" s="1550"/>
      <c r="G56" s="3515"/>
      <c r="H56" s="2451"/>
      <c r="I56" s="2416"/>
      <c r="J56" s="3311"/>
      <c r="K56" s="2594"/>
      <c r="L56" s="3717"/>
      <c r="M56" s="3311"/>
      <c r="N56" s="2343"/>
      <c r="O56" s="2413"/>
      <c r="P56" s="3331"/>
      <c r="Q56" s="3742"/>
      <c r="R56" s="3728"/>
      <c r="S56" s="3740"/>
      <c r="T56" s="1648" t="s">
        <v>1484</v>
      </c>
      <c r="U56" s="1668">
        <v>3200000</v>
      </c>
      <c r="V56" s="1668">
        <v>3200000</v>
      </c>
      <c r="W56" s="1667">
        <f t="shared" si="0"/>
        <v>3200000</v>
      </c>
      <c r="X56" s="1646">
        <v>20</v>
      </c>
      <c r="Y56" s="1600" t="s">
        <v>7</v>
      </c>
      <c r="Z56" s="2343"/>
      <c r="AA56" s="2343"/>
      <c r="AB56" s="2343"/>
      <c r="AC56" s="2343"/>
      <c r="AD56" s="2343"/>
      <c r="AE56" s="2343"/>
      <c r="AF56" s="2343"/>
      <c r="AG56" s="2343"/>
      <c r="AH56" s="2343"/>
      <c r="AI56" s="2343"/>
      <c r="AJ56" s="2343"/>
      <c r="AK56" s="2343"/>
      <c r="AL56" s="2343"/>
      <c r="AM56" s="2343"/>
      <c r="AN56" s="2343"/>
      <c r="AO56" s="2343"/>
      <c r="AP56" s="2343"/>
      <c r="AQ56" s="2343"/>
      <c r="AR56" s="2343"/>
      <c r="AS56" s="2343"/>
      <c r="AT56" s="2343"/>
      <c r="AU56" s="2343"/>
      <c r="AV56" s="2343"/>
      <c r="AW56" s="2343"/>
      <c r="AX56" s="2343"/>
      <c r="AY56" s="2343"/>
      <c r="AZ56" s="2343"/>
      <c r="BA56" s="2343"/>
      <c r="BB56" s="2343"/>
      <c r="BC56" s="2343"/>
      <c r="BD56" s="2343"/>
      <c r="BE56" s="2343"/>
      <c r="BF56" s="2343"/>
      <c r="BG56" s="3744"/>
      <c r="BH56" s="3744"/>
      <c r="BI56" s="3748"/>
      <c r="BJ56" s="2343"/>
      <c r="BK56" s="2761"/>
      <c r="BL56" s="3751"/>
      <c r="BM56" s="2343"/>
      <c r="BN56" s="3747"/>
      <c r="BO56" s="2343"/>
      <c r="BP56" s="2343"/>
    </row>
    <row r="57" spans="1:68" ht="69" customHeight="1" x14ac:dyDescent="0.25">
      <c r="A57" s="1540"/>
      <c r="B57" s="1551"/>
      <c r="C57" s="1551"/>
      <c r="D57" s="1549"/>
      <c r="E57" s="1551"/>
      <c r="F57" s="1550"/>
      <c r="G57" s="3515"/>
      <c r="H57" s="2451"/>
      <c r="I57" s="2416"/>
      <c r="J57" s="3311"/>
      <c r="K57" s="2594"/>
      <c r="L57" s="3717"/>
      <c r="M57" s="3311"/>
      <c r="N57" s="2343"/>
      <c r="O57" s="2413"/>
      <c r="P57" s="3331"/>
      <c r="Q57" s="3742"/>
      <c r="R57" s="3728"/>
      <c r="S57" s="3740"/>
      <c r="T57" s="1648" t="s">
        <v>1485</v>
      </c>
      <c r="U57" s="1668">
        <v>3658667</v>
      </c>
      <c r="V57" s="1668">
        <v>3658667</v>
      </c>
      <c r="W57" s="1667">
        <f t="shared" si="0"/>
        <v>3658667</v>
      </c>
      <c r="X57" s="1646">
        <v>20</v>
      </c>
      <c r="Y57" s="1600" t="s">
        <v>7</v>
      </c>
      <c r="Z57" s="2343"/>
      <c r="AA57" s="2343"/>
      <c r="AB57" s="2343"/>
      <c r="AC57" s="2343"/>
      <c r="AD57" s="2343"/>
      <c r="AE57" s="2343"/>
      <c r="AF57" s="2343"/>
      <c r="AG57" s="2343"/>
      <c r="AH57" s="2343"/>
      <c r="AI57" s="2343"/>
      <c r="AJ57" s="2343"/>
      <c r="AK57" s="2343"/>
      <c r="AL57" s="2343"/>
      <c r="AM57" s="2343"/>
      <c r="AN57" s="2343"/>
      <c r="AO57" s="2343"/>
      <c r="AP57" s="2343"/>
      <c r="AQ57" s="2343"/>
      <c r="AR57" s="2343"/>
      <c r="AS57" s="2343"/>
      <c r="AT57" s="2343"/>
      <c r="AU57" s="2343"/>
      <c r="AV57" s="2343"/>
      <c r="AW57" s="2343"/>
      <c r="AX57" s="2343"/>
      <c r="AY57" s="2343"/>
      <c r="AZ57" s="2343"/>
      <c r="BA57" s="2343"/>
      <c r="BB57" s="2343"/>
      <c r="BC57" s="2343"/>
      <c r="BD57" s="2343"/>
      <c r="BE57" s="2343"/>
      <c r="BF57" s="2343"/>
      <c r="BG57" s="3744"/>
      <c r="BH57" s="3744"/>
      <c r="BI57" s="3748"/>
      <c r="BJ57" s="2343"/>
      <c r="BK57" s="2761"/>
      <c r="BL57" s="3751"/>
      <c r="BM57" s="2343"/>
      <c r="BN57" s="3747"/>
      <c r="BO57" s="2343"/>
      <c r="BP57" s="2343"/>
    </row>
    <row r="58" spans="1:68" ht="75" customHeight="1" x14ac:dyDescent="0.25">
      <c r="A58" s="1540"/>
      <c r="B58" s="1551"/>
      <c r="C58" s="1551"/>
      <c r="D58" s="1549"/>
      <c r="E58" s="1551"/>
      <c r="F58" s="1550"/>
      <c r="G58" s="3515"/>
      <c r="H58" s="2451"/>
      <c r="I58" s="2416"/>
      <c r="J58" s="3311"/>
      <c r="K58" s="2594"/>
      <c r="L58" s="3717"/>
      <c r="M58" s="3311"/>
      <c r="N58" s="2343"/>
      <c r="O58" s="2413"/>
      <c r="P58" s="3331"/>
      <c r="Q58" s="3742"/>
      <c r="R58" s="3728"/>
      <c r="S58" s="3740"/>
      <c r="T58" s="1648" t="s">
        <v>1486</v>
      </c>
      <c r="U58" s="1668">
        <v>3136000</v>
      </c>
      <c r="V58" s="1668">
        <v>3136000</v>
      </c>
      <c r="W58" s="1667">
        <f t="shared" si="0"/>
        <v>3136000</v>
      </c>
      <c r="X58" s="1646">
        <v>20</v>
      </c>
      <c r="Y58" s="1600" t="s">
        <v>7</v>
      </c>
      <c r="Z58" s="2343"/>
      <c r="AA58" s="2343"/>
      <c r="AB58" s="2343"/>
      <c r="AC58" s="2343"/>
      <c r="AD58" s="2343"/>
      <c r="AE58" s="2343"/>
      <c r="AF58" s="2343"/>
      <c r="AG58" s="2343"/>
      <c r="AH58" s="2343"/>
      <c r="AI58" s="2343"/>
      <c r="AJ58" s="2343"/>
      <c r="AK58" s="2343"/>
      <c r="AL58" s="2343"/>
      <c r="AM58" s="2343"/>
      <c r="AN58" s="2343"/>
      <c r="AO58" s="2343"/>
      <c r="AP58" s="2343"/>
      <c r="AQ58" s="2343"/>
      <c r="AR58" s="2343"/>
      <c r="AS58" s="2343"/>
      <c r="AT58" s="2343"/>
      <c r="AU58" s="2343"/>
      <c r="AV58" s="2343"/>
      <c r="AW58" s="2343"/>
      <c r="AX58" s="2343"/>
      <c r="AY58" s="2343"/>
      <c r="AZ58" s="2343"/>
      <c r="BA58" s="2343"/>
      <c r="BB58" s="2343"/>
      <c r="BC58" s="2343"/>
      <c r="BD58" s="2343"/>
      <c r="BE58" s="2343"/>
      <c r="BF58" s="2343"/>
      <c r="BG58" s="3744"/>
      <c r="BH58" s="3744"/>
      <c r="BI58" s="3748"/>
      <c r="BJ58" s="2343"/>
      <c r="BK58" s="2761"/>
      <c r="BL58" s="3751"/>
      <c r="BM58" s="2343"/>
      <c r="BN58" s="3747"/>
      <c r="BO58" s="2343"/>
      <c r="BP58" s="2343"/>
    </row>
    <row r="59" spans="1:68" ht="120" customHeight="1" x14ac:dyDescent="0.25">
      <c r="A59" s="1540"/>
      <c r="B59" s="1551"/>
      <c r="C59" s="1551"/>
      <c r="D59" s="1549"/>
      <c r="E59" s="1551"/>
      <c r="F59" s="1550"/>
      <c r="G59" s="3515"/>
      <c r="H59" s="2451"/>
      <c r="I59" s="2416"/>
      <c r="J59" s="3311"/>
      <c r="K59" s="2594"/>
      <c r="L59" s="3717"/>
      <c r="M59" s="3311"/>
      <c r="N59" s="2343"/>
      <c r="O59" s="2413"/>
      <c r="P59" s="3331"/>
      <c r="Q59" s="3742"/>
      <c r="R59" s="3728"/>
      <c r="S59" s="3740"/>
      <c r="T59" s="1648" t="s">
        <v>1487</v>
      </c>
      <c r="U59" s="1668">
        <v>3136000</v>
      </c>
      <c r="V59" s="1668">
        <v>3136000</v>
      </c>
      <c r="W59" s="1667">
        <f t="shared" si="0"/>
        <v>3136000</v>
      </c>
      <c r="X59" s="1646">
        <v>20</v>
      </c>
      <c r="Y59" s="1600" t="s">
        <v>7</v>
      </c>
      <c r="Z59" s="2343"/>
      <c r="AA59" s="2343"/>
      <c r="AB59" s="2343"/>
      <c r="AC59" s="2343"/>
      <c r="AD59" s="2343"/>
      <c r="AE59" s="2343"/>
      <c r="AF59" s="2343"/>
      <c r="AG59" s="2343"/>
      <c r="AH59" s="2343"/>
      <c r="AI59" s="2343"/>
      <c r="AJ59" s="2343"/>
      <c r="AK59" s="2343"/>
      <c r="AL59" s="2343"/>
      <c r="AM59" s="2343"/>
      <c r="AN59" s="2343"/>
      <c r="AO59" s="2343"/>
      <c r="AP59" s="2343"/>
      <c r="AQ59" s="2343"/>
      <c r="AR59" s="2343"/>
      <c r="AS59" s="2343"/>
      <c r="AT59" s="2343"/>
      <c r="AU59" s="2343"/>
      <c r="AV59" s="2343"/>
      <c r="AW59" s="2343"/>
      <c r="AX59" s="2343"/>
      <c r="AY59" s="2343"/>
      <c r="AZ59" s="2343"/>
      <c r="BA59" s="2343"/>
      <c r="BB59" s="2343"/>
      <c r="BC59" s="2343"/>
      <c r="BD59" s="2343"/>
      <c r="BE59" s="2343"/>
      <c r="BF59" s="2343"/>
      <c r="BG59" s="3744"/>
      <c r="BH59" s="3744"/>
      <c r="BI59" s="3748"/>
      <c r="BJ59" s="2343"/>
      <c r="BK59" s="2761"/>
      <c r="BL59" s="3751"/>
      <c r="BM59" s="2343"/>
      <c r="BN59" s="3747"/>
      <c r="BO59" s="2343"/>
      <c r="BP59" s="2343"/>
    </row>
    <row r="60" spans="1:68" ht="120" customHeight="1" x14ac:dyDescent="0.25">
      <c r="A60" s="1540"/>
      <c r="B60" s="1551"/>
      <c r="C60" s="1551"/>
      <c r="D60" s="1549"/>
      <c r="E60" s="1551"/>
      <c r="F60" s="1550"/>
      <c r="G60" s="3515"/>
      <c r="H60" s="2451"/>
      <c r="I60" s="2416"/>
      <c r="J60" s="3311"/>
      <c r="K60" s="2594"/>
      <c r="L60" s="3717"/>
      <c r="M60" s="3311"/>
      <c r="N60" s="2343"/>
      <c r="O60" s="2413"/>
      <c r="P60" s="3331"/>
      <c r="Q60" s="3742"/>
      <c r="R60" s="3728"/>
      <c r="S60" s="3740"/>
      <c r="T60" s="1648" t="s">
        <v>1488</v>
      </c>
      <c r="U60" s="1668">
        <v>2150000</v>
      </c>
      <c r="V60" s="1668">
        <v>2150000</v>
      </c>
      <c r="W60" s="1667">
        <f t="shared" si="0"/>
        <v>2150000</v>
      </c>
      <c r="X60" s="1646">
        <v>20</v>
      </c>
      <c r="Y60" s="1600" t="s">
        <v>7</v>
      </c>
      <c r="Z60" s="2343"/>
      <c r="AA60" s="2343"/>
      <c r="AB60" s="2343"/>
      <c r="AC60" s="2343"/>
      <c r="AD60" s="2343"/>
      <c r="AE60" s="2343"/>
      <c r="AF60" s="2343"/>
      <c r="AG60" s="2343"/>
      <c r="AH60" s="2343"/>
      <c r="AI60" s="2343"/>
      <c r="AJ60" s="2343"/>
      <c r="AK60" s="2343"/>
      <c r="AL60" s="2343"/>
      <c r="AM60" s="2343"/>
      <c r="AN60" s="2343"/>
      <c r="AO60" s="2343"/>
      <c r="AP60" s="2343"/>
      <c r="AQ60" s="2343"/>
      <c r="AR60" s="2343"/>
      <c r="AS60" s="2343"/>
      <c r="AT60" s="2343"/>
      <c r="AU60" s="2343"/>
      <c r="AV60" s="2343"/>
      <c r="AW60" s="2343"/>
      <c r="AX60" s="2343"/>
      <c r="AY60" s="2343"/>
      <c r="AZ60" s="2343"/>
      <c r="BA60" s="2343"/>
      <c r="BB60" s="2343"/>
      <c r="BC60" s="2343"/>
      <c r="BD60" s="2343"/>
      <c r="BE60" s="2343"/>
      <c r="BF60" s="2343"/>
      <c r="BG60" s="3744"/>
      <c r="BH60" s="3744"/>
      <c r="BI60" s="3748"/>
      <c r="BJ60" s="2343"/>
      <c r="BK60" s="2761"/>
      <c r="BL60" s="3751"/>
      <c r="BM60" s="2343"/>
      <c r="BN60" s="3747"/>
      <c r="BO60" s="2343"/>
      <c r="BP60" s="2343"/>
    </row>
    <row r="61" spans="1:68" ht="105" customHeight="1" x14ac:dyDescent="0.25">
      <c r="A61" s="141"/>
      <c r="B61" s="1"/>
      <c r="C61" s="1"/>
      <c r="D61" s="212"/>
      <c r="E61" s="1"/>
      <c r="F61" s="3"/>
      <c r="G61" s="3734"/>
      <c r="H61" s="3047"/>
      <c r="I61" s="2584"/>
      <c r="J61" s="3334"/>
      <c r="K61" s="3735"/>
      <c r="L61" s="3718"/>
      <c r="M61" s="3334"/>
      <c r="N61" s="2491"/>
      <c r="O61" s="2493"/>
      <c r="P61" s="3332"/>
      <c r="Q61" s="3743"/>
      <c r="R61" s="3729"/>
      <c r="S61" s="3741"/>
      <c r="T61" s="1663" t="s">
        <v>1489</v>
      </c>
      <c r="U61" s="1667">
        <v>16306666</v>
      </c>
      <c r="V61" s="1667">
        <v>5556666</v>
      </c>
      <c r="W61" s="1667">
        <f>+V61</f>
        <v>5556666</v>
      </c>
      <c r="X61" s="1652">
        <v>20</v>
      </c>
      <c r="Y61" s="1669" t="s">
        <v>7</v>
      </c>
      <c r="Z61" s="2491"/>
      <c r="AA61" s="2491"/>
      <c r="AB61" s="2491"/>
      <c r="AC61" s="2491"/>
      <c r="AD61" s="2491"/>
      <c r="AE61" s="2491"/>
      <c r="AF61" s="2491"/>
      <c r="AG61" s="2491"/>
      <c r="AH61" s="2491"/>
      <c r="AI61" s="2491"/>
      <c r="AJ61" s="2491"/>
      <c r="AK61" s="2491"/>
      <c r="AL61" s="2491"/>
      <c r="AM61" s="2491"/>
      <c r="AN61" s="2491"/>
      <c r="AO61" s="2491"/>
      <c r="AP61" s="2491"/>
      <c r="AQ61" s="2491"/>
      <c r="AR61" s="2491"/>
      <c r="AS61" s="2491"/>
      <c r="AT61" s="2491"/>
      <c r="AU61" s="2491"/>
      <c r="AV61" s="2491"/>
      <c r="AW61" s="2491"/>
      <c r="AX61" s="2491"/>
      <c r="AY61" s="2491"/>
      <c r="AZ61" s="2491"/>
      <c r="BA61" s="2491"/>
      <c r="BB61" s="2491"/>
      <c r="BC61" s="2491"/>
      <c r="BD61" s="2491"/>
      <c r="BE61" s="2491"/>
      <c r="BF61" s="2491"/>
      <c r="BG61" s="3745"/>
      <c r="BH61" s="3745"/>
      <c r="BI61" s="3749"/>
      <c r="BJ61" s="2491"/>
      <c r="BK61" s="2342"/>
      <c r="BL61" s="3752"/>
      <c r="BM61" s="2491"/>
      <c r="BN61" s="3750"/>
      <c r="BO61" s="2491"/>
      <c r="BP61" s="2491"/>
    </row>
    <row r="62" spans="1:68" ht="60" customHeight="1" x14ac:dyDescent="0.25">
      <c r="A62" s="141"/>
      <c r="B62" s="1"/>
      <c r="C62" s="1"/>
      <c r="D62" s="212"/>
      <c r="E62" s="1"/>
      <c r="F62" s="3"/>
      <c r="G62" s="2341" t="s">
        <v>1140</v>
      </c>
      <c r="H62" s="2451">
        <v>36.9</v>
      </c>
      <c r="I62" s="2416" t="s">
        <v>1490</v>
      </c>
      <c r="J62" s="2416" t="s">
        <v>1491</v>
      </c>
      <c r="K62" s="2348">
        <v>1</v>
      </c>
      <c r="L62" s="3666">
        <v>1</v>
      </c>
      <c r="M62" s="3311" t="s">
        <v>1420</v>
      </c>
      <c r="N62" s="2343" t="s">
        <v>1421</v>
      </c>
      <c r="O62" s="2413" t="s">
        <v>1422</v>
      </c>
      <c r="P62" s="3331">
        <f>(U63+U64+U65+U66+U67+U68+U69+U70+U71+U72)/(Q62+Q87+Q22)</f>
        <v>0.35315627309133768</v>
      </c>
      <c r="Q62" s="3746">
        <v>40401666</v>
      </c>
      <c r="R62" s="3728" t="s">
        <v>1423</v>
      </c>
      <c r="S62" s="3740" t="s">
        <v>1424</v>
      </c>
      <c r="T62" s="1648" t="s">
        <v>1492</v>
      </c>
      <c r="U62" s="1670">
        <v>0</v>
      </c>
      <c r="V62" s="1670">
        <v>0</v>
      </c>
      <c r="W62" s="1670">
        <v>0</v>
      </c>
      <c r="X62" s="1632"/>
      <c r="Y62" s="1633"/>
      <c r="Z62" s="2343">
        <v>4600</v>
      </c>
      <c r="AA62" s="2867">
        <v>500</v>
      </c>
      <c r="AB62" s="2343">
        <v>3810</v>
      </c>
      <c r="AC62" s="2867">
        <v>500</v>
      </c>
      <c r="AD62" s="2343">
        <v>0</v>
      </c>
      <c r="AE62" s="2491"/>
      <c r="AF62" s="2343">
        <v>5300</v>
      </c>
      <c r="AG62" s="2491"/>
      <c r="AH62" s="2343">
        <v>2900</v>
      </c>
      <c r="AI62" s="2491"/>
      <c r="AJ62" s="2343">
        <v>0</v>
      </c>
      <c r="AK62" s="2491"/>
      <c r="AL62" s="2343" t="s">
        <v>1426</v>
      </c>
      <c r="AM62" s="2491"/>
      <c r="AN62" s="2343">
        <v>110</v>
      </c>
      <c r="AO62" s="2491"/>
      <c r="AP62" s="2343">
        <v>0</v>
      </c>
      <c r="AQ62" s="2491"/>
      <c r="AR62" s="2343">
        <v>0</v>
      </c>
      <c r="AS62" s="2491"/>
      <c r="AT62" s="2343">
        <v>0</v>
      </c>
      <c r="AU62" s="2491"/>
      <c r="AV62" s="2343">
        <v>0</v>
      </c>
      <c r="AW62" s="2491"/>
      <c r="AX62" s="2343">
        <v>0</v>
      </c>
      <c r="AY62" s="2491"/>
      <c r="AZ62" s="2343">
        <v>100</v>
      </c>
      <c r="BA62" s="2491"/>
      <c r="BB62" s="2343">
        <v>0</v>
      </c>
      <c r="BC62" s="2491"/>
      <c r="BD62" s="2343">
        <v>8410</v>
      </c>
      <c r="BE62" s="2491"/>
      <c r="BF62" s="2491">
        <v>1</v>
      </c>
      <c r="BG62" s="3745">
        <f>SUM(V62:V72)</f>
        <v>40401666</v>
      </c>
      <c r="BH62" s="3745">
        <f>SUM(W62:W72)</f>
        <v>40401666</v>
      </c>
      <c r="BI62" s="3749">
        <f>BG62/Q62</f>
        <v>1</v>
      </c>
      <c r="BJ62" s="2491" t="s">
        <v>1407</v>
      </c>
      <c r="BK62" s="2491" t="s">
        <v>1427</v>
      </c>
      <c r="BL62" s="3750">
        <v>43832</v>
      </c>
      <c r="BM62" s="3750">
        <v>43832</v>
      </c>
      <c r="BN62" s="3750">
        <v>44195</v>
      </c>
      <c r="BO62" s="3750">
        <v>44195</v>
      </c>
      <c r="BP62" s="2491" t="s">
        <v>1409</v>
      </c>
    </row>
    <row r="63" spans="1:68" s="1601" customFormat="1" ht="66.75" customHeight="1" x14ac:dyDescent="0.25">
      <c r="A63" s="616"/>
      <c r="B63" s="1471"/>
      <c r="C63" s="1471"/>
      <c r="D63" s="1522"/>
      <c r="E63" s="1471"/>
      <c r="F63" s="1523"/>
      <c r="G63" s="2341"/>
      <c r="H63" s="2451"/>
      <c r="I63" s="2416"/>
      <c r="J63" s="2416"/>
      <c r="K63" s="2348"/>
      <c r="L63" s="3667"/>
      <c r="M63" s="3311"/>
      <c r="N63" s="2343"/>
      <c r="O63" s="2413"/>
      <c r="P63" s="3331"/>
      <c r="Q63" s="3746"/>
      <c r="R63" s="3728"/>
      <c r="S63" s="3740"/>
      <c r="T63" s="1671" t="s">
        <v>1428</v>
      </c>
      <c r="U63" s="1668">
        <v>11720000</v>
      </c>
      <c r="V63" s="1668">
        <v>11720000</v>
      </c>
      <c r="W63" s="1668">
        <v>11720000</v>
      </c>
      <c r="X63" s="1646">
        <v>20</v>
      </c>
      <c r="Y63" s="1600" t="s">
        <v>7</v>
      </c>
      <c r="Z63" s="2343"/>
      <c r="AA63" s="2867"/>
      <c r="AB63" s="2343"/>
      <c r="AC63" s="2867"/>
      <c r="AD63" s="2343"/>
      <c r="AE63" s="2761"/>
      <c r="AF63" s="2343"/>
      <c r="AG63" s="2761"/>
      <c r="AH63" s="2343"/>
      <c r="AI63" s="2761"/>
      <c r="AJ63" s="2343"/>
      <c r="AK63" s="2761"/>
      <c r="AL63" s="2343"/>
      <c r="AM63" s="2761"/>
      <c r="AN63" s="2343"/>
      <c r="AO63" s="2761"/>
      <c r="AP63" s="2343"/>
      <c r="AQ63" s="2761"/>
      <c r="AR63" s="2343"/>
      <c r="AS63" s="2761"/>
      <c r="AT63" s="2343"/>
      <c r="AU63" s="2761"/>
      <c r="AV63" s="2343"/>
      <c r="AW63" s="2761"/>
      <c r="AX63" s="2343"/>
      <c r="AY63" s="2761"/>
      <c r="AZ63" s="2343"/>
      <c r="BA63" s="2761"/>
      <c r="BB63" s="2343"/>
      <c r="BC63" s="2761"/>
      <c r="BD63" s="2343"/>
      <c r="BE63" s="2761"/>
      <c r="BF63" s="2761"/>
      <c r="BG63" s="3777"/>
      <c r="BH63" s="3777"/>
      <c r="BI63" s="3779"/>
      <c r="BJ63" s="2761"/>
      <c r="BK63" s="2761"/>
      <c r="BL63" s="3751"/>
      <c r="BM63" s="3751"/>
      <c r="BN63" s="3751"/>
      <c r="BO63" s="3751"/>
      <c r="BP63" s="2761"/>
    </row>
    <row r="64" spans="1:68" s="1601" customFormat="1" ht="50.25" customHeight="1" x14ac:dyDescent="0.25">
      <c r="A64" s="616"/>
      <c r="B64" s="1471"/>
      <c r="C64" s="1471"/>
      <c r="D64" s="1522"/>
      <c r="E64" s="1471"/>
      <c r="F64" s="1523"/>
      <c r="G64" s="2341"/>
      <c r="H64" s="2451"/>
      <c r="I64" s="2416"/>
      <c r="J64" s="2416"/>
      <c r="K64" s="2348"/>
      <c r="L64" s="3667"/>
      <c r="M64" s="3311"/>
      <c r="N64" s="2343"/>
      <c r="O64" s="2413"/>
      <c r="P64" s="3331"/>
      <c r="Q64" s="3746"/>
      <c r="R64" s="3728"/>
      <c r="S64" s="3740"/>
      <c r="T64" s="1671" t="s">
        <v>1429</v>
      </c>
      <c r="U64" s="1668">
        <v>10453333</v>
      </c>
      <c r="V64" s="1668">
        <v>10453333</v>
      </c>
      <c r="W64" s="1668">
        <v>10453333</v>
      </c>
      <c r="X64" s="1646">
        <v>20</v>
      </c>
      <c r="Y64" s="1600" t="s">
        <v>7</v>
      </c>
      <c r="Z64" s="2343"/>
      <c r="AA64" s="2867"/>
      <c r="AB64" s="2343"/>
      <c r="AC64" s="2867"/>
      <c r="AD64" s="2343"/>
      <c r="AE64" s="2761"/>
      <c r="AF64" s="2343"/>
      <c r="AG64" s="2761"/>
      <c r="AH64" s="2343"/>
      <c r="AI64" s="2761"/>
      <c r="AJ64" s="2343"/>
      <c r="AK64" s="2761"/>
      <c r="AL64" s="2343"/>
      <c r="AM64" s="2761"/>
      <c r="AN64" s="2343"/>
      <c r="AO64" s="2761"/>
      <c r="AP64" s="2343"/>
      <c r="AQ64" s="2761"/>
      <c r="AR64" s="2343"/>
      <c r="AS64" s="2761"/>
      <c r="AT64" s="2343"/>
      <c r="AU64" s="2761"/>
      <c r="AV64" s="2343"/>
      <c r="AW64" s="2761"/>
      <c r="AX64" s="2343"/>
      <c r="AY64" s="2761"/>
      <c r="AZ64" s="2343"/>
      <c r="BA64" s="2761"/>
      <c r="BB64" s="2343"/>
      <c r="BC64" s="2761"/>
      <c r="BD64" s="2343"/>
      <c r="BE64" s="2761"/>
      <c r="BF64" s="2761"/>
      <c r="BG64" s="3777"/>
      <c r="BH64" s="3777"/>
      <c r="BI64" s="3779"/>
      <c r="BJ64" s="2761"/>
      <c r="BK64" s="2761"/>
      <c r="BL64" s="3751"/>
      <c r="BM64" s="3751"/>
      <c r="BN64" s="3751"/>
      <c r="BO64" s="3751"/>
      <c r="BP64" s="2761"/>
    </row>
    <row r="65" spans="1:131" s="1601" customFormat="1" ht="91.5" customHeight="1" x14ac:dyDescent="0.25">
      <c r="A65" s="616"/>
      <c r="B65" s="1471"/>
      <c r="C65" s="1471"/>
      <c r="D65" s="1522"/>
      <c r="E65" s="1471"/>
      <c r="F65" s="1523"/>
      <c r="G65" s="2341"/>
      <c r="H65" s="2451"/>
      <c r="I65" s="2416"/>
      <c r="J65" s="2416"/>
      <c r="K65" s="2348"/>
      <c r="L65" s="3667"/>
      <c r="M65" s="3311"/>
      <c r="N65" s="2343"/>
      <c r="O65" s="2413"/>
      <c r="P65" s="3331"/>
      <c r="Q65" s="3746"/>
      <c r="R65" s="3728"/>
      <c r="S65" s="3740"/>
      <c r="T65" s="1671" t="s">
        <v>1430</v>
      </c>
      <c r="U65" s="1668">
        <v>1080000</v>
      </c>
      <c r="V65" s="1668">
        <v>1080000</v>
      </c>
      <c r="W65" s="1668">
        <v>1080000</v>
      </c>
      <c r="X65" s="1646">
        <v>20</v>
      </c>
      <c r="Y65" s="1600" t="s">
        <v>7</v>
      </c>
      <c r="Z65" s="2343"/>
      <c r="AA65" s="2867"/>
      <c r="AB65" s="2343"/>
      <c r="AC65" s="2867"/>
      <c r="AD65" s="2343"/>
      <c r="AE65" s="2761"/>
      <c r="AF65" s="2343"/>
      <c r="AG65" s="2761"/>
      <c r="AH65" s="2343"/>
      <c r="AI65" s="2761"/>
      <c r="AJ65" s="2343"/>
      <c r="AK65" s="2761"/>
      <c r="AL65" s="2343"/>
      <c r="AM65" s="2761"/>
      <c r="AN65" s="2343"/>
      <c r="AO65" s="2761"/>
      <c r="AP65" s="2343"/>
      <c r="AQ65" s="2761"/>
      <c r="AR65" s="2343"/>
      <c r="AS65" s="2761"/>
      <c r="AT65" s="2343"/>
      <c r="AU65" s="2761"/>
      <c r="AV65" s="2343"/>
      <c r="AW65" s="2761"/>
      <c r="AX65" s="2343"/>
      <c r="AY65" s="2761"/>
      <c r="AZ65" s="2343"/>
      <c r="BA65" s="2761"/>
      <c r="BB65" s="2343"/>
      <c r="BC65" s="2761"/>
      <c r="BD65" s="2343"/>
      <c r="BE65" s="2761"/>
      <c r="BF65" s="2761"/>
      <c r="BG65" s="3777"/>
      <c r="BH65" s="3777"/>
      <c r="BI65" s="3779"/>
      <c r="BJ65" s="2761"/>
      <c r="BK65" s="2761"/>
      <c r="BL65" s="3751"/>
      <c r="BM65" s="3751"/>
      <c r="BN65" s="3751"/>
      <c r="BO65" s="3751"/>
      <c r="BP65" s="2761"/>
    </row>
    <row r="66" spans="1:131" s="1601" customFormat="1" ht="79.5" customHeight="1" x14ac:dyDescent="0.25">
      <c r="A66" s="616"/>
      <c r="B66" s="1471"/>
      <c r="C66" s="1471"/>
      <c r="D66" s="1522"/>
      <c r="E66" s="1471"/>
      <c r="F66" s="1523"/>
      <c r="G66" s="2341"/>
      <c r="H66" s="2451"/>
      <c r="I66" s="2416"/>
      <c r="J66" s="2416"/>
      <c r="K66" s="2348"/>
      <c r="L66" s="3667"/>
      <c r="M66" s="3311"/>
      <c r="N66" s="2343"/>
      <c r="O66" s="2413"/>
      <c r="P66" s="3331"/>
      <c r="Q66" s="3746"/>
      <c r="R66" s="3728"/>
      <c r="S66" s="3740"/>
      <c r="T66" s="1671" t="s">
        <v>1431</v>
      </c>
      <c r="U66" s="1668">
        <v>16200000</v>
      </c>
      <c r="V66" s="1668">
        <v>16200000</v>
      </c>
      <c r="W66" s="1668">
        <v>16200000</v>
      </c>
      <c r="X66" s="1646">
        <v>20</v>
      </c>
      <c r="Y66" s="1600" t="s">
        <v>7</v>
      </c>
      <c r="Z66" s="2343"/>
      <c r="AA66" s="2867"/>
      <c r="AB66" s="2343"/>
      <c r="AC66" s="2867"/>
      <c r="AD66" s="2343"/>
      <c r="AE66" s="2761"/>
      <c r="AF66" s="2343"/>
      <c r="AG66" s="2761"/>
      <c r="AH66" s="2343"/>
      <c r="AI66" s="2761"/>
      <c r="AJ66" s="2343"/>
      <c r="AK66" s="2761"/>
      <c r="AL66" s="2343"/>
      <c r="AM66" s="2761"/>
      <c r="AN66" s="2343"/>
      <c r="AO66" s="2761"/>
      <c r="AP66" s="2343"/>
      <c r="AQ66" s="2761"/>
      <c r="AR66" s="2343"/>
      <c r="AS66" s="2761"/>
      <c r="AT66" s="2343"/>
      <c r="AU66" s="2761"/>
      <c r="AV66" s="2343"/>
      <c r="AW66" s="2761"/>
      <c r="AX66" s="2343"/>
      <c r="AY66" s="2761"/>
      <c r="AZ66" s="2343"/>
      <c r="BA66" s="2761"/>
      <c r="BB66" s="2343"/>
      <c r="BC66" s="2761"/>
      <c r="BD66" s="2343"/>
      <c r="BE66" s="2761"/>
      <c r="BF66" s="2761"/>
      <c r="BG66" s="3777"/>
      <c r="BH66" s="3777"/>
      <c r="BI66" s="3779"/>
      <c r="BJ66" s="2761"/>
      <c r="BK66" s="2761"/>
      <c r="BL66" s="3751"/>
      <c r="BM66" s="3751"/>
      <c r="BN66" s="3751"/>
      <c r="BO66" s="3751"/>
      <c r="BP66" s="2761"/>
      <c r="BQ66" s="1471"/>
    </row>
    <row r="67" spans="1:131" s="1601" customFormat="1" ht="54.75" customHeight="1" x14ac:dyDescent="0.25">
      <c r="A67" s="616"/>
      <c r="B67" s="1471"/>
      <c r="C67" s="1471"/>
      <c r="D67" s="1522"/>
      <c r="E67" s="1471"/>
      <c r="F67" s="1523"/>
      <c r="G67" s="2341"/>
      <c r="H67" s="2451"/>
      <c r="I67" s="2416"/>
      <c r="J67" s="2416"/>
      <c r="K67" s="2348"/>
      <c r="L67" s="3667"/>
      <c r="M67" s="3311"/>
      <c r="N67" s="2343"/>
      <c r="O67" s="2413"/>
      <c r="P67" s="3331"/>
      <c r="Q67" s="3746"/>
      <c r="R67" s="3728"/>
      <c r="S67" s="3740"/>
      <c r="T67" s="1671" t="s">
        <v>1432</v>
      </c>
      <c r="U67" s="1668">
        <v>948333</v>
      </c>
      <c r="V67" s="1668">
        <v>948333</v>
      </c>
      <c r="W67" s="1668">
        <v>948333</v>
      </c>
      <c r="X67" s="1646">
        <v>20</v>
      </c>
      <c r="Y67" s="1600" t="s">
        <v>7</v>
      </c>
      <c r="Z67" s="2343"/>
      <c r="AA67" s="2867"/>
      <c r="AB67" s="2343"/>
      <c r="AC67" s="2867"/>
      <c r="AD67" s="2343"/>
      <c r="AE67" s="2761"/>
      <c r="AF67" s="2343"/>
      <c r="AG67" s="2761"/>
      <c r="AH67" s="2343"/>
      <c r="AI67" s="2761"/>
      <c r="AJ67" s="2343"/>
      <c r="AK67" s="2761"/>
      <c r="AL67" s="2343"/>
      <c r="AM67" s="2761"/>
      <c r="AN67" s="2343"/>
      <c r="AO67" s="2761"/>
      <c r="AP67" s="2343"/>
      <c r="AQ67" s="2761"/>
      <c r="AR67" s="2343"/>
      <c r="AS67" s="2761"/>
      <c r="AT67" s="2343"/>
      <c r="AU67" s="2761"/>
      <c r="AV67" s="2343"/>
      <c r="AW67" s="2761"/>
      <c r="AX67" s="2343"/>
      <c r="AY67" s="2761"/>
      <c r="AZ67" s="2343"/>
      <c r="BA67" s="2761"/>
      <c r="BB67" s="2343"/>
      <c r="BC67" s="2761"/>
      <c r="BD67" s="2343"/>
      <c r="BE67" s="2761"/>
      <c r="BF67" s="2761"/>
      <c r="BG67" s="3777"/>
      <c r="BH67" s="3777"/>
      <c r="BI67" s="3779"/>
      <c r="BJ67" s="2761"/>
      <c r="BK67" s="2761"/>
      <c r="BL67" s="3751"/>
      <c r="BM67" s="3751"/>
      <c r="BN67" s="3751"/>
      <c r="BO67" s="3751"/>
      <c r="BP67" s="2761"/>
      <c r="BQ67" s="1471"/>
    </row>
    <row r="68" spans="1:131" s="1601" customFormat="1" ht="48.75" customHeight="1" x14ac:dyDescent="0.25">
      <c r="A68" s="616"/>
      <c r="B68" s="1471"/>
      <c r="C68" s="1471"/>
      <c r="D68" s="1522"/>
      <c r="E68" s="1471"/>
      <c r="F68" s="1523"/>
      <c r="G68" s="2341"/>
      <c r="H68" s="2451"/>
      <c r="I68" s="2416"/>
      <c r="J68" s="2416"/>
      <c r="K68" s="2348"/>
      <c r="L68" s="3667"/>
      <c r="M68" s="3311"/>
      <c r="N68" s="2343"/>
      <c r="O68" s="2413"/>
      <c r="P68" s="3331"/>
      <c r="Q68" s="3746"/>
      <c r="R68" s="3728"/>
      <c r="S68" s="3740"/>
      <c r="T68" s="1672" t="s">
        <v>1493</v>
      </c>
      <c r="U68" s="1670">
        <v>0</v>
      </c>
      <c r="V68" s="1670">
        <v>0</v>
      </c>
      <c r="W68" s="1670">
        <v>0</v>
      </c>
      <c r="X68" s="1632">
        <v>88</v>
      </c>
      <c r="Y68" s="1633" t="s">
        <v>4</v>
      </c>
      <c r="Z68" s="2343"/>
      <c r="AA68" s="2867"/>
      <c r="AB68" s="2343"/>
      <c r="AC68" s="2867"/>
      <c r="AD68" s="2343"/>
      <c r="AE68" s="2761"/>
      <c r="AF68" s="2343"/>
      <c r="AG68" s="2761"/>
      <c r="AH68" s="2343"/>
      <c r="AI68" s="2761"/>
      <c r="AJ68" s="2343"/>
      <c r="AK68" s="2761"/>
      <c r="AL68" s="2343"/>
      <c r="AM68" s="2761"/>
      <c r="AN68" s="2343"/>
      <c r="AO68" s="2761"/>
      <c r="AP68" s="2343"/>
      <c r="AQ68" s="2761"/>
      <c r="AR68" s="2343"/>
      <c r="AS68" s="2761"/>
      <c r="AT68" s="2343"/>
      <c r="AU68" s="2761"/>
      <c r="AV68" s="2343"/>
      <c r="AW68" s="2761"/>
      <c r="AX68" s="2343"/>
      <c r="AY68" s="2761"/>
      <c r="AZ68" s="2343"/>
      <c r="BA68" s="2761"/>
      <c r="BB68" s="2343"/>
      <c r="BC68" s="2761"/>
      <c r="BD68" s="2343"/>
      <c r="BE68" s="2761"/>
      <c r="BF68" s="2761"/>
      <c r="BG68" s="3777"/>
      <c r="BH68" s="3777"/>
      <c r="BI68" s="3779"/>
      <c r="BJ68" s="2761"/>
      <c r="BK68" s="2761"/>
      <c r="BL68" s="3751"/>
      <c r="BM68" s="3751"/>
      <c r="BN68" s="3751"/>
      <c r="BO68" s="3751"/>
      <c r="BP68" s="2761"/>
      <c r="BQ68" s="1471"/>
    </row>
    <row r="69" spans="1:131" s="1601" customFormat="1" ht="45" x14ac:dyDescent="0.25">
      <c r="A69" s="616"/>
      <c r="B69" s="1471"/>
      <c r="C69" s="1471"/>
      <c r="D69" s="1522"/>
      <c r="E69" s="1471"/>
      <c r="F69" s="1523"/>
      <c r="G69" s="2341"/>
      <c r="H69" s="2451"/>
      <c r="I69" s="2416"/>
      <c r="J69" s="2416"/>
      <c r="K69" s="2348"/>
      <c r="L69" s="3667"/>
      <c r="M69" s="3311"/>
      <c r="N69" s="2343"/>
      <c r="O69" s="2413"/>
      <c r="P69" s="3331"/>
      <c r="Q69" s="3746"/>
      <c r="R69" s="3728"/>
      <c r="S69" s="3740"/>
      <c r="T69" s="1672" t="s">
        <v>1494</v>
      </c>
      <c r="U69" s="1670">
        <v>0</v>
      </c>
      <c r="V69" s="1670">
        <v>0</v>
      </c>
      <c r="W69" s="1670">
        <v>0</v>
      </c>
      <c r="X69" s="1632">
        <v>88</v>
      </c>
      <c r="Y69" s="1633" t="s">
        <v>4</v>
      </c>
      <c r="Z69" s="2343"/>
      <c r="AA69" s="2867"/>
      <c r="AB69" s="2343"/>
      <c r="AC69" s="2867"/>
      <c r="AD69" s="2343"/>
      <c r="AE69" s="2761"/>
      <c r="AF69" s="2343"/>
      <c r="AG69" s="2761"/>
      <c r="AH69" s="2343"/>
      <c r="AI69" s="2761"/>
      <c r="AJ69" s="2343"/>
      <c r="AK69" s="2761"/>
      <c r="AL69" s="2343"/>
      <c r="AM69" s="2761"/>
      <c r="AN69" s="2343"/>
      <c r="AO69" s="2761"/>
      <c r="AP69" s="2343"/>
      <c r="AQ69" s="2761"/>
      <c r="AR69" s="2343"/>
      <c r="AS69" s="2761"/>
      <c r="AT69" s="2343"/>
      <c r="AU69" s="2761"/>
      <c r="AV69" s="2343"/>
      <c r="AW69" s="2761"/>
      <c r="AX69" s="2343"/>
      <c r="AY69" s="2761"/>
      <c r="AZ69" s="2343"/>
      <c r="BA69" s="2761"/>
      <c r="BB69" s="2343"/>
      <c r="BC69" s="2761"/>
      <c r="BD69" s="2343"/>
      <c r="BE69" s="2761"/>
      <c r="BF69" s="2761"/>
      <c r="BG69" s="3777"/>
      <c r="BH69" s="3777"/>
      <c r="BI69" s="3779"/>
      <c r="BJ69" s="2761"/>
      <c r="BK69" s="2761"/>
      <c r="BL69" s="3751"/>
      <c r="BM69" s="3751"/>
      <c r="BN69" s="3751"/>
      <c r="BO69" s="3751"/>
      <c r="BP69" s="2761"/>
      <c r="BQ69" s="1471"/>
    </row>
    <row r="70" spans="1:131" s="1601" customFormat="1" ht="54.75" customHeight="1" x14ac:dyDescent="0.25">
      <c r="A70" s="616"/>
      <c r="B70" s="1471"/>
      <c r="C70" s="1471"/>
      <c r="D70" s="1522"/>
      <c r="E70" s="1471"/>
      <c r="F70" s="1523"/>
      <c r="G70" s="2341"/>
      <c r="H70" s="2451"/>
      <c r="I70" s="2416"/>
      <c r="J70" s="2416"/>
      <c r="K70" s="2348"/>
      <c r="L70" s="3667"/>
      <c r="M70" s="3311"/>
      <c r="N70" s="2343"/>
      <c r="O70" s="2413"/>
      <c r="P70" s="3331"/>
      <c r="Q70" s="3746"/>
      <c r="R70" s="3728"/>
      <c r="S70" s="3740"/>
      <c r="T70" s="1672" t="s">
        <v>1495</v>
      </c>
      <c r="U70" s="1670">
        <v>0</v>
      </c>
      <c r="V70" s="1670">
        <v>0</v>
      </c>
      <c r="W70" s="1670">
        <v>0</v>
      </c>
      <c r="X70" s="1632">
        <v>20</v>
      </c>
      <c r="Y70" s="1633" t="s">
        <v>7</v>
      </c>
      <c r="Z70" s="2343"/>
      <c r="AA70" s="2867"/>
      <c r="AB70" s="2343"/>
      <c r="AC70" s="2867"/>
      <c r="AD70" s="2343"/>
      <c r="AE70" s="2761"/>
      <c r="AF70" s="2343"/>
      <c r="AG70" s="2761"/>
      <c r="AH70" s="2343"/>
      <c r="AI70" s="2761"/>
      <c r="AJ70" s="2343"/>
      <c r="AK70" s="2761"/>
      <c r="AL70" s="2343"/>
      <c r="AM70" s="2761"/>
      <c r="AN70" s="2343"/>
      <c r="AO70" s="2761"/>
      <c r="AP70" s="2343"/>
      <c r="AQ70" s="2761"/>
      <c r="AR70" s="2343"/>
      <c r="AS70" s="2761"/>
      <c r="AT70" s="2343"/>
      <c r="AU70" s="2761"/>
      <c r="AV70" s="2343"/>
      <c r="AW70" s="2761"/>
      <c r="AX70" s="2343"/>
      <c r="AY70" s="2761"/>
      <c r="AZ70" s="2343"/>
      <c r="BA70" s="2761"/>
      <c r="BB70" s="2343"/>
      <c r="BC70" s="2761"/>
      <c r="BD70" s="2343"/>
      <c r="BE70" s="2761"/>
      <c r="BF70" s="2761"/>
      <c r="BG70" s="3777"/>
      <c r="BH70" s="3777"/>
      <c r="BI70" s="3779"/>
      <c r="BJ70" s="2761"/>
      <c r="BK70" s="2761"/>
      <c r="BL70" s="3751"/>
      <c r="BM70" s="3751"/>
      <c r="BN70" s="3751"/>
      <c r="BO70" s="3751"/>
      <c r="BP70" s="2761"/>
      <c r="BQ70" s="1471"/>
    </row>
    <row r="71" spans="1:131" s="1601" customFormat="1" ht="54" customHeight="1" x14ac:dyDescent="0.25">
      <c r="A71" s="616"/>
      <c r="B71" s="1471"/>
      <c r="C71" s="1471"/>
      <c r="D71" s="1522"/>
      <c r="E71" s="1471"/>
      <c r="F71" s="1523"/>
      <c r="G71" s="2341"/>
      <c r="H71" s="2451"/>
      <c r="I71" s="2416"/>
      <c r="J71" s="2416"/>
      <c r="K71" s="2348"/>
      <c r="L71" s="3667"/>
      <c r="M71" s="3311"/>
      <c r="N71" s="2343"/>
      <c r="O71" s="2413"/>
      <c r="P71" s="3331"/>
      <c r="Q71" s="3746"/>
      <c r="R71" s="3728"/>
      <c r="S71" s="3740"/>
      <c r="T71" s="1672" t="s">
        <v>1496</v>
      </c>
      <c r="U71" s="1670">
        <v>0</v>
      </c>
      <c r="V71" s="1670">
        <v>0</v>
      </c>
      <c r="W71" s="1670">
        <v>0</v>
      </c>
      <c r="X71" s="1632">
        <v>20</v>
      </c>
      <c r="Y71" s="1633" t="s">
        <v>7</v>
      </c>
      <c r="Z71" s="2343"/>
      <c r="AA71" s="2867"/>
      <c r="AB71" s="2343"/>
      <c r="AC71" s="2867"/>
      <c r="AD71" s="2343"/>
      <c r="AE71" s="2761"/>
      <c r="AF71" s="2343"/>
      <c r="AG71" s="2761"/>
      <c r="AH71" s="2343"/>
      <c r="AI71" s="2761"/>
      <c r="AJ71" s="2343"/>
      <c r="AK71" s="2761"/>
      <c r="AL71" s="2343"/>
      <c r="AM71" s="2761"/>
      <c r="AN71" s="2343"/>
      <c r="AO71" s="2761"/>
      <c r="AP71" s="2343"/>
      <c r="AQ71" s="2761"/>
      <c r="AR71" s="2343"/>
      <c r="AS71" s="2761"/>
      <c r="AT71" s="2343"/>
      <c r="AU71" s="2761"/>
      <c r="AV71" s="2343"/>
      <c r="AW71" s="2761"/>
      <c r="AX71" s="2343"/>
      <c r="AY71" s="2761"/>
      <c r="AZ71" s="2343"/>
      <c r="BA71" s="2761"/>
      <c r="BB71" s="2343"/>
      <c r="BC71" s="2761"/>
      <c r="BD71" s="2343"/>
      <c r="BE71" s="2761"/>
      <c r="BF71" s="2761"/>
      <c r="BG71" s="3777"/>
      <c r="BH71" s="3777"/>
      <c r="BI71" s="3779"/>
      <c r="BJ71" s="2761"/>
      <c r="BK71" s="2761"/>
      <c r="BL71" s="3751"/>
      <c r="BM71" s="3751"/>
      <c r="BN71" s="3751"/>
      <c r="BO71" s="3751"/>
      <c r="BP71" s="2761"/>
      <c r="BQ71" s="1471"/>
    </row>
    <row r="72" spans="1:131" s="1601" customFormat="1" ht="40.5" customHeight="1" x14ac:dyDescent="0.25">
      <c r="A72" s="616"/>
      <c r="B72" s="1471"/>
      <c r="C72" s="1471"/>
      <c r="D72" s="1522"/>
      <c r="E72" s="1471"/>
      <c r="F72" s="1523"/>
      <c r="G72" s="2341"/>
      <c r="H72" s="2451"/>
      <c r="I72" s="2416"/>
      <c r="J72" s="2416"/>
      <c r="K72" s="2348"/>
      <c r="L72" s="3668"/>
      <c r="M72" s="3311"/>
      <c r="N72" s="2343"/>
      <c r="O72" s="2413"/>
      <c r="P72" s="3331"/>
      <c r="Q72" s="3746"/>
      <c r="R72" s="3728"/>
      <c r="S72" s="3740"/>
      <c r="T72" s="1672" t="s">
        <v>1497</v>
      </c>
      <c r="U72" s="1670">
        <v>0</v>
      </c>
      <c r="V72" s="1670">
        <v>0</v>
      </c>
      <c r="W72" s="1670">
        <v>0</v>
      </c>
      <c r="X72" s="1636">
        <v>20</v>
      </c>
      <c r="Y72" s="1673" t="s">
        <v>7</v>
      </c>
      <c r="Z72" s="2343"/>
      <c r="AA72" s="2867"/>
      <c r="AB72" s="2343"/>
      <c r="AC72" s="2867"/>
      <c r="AD72" s="2343"/>
      <c r="AE72" s="2342"/>
      <c r="AF72" s="2343"/>
      <c r="AG72" s="2342"/>
      <c r="AH72" s="2343"/>
      <c r="AI72" s="2342"/>
      <c r="AJ72" s="2343"/>
      <c r="AK72" s="2342"/>
      <c r="AL72" s="2343"/>
      <c r="AM72" s="2342"/>
      <c r="AN72" s="2343"/>
      <c r="AO72" s="2342"/>
      <c r="AP72" s="2343"/>
      <c r="AQ72" s="2342"/>
      <c r="AR72" s="2343"/>
      <c r="AS72" s="2342"/>
      <c r="AT72" s="2343"/>
      <c r="AU72" s="2342"/>
      <c r="AV72" s="2343"/>
      <c r="AW72" s="2342"/>
      <c r="AX72" s="2343"/>
      <c r="AY72" s="2342"/>
      <c r="AZ72" s="2343"/>
      <c r="BA72" s="2342"/>
      <c r="BB72" s="2343"/>
      <c r="BC72" s="2342"/>
      <c r="BD72" s="2343"/>
      <c r="BE72" s="2342"/>
      <c r="BF72" s="2342"/>
      <c r="BG72" s="3778"/>
      <c r="BH72" s="3778"/>
      <c r="BI72" s="3780"/>
      <c r="BJ72" s="2342"/>
      <c r="BK72" s="2342"/>
      <c r="BL72" s="3752"/>
      <c r="BM72" s="3752"/>
      <c r="BN72" s="3752"/>
      <c r="BO72" s="3752"/>
      <c r="BP72" s="2342"/>
      <c r="BQ72" s="1471"/>
    </row>
    <row r="73" spans="1:131" s="1601" customFormat="1" ht="93.75" customHeight="1" x14ac:dyDescent="0.25">
      <c r="A73" s="616"/>
      <c r="B73" s="1471"/>
      <c r="C73" s="1471"/>
      <c r="D73" s="1522"/>
      <c r="E73" s="1471"/>
      <c r="F73" s="1523"/>
      <c r="G73" s="3763" t="s">
        <v>1140</v>
      </c>
      <c r="H73" s="3766">
        <v>36.200000000000003</v>
      </c>
      <c r="I73" s="3768" t="s">
        <v>1498</v>
      </c>
      <c r="J73" s="3768" t="s">
        <v>1499</v>
      </c>
      <c r="K73" s="3770">
        <v>12</v>
      </c>
      <c r="L73" s="3773">
        <v>0</v>
      </c>
      <c r="M73" s="3768" t="s">
        <v>1500</v>
      </c>
      <c r="N73" s="3766" t="s">
        <v>1501</v>
      </c>
      <c r="O73" s="3774" t="s">
        <v>1502</v>
      </c>
      <c r="P73" s="3802">
        <f>(U73+U74+U75)/(Q92+Q73)</f>
        <v>0.34210526315789475</v>
      </c>
      <c r="Q73" s="3803">
        <v>13000000</v>
      </c>
      <c r="R73" s="3753" t="s">
        <v>1503</v>
      </c>
      <c r="S73" s="3756" t="s">
        <v>1504</v>
      </c>
      <c r="T73" s="1674" t="s">
        <v>1505</v>
      </c>
      <c r="U73" s="1675">
        <v>6000000</v>
      </c>
      <c r="V73" s="1670">
        <v>0</v>
      </c>
      <c r="W73" s="1604">
        <v>0</v>
      </c>
      <c r="X73" s="1632">
        <v>88</v>
      </c>
      <c r="Y73" s="1633" t="s">
        <v>86</v>
      </c>
      <c r="Z73" s="3759">
        <v>4500</v>
      </c>
      <c r="AA73" s="3762"/>
      <c r="AB73" s="3762">
        <v>4500</v>
      </c>
      <c r="AC73" s="3762"/>
      <c r="AD73" s="3762">
        <v>1560</v>
      </c>
      <c r="AE73" s="3762"/>
      <c r="AF73" s="3762">
        <v>1560</v>
      </c>
      <c r="AG73" s="3762"/>
      <c r="AH73" s="3762">
        <v>1560</v>
      </c>
      <c r="AI73" s="3762"/>
      <c r="AJ73" s="3793">
        <v>2000</v>
      </c>
      <c r="AK73" s="3793"/>
      <c r="AL73" s="3793">
        <v>400</v>
      </c>
      <c r="AM73" s="3793"/>
      <c r="AN73" s="3793">
        <v>400</v>
      </c>
      <c r="AO73" s="3793"/>
      <c r="AP73" s="3793">
        <v>400</v>
      </c>
      <c r="AQ73" s="3793"/>
      <c r="AR73" s="3793">
        <v>50</v>
      </c>
      <c r="AS73" s="3793"/>
      <c r="AT73" s="3793">
        <v>50</v>
      </c>
      <c r="AU73" s="3793"/>
      <c r="AV73" s="3793">
        <v>70</v>
      </c>
      <c r="AW73" s="3793"/>
      <c r="AX73" s="3793">
        <v>50</v>
      </c>
      <c r="AY73" s="3793"/>
      <c r="AZ73" s="3793">
        <v>500</v>
      </c>
      <c r="BA73" s="3793"/>
      <c r="BB73" s="3793">
        <v>400</v>
      </c>
      <c r="BC73" s="3793"/>
      <c r="BD73" s="3786">
        <v>9000</v>
      </c>
      <c r="BE73" s="3786"/>
      <c r="BF73" s="3786">
        <v>3</v>
      </c>
      <c r="BG73" s="3789">
        <f>SUM(V73:V75)</f>
        <v>0</v>
      </c>
      <c r="BH73" s="3789">
        <f>SUM(W73:W75)</f>
        <v>0</v>
      </c>
      <c r="BI73" s="3786">
        <f>BG73/Q73</f>
        <v>0</v>
      </c>
      <c r="BJ73" s="3786">
        <v>88</v>
      </c>
      <c r="BK73" s="3790" t="s">
        <v>1408</v>
      </c>
      <c r="BL73" s="3799">
        <v>44033</v>
      </c>
      <c r="BM73" s="3781">
        <v>44090</v>
      </c>
      <c r="BN73" s="3781">
        <v>44195</v>
      </c>
      <c r="BO73" s="3781">
        <v>44185</v>
      </c>
      <c r="BP73" s="3766" t="s">
        <v>1409</v>
      </c>
      <c r="BQ73" s="1471"/>
    </row>
    <row r="74" spans="1:131" s="1601" customFormat="1" ht="52.5" customHeight="1" x14ac:dyDescent="0.25">
      <c r="A74" s="616"/>
      <c r="B74" s="1471"/>
      <c r="C74" s="1471"/>
      <c r="D74" s="1522"/>
      <c r="E74" s="1471"/>
      <c r="F74" s="1523"/>
      <c r="G74" s="3764"/>
      <c r="H74" s="3767"/>
      <c r="I74" s="3769"/>
      <c r="J74" s="3769"/>
      <c r="K74" s="3771"/>
      <c r="L74" s="3647"/>
      <c r="M74" s="3769"/>
      <c r="N74" s="3767"/>
      <c r="O74" s="3775"/>
      <c r="P74" s="3689"/>
      <c r="Q74" s="3804"/>
      <c r="R74" s="3754"/>
      <c r="S74" s="3757"/>
      <c r="T74" s="1674" t="s">
        <v>1506</v>
      </c>
      <c r="U74" s="1675">
        <v>6000000</v>
      </c>
      <c r="V74" s="1670">
        <v>0</v>
      </c>
      <c r="W74" s="1604">
        <v>0</v>
      </c>
      <c r="X74" s="1632">
        <v>88</v>
      </c>
      <c r="Y74" s="1633" t="s">
        <v>86</v>
      </c>
      <c r="Z74" s="3760"/>
      <c r="AA74" s="3653"/>
      <c r="AB74" s="3653"/>
      <c r="AC74" s="3653"/>
      <c r="AD74" s="3653"/>
      <c r="AE74" s="3653"/>
      <c r="AF74" s="3653"/>
      <c r="AG74" s="3653"/>
      <c r="AH74" s="3653"/>
      <c r="AI74" s="3653"/>
      <c r="AJ74" s="3096"/>
      <c r="AK74" s="3096"/>
      <c r="AL74" s="3096"/>
      <c r="AM74" s="3096"/>
      <c r="AN74" s="3096"/>
      <c r="AO74" s="3096"/>
      <c r="AP74" s="3096"/>
      <c r="AQ74" s="3096"/>
      <c r="AR74" s="3096"/>
      <c r="AS74" s="3096"/>
      <c r="AT74" s="3096"/>
      <c r="AU74" s="3096"/>
      <c r="AV74" s="3096"/>
      <c r="AW74" s="3096"/>
      <c r="AX74" s="3096"/>
      <c r="AY74" s="3096"/>
      <c r="AZ74" s="3096"/>
      <c r="BA74" s="3096"/>
      <c r="BB74" s="3096"/>
      <c r="BC74" s="3096"/>
      <c r="BD74" s="3787"/>
      <c r="BE74" s="3787"/>
      <c r="BF74" s="3787"/>
      <c r="BG74" s="3663"/>
      <c r="BH74" s="3663"/>
      <c r="BI74" s="3787"/>
      <c r="BJ74" s="3787"/>
      <c r="BK74" s="3791"/>
      <c r="BL74" s="3800"/>
      <c r="BM74" s="3782"/>
      <c r="BN74" s="3782"/>
      <c r="BO74" s="3782"/>
      <c r="BP74" s="3767"/>
      <c r="BQ74" s="1471"/>
    </row>
    <row r="75" spans="1:131" s="1601" customFormat="1" ht="43.5" customHeight="1" x14ac:dyDescent="0.25">
      <c r="A75" s="616"/>
      <c r="B75" s="1471"/>
      <c r="C75" s="1471"/>
      <c r="D75" s="1522"/>
      <c r="E75" s="1471"/>
      <c r="F75" s="1523"/>
      <c r="G75" s="3765"/>
      <c r="H75" s="3110"/>
      <c r="I75" s="3137"/>
      <c r="J75" s="3137"/>
      <c r="K75" s="3772"/>
      <c r="L75" s="3648"/>
      <c r="M75" s="3137"/>
      <c r="N75" s="3110"/>
      <c r="O75" s="3776"/>
      <c r="P75" s="3690"/>
      <c r="Q75" s="3805"/>
      <c r="R75" s="3755"/>
      <c r="S75" s="3758"/>
      <c r="T75" s="1674" t="s">
        <v>1416</v>
      </c>
      <c r="U75" s="1675">
        <v>1000000</v>
      </c>
      <c r="V75" s="1667">
        <v>0</v>
      </c>
      <c r="W75" s="1651">
        <v>0</v>
      </c>
      <c r="X75" s="1636">
        <v>88</v>
      </c>
      <c r="Y75" s="1673" t="s">
        <v>86</v>
      </c>
      <c r="Z75" s="3761"/>
      <c r="AA75" s="3654"/>
      <c r="AB75" s="3654"/>
      <c r="AC75" s="3654"/>
      <c r="AD75" s="3654"/>
      <c r="AE75" s="3654"/>
      <c r="AF75" s="3654"/>
      <c r="AG75" s="3654"/>
      <c r="AH75" s="3654"/>
      <c r="AI75" s="3654"/>
      <c r="AJ75" s="3097"/>
      <c r="AK75" s="3097"/>
      <c r="AL75" s="3097"/>
      <c r="AM75" s="3097"/>
      <c r="AN75" s="3097"/>
      <c r="AO75" s="3097"/>
      <c r="AP75" s="3097"/>
      <c r="AQ75" s="3097"/>
      <c r="AR75" s="3097"/>
      <c r="AS75" s="3097"/>
      <c r="AT75" s="3097"/>
      <c r="AU75" s="3097"/>
      <c r="AV75" s="3097"/>
      <c r="AW75" s="3097"/>
      <c r="AX75" s="3097"/>
      <c r="AY75" s="3097"/>
      <c r="AZ75" s="3097"/>
      <c r="BA75" s="3097"/>
      <c r="BB75" s="3097"/>
      <c r="BC75" s="3097"/>
      <c r="BD75" s="3788"/>
      <c r="BE75" s="3788"/>
      <c r="BF75" s="3788"/>
      <c r="BG75" s="3664"/>
      <c r="BH75" s="3664"/>
      <c r="BI75" s="3788"/>
      <c r="BJ75" s="3788"/>
      <c r="BK75" s="3792"/>
      <c r="BL75" s="3801"/>
      <c r="BM75" s="3783"/>
      <c r="BN75" s="3783"/>
      <c r="BO75" s="3783"/>
      <c r="BP75" s="3110"/>
      <c r="BQ75" s="1471"/>
    </row>
    <row r="76" spans="1:131" s="1679" customFormat="1" ht="45" customHeight="1" x14ac:dyDescent="0.25">
      <c r="A76" s="141"/>
      <c r="B76" s="1"/>
      <c r="C76" s="1"/>
      <c r="D76" s="3784"/>
      <c r="E76" s="3785"/>
      <c r="F76" s="3473"/>
      <c r="G76" s="2460">
        <v>4102022</v>
      </c>
      <c r="H76" s="2315">
        <v>36.1</v>
      </c>
      <c r="I76" s="2475" t="s">
        <v>1507</v>
      </c>
      <c r="J76" s="2475" t="s">
        <v>1508</v>
      </c>
      <c r="K76" s="2475">
        <v>6</v>
      </c>
      <c r="L76" s="3798">
        <v>0</v>
      </c>
      <c r="M76" s="2475" t="s">
        <v>1509</v>
      </c>
      <c r="N76" s="2315" t="s">
        <v>1510</v>
      </c>
      <c r="O76" s="3795" t="s">
        <v>1511</v>
      </c>
      <c r="P76" s="3796">
        <f>(U80+U81)/(Q76+Q180)</f>
        <v>0.6875</v>
      </c>
      <c r="Q76" s="3797">
        <v>55000000</v>
      </c>
      <c r="R76" s="3795" t="s">
        <v>1512</v>
      </c>
      <c r="S76" s="2466" t="s">
        <v>1513</v>
      </c>
      <c r="T76" s="1676" t="s">
        <v>1514</v>
      </c>
      <c r="U76" s="1677"/>
      <c r="V76" s="1670"/>
      <c r="W76" s="1651">
        <v>0</v>
      </c>
      <c r="X76" s="1636">
        <v>20</v>
      </c>
      <c r="Y76" s="1678" t="s">
        <v>7</v>
      </c>
      <c r="Z76" s="3794">
        <v>2080</v>
      </c>
      <c r="AA76" s="3794"/>
      <c r="AB76" s="3794">
        <v>1920</v>
      </c>
      <c r="AC76" s="3794"/>
      <c r="AD76" s="3794">
        <v>2500</v>
      </c>
      <c r="AE76" s="3794"/>
      <c r="AF76" s="3794">
        <v>1500</v>
      </c>
      <c r="AG76" s="3794"/>
      <c r="AH76" s="3794">
        <v>0</v>
      </c>
      <c r="AI76" s="3794"/>
      <c r="AJ76" s="3794">
        <v>0</v>
      </c>
      <c r="AK76" s="3794"/>
      <c r="AL76" s="3794">
        <v>40</v>
      </c>
      <c r="AM76" s="3794"/>
      <c r="AN76" s="3794">
        <v>40</v>
      </c>
      <c r="AO76" s="3794"/>
      <c r="AP76" s="3794">
        <v>0</v>
      </c>
      <c r="AQ76" s="3794"/>
      <c r="AR76" s="3794">
        <v>0</v>
      </c>
      <c r="AS76" s="3794"/>
      <c r="AT76" s="3794">
        <v>0</v>
      </c>
      <c r="AU76" s="3794"/>
      <c r="AV76" s="3794">
        <v>0</v>
      </c>
      <c r="AW76" s="3794"/>
      <c r="AX76" s="3794">
        <v>40</v>
      </c>
      <c r="AY76" s="3794"/>
      <c r="AZ76" s="3794">
        <v>0</v>
      </c>
      <c r="BA76" s="3794"/>
      <c r="BB76" s="3794">
        <v>0</v>
      </c>
      <c r="BC76" s="3794"/>
      <c r="BD76" s="3794">
        <v>4000</v>
      </c>
      <c r="BE76" s="3794"/>
      <c r="BF76" s="3794"/>
      <c r="BG76" s="3806">
        <f>SUM(V76:V80)</f>
        <v>0</v>
      </c>
      <c r="BH76" s="3806">
        <f>SUM(W76:W80)</f>
        <v>0</v>
      </c>
      <c r="BI76" s="3796">
        <f>BG76/Q76</f>
        <v>0</v>
      </c>
      <c r="BJ76" s="3794" t="s">
        <v>1407</v>
      </c>
      <c r="BK76" s="3814" t="s">
        <v>1442</v>
      </c>
      <c r="BL76" s="3815">
        <v>44033</v>
      </c>
      <c r="BM76" s="3815"/>
      <c r="BN76" s="3815">
        <v>44195</v>
      </c>
      <c r="BO76" s="3815"/>
      <c r="BP76" s="3795" t="s">
        <v>1409</v>
      </c>
      <c r="BQ76" s="1"/>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row>
    <row r="77" spans="1:131" s="1679" customFormat="1" ht="64.5" customHeight="1" x14ac:dyDescent="0.25">
      <c r="A77" s="141"/>
      <c r="B77" s="1"/>
      <c r="C77" s="1"/>
      <c r="D77" s="3784"/>
      <c r="E77" s="3785"/>
      <c r="F77" s="3473"/>
      <c r="G77" s="2461"/>
      <c r="H77" s="2315"/>
      <c r="I77" s="2475"/>
      <c r="J77" s="2475"/>
      <c r="K77" s="2475"/>
      <c r="L77" s="3798"/>
      <c r="M77" s="2475"/>
      <c r="N77" s="2315"/>
      <c r="O77" s="3795"/>
      <c r="P77" s="3796"/>
      <c r="Q77" s="3797"/>
      <c r="R77" s="3795"/>
      <c r="S77" s="2466"/>
      <c r="T77" s="1680" t="s">
        <v>1515</v>
      </c>
      <c r="U77" s="1681"/>
      <c r="V77" s="1670"/>
      <c r="W77" s="1651">
        <v>0</v>
      </c>
      <c r="X77" s="1636">
        <v>20</v>
      </c>
      <c r="Y77" s="1678" t="s">
        <v>7</v>
      </c>
      <c r="Z77" s="3794"/>
      <c r="AA77" s="3794"/>
      <c r="AB77" s="3794"/>
      <c r="AC77" s="3794"/>
      <c r="AD77" s="3794"/>
      <c r="AE77" s="3794"/>
      <c r="AF77" s="3794"/>
      <c r="AG77" s="3794"/>
      <c r="AH77" s="3794"/>
      <c r="AI77" s="3794"/>
      <c r="AJ77" s="3794"/>
      <c r="AK77" s="3794"/>
      <c r="AL77" s="3794"/>
      <c r="AM77" s="3794"/>
      <c r="AN77" s="3794"/>
      <c r="AO77" s="3794"/>
      <c r="AP77" s="3794"/>
      <c r="AQ77" s="3794"/>
      <c r="AR77" s="3794"/>
      <c r="AS77" s="3794"/>
      <c r="AT77" s="3794"/>
      <c r="AU77" s="3794"/>
      <c r="AV77" s="3794"/>
      <c r="AW77" s="3794"/>
      <c r="AX77" s="3794"/>
      <c r="AY77" s="3794"/>
      <c r="AZ77" s="3794"/>
      <c r="BA77" s="3794"/>
      <c r="BB77" s="3794"/>
      <c r="BC77" s="3794"/>
      <c r="BD77" s="3794"/>
      <c r="BE77" s="3794"/>
      <c r="BF77" s="3794"/>
      <c r="BG77" s="3806"/>
      <c r="BH77" s="3806"/>
      <c r="BI77" s="3796"/>
      <c r="BJ77" s="3794"/>
      <c r="BK77" s="3814"/>
      <c r="BL77" s="3815"/>
      <c r="BM77" s="3815"/>
      <c r="BN77" s="3815"/>
      <c r="BO77" s="3815"/>
      <c r="BP77" s="3795"/>
      <c r="BQ77" s="1"/>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row>
    <row r="78" spans="1:131" s="1679" customFormat="1" ht="80.25" customHeight="1" x14ac:dyDescent="0.25">
      <c r="A78" s="141"/>
      <c r="B78" s="1"/>
      <c r="C78" s="1"/>
      <c r="D78" s="3784"/>
      <c r="E78" s="3785"/>
      <c r="F78" s="3473"/>
      <c r="G78" s="2461"/>
      <c r="H78" s="2315"/>
      <c r="I78" s="2475"/>
      <c r="J78" s="2475"/>
      <c r="K78" s="2475"/>
      <c r="L78" s="3798"/>
      <c r="M78" s="2475"/>
      <c r="N78" s="2315"/>
      <c r="O78" s="3795"/>
      <c r="P78" s="3796"/>
      <c r="Q78" s="3797"/>
      <c r="R78" s="3795"/>
      <c r="S78" s="2466"/>
      <c r="T78" s="1680" t="s">
        <v>1516</v>
      </c>
      <c r="U78" s="1681">
        <v>0</v>
      </c>
      <c r="V78" s="1670"/>
      <c r="W78" s="1651">
        <v>0</v>
      </c>
      <c r="X78" s="1646"/>
      <c r="Y78" s="1682"/>
      <c r="Z78" s="3794"/>
      <c r="AA78" s="3794"/>
      <c r="AB78" s="3794"/>
      <c r="AC78" s="3794"/>
      <c r="AD78" s="3794"/>
      <c r="AE78" s="3794"/>
      <c r="AF78" s="3794"/>
      <c r="AG78" s="3794"/>
      <c r="AH78" s="3794"/>
      <c r="AI78" s="3794"/>
      <c r="AJ78" s="3794"/>
      <c r="AK78" s="3794"/>
      <c r="AL78" s="3794"/>
      <c r="AM78" s="3794"/>
      <c r="AN78" s="3794"/>
      <c r="AO78" s="3794"/>
      <c r="AP78" s="3794"/>
      <c r="AQ78" s="3794"/>
      <c r="AR78" s="3794"/>
      <c r="AS78" s="3794"/>
      <c r="AT78" s="3794"/>
      <c r="AU78" s="3794"/>
      <c r="AV78" s="3794"/>
      <c r="AW78" s="3794"/>
      <c r="AX78" s="3794"/>
      <c r="AY78" s="3794"/>
      <c r="AZ78" s="3794"/>
      <c r="BA78" s="3794"/>
      <c r="BB78" s="3794"/>
      <c r="BC78" s="3794"/>
      <c r="BD78" s="3794"/>
      <c r="BE78" s="3794"/>
      <c r="BF78" s="3794"/>
      <c r="BG78" s="3806"/>
      <c r="BH78" s="3806"/>
      <c r="BI78" s="3796"/>
      <c r="BJ78" s="3794"/>
      <c r="BK78" s="3814"/>
      <c r="BL78" s="3815"/>
      <c r="BM78" s="3815"/>
      <c r="BN78" s="3815"/>
      <c r="BO78" s="3815"/>
      <c r="BP78" s="3795"/>
      <c r="BQ78" s="1"/>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row>
    <row r="79" spans="1:131" s="1679" customFormat="1" ht="57" customHeight="1" x14ac:dyDescent="0.25">
      <c r="A79" s="141"/>
      <c r="B79" s="1"/>
      <c r="C79" s="1"/>
      <c r="D79" s="3784"/>
      <c r="E79" s="3785"/>
      <c r="F79" s="3473"/>
      <c r="G79" s="2461"/>
      <c r="H79" s="2315"/>
      <c r="I79" s="2475"/>
      <c r="J79" s="2475"/>
      <c r="K79" s="2475"/>
      <c r="L79" s="3798"/>
      <c r="M79" s="2475"/>
      <c r="N79" s="2315"/>
      <c r="O79" s="3795"/>
      <c r="P79" s="3796"/>
      <c r="Q79" s="3797"/>
      <c r="R79" s="3795"/>
      <c r="S79" s="2466"/>
      <c r="T79" s="1680" t="s">
        <v>1517</v>
      </c>
      <c r="U79" s="1681">
        <v>0</v>
      </c>
      <c r="V79" s="1670"/>
      <c r="W79" s="1651">
        <v>0</v>
      </c>
      <c r="X79" s="1652"/>
      <c r="Y79" s="1683"/>
      <c r="Z79" s="3794"/>
      <c r="AA79" s="3794"/>
      <c r="AB79" s="3794"/>
      <c r="AC79" s="3794"/>
      <c r="AD79" s="3794"/>
      <c r="AE79" s="3794"/>
      <c r="AF79" s="3794"/>
      <c r="AG79" s="3794"/>
      <c r="AH79" s="3794"/>
      <c r="AI79" s="3794"/>
      <c r="AJ79" s="3794"/>
      <c r="AK79" s="3794"/>
      <c r="AL79" s="3794"/>
      <c r="AM79" s="3794"/>
      <c r="AN79" s="3794"/>
      <c r="AO79" s="3794"/>
      <c r="AP79" s="3794"/>
      <c r="AQ79" s="3794"/>
      <c r="AR79" s="3794"/>
      <c r="AS79" s="3794"/>
      <c r="AT79" s="3794"/>
      <c r="AU79" s="3794"/>
      <c r="AV79" s="3794"/>
      <c r="AW79" s="3794"/>
      <c r="AX79" s="3794"/>
      <c r="AY79" s="3794"/>
      <c r="AZ79" s="3794"/>
      <c r="BA79" s="3794"/>
      <c r="BB79" s="3794"/>
      <c r="BC79" s="3794"/>
      <c r="BD79" s="3794"/>
      <c r="BE79" s="3794"/>
      <c r="BF79" s="3794"/>
      <c r="BG79" s="3806"/>
      <c r="BH79" s="3806"/>
      <c r="BI79" s="3796"/>
      <c r="BJ79" s="3794"/>
      <c r="BK79" s="3814"/>
      <c r="BL79" s="3815"/>
      <c r="BM79" s="3815"/>
      <c r="BN79" s="3815"/>
      <c r="BO79" s="3815"/>
      <c r="BP79" s="3795"/>
      <c r="BQ79" s="1"/>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row>
    <row r="80" spans="1:131" ht="157.5" customHeight="1" x14ac:dyDescent="0.25">
      <c r="A80" s="141"/>
      <c r="B80" s="1"/>
      <c r="C80" s="1"/>
      <c r="D80" s="1684"/>
      <c r="E80" s="1570"/>
      <c r="F80" s="1560"/>
      <c r="G80" s="2461"/>
      <c r="H80" s="2315"/>
      <c r="I80" s="2475"/>
      <c r="J80" s="2475"/>
      <c r="K80" s="2475"/>
      <c r="L80" s="3798"/>
      <c r="M80" s="2475"/>
      <c r="N80" s="2315"/>
      <c r="O80" s="3795"/>
      <c r="P80" s="3796"/>
      <c r="Q80" s="3797"/>
      <c r="R80" s="3795"/>
      <c r="S80" s="2466"/>
      <c r="T80" s="2466" t="s">
        <v>1518</v>
      </c>
      <c r="U80" s="1685">
        <v>20000000</v>
      </c>
      <c r="V80" s="1686"/>
      <c r="W80" s="1654">
        <v>0</v>
      </c>
      <c r="X80" s="1687">
        <v>88</v>
      </c>
      <c r="Y80" s="1688" t="s">
        <v>86</v>
      </c>
      <c r="Z80" s="3794"/>
      <c r="AA80" s="3794"/>
      <c r="AB80" s="3794"/>
      <c r="AC80" s="3794"/>
      <c r="AD80" s="3794"/>
      <c r="AE80" s="3794"/>
      <c r="AF80" s="3794"/>
      <c r="AG80" s="3794"/>
      <c r="AH80" s="3794"/>
      <c r="AI80" s="3794"/>
      <c r="AJ80" s="3794"/>
      <c r="AK80" s="3794"/>
      <c r="AL80" s="3794"/>
      <c r="AM80" s="3794"/>
      <c r="AN80" s="3794"/>
      <c r="AO80" s="3794"/>
      <c r="AP80" s="3794"/>
      <c r="AQ80" s="3794"/>
      <c r="AR80" s="3794"/>
      <c r="AS80" s="3794"/>
      <c r="AT80" s="3794"/>
      <c r="AU80" s="3794"/>
      <c r="AV80" s="3794"/>
      <c r="AW80" s="3794"/>
      <c r="AX80" s="3794"/>
      <c r="AY80" s="3794"/>
      <c r="AZ80" s="3794"/>
      <c r="BA80" s="3794"/>
      <c r="BB80" s="3794"/>
      <c r="BC80" s="3794"/>
      <c r="BD80" s="3794"/>
      <c r="BE80" s="3794"/>
      <c r="BF80" s="3794"/>
      <c r="BG80" s="3806"/>
      <c r="BH80" s="3806"/>
      <c r="BI80" s="3796"/>
      <c r="BJ80" s="3794"/>
      <c r="BK80" s="3814"/>
      <c r="BL80" s="3815"/>
      <c r="BM80" s="3815"/>
      <c r="BN80" s="3815"/>
      <c r="BO80" s="3815"/>
      <c r="BP80" s="3795"/>
      <c r="BQ80" s="1"/>
    </row>
    <row r="81" spans="1:69" ht="52.5" customHeight="1" x14ac:dyDescent="0.25">
      <c r="A81" s="141"/>
      <c r="B81" s="1"/>
      <c r="C81" s="1"/>
      <c r="D81" s="1684"/>
      <c r="E81" s="1570"/>
      <c r="F81" s="1560"/>
      <c r="G81" s="2462"/>
      <c r="H81" s="2315"/>
      <c r="I81" s="2475"/>
      <c r="J81" s="2475"/>
      <c r="K81" s="2475"/>
      <c r="L81" s="3798"/>
      <c r="M81" s="2475"/>
      <c r="N81" s="2315"/>
      <c r="O81" s="3795"/>
      <c r="P81" s="3796"/>
      <c r="Q81" s="3797"/>
      <c r="R81" s="3795"/>
      <c r="S81" s="2466"/>
      <c r="T81" s="2466"/>
      <c r="U81" s="1685">
        <v>35000000</v>
      </c>
      <c r="V81" s="1689"/>
      <c r="W81" s="1690"/>
      <c r="X81" s="1691"/>
      <c r="Y81" s="1692"/>
      <c r="Z81" s="3794"/>
      <c r="AA81" s="3794"/>
      <c r="AB81" s="3794"/>
      <c r="AC81" s="3794"/>
      <c r="AD81" s="3794"/>
      <c r="AE81" s="3794"/>
      <c r="AF81" s="3794"/>
      <c r="AG81" s="3794"/>
      <c r="AH81" s="3794"/>
      <c r="AI81" s="3794"/>
      <c r="AJ81" s="3794"/>
      <c r="AK81" s="3794"/>
      <c r="AL81" s="3794"/>
      <c r="AM81" s="3794"/>
      <c r="AN81" s="3794"/>
      <c r="AO81" s="3794"/>
      <c r="AP81" s="3794"/>
      <c r="AQ81" s="3794"/>
      <c r="AR81" s="3794"/>
      <c r="AS81" s="3794"/>
      <c r="AT81" s="3794"/>
      <c r="AU81" s="3794"/>
      <c r="AV81" s="3794"/>
      <c r="AW81" s="3794"/>
      <c r="AX81" s="3794"/>
      <c r="AY81" s="3794"/>
      <c r="AZ81" s="3794"/>
      <c r="BA81" s="3794"/>
      <c r="BB81" s="3794"/>
      <c r="BC81" s="3794"/>
      <c r="BD81" s="3794"/>
      <c r="BE81" s="3794"/>
      <c r="BF81" s="3794"/>
      <c r="BG81" s="3806"/>
      <c r="BH81" s="3806"/>
      <c r="BI81" s="3796"/>
      <c r="BJ81" s="3794"/>
      <c r="BK81" s="3814"/>
      <c r="BL81" s="3815"/>
      <c r="BM81" s="3815"/>
      <c r="BN81" s="3815"/>
      <c r="BO81" s="3815"/>
      <c r="BP81" s="3795"/>
      <c r="BQ81" s="1"/>
    </row>
    <row r="82" spans="1:69" ht="76.5" customHeight="1" x14ac:dyDescent="0.25">
      <c r="A82" s="141"/>
      <c r="B82" s="1"/>
      <c r="C82" s="1"/>
      <c r="D82" s="3784"/>
      <c r="E82" s="3785"/>
      <c r="F82" s="3473"/>
      <c r="G82" s="2410">
        <v>4102038</v>
      </c>
      <c r="H82" s="2342">
        <v>36.6</v>
      </c>
      <c r="I82" s="2610" t="s">
        <v>1519</v>
      </c>
      <c r="J82" s="2610" t="s">
        <v>1520</v>
      </c>
      <c r="K82" s="2457">
        <v>10</v>
      </c>
      <c r="L82" s="3807">
        <v>0</v>
      </c>
      <c r="M82" s="2610" t="s">
        <v>1521</v>
      </c>
      <c r="N82" s="3808" t="s">
        <v>1522</v>
      </c>
      <c r="O82" s="3810" t="s">
        <v>1523</v>
      </c>
      <c r="P82" s="3445">
        <v>1</v>
      </c>
      <c r="Q82" s="3817">
        <v>14000000</v>
      </c>
      <c r="R82" s="3819" t="s">
        <v>1524</v>
      </c>
      <c r="S82" s="3821" t="s">
        <v>1525</v>
      </c>
      <c r="T82" s="1655" t="s">
        <v>1431</v>
      </c>
      <c r="U82" s="1693">
        <v>5000000</v>
      </c>
      <c r="V82" s="1693"/>
      <c r="W82" s="1694">
        <v>0</v>
      </c>
      <c r="X82" s="1695">
        <v>88</v>
      </c>
      <c r="Y82" s="1696" t="s">
        <v>168</v>
      </c>
      <c r="Z82" s="3255">
        <v>0</v>
      </c>
      <c r="AA82" s="3255">
        <v>0</v>
      </c>
      <c r="AB82" s="3255">
        <v>40</v>
      </c>
      <c r="AC82" s="3255">
        <v>0</v>
      </c>
      <c r="AD82" s="3255">
        <v>0</v>
      </c>
      <c r="AE82" s="3255">
        <v>0</v>
      </c>
      <c r="AF82" s="3255">
        <v>40</v>
      </c>
      <c r="AG82" s="3255">
        <v>0</v>
      </c>
      <c r="AH82" s="3255">
        <v>0</v>
      </c>
      <c r="AI82" s="3255">
        <v>0</v>
      </c>
      <c r="AJ82" s="3255">
        <v>0</v>
      </c>
      <c r="AK82" s="3255">
        <v>0</v>
      </c>
      <c r="AL82" s="3255">
        <v>0</v>
      </c>
      <c r="AM82" s="3255">
        <v>0</v>
      </c>
      <c r="AN82" s="3255">
        <v>2</v>
      </c>
      <c r="AO82" s="3255">
        <v>0</v>
      </c>
      <c r="AP82" s="3255">
        <v>0</v>
      </c>
      <c r="AQ82" s="3255">
        <v>0</v>
      </c>
      <c r="AR82" s="3255">
        <v>0</v>
      </c>
      <c r="AS82" s="3255">
        <v>0</v>
      </c>
      <c r="AT82" s="3255">
        <v>0</v>
      </c>
      <c r="AU82" s="3255">
        <v>0</v>
      </c>
      <c r="AV82" s="3255">
        <v>0</v>
      </c>
      <c r="AW82" s="3255">
        <v>0</v>
      </c>
      <c r="AX82" s="3255">
        <v>2</v>
      </c>
      <c r="AY82" s="3255">
        <v>0</v>
      </c>
      <c r="AZ82" s="3255">
        <v>0</v>
      </c>
      <c r="BA82" s="3255">
        <v>0</v>
      </c>
      <c r="BB82" s="2360">
        <v>2</v>
      </c>
      <c r="BC82" s="3255">
        <v>0</v>
      </c>
      <c r="BD82" s="3255">
        <v>46</v>
      </c>
      <c r="BE82" s="3255"/>
      <c r="BF82" s="3255"/>
      <c r="BG82" s="3827">
        <f>SUM(V82:V85)</f>
        <v>0</v>
      </c>
      <c r="BH82" s="3827">
        <f>SUM(W82:W85)</f>
        <v>0</v>
      </c>
      <c r="BI82" s="2370">
        <f>BG82/Q82</f>
        <v>0</v>
      </c>
      <c r="BJ82" s="3255">
        <v>88</v>
      </c>
      <c r="BK82" s="3829" t="s">
        <v>1442</v>
      </c>
      <c r="BL82" s="3822">
        <v>44033</v>
      </c>
      <c r="BM82" s="3824"/>
      <c r="BN82" s="3822">
        <v>44195</v>
      </c>
      <c r="BO82" s="3824"/>
      <c r="BP82" s="2342" t="s">
        <v>1409</v>
      </c>
      <c r="BQ82" s="1"/>
    </row>
    <row r="83" spans="1:69" ht="54.75" customHeight="1" x14ac:dyDescent="0.25">
      <c r="A83" s="141"/>
      <c r="B83" s="1"/>
      <c r="C83" s="1"/>
      <c r="D83" s="3784"/>
      <c r="E83" s="3785"/>
      <c r="F83" s="3473"/>
      <c r="G83" s="2411"/>
      <c r="H83" s="2343"/>
      <c r="I83" s="2416"/>
      <c r="J83" s="2416"/>
      <c r="K83" s="2348"/>
      <c r="L83" s="3667"/>
      <c r="M83" s="2416"/>
      <c r="N83" s="3808"/>
      <c r="O83" s="3811"/>
      <c r="P83" s="3816"/>
      <c r="Q83" s="3818"/>
      <c r="R83" s="3820"/>
      <c r="S83" s="3710"/>
      <c r="T83" s="1648" t="s">
        <v>1526</v>
      </c>
      <c r="U83" s="1670">
        <v>5000000</v>
      </c>
      <c r="V83" s="1670"/>
      <c r="W83" s="1604">
        <v>0</v>
      </c>
      <c r="X83" s="1646">
        <v>88</v>
      </c>
      <c r="Y83" s="1600" t="s">
        <v>168</v>
      </c>
      <c r="Z83" s="3256"/>
      <c r="AA83" s="3256"/>
      <c r="AB83" s="3256"/>
      <c r="AC83" s="3256"/>
      <c r="AD83" s="3256"/>
      <c r="AE83" s="3256"/>
      <c r="AF83" s="3256"/>
      <c r="AG83" s="3256"/>
      <c r="AH83" s="3256"/>
      <c r="AI83" s="3256"/>
      <c r="AJ83" s="3256"/>
      <c r="AK83" s="3256"/>
      <c r="AL83" s="3256"/>
      <c r="AM83" s="3256"/>
      <c r="AN83" s="3256"/>
      <c r="AO83" s="3256"/>
      <c r="AP83" s="3256"/>
      <c r="AQ83" s="3256"/>
      <c r="AR83" s="3256"/>
      <c r="AS83" s="3256"/>
      <c r="AT83" s="3256"/>
      <c r="AU83" s="3256"/>
      <c r="AV83" s="3256"/>
      <c r="AW83" s="3256"/>
      <c r="AX83" s="3256"/>
      <c r="AY83" s="3256"/>
      <c r="AZ83" s="3256"/>
      <c r="BA83" s="3256"/>
      <c r="BB83" s="2357"/>
      <c r="BC83" s="3256"/>
      <c r="BD83" s="3256"/>
      <c r="BE83" s="3256"/>
      <c r="BF83" s="3256"/>
      <c r="BG83" s="3828"/>
      <c r="BH83" s="3828"/>
      <c r="BI83" s="2703"/>
      <c r="BJ83" s="3256"/>
      <c r="BK83" s="3829"/>
      <c r="BL83" s="3823"/>
      <c r="BM83" s="3824"/>
      <c r="BN83" s="3823"/>
      <c r="BO83" s="3824"/>
      <c r="BP83" s="2343"/>
    </row>
    <row r="84" spans="1:69" ht="54.75" customHeight="1" x14ac:dyDescent="0.25">
      <c r="A84" s="141"/>
      <c r="B84" s="1"/>
      <c r="C84" s="1"/>
      <c r="D84" s="3784"/>
      <c r="E84" s="3785"/>
      <c r="F84" s="3473"/>
      <c r="G84" s="2411"/>
      <c r="H84" s="2343"/>
      <c r="I84" s="2416"/>
      <c r="J84" s="2416"/>
      <c r="K84" s="2348"/>
      <c r="L84" s="3667"/>
      <c r="M84" s="2416"/>
      <c r="N84" s="3808"/>
      <c r="O84" s="3811"/>
      <c r="P84" s="3816"/>
      <c r="Q84" s="3818"/>
      <c r="R84" s="3820"/>
      <c r="S84" s="3710"/>
      <c r="T84" s="1648" t="s">
        <v>1527</v>
      </c>
      <c r="U84" s="1670">
        <v>4000000</v>
      </c>
      <c r="V84" s="1670"/>
      <c r="W84" s="1604">
        <v>0</v>
      </c>
      <c r="X84" s="1646">
        <v>88</v>
      </c>
      <c r="Y84" s="1600" t="s">
        <v>168</v>
      </c>
      <c r="Z84" s="3256"/>
      <c r="AA84" s="3256"/>
      <c r="AB84" s="3256"/>
      <c r="AC84" s="3256"/>
      <c r="AD84" s="3256"/>
      <c r="AE84" s="3256"/>
      <c r="AF84" s="3256"/>
      <c r="AG84" s="3256"/>
      <c r="AH84" s="3256"/>
      <c r="AI84" s="3256"/>
      <c r="AJ84" s="3256"/>
      <c r="AK84" s="3256"/>
      <c r="AL84" s="3256"/>
      <c r="AM84" s="3256"/>
      <c r="AN84" s="3256"/>
      <c r="AO84" s="3256"/>
      <c r="AP84" s="3256"/>
      <c r="AQ84" s="3256"/>
      <c r="AR84" s="3256"/>
      <c r="AS84" s="3256"/>
      <c r="AT84" s="3256"/>
      <c r="AU84" s="3256"/>
      <c r="AV84" s="3256"/>
      <c r="AW84" s="3256"/>
      <c r="AX84" s="3256"/>
      <c r="AY84" s="3256"/>
      <c r="AZ84" s="3256"/>
      <c r="BA84" s="3256"/>
      <c r="BB84" s="2357"/>
      <c r="BC84" s="3256"/>
      <c r="BD84" s="3256"/>
      <c r="BE84" s="3256"/>
      <c r="BF84" s="3256"/>
      <c r="BG84" s="3828"/>
      <c r="BH84" s="3828"/>
      <c r="BI84" s="2703"/>
      <c r="BJ84" s="3256"/>
      <c r="BK84" s="3829"/>
      <c r="BL84" s="3823"/>
      <c r="BM84" s="3824"/>
      <c r="BN84" s="3823"/>
      <c r="BO84" s="3824"/>
      <c r="BP84" s="2343"/>
    </row>
    <row r="85" spans="1:69" ht="69" customHeight="1" x14ac:dyDescent="0.25">
      <c r="A85" s="141"/>
      <c r="B85" s="1"/>
      <c r="C85" s="1"/>
      <c r="D85" s="3812"/>
      <c r="E85" s="3813"/>
      <c r="F85" s="3474"/>
      <c r="G85" s="2412"/>
      <c r="H85" s="2343"/>
      <c r="I85" s="2416"/>
      <c r="J85" s="2416"/>
      <c r="K85" s="2348"/>
      <c r="L85" s="3668"/>
      <c r="M85" s="2416"/>
      <c r="N85" s="3809"/>
      <c r="O85" s="3811"/>
      <c r="P85" s="3816"/>
      <c r="Q85" s="3818"/>
      <c r="R85" s="3820"/>
      <c r="S85" s="3710"/>
      <c r="T85" s="1648" t="s">
        <v>1528</v>
      </c>
      <c r="U85" s="1670">
        <v>0</v>
      </c>
      <c r="V85" s="1670"/>
      <c r="W85" s="1604">
        <v>0</v>
      </c>
      <c r="X85" s="1646">
        <v>88</v>
      </c>
      <c r="Y85" s="1600" t="s">
        <v>168</v>
      </c>
      <c r="Z85" s="3256"/>
      <c r="AA85" s="3256"/>
      <c r="AB85" s="3256"/>
      <c r="AC85" s="3256"/>
      <c r="AD85" s="3256"/>
      <c r="AE85" s="3256"/>
      <c r="AF85" s="3256"/>
      <c r="AG85" s="3256"/>
      <c r="AH85" s="3256"/>
      <c r="AI85" s="3256"/>
      <c r="AJ85" s="3256"/>
      <c r="AK85" s="3256"/>
      <c r="AL85" s="3256"/>
      <c r="AM85" s="3256"/>
      <c r="AN85" s="3256"/>
      <c r="AO85" s="3256"/>
      <c r="AP85" s="3256"/>
      <c r="AQ85" s="3256"/>
      <c r="AR85" s="3256"/>
      <c r="AS85" s="3256"/>
      <c r="AT85" s="3256"/>
      <c r="AU85" s="3256"/>
      <c r="AV85" s="3256"/>
      <c r="AW85" s="3256"/>
      <c r="AX85" s="3256"/>
      <c r="AY85" s="3256"/>
      <c r="AZ85" s="3256"/>
      <c r="BA85" s="3256"/>
      <c r="BB85" s="2357"/>
      <c r="BC85" s="3256"/>
      <c r="BD85" s="3256"/>
      <c r="BE85" s="3256"/>
      <c r="BF85" s="3256"/>
      <c r="BG85" s="3828"/>
      <c r="BH85" s="3828"/>
      <c r="BI85" s="2703"/>
      <c r="BJ85" s="3256"/>
      <c r="BK85" s="3830"/>
      <c r="BL85" s="3823"/>
      <c r="BM85" s="3822"/>
      <c r="BN85" s="3823"/>
      <c r="BO85" s="3822"/>
      <c r="BP85" s="2343"/>
    </row>
    <row r="86" spans="1:69" ht="15.75" x14ac:dyDescent="0.25">
      <c r="A86" s="141"/>
      <c r="B86" s="1"/>
      <c r="C86" s="1"/>
      <c r="D86" s="1200">
        <v>37</v>
      </c>
      <c r="E86" s="1697" t="s">
        <v>1139</v>
      </c>
      <c r="F86" s="1698"/>
      <c r="G86" s="1699"/>
      <c r="H86" s="1700"/>
      <c r="I86" s="1701"/>
      <c r="J86" s="1701"/>
      <c r="K86" s="1701"/>
      <c r="L86" s="1702"/>
      <c r="M86" s="1701"/>
      <c r="N86" s="1703"/>
      <c r="O86" s="1701"/>
      <c r="P86" s="1704"/>
      <c r="Q86" s="1705"/>
      <c r="R86" s="1706"/>
      <c r="S86" s="1706"/>
      <c r="T86" s="1706"/>
      <c r="U86" s="1707"/>
      <c r="V86" s="1707"/>
      <c r="W86" s="1707"/>
      <c r="X86" s="1708"/>
      <c r="Y86" s="1709"/>
      <c r="Z86" s="1710"/>
      <c r="AA86" s="1710"/>
      <c r="AB86" s="1710"/>
      <c r="AC86" s="1710"/>
      <c r="AD86" s="1710"/>
      <c r="AE86" s="1710"/>
      <c r="AF86" s="1710"/>
      <c r="AG86" s="1710"/>
      <c r="AH86" s="1710"/>
      <c r="AI86" s="1710"/>
      <c r="AJ86" s="1710"/>
      <c r="AK86" s="1710"/>
      <c r="AL86" s="1710"/>
      <c r="AM86" s="1710"/>
      <c r="AN86" s="1710"/>
      <c r="AO86" s="1710"/>
      <c r="AP86" s="1710"/>
      <c r="AQ86" s="1710"/>
      <c r="AR86" s="1710"/>
      <c r="AS86" s="1710"/>
      <c r="AT86" s="1710"/>
      <c r="AU86" s="1710"/>
      <c r="AV86" s="1710"/>
      <c r="AW86" s="1710"/>
      <c r="AX86" s="1710"/>
      <c r="AY86" s="1710"/>
      <c r="AZ86" s="1710"/>
      <c r="BA86" s="1710"/>
      <c r="BB86" s="1710"/>
      <c r="BC86" s="1710"/>
      <c r="BD86" s="1710"/>
      <c r="BE86" s="1710"/>
      <c r="BF86" s="1710"/>
      <c r="BG86" s="1711"/>
      <c r="BH86" s="1711"/>
      <c r="BI86" s="1710"/>
      <c r="BJ86" s="1710"/>
      <c r="BK86" s="1700"/>
      <c r="BL86" s="1710"/>
      <c r="BM86" s="1710"/>
      <c r="BN86" s="1710"/>
      <c r="BO86" s="1710"/>
      <c r="BP86" s="1700"/>
    </row>
    <row r="87" spans="1:69" s="1601" customFormat="1" ht="118.5" customHeight="1" x14ac:dyDescent="0.25">
      <c r="A87" s="616"/>
      <c r="B87" s="1471"/>
      <c r="C87" s="1471"/>
      <c r="D87" s="1518"/>
      <c r="E87" s="1463"/>
      <c r="F87" s="1519"/>
      <c r="G87" s="398">
        <v>4103059</v>
      </c>
      <c r="H87" s="8">
        <v>37.4</v>
      </c>
      <c r="I87" s="1569" t="s">
        <v>1529</v>
      </c>
      <c r="J87" s="1566" t="s">
        <v>1530</v>
      </c>
      <c r="K87" s="1511">
        <v>8</v>
      </c>
      <c r="L87" s="1712">
        <v>0</v>
      </c>
      <c r="M87" s="1566" t="s">
        <v>1420</v>
      </c>
      <c r="N87" s="1564" t="s">
        <v>1421</v>
      </c>
      <c r="O87" s="1569" t="s">
        <v>1422</v>
      </c>
      <c r="P87" s="1713">
        <f>(U87)/(Q87+Q62+Q22)</f>
        <v>0.23601054900721463</v>
      </c>
      <c r="Q87" s="1714">
        <v>27000000</v>
      </c>
      <c r="R87" s="1715" t="s">
        <v>1423</v>
      </c>
      <c r="S87" s="1716" t="s">
        <v>1424</v>
      </c>
      <c r="T87" s="1717" t="s">
        <v>1531</v>
      </c>
      <c r="U87" s="1718">
        <v>27000000</v>
      </c>
      <c r="V87" s="1719">
        <v>6000000</v>
      </c>
      <c r="W87" s="1719">
        <v>0</v>
      </c>
      <c r="X87" s="1720">
        <v>88</v>
      </c>
      <c r="Y87" s="1721" t="s">
        <v>4</v>
      </c>
      <c r="Z87" s="1564">
        <v>4600</v>
      </c>
      <c r="AA87" s="1564"/>
      <c r="AB87" s="1564">
        <v>3810</v>
      </c>
      <c r="AC87" s="1564"/>
      <c r="AD87" s="1564">
        <v>0</v>
      </c>
      <c r="AE87" s="1564"/>
      <c r="AF87" s="1564">
        <v>5300</v>
      </c>
      <c r="AG87" s="1564"/>
      <c r="AH87" s="1564">
        <v>2900</v>
      </c>
      <c r="AI87" s="1564"/>
      <c r="AJ87" s="1564">
        <v>0</v>
      </c>
      <c r="AK87" s="1564"/>
      <c r="AL87" s="1564" t="s">
        <v>1426</v>
      </c>
      <c r="AM87" s="1564"/>
      <c r="AN87" s="1564">
        <v>110</v>
      </c>
      <c r="AO87" s="1564"/>
      <c r="AP87" s="1564">
        <v>0</v>
      </c>
      <c r="AQ87" s="1564"/>
      <c r="AR87" s="1564">
        <v>0</v>
      </c>
      <c r="AS87" s="1564"/>
      <c r="AT87" s="1564">
        <v>0</v>
      </c>
      <c r="AU87" s="1564"/>
      <c r="AV87" s="1564">
        <v>0</v>
      </c>
      <c r="AW87" s="1564"/>
      <c r="AX87" s="1564">
        <v>0</v>
      </c>
      <c r="AY87" s="1564"/>
      <c r="AZ87" s="1564">
        <v>100</v>
      </c>
      <c r="BA87" s="1564"/>
      <c r="BB87" s="1564">
        <v>0</v>
      </c>
      <c r="BC87" s="1564"/>
      <c r="BD87" s="1564">
        <v>8410</v>
      </c>
      <c r="BE87" s="1564"/>
      <c r="BF87" s="1564"/>
      <c r="BG87" s="1722">
        <f>SUM(V87)</f>
        <v>6000000</v>
      </c>
      <c r="BH87" s="1722">
        <f>SUM(W87)</f>
        <v>0</v>
      </c>
      <c r="BI87" s="1559">
        <f>BG87/Q87</f>
        <v>0.22222222222222221</v>
      </c>
      <c r="BJ87" s="1564">
        <v>88</v>
      </c>
      <c r="BK87" s="1564" t="s">
        <v>1427</v>
      </c>
      <c r="BL87" s="1723">
        <v>43832</v>
      </c>
      <c r="BM87" s="1723"/>
      <c r="BN87" s="1723">
        <v>44195</v>
      </c>
      <c r="BO87" s="1723"/>
      <c r="BP87" s="1564" t="s">
        <v>1409</v>
      </c>
    </row>
    <row r="88" spans="1:69" ht="72" customHeight="1" x14ac:dyDescent="0.25">
      <c r="A88" s="141"/>
      <c r="B88" s="1"/>
      <c r="C88" s="1"/>
      <c r="D88" s="212"/>
      <c r="E88" s="1"/>
      <c r="F88" s="3"/>
      <c r="G88" s="3825">
        <v>4103052</v>
      </c>
      <c r="H88" s="2304">
        <v>37.200000000000003</v>
      </c>
      <c r="I88" s="2308" t="s">
        <v>1532</v>
      </c>
      <c r="J88" s="2439" t="s">
        <v>1533</v>
      </c>
      <c r="K88" s="2318">
        <v>1</v>
      </c>
      <c r="L88" s="3832">
        <v>0.7</v>
      </c>
      <c r="M88" s="2308" t="s">
        <v>1534</v>
      </c>
      <c r="N88" s="2306" t="s">
        <v>1535</v>
      </c>
      <c r="O88" s="2422" t="s">
        <v>1536</v>
      </c>
      <c r="P88" s="2885">
        <v>1</v>
      </c>
      <c r="Q88" s="3835">
        <v>44520000</v>
      </c>
      <c r="R88" s="3831" t="s">
        <v>1537</v>
      </c>
      <c r="S88" s="3831" t="s">
        <v>1538</v>
      </c>
      <c r="T88" s="1676" t="s">
        <v>1539</v>
      </c>
      <c r="U88" s="1724">
        <v>0</v>
      </c>
      <c r="V88" s="1724"/>
      <c r="W88" s="1724">
        <v>0</v>
      </c>
      <c r="X88" s="1725">
        <v>20</v>
      </c>
      <c r="Y88" s="1726" t="s">
        <v>7</v>
      </c>
      <c r="Z88" s="2315">
        <v>704</v>
      </c>
      <c r="AA88" s="2315">
        <v>10</v>
      </c>
      <c r="AB88" s="2315">
        <v>896</v>
      </c>
      <c r="AC88" s="2315">
        <v>6</v>
      </c>
      <c r="AD88" s="2315">
        <v>0</v>
      </c>
      <c r="AE88" s="2306"/>
      <c r="AF88" s="2315">
        <v>0</v>
      </c>
      <c r="AG88" s="2306"/>
      <c r="AH88" s="2315">
        <v>1600</v>
      </c>
      <c r="AI88" s="2306"/>
      <c r="AJ88" s="2315">
        <v>0</v>
      </c>
      <c r="AK88" s="2306"/>
      <c r="AL88" s="2315">
        <v>0</v>
      </c>
      <c r="AM88" s="2306"/>
      <c r="AN88" s="2315">
        <v>0</v>
      </c>
      <c r="AO88" s="2306"/>
      <c r="AP88" s="2315">
        <v>0</v>
      </c>
      <c r="AQ88" s="2306"/>
      <c r="AR88" s="2315">
        <v>0</v>
      </c>
      <c r="AS88" s="2306"/>
      <c r="AT88" s="2315">
        <v>0</v>
      </c>
      <c r="AU88" s="2306"/>
      <c r="AV88" s="2315">
        <v>0</v>
      </c>
      <c r="AW88" s="2306"/>
      <c r="AX88" s="2315">
        <v>0</v>
      </c>
      <c r="AY88" s="2306"/>
      <c r="AZ88" s="2315">
        <v>0</v>
      </c>
      <c r="BA88" s="2306"/>
      <c r="BB88" s="2315">
        <v>0</v>
      </c>
      <c r="BC88" s="2306"/>
      <c r="BD88" s="2315">
        <v>1600</v>
      </c>
      <c r="BE88" s="2306"/>
      <c r="BF88" s="2315">
        <v>1</v>
      </c>
      <c r="BG88" s="3836">
        <f>SUM(V88:V91)</f>
        <v>44520000</v>
      </c>
      <c r="BH88" s="3836">
        <f>SUM(W88:W91)</f>
        <v>9520000</v>
      </c>
      <c r="BI88" s="3031">
        <f>BG88/Q88</f>
        <v>1</v>
      </c>
      <c r="BJ88" s="2306">
        <v>20</v>
      </c>
      <c r="BK88" s="2315" t="s">
        <v>1540</v>
      </c>
      <c r="BL88" s="3847">
        <v>43832</v>
      </c>
      <c r="BM88" s="3847">
        <v>43832</v>
      </c>
      <c r="BN88" s="3847">
        <v>44195</v>
      </c>
      <c r="BO88" s="3847">
        <v>44195</v>
      </c>
      <c r="BP88" s="2315" t="s">
        <v>1409</v>
      </c>
    </row>
    <row r="89" spans="1:69" ht="91.5" customHeight="1" x14ac:dyDescent="0.25">
      <c r="A89" s="141"/>
      <c r="B89" s="1"/>
      <c r="C89" s="1"/>
      <c r="D89" s="212"/>
      <c r="E89" s="1"/>
      <c r="F89" s="3"/>
      <c r="G89" s="3826"/>
      <c r="H89" s="2305"/>
      <c r="I89" s="2309"/>
      <c r="J89" s="2440"/>
      <c r="K89" s="2319"/>
      <c r="L89" s="3833"/>
      <c r="M89" s="2309"/>
      <c r="N89" s="2307"/>
      <c r="O89" s="2423"/>
      <c r="P89" s="2886"/>
      <c r="Q89" s="3804"/>
      <c r="R89" s="3712"/>
      <c r="S89" s="3712"/>
      <c r="T89" s="1727" t="s">
        <v>1541</v>
      </c>
      <c r="U89" s="1728">
        <v>9520000</v>
      </c>
      <c r="V89" s="1598">
        <v>9520000</v>
      </c>
      <c r="W89" s="1724">
        <f>+V89</f>
        <v>9520000</v>
      </c>
      <c r="X89" s="1725">
        <v>20</v>
      </c>
      <c r="Y89" s="1726" t="s">
        <v>7</v>
      </c>
      <c r="Z89" s="2315"/>
      <c r="AA89" s="2315"/>
      <c r="AB89" s="2315"/>
      <c r="AC89" s="2315"/>
      <c r="AD89" s="2315"/>
      <c r="AE89" s="2307"/>
      <c r="AF89" s="2315"/>
      <c r="AG89" s="2307"/>
      <c r="AH89" s="2315"/>
      <c r="AI89" s="2307"/>
      <c r="AJ89" s="2315"/>
      <c r="AK89" s="2307"/>
      <c r="AL89" s="2315"/>
      <c r="AM89" s="2307"/>
      <c r="AN89" s="2315"/>
      <c r="AO89" s="2307"/>
      <c r="AP89" s="2315"/>
      <c r="AQ89" s="2307"/>
      <c r="AR89" s="2315"/>
      <c r="AS89" s="2307"/>
      <c r="AT89" s="2315"/>
      <c r="AU89" s="2307"/>
      <c r="AV89" s="2315"/>
      <c r="AW89" s="2307"/>
      <c r="AX89" s="2315"/>
      <c r="AY89" s="2307"/>
      <c r="AZ89" s="2315"/>
      <c r="BA89" s="2307"/>
      <c r="BB89" s="2315"/>
      <c r="BC89" s="2307"/>
      <c r="BD89" s="2315"/>
      <c r="BE89" s="2307"/>
      <c r="BF89" s="2315"/>
      <c r="BG89" s="3837"/>
      <c r="BH89" s="3837"/>
      <c r="BI89" s="3032"/>
      <c r="BJ89" s="2307"/>
      <c r="BK89" s="2315"/>
      <c r="BL89" s="3847"/>
      <c r="BM89" s="3847"/>
      <c r="BN89" s="3847"/>
      <c r="BO89" s="3847"/>
      <c r="BP89" s="2315"/>
    </row>
    <row r="90" spans="1:69" ht="54.75" customHeight="1" x14ac:dyDescent="0.25">
      <c r="A90" s="141"/>
      <c r="B90" s="1"/>
      <c r="C90" s="1"/>
      <c r="D90" s="212"/>
      <c r="E90" s="1"/>
      <c r="F90" s="3"/>
      <c r="G90" s="3826"/>
      <c r="H90" s="2305"/>
      <c r="I90" s="2309"/>
      <c r="J90" s="2440"/>
      <c r="K90" s="2319"/>
      <c r="L90" s="3833"/>
      <c r="M90" s="2309"/>
      <c r="N90" s="2307"/>
      <c r="O90" s="2423"/>
      <c r="P90" s="2886"/>
      <c r="Q90" s="3804"/>
      <c r="R90" s="3712"/>
      <c r="S90" s="3712"/>
      <c r="T90" s="1729" t="s">
        <v>1542</v>
      </c>
      <c r="U90" s="1730">
        <v>35000000</v>
      </c>
      <c r="V90" s="1598">
        <v>35000000</v>
      </c>
      <c r="W90" s="1724">
        <v>0</v>
      </c>
      <c r="X90" s="1725">
        <v>20</v>
      </c>
      <c r="Y90" s="1726" t="s">
        <v>7</v>
      </c>
      <c r="Z90" s="2315"/>
      <c r="AA90" s="2315"/>
      <c r="AB90" s="2315"/>
      <c r="AC90" s="2315"/>
      <c r="AD90" s="2315"/>
      <c r="AE90" s="2307"/>
      <c r="AF90" s="2315"/>
      <c r="AG90" s="2307"/>
      <c r="AH90" s="2315"/>
      <c r="AI90" s="2307"/>
      <c r="AJ90" s="2315"/>
      <c r="AK90" s="2307"/>
      <c r="AL90" s="2315"/>
      <c r="AM90" s="2307"/>
      <c r="AN90" s="2315"/>
      <c r="AO90" s="2307"/>
      <c r="AP90" s="2315"/>
      <c r="AQ90" s="2307"/>
      <c r="AR90" s="2315"/>
      <c r="AS90" s="2307"/>
      <c r="AT90" s="2315"/>
      <c r="AU90" s="2307"/>
      <c r="AV90" s="2315"/>
      <c r="AW90" s="2307"/>
      <c r="AX90" s="2315"/>
      <c r="AY90" s="2307"/>
      <c r="AZ90" s="2315"/>
      <c r="BA90" s="2307"/>
      <c r="BB90" s="2315"/>
      <c r="BC90" s="2307"/>
      <c r="BD90" s="2315"/>
      <c r="BE90" s="2307"/>
      <c r="BF90" s="2315"/>
      <c r="BG90" s="3837"/>
      <c r="BH90" s="3837"/>
      <c r="BI90" s="3032"/>
      <c r="BJ90" s="2307"/>
      <c r="BK90" s="2315"/>
      <c r="BL90" s="3847"/>
      <c r="BM90" s="3847"/>
      <c r="BN90" s="3847"/>
      <c r="BO90" s="3847"/>
      <c r="BP90" s="2315"/>
    </row>
    <row r="91" spans="1:69" ht="38.25" customHeight="1" x14ac:dyDescent="0.25">
      <c r="A91" s="141"/>
      <c r="B91" s="1"/>
      <c r="C91" s="1"/>
      <c r="D91" s="212"/>
      <c r="E91" s="1"/>
      <c r="F91" s="3"/>
      <c r="G91" s="3826"/>
      <c r="H91" s="2305"/>
      <c r="I91" s="2309"/>
      <c r="J91" s="2440"/>
      <c r="K91" s="2319"/>
      <c r="L91" s="3834"/>
      <c r="M91" s="2309"/>
      <c r="N91" s="2307"/>
      <c r="O91" s="2423"/>
      <c r="P91" s="2886"/>
      <c r="Q91" s="3804"/>
      <c r="R91" s="3712"/>
      <c r="S91" s="3712"/>
      <c r="T91" s="1680" t="s">
        <v>1543</v>
      </c>
      <c r="U91" s="1598">
        <v>0</v>
      </c>
      <c r="V91" s="1598"/>
      <c r="W91" s="1598">
        <v>0</v>
      </c>
      <c r="X91" s="1606">
        <v>20</v>
      </c>
      <c r="Y91" s="1617" t="s">
        <v>7</v>
      </c>
      <c r="Z91" s="2315"/>
      <c r="AA91" s="2315"/>
      <c r="AB91" s="2315"/>
      <c r="AC91" s="2315"/>
      <c r="AD91" s="2315"/>
      <c r="AE91" s="2467"/>
      <c r="AF91" s="2315"/>
      <c r="AG91" s="2467"/>
      <c r="AH91" s="2315"/>
      <c r="AI91" s="2467"/>
      <c r="AJ91" s="2315"/>
      <c r="AK91" s="2467"/>
      <c r="AL91" s="2315"/>
      <c r="AM91" s="2467"/>
      <c r="AN91" s="2315"/>
      <c r="AO91" s="2467"/>
      <c r="AP91" s="2315"/>
      <c r="AQ91" s="2467"/>
      <c r="AR91" s="2315"/>
      <c r="AS91" s="2467"/>
      <c r="AT91" s="2315"/>
      <c r="AU91" s="2467"/>
      <c r="AV91" s="2315"/>
      <c r="AW91" s="2467"/>
      <c r="AX91" s="2315"/>
      <c r="AY91" s="2467"/>
      <c r="AZ91" s="2315"/>
      <c r="BA91" s="2467"/>
      <c r="BB91" s="2315"/>
      <c r="BC91" s="2467"/>
      <c r="BD91" s="2315"/>
      <c r="BE91" s="2467"/>
      <c r="BF91" s="2315"/>
      <c r="BG91" s="3838"/>
      <c r="BH91" s="3838"/>
      <c r="BI91" s="3033"/>
      <c r="BJ91" s="2467"/>
      <c r="BK91" s="2315"/>
      <c r="BL91" s="3847"/>
      <c r="BM91" s="3847"/>
      <c r="BN91" s="3847"/>
      <c r="BO91" s="3847"/>
      <c r="BP91" s="2315"/>
    </row>
    <row r="92" spans="1:69" s="1601" customFormat="1" ht="62.25" customHeight="1" x14ac:dyDescent="0.25">
      <c r="A92" s="616"/>
      <c r="B92" s="1471"/>
      <c r="C92" s="3848"/>
      <c r="D92" s="3849"/>
      <c r="E92" s="3848"/>
      <c r="F92" s="3850"/>
      <c r="G92" s="3851">
        <v>4103050</v>
      </c>
      <c r="H92" s="3670">
        <v>37.1</v>
      </c>
      <c r="I92" s="3091" t="s">
        <v>1544</v>
      </c>
      <c r="J92" s="3144" t="s">
        <v>1545</v>
      </c>
      <c r="K92" s="3665">
        <v>12</v>
      </c>
      <c r="L92" s="3666">
        <v>0</v>
      </c>
      <c r="M92" s="3144" t="s">
        <v>1500</v>
      </c>
      <c r="N92" s="3670" t="s">
        <v>1501</v>
      </c>
      <c r="O92" s="3846" t="s">
        <v>1502</v>
      </c>
      <c r="P92" s="3839">
        <f>(U92+U93)/(Q92+Q73)</f>
        <v>0.65789473684210531</v>
      </c>
      <c r="Q92" s="3818">
        <v>25000000</v>
      </c>
      <c r="R92" s="3840" t="s">
        <v>1503</v>
      </c>
      <c r="S92" s="3669" t="s">
        <v>1504</v>
      </c>
      <c r="T92" s="1731" t="s">
        <v>1546</v>
      </c>
      <c r="U92" s="1631">
        <v>21000000</v>
      </c>
      <c r="V92" s="1631">
        <v>20074999</v>
      </c>
      <c r="W92" s="1604">
        <v>0</v>
      </c>
      <c r="X92" s="1632">
        <v>88</v>
      </c>
      <c r="Y92" s="1633" t="s">
        <v>86</v>
      </c>
      <c r="Z92" s="3841">
        <v>4500</v>
      </c>
      <c r="AA92" s="3843"/>
      <c r="AB92" s="3841">
        <v>4500</v>
      </c>
      <c r="AC92" s="3843"/>
      <c r="AD92" s="3841">
        <v>1560</v>
      </c>
      <c r="AE92" s="3843"/>
      <c r="AF92" s="3841">
        <v>1560</v>
      </c>
      <c r="AG92" s="3843"/>
      <c r="AH92" s="3841">
        <v>1560</v>
      </c>
      <c r="AI92" s="3843"/>
      <c r="AJ92" s="3115">
        <v>2000</v>
      </c>
      <c r="AK92" s="3843"/>
      <c r="AL92" s="3115">
        <v>400</v>
      </c>
      <c r="AM92" s="3843"/>
      <c r="AN92" s="3115">
        <v>400</v>
      </c>
      <c r="AO92" s="3843"/>
      <c r="AP92" s="3115">
        <v>400</v>
      </c>
      <c r="AQ92" s="3843"/>
      <c r="AR92" s="3115">
        <v>50</v>
      </c>
      <c r="AS92" s="3843"/>
      <c r="AT92" s="3115">
        <v>50</v>
      </c>
      <c r="AU92" s="3843"/>
      <c r="AV92" s="3115">
        <v>70</v>
      </c>
      <c r="AW92" s="3843"/>
      <c r="AX92" s="3115">
        <v>50</v>
      </c>
      <c r="AY92" s="3843"/>
      <c r="AZ92" s="3115">
        <v>500</v>
      </c>
      <c r="BA92" s="3843"/>
      <c r="BB92" s="3115">
        <v>400</v>
      </c>
      <c r="BC92" s="3843"/>
      <c r="BD92" s="3873">
        <v>9000</v>
      </c>
      <c r="BE92" s="3872"/>
      <c r="BF92" s="3872"/>
      <c r="BG92" s="3874">
        <f>SUM(V92:V93)</f>
        <v>24074999</v>
      </c>
      <c r="BH92" s="3874">
        <f>SUM(W92:W93)</f>
        <v>0</v>
      </c>
      <c r="BI92" s="3875">
        <f>BG92/Q92</f>
        <v>0.96299995999999999</v>
      </c>
      <c r="BJ92" s="3872" t="s">
        <v>1407</v>
      </c>
      <c r="BK92" s="3877" t="s">
        <v>1408</v>
      </c>
      <c r="BL92" s="3862">
        <v>44033</v>
      </c>
      <c r="BM92" s="3864"/>
      <c r="BN92" s="3862">
        <v>44195</v>
      </c>
      <c r="BO92" s="3864"/>
      <c r="BP92" s="3697" t="s">
        <v>1409</v>
      </c>
    </row>
    <row r="93" spans="1:69" s="1601" customFormat="1" ht="62.25" customHeight="1" x14ac:dyDescent="0.25">
      <c r="A93" s="616"/>
      <c r="B93" s="1471"/>
      <c r="C93" s="3848"/>
      <c r="D93" s="3849"/>
      <c r="E93" s="3848"/>
      <c r="F93" s="3850"/>
      <c r="G93" s="3852"/>
      <c r="H93" s="3670"/>
      <c r="I93" s="3091"/>
      <c r="J93" s="3144"/>
      <c r="K93" s="3845"/>
      <c r="L93" s="3668"/>
      <c r="M93" s="3144"/>
      <c r="N93" s="3670"/>
      <c r="O93" s="3846"/>
      <c r="P93" s="3839"/>
      <c r="Q93" s="3818"/>
      <c r="R93" s="3840"/>
      <c r="S93" s="3669"/>
      <c r="T93" s="1731" t="s">
        <v>1547</v>
      </c>
      <c r="U93" s="1631">
        <v>4000000</v>
      </c>
      <c r="V93" s="1631">
        <v>4000000</v>
      </c>
      <c r="W93" s="1604">
        <v>0</v>
      </c>
      <c r="X93" s="1632">
        <v>88</v>
      </c>
      <c r="Y93" s="1633" t="s">
        <v>86</v>
      </c>
      <c r="Z93" s="3842"/>
      <c r="AA93" s="3844"/>
      <c r="AB93" s="3842"/>
      <c r="AC93" s="3844"/>
      <c r="AD93" s="3842"/>
      <c r="AE93" s="3844"/>
      <c r="AF93" s="3842"/>
      <c r="AG93" s="3844"/>
      <c r="AH93" s="3842"/>
      <c r="AI93" s="3844"/>
      <c r="AJ93" s="3113"/>
      <c r="AK93" s="3844"/>
      <c r="AL93" s="3113"/>
      <c r="AM93" s="3844"/>
      <c r="AN93" s="3113"/>
      <c r="AO93" s="3844"/>
      <c r="AP93" s="3113"/>
      <c r="AQ93" s="3844"/>
      <c r="AR93" s="3113"/>
      <c r="AS93" s="3844"/>
      <c r="AT93" s="3113"/>
      <c r="AU93" s="3844"/>
      <c r="AV93" s="3113"/>
      <c r="AW93" s="3844"/>
      <c r="AX93" s="3113"/>
      <c r="AY93" s="3844"/>
      <c r="AZ93" s="3113"/>
      <c r="BA93" s="3844"/>
      <c r="BB93" s="3113"/>
      <c r="BC93" s="3844"/>
      <c r="BD93" s="3879"/>
      <c r="BE93" s="3873"/>
      <c r="BF93" s="3873"/>
      <c r="BG93" s="3827"/>
      <c r="BH93" s="3827"/>
      <c r="BI93" s="3876"/>
      <c r="BJ93" s="3873"/>
      <c r="BK93" s="3878"/>
      <c r="BL93" s="3863"/>
      <c r="BM93" s="3862"/>
      <c r="BN93" s="3863"/>
      <c r="BO93" s="3862"/>
      <c r="BP93" s="3670"/>
    </row>
    <row r="94" spans="1:69" s="1601" customFormat="1" ht="55.5" customHeight="1" x14ac:dyDescent="0.25">
      <c r="A94" s="616"/>
      <c r="B94" s="1471"/>
      <c r="C94" s="1471"/>
      <c r="D94" s="1522"/>
      <c r="E94" s="1471"/>
      <c r="F94" s="1523"/>
      <c r="G94" s="2771">
        <v>4103058</v>
      </c>
      <c r="H94" s="3214" t="s">
        <v>1548</v>
      </c>
      <c r="I94" s="3150" t="s">
        <v>1549</v>
      </c>
      <c r="J94" s="3866" t="s">
        <v>1550</v>
      </c>
      <c r="K94" s="3869">
        <v>1</v>
      </c>
      <c r="L94" s="3853">
        <v>0</v>
      </c>
      <c r="M94" s="3856" t="s">
        <v>1551</v>
      </c>
      <c r="N94" s="3697" t="s">
        <v>1552</v>
      </c>
      <c r="O94" s="3857" t="s">
        <v>1553</v>
      </c>
      <c r="P94" s="3858">
        <f>SUM(U94:U96)/(Q94+Q106)</f>
        <v>0.40909090909090912</v>
      </c>
      <c r="Q94" s="3817">
        <v>27000000</v>
      </c>
      <c r="R94" s="3883" t="s">
        <v>1554</v>
      </c>
      <c r="S94" s="3883" t="s">
        <v>1555</v>
      </c>
      <c r="T94" s="3884" t="s">
        <v>1556</v>
      </c>
      <c r="U94" s="1732">
        <v>10000000</v>
      </c>
      <c r="V94" s="1732">
        <v>0</v>
      </c>
      <c r="W94" s="1732">
        <v>0</v>
      </c>
      <c r="X94" s="1657">
        <v>20</v>
      </c>
      <c r="Y94" s="1658" t="s">
        <v>7</v>
      </c>
      <c r="Z94" s="3885">
        <v>2360</v>
      </c>
      <c r="AA94" s="3885"/>
      <c r="AB94" s="3885"/>
      <c r="AC94" s="3762"/>
      <c r="AD94" s="3880">
        <v>1500</v>
      </c>
      <c r="AE94" s="3762"/>
      <c r="AF94" s="3880">
        <v>480</v>
      </c>
      <c r="AG94" s="3762"/>
      <c r="AH94" s="3880">
        <v>1200</v>
      </c>
      <c r="AI94" s="3762"/>
      <c r="AJ94" s="3880">
        <v>1500</v>
      </c>
      <c r="AK94" s="3762"/>
      <c r="AL94" s="3880">
        <v>20</v>
      </c>
      <c r="AM94" s="3762"/>
      <c r="AN94" s="3880">
        <v>20</v>
      </c>
      <c r="AO94" s="3762"/>
      <c r="AP94" s="3880">
        <v>0</v>
      </c>
      <c r="AQ94" s="3762"/>
      <c r="AR94" s="3880">
        <v>0</v>
      </c>
      <c r="AS94" s="3762"/>
      <c r="AT94" s="3880">
        <v>0</v>
      </c>
      <c r="AU94" s="3762"/>
      <c r="AV94" s="3880">
        <v>0</v>
      </c>
      <c r="AW94" s="3762"/>
      <c r="AX94" s="3880">
        <v>1000</v>
      </c>
      <c r="AY94" s="3762"/>
      <c r="AZ94" s="3880">
        <v>0</v>
      </c>
      <c r="BA94" s="3762"/>
      <c r="BB94" s="3880">
        <v>0</v>
      </c>
      <c r="BC94" s="3762"/>
      <c r="BD94" s="3880">
        <v>4720</v>
      </c>
      <c r="BE94" s="3762"/>
      <c r="BF94" s="3894"/>
      <c r="BG94" s="3889">
        <f>SUM(V94:V96)</f>
        <v>0</v>
      </c>
      <c r="BH94" s="3889">
        <f>SUM(W94:W96)</f>
        <v>0</v>
      </c>
      <c r="BI94" s="3802">
        <f>BG94/Q94</f>
        <v>0</v>
      </c>
      <c r="BJ94" s="3786" t="s">
        <v>1407</v>
      </c>
      <c r="BK94" s="3892" t="s">
        <v>1557</v>
      </c>
      <c r="BL94" s="3799">
        <v>44033</v>
      </c>
      <c r="BM94" s="3799"/>
      <c r="BN94" s="3799">
        <v>44195</v>
      </c>
      <c r="BO94" s="3799"/>
      <c r="BP94" s="3766" t="s">
        <v>1409</v>
      </c>
    </row>
    <row r="95" spans="1:69" s="1601" customFormat="1" ht="57.75" customHeight="1" x14ac:dyDescent="0.25">
      <c r="A95" s="616"/>
      <c r="B95" s="1471"/>
      <c r="C95" s="1471"/>
      <c r="D95" s="1522"/>
      <c r="E95" s="1471"/>
      <c r="F95" s="1523"/>
      <c r="G95" s="2772"/>
      <c r="H95" s="2786"/>
      <c r="I95" s="3112"/>
      <c r="J95" s="3867"/>
      <c r="K95" s="3870"/>
      <c r="L95" s="3854"/>
      <c r="M95" s="3144"/>
      <c r="N95" s="3670"/>
      <c r="O95" s="3091"/>
      <c r="P95" s="3859"/>
      <c r="Q95" s="3818"/>
      <c r="R95" s="3700"/>
      <c r="S95" s="3700"/>
      <c r="T95" s="3883"/>
      <c r="U95" s="1631">
        <v>10000000</v>
      </c>
      <c r="V95" s="1631">
        <v>0</v>
      </c>
      <c r="W95" s="1631">
        <v>0</v>
      </c>
      <c r="X95" s="1733">
        <v>88</v>
      </c>
      <c r="Y95" s="1734" t="s">
        <v>86</v>
      </c>
      <c r="Z95" s="3886"/>
      <c r="AA95" s="3886"/>
      <c r="AB95" s="3886"/>
      <c r="AC95" s="3653"/>
      <c r="AD95" s="3881"/>
      <c r="AE95" s="3653"/>
      <c r="AF95" s="3881"/>
      <c r="AG95" s="3653"/>
      <c r="AH95" s="3881"/>
      <c r="AI95" s="3653"/>
      <c r="AJ95" s="3881"/>
      <c r="AK95" s="3653"/>
      <c r="AL95" s="3881"/>
      <c r="AM95" s="3653"/>
      <c r="AN95" s="3881"/>
      <c r="AO95" s="3653"/>
      <c r="AP95" s="3881"/>
      <c r="AQ95" s="3653"/>
      <c r="AR95" s="3881"/>
      <c r="AS95" s="3653"/>
      <c r="AT95" s="3881"/>
      <c r="AU95" s="3653"/>
      <c r="AV95" s="3881"/>
      <c r="AW95" s="3653"/>
      <c r="AX95" s="3881"/>
      <c r="AY95" s="3653"/>
      <c r="AZ95" s="3881"/>
      <c r="BA95" s="3653"/>
      <c r="BB95" s="3881"/>
      <c r="BC95" s="3653"/>
      <c r="BD95" s="3881"/>
      <c r="BE95" s="3653"/>
      <c r="BF95" s="3895"/>
      <c r="BG95" s="3890"/>
      <c r="BH95" s="3890"/>
      <c r="BI95" s="3689"/>
      <c r="BJ95" s="3787"/>
      <c r="BK95" s="3893"/>
      <c r="BL95" s="3800"/>
      <c r="BM95" s="3800"/>
      <c r="BN95" s="3800"/>
      <c r="BO95" s="3800"/>
      <c r="BP95" s="3767"/>
    </row>
    <row r="96" spans="1:69" s="1601" customFormat="1" ht="66.75" customHeight="1" x14ac:dyDescent="0.25">
      <c r="A96" s="616"/>
      <c r="B96" s="1471"/>
      <c r="C96" s="1471"/>
      <c r="D96" s="1522"/>
      <c r="E96" s="1471"/>
      <c r="F96" s="1523"/>
      <c r="G96" s="3865"/>
      <c r="H96" s="3225"/>
      <c r="I96" s="3142"/>
      <c r="J96" s="3868"/>
      <c r="K96" s="3871"/>
      <c r="L96" s="3855"/>
      <c r="M96" s="3641"/>
      <c r="N96" s="3639"/>
      <c r="O96" s="3091"/>
      <c r="P96" s="3860"/>
      <c r="Q96" s="3861"/>
      <c r="R96" s="3700"/>
      <c r="S96" s="3700"/>
      <c r="T96" s="1735" t="s">
        <v>1558</v>
      </c>
      <c r="U96" s="1635">
        <v>7000000</v>
      </c>
      <c r="V96" s="1635">
        <v>0</v>
      </c>
      <c r="W96" s="1635">
        <v>0</v>
      </c>
      <c r="X96" s="1606">
        <v>20</v>
      </c>
      <c r="Y96" s="1617" t="s">
        <v>7</v>
      </c>
      <c r="Z96" s="3887"/>
      <c r="AA96" s="3887"/>
      <c r="AB96" s="3887"/>
      <c r="AC96" s="3654"/>
      <c r="AD96" s="3882"/>
      <c r="AE96" s="3654"/>
      <c r="AF96" s="3882"/>
      <c r="AG96" s="3654"/>
      <c r="AH96" s="3882"/>
      <c r="AI96" s="3654"/>
      <c r="AJ96" s="3882"/>
      <c r="AK96" s="3654"/>
      <c r="AL96" s="3882"/>
      <c r="AM96" s="3654"/>
      <c r="AN96" s="3882"/>
      <c r="AO96" s="3654"/>
      <c r="AP96" s="3882"/>
      <c r="AQ96" s="3654"/>
      <c r="AR96" s="3882"/>
      <c r="AS96" s="3654"/>
      <c r="AT96" s="3882"/>
      <c r="AU96" s="3654"/>
      <c r="AV96" s="3882"/>
      <c r="AW96" s="3654"/>
      <c r="AX96" s="3882"/>
      <c r="AY96" s="3654"/>
      <c r="AZ96" s="3882"/>
      <c r="BA96" s="3654"/>
      <c r="BB96" s="3882"/>
      <c r="BC96" s="3654"/>
      <c r="BD96" s="3882"/>
      <c r="BE96" s="3654"/>
      <c r="BF96" s="3896"/>
      <c r="BG96" s="3891"/>
      <c r="BH96" s="3891"/>
      <c r="BI96" s="3690"/>
      <c r="BJ96" s="3788"/>
      <c r="BK96" s="3893"/>
      <c r="BL96" s="3801"/>
      <c r="BM96" s="3801"/>
      <c r="BN96" s="3801"/>
      <c r="BO96" s="3801"/>
      <c r="BP96" s="3110"/>
    </row>
    <row r="97" spans="1:68" ht="62.25" customHeight="1" x14ac:dyDescent="0.25">
      <c r="A97" s="141"/>
      <c r="B97" s="1"/>
      <c r="C97" s="1"/>
      <c r="D97" s="212"/>
      <c r="E97" s="1"/>
      <c r="F97" s="3"/>
      <c r="G97" s="3888" t="s">
        <v>1140</v>
      </c>
      <c r="H97" s="2786">
        <v>37.5</v>
      </c>
      <c r="I97" s="2413" t="s">
        <v>1559</v>
      </c>
      <c r="J97" s="2416" t="s">
        <v>1560</v>
      </c>
      <c r="K97" s="2456">
        <v>2</v>
      </c>
      <c r="L97" s="3666">
        <v>0</v>
      </c>
      <c r="M97" s="2331" t="s">
        <v>1561</v>
      </c>
      <c r="N97" s="2343" t="s">
        <v>1562</v>
      </c>
      <c r="O97" s="2671" t="s">
        <v>1563</v>
      </c>
      <c r="P97" s="2854">
        <v>0.37735849056603776</v>
      </c>
      <c r="Q97" s="3818">
        <v>79500000</v>
      </c>
      <c r="R97" s="3899" t="s">
        <v>1564</v>
      </c>
      <c r="S97" s="3897" t="s">
        <v>1565</v>
      </c>
      <c r="T97" s="1736" t="s">
        <v>1566</v>
      </c>
      <c r="U97" s="1631">
        <v>15000000</v>
      </c>
      <c r="V97" s="1737">
        <v>0</v>
      </c>
      <c r="W97" s="1635">
        <v>0</v>
      </c>
      <c r="X97" s="1632">
        <v>88</v>
      </c>
      <c r="Y97" s="1633" t="s">
        <v>86</v>
      </c>
      <c r="Z97" s="3038">
        <v>0</v>
      </c>
      <c r="AA97" s="2306">
        <v>12</v>
      </c>
      <c r="AB97" s="2306">
        <v>0</v>
      </c>
      <c r="AC97" s="2306">
        <v>38</v>
      </c>
      <c r="AD97" s="2306">
        <v>0</v>
      </c>
      <c r="AE97" s="2306"/>
      <c r="AF97" s="2306">
        <v>0</v>
      </c>
      <c r="AG97" s="2306"/>
      <c r="AH97" s="2306">
        <v>0</v>
      </c>
      <c r="AI97" s="2306"/>
      <c r="AJ97" s="2306">
        <v>0</v>
      </c>
      <c r="AK97" s="2306"/>
      <c r="AL97" s="2306">
        <v>0</v>
      </c>
      <c r="AM97" s="2306"/>
      <c r="AN97" s="2306">
        <v>0</v>
      </c>
      <c r="AO97" s="2306"/>
      <c r="AP97" s="2306">
        <v>0</v>
      </c>
      <c r="AQ97" s="2306"/>
      <c r="AR97" s="2306">
        <v>0</v>
      </c>
      <c r="AS97" s="2306"/>
      <c r="AT97" s="2306">
        <v>0</v>
      </c>
      <c r="AU97" s="2306"/>
      <c r="AV97" s="2306">
        <v>0</v>
      </c>
      <c r="AW97" s="2306"/>
      <c r="AX97" s="2306">
        <v>0</v>
      </c>
      <c r="AY97" s="2306"/>
      <c r="AZ97" s="2306">
        <v>0</v>
      </c>
      <c r="BA97" s="2306"/>
      <c r="BB97" s="2306">
        <v>0</v>
      </c>
      <c r="BC97" s="2306"/>
      <c r="BD97" s="2306">
        <v>500</v>
      </c>
      <c r="BE97" s="2306"/>
      <c r="BF97" s="2306">
        <v>0</v>
      </c>
      <c r="BG97" s="3836">
        <f>SUM(V97:V101)</f>
        <v>0</v>
      </c>
      <c r="BH97" s="3836">
        <f>SUM(W97:W101)</f>
        <v>0</v>
      </c>
      <c r="BI97" s="3031">
        <f>BG97/Q97</f>
        <v>0</v>
      </c>
      <c r="BJ97" s="2306" t="s">
        <v>1407</v>
      </c>
      <c r="BK97" s="2307" t="s">
        <v>1567</v>
      </c>
      <c r="BL97" s="3847">
        <v>44033</v>
      </c>
      <c r="BM97" s="3719">
        <v>44044</v>
      </c>
      <c r="BN97" s="3847">
        <v>44195</v>
      </c>
      <c r="BO97" s="3847">
        <v>44195</v>
      </c>
      <c r="BP97" s="2315" t="s">
        <v>1409</v>
      </c>
    </row>
    <row r="98" spans="1:68" ht="62.25" customHeight="1" x14ac:dyDescent="0.25">
      <c r="A98" s="141"/>
      <c r="B98" s="1"/>
      <c r="C98" s="1"/>
      <c r="D98" s="212"/>
      <c r="E98" s="1"/>
      <c r="F98" s="3"/>
      <c r="G98" s="3865"/>
      <c r="H98" s="2786"/>
      <c r="I98" s="2413"/>
      <c r="J98" s="2416"/>
      <c r="K98" s="2457"/>
      <c r="L98" s="3668"/>
      <c r="M98" s="2331"/>
      <c r="N98" s="2343"/>
      <c r="O98" s="2671"/>
      <c r="P98" s="2854"/>
      <c r="Q98" s="3818"/>
      <c r="R98" s="3899"/>
      <c r="S98" s="3897"/>
      <c r="T98" s="1736" t="s">
        <v>1568</v>
      </c>
      <c r="U98" s="1631">
        <v>15000000</v>
      </c>
      <c r="V98" s="1737">
        <v>0</v>
      </c>
      <c r="W98" s="1635">
        <v>0</v>
      </c>
      <c r="X98" s="1632">
        <v>88</v>
      </c>
      <c r="Y98" s="1633" t="s">
        <v>86</v>
      </c>
      <c r="Z98" s="3039"/>
      <c r="AA98" s="2307"/>
      <c r="AB98" s="2307"/>
      <c r="AC98" s="2307"/>
      <c r="AD98" s="2307"/>
      <c r="AE98" s="2307"/>
      <c r="AF98" s="2307"/>
      <c r="AG98" s="2307"/>
      <c r="AH98" s="2307"/>
      <c r="AI98" s="2307"/>
      <c r="AJ98" s="2307"/>
      <c r="AK98" s="2307"/>
      <c r="AL98" s="2307"/>
      <c r="AM98" s="2307"/>
      <c r="AN98" s="2307"/>
      <c r="AO98" s="2307"/>
      <c r="AP98" s="2307"/>
      <c r="AQ98" s="2307"/>
      <c r="AR98" s="2307"/>
      <c r="AS98" s="2307"/>
      <c r="AT98" s="2307"/>
      <c r="AU98" s="2307"/>
      <c r="AV98" s="2307"/>
      <c r="AW98" s="2307"/>
      <c r="AX98" s="2307"/>
      <c r="AY98" s="2307"/>
      <c r="AZ98" s="2307"/>
      <c r="BA98" s="2307"/>
      <c r="BB98" s="2307"/>
      <c r="BC98" s="2307"/>
      <c r="BD98" s="2307"/>
      <c r="BE98" s="2307"/>
      <c r="BF98" s="2307"/>
      <c r="BG98" s="3837"/>
      <c r="BH98" s="3837"/>
      <c r="BI98" s="3032"/>
      <c r="BJ98" s="2307"/>
      <c r="BK98" s="2307"/>
      <c r="BL98" s="3847"/>
      <c r="BM98" s="3736"/>
      <c r="BN98" s="3847"/>
      <c r="BO98" s="3847"/>
      <c r="BP98" s="2315"/>
    </row>
    <row r="99" spans="1:68" ht="62.25" customHeight="1" x14ac:dyDescent="0.25">
      <c r="A99" s="141"/>
      <c r="B99" s="1"/>
      <c r="C99" s="1"/>
      <c r="D99" s="212"/>
      <c r="E99" s="1"/>
      <c r="F99" s="3"/>
      <c r="G99" s="3888" t="s">
        <v>1140</v>
      </c>
      <c r="H99" s="2786">
        <v>37.6</v>
      </c>
      <c r="I99" s="2413" t="s">
        <v>1569</v>
      </c>
      <c r="J99" s="2416" t="s">
        <v>1570</v>
      </c>
      <c r="K99" s="2522">
        <v>2</v>
      </c>
      <c r="L99" s="3666">
        <v>0</v>
      </c>
      <c r="M99" s="2331"/>
      <c r="N99" s="2343"/>
      <c r="O99" s="2671"/>
      <c r="P99" s="2854">
        <v>0.62264150943396224</v>
      </c>
      <c r="Q99" s="3818"/>
      <c r="R99" s="3899"/>
      <c r="S99" s="3897"/>
      <c r="T99" s="1736" t="s">
        <v>1571</v>
      </c>
      <c r="U99" s="1631">
        <v>23000000</v>
      </c>
      <c r="V99" s="1737">
        <v>0</v>
      </c>
      <c r="W99" s="1635">
        <v>0</v>
      </c>
      <c r="X99" s="1606">
        <v>20</v>
      </c>
      <c r="Y99" s="1617" t="s">
        <v>7</v>
      </c>
      <c r="Z99" s="3039"/>
      <c r="AA99" s="2307"/>
      <c r="AB99" s="2307"/>
      <c r="AC99" s="2307"/>
      <c r="AD99" s="2307"/>
      <c r="AE99" s="2307"/>
      <c r="AF99" s="2307"/>
      <c r="AG99" s="2307"/>
      <c r="AH99" s="2307"/>
      <c r="AI99" s="2307"/>
      <c r="AJ99" s="2307"/>
      <c r="AK99" s="2307"/>
      <c r="AL99" s="2307"/>
      <c r="AM99" s="2307"/>
      <c r="AN99" s="2307"/>
      <c r="AO99" s="2307"/>
      <c r="AP99" s="2307"/>
      <c r="AQ99" s="2307"/>
      <c r="AR99" s="2307"/>
      <c r="AS99" s="2307"/>
      <c r="AT99" s="2307"/>
      <c r="AU99" s="2307"/>
      <c r="AV99" s="2307"/>
      <c r="AW99" s="2307"/>
      <c r="AX99" s="2307"/>
      <c r="AY99" s="2307"/>
      <c r="AZ99" s="2307"/>
      <c r="BA99" s="2307"/>
      <c r="BB99" s="2307"/>
      <c r="BC99" s="2307"/>
      <c r="BD99" s="2307"/>
      <c r="BE99" s="2307"/>
      <c r="BF99" s="2307"/>
      <c r="BG99" s="3837"/>
      <c r="BH99" s="3837"/>
      <c r="BI99" s="3032"/>
      <c r="BJ99" s="2307"/>
      <c r="BK99" s="2307"/>
      <c r="BL99" s="3847"/>
      <c r="BM99" s="3736"/>
      <c r="BN99" s="3847"/>
      <c r="BO99" s="3847"/>
      <c r="BP99" s="2315"/>
    </row>
    <row r="100" spans="1:68" ht="62.25" customHeight="1" x14ac:dyDescent="0.25">
      <c r="A100" s="141"/>
      <c r="B100" s="1"/>
      <c r="C100" s="1"/>
      <c r="D100" s="212"/>
      <c r="E100" s="1"/>
      <c r="F100" s="3"/>
      <c r="G100" s="2772"/>
      <c r="H100" s="2786"/>
      <c r="I100" s="2413"/>
      <c r="J100" s="2416"/>
      <c r="K100" s="2456"/>
      <c r="L100" s="3667"/>
      <c r="M100" s="2331"/>
      <c r="N100" s="2343"/>
      <c r="O100" s="2671"/>
      <c r="P100" s="2854"/>
      <c r="Q100" s="3818"/>
      <c r="R100" s="3899"/>
      <c r="S100" s="3897"/>
      <c r="T100" s="1736" t="s">
        <v>1572</v>
      </c>
      <c r="U100" s="1631">
        <v>23000000</v>
      </c>
      <c r="V100" s="1737">
        <v>0</v>
      </c>
      <c r="W100" s="1635">
        <v>0</v>
      </c>
      <c r="X100" s="1606">
        <v>20</v>
      </c>
      <c r="Y100" s="1617" t="s">
        <v>7</v>
      </c>
      <c r="Z100" s="3039"/>
      <c r="AA100" s="2307"/>
      <c r="AB100" s="2307"/>
      <c r="AC100" s="2307"/>
      <c r="AD100" s="2307"/>
      <c r="AE100" s="2307"/>
      <c r="AF100" s="2307"/>
      <c r="AG100" s="2307"/>
      <c r="AH100" s="2307"/>
      <c r="AI100" s="2307"/>
      <c r="AJ100" s="2307"/>
      <c r="AK100" s="2307"/>
      <c r="AL100" s="2307"/>
      <c r="AM100" s="2307"/>
      <c r="AN100" s="2307"/>
      <c r="AO100" s="2307"/>
      <c r="AP100" s="2307"/>
      <c r="AQ100" s="2307"/>
      <c r="AR100" s="2307"/>
      <c r="AS100" s="2307"/>
      <c r="AT100" s="2307"/>
      <c r="AU100" s="2307"/>
      <c r="AV100" s="2307"/>
      <c r="AW100" s="2307"/>
      <c r="AX100" s="2307"/>
      <c r="AY100" s="2307"/>
      <c r="AZ100" s="2307"/>
      <c r="BA100" s="2307"/>
      <c r="BB100" s="2307"/>
      <c r="BC100" s="2307"/>
      <c r="BD100" s="2307"/>
      <c r="BE100" s="2307"/>
      <c r="BF100" s="2307"/>
      <c r="BG100" s="3837"/>
      <c r="BH100" s="3837"/>
      <c r="BI100" s="3032"/>
      <c r="BJ100" s="2307"/>
      <c r="BK100" s="2307"/>
      <c r="BL100" s="3847"/>
      <c r="BM100" s="3736"/>
      <c r="BN100" s="3847"/>
      <c r="BO100" s="3847"/>
      <c r="BP100" s="2315"/>
    </row>
    <row r="101" spans="1:68" ht="62.25" customHeight="1" x14ac:dyDescent="0.25">
      <c r="A101" s="141"/>
      <c r="B101" s="1"/>
      <c r="C101" s="1"/>
      <c r="D101" s="212"/>
      <c r="E101" s="1"/>
      <c r="F101" s="3"/>
      <c r="G101" s="3865"/>
      <c r="H101" s="3225"/>
      <c r="I101" s="2493"/>
      <c r="J101" s="2584"/>
      <c r="K101" s="2456"/>
      <c r="L101" s="3668"/>
      <c r="M101" s="2371"/>
      <c r="N101" s="2491"/>
      <c r="O101" s="2669"/>
      <c r="P101" s="2924"/>
      <c r="Q101" s="3861"/>
      <c r="R101" s="3900"/>
      <c r="S101" s="3898"/>
      <c r="T101" s="1738" t="s">
        <v>1543</v>
      </c>
      <c r="U101" s="1635">
        <v>3500000</v>
      </c>
      <c r="V101" s="1739">
        <v>0</v>
      </c>
      <c r="W101" s="1635">
        <v>0</v>
      </c>
      <c r="X101" s="1606">
        <v>20</v>
      </c>
      <c r="Y101" s="1617" t="s">
        <v>7</v>
      </c>
      <c r="Z101" s="3039"/>
      <c r="AA101" s="2995"/>
      <c r="AB101" s="2307"/>
      <c r="AC101" s="2995"/>
      <c r="AD101" s="2307"/>
      <c r="AE101" s="2995"/>
      <c r="AF101" s="2307"/>
      <c r="AG101" s="2995"/>
      <c r="AH101" s="2307"/>
      <c r="AI101" s="2995"/>
      <c r="AJ101" s="2307"/>
      <c r="AK101" s="2995"/>
      <c r="AL101" s="2307"/>
      <c r="AM101" s="2995"/>
      <c r="AN101" s="2307"/>
      <c r="AO101" s="2995"/>
      <c r="AP101" s="2307"/>
      <c r="AQ101" s="2995"/>
      <c r="AR101" s="2307"/>
      <c r="AS101" s="2995"/>
      <c r="AT101" s="2307"/>
      <c r="AU101" s="2995"/>
      <c r="AV101" s="2307"/>
      <c r="AW101" s="2995"/>
      <c r="AX101" s="2307"/>
      <c r="AY101" s="2995"/>
      <c r="AZ101" s="2307"/>
      <c r="BA101" s="2995"/>
      <c r="BB101" s="2307"/>
      <c r="BC101" s="2995"/>
      <c r="BD101" s="2307"/>
      <c r="BE101" s="2995"/>
      <c r="BF101" s="2995"/>
      <c r="BG101" s="3901"/>
      <c r="BH101" s="3901"/>
      <c r="BI101" s="3739"/>
      <c r="BJ101" s="2995"/>
      <c r="BK101" s="2995"/>
      <c r="BL101" s="2306"/>
      <c r="BM101" s="3902"/>
      <c r="BN101" s="2306"/>
      <c r="BO101" s="2306"/>
      <c r="BP101" s="2306"/>
    </row>
    <row r="102" spans="1:68" ht="75" customHeight="1" x14ac:dyDescent="0.25">
      <c r="A102" s="141"/>
      <c r="B102" s="1"/>
      <c r="C102" s="1"/>
      <c r="D102" s="3784"/>
      <c r="E102" s="3785"/>
      <c r="F102" s="3473"/>
      <c r="G102" s="3888" t="s">
        <v>1140</v>
      </c>
      <c r="H102" s="2786">
        <v>37.700000000000003</v>
      </c>
      <c r="I102" s="2413" t="s">
        <v>1573</v>
      </c>
      <c r="J102" s="2416" t="s">
        <v>1574</v>
      </c>
      <c r="K102" s="2348">
        <v>1</v>
      </c>
      <c r="L102" s="3666">
        <v>0</v>
      </c>
      <c r="M102" s="2331" t="s">
        <v>1575</v>
      </c>
      <c r="N102" s="2343" t="s">
        <v>1576</v>
      </c>
      <c r="O102" s="2413" t="s">
        <v>1577</v>
      </c>
      <c r="P102" s="2854">
        <v>1</v>
      </c>
      <c r="Q102" s="3818">
        <v>30000000</v>
      </c>
      <c r="R102" s="3728" t="s">
        <v>1578</v>
      </c>
      <c r="S102" s="3728" t="s">
        <v>1579</v>
      </c>
      <c r="T102" s="1736" t="s">
        <v>1580</v>
      </c>
      <c r="U102" s="1631">
        <v>25000000</v>
      </c>
      <c r="V102" s="1631">
        <v>0</v>
      </c>
      <c r="W102" s="1631">
        <v>0</v>
      </c>
      <c r="X102" s="1632">
        <v>88</v>
      </c>
      <c r="Y102" s="1633" t="s">
        <v>86</v>
      </c>
      <c r="Z102" s="2343">
        <v>0</v>
      </c>
      <c r="AA102" s="2491">
        <v>9</v>
      </c>
      <c r="AB102" s="2343">
        <v>0</v>
      </c>
      <c r="AC102" s="2491">
        <v>13</v>
      </c>
      <c r="AD102" s="2343">
        <v>0</v>
      </c>
      <c r="AE102" s="2343"/>
      <c r="AF102" s="2343">
        <v>0</v>
      </c>
      <c r="AG102" s="2343"/>
      <c r="AH102" s="2343">
        <v>0</v>
      </c>
      <c r="AI102" s="2343"/>
      <c r="AJ102" s="2343">
        <v>0</v>
      </c>
      <c r="AK102" s="2343"/>
      <c r="AL102" s="2343">
        <v>0</v>
      </c>
      <c r="AM102" s="2343"/>
      <c r="AN102" s="2343">
        <v>0</v>
      </c>
      <c r="AO102" s="2343"/>
      <c r="AP102" s="2343">
        <v>0</v>
      </c>
      <c r="AQ102" s="2343"/>
      <c r="AR102" s="2343">
        <v>0</v>
      </c>
      <c r="AS102" s="2343"/>
      <c r="AT102" s="2343">
        <v>0</v>
      </c>
      <c r="AU102" s="2343"/>
      <c r="AV102" s="2343">
        <v>0</v>
      </c>
      <c r="AW102" s="2343"/>
      <c r="AX102" s="2343">
        <v>0</v>
      </c>
      <c r="AY102" s="2343"/>
      <c r="AZ102" s="2343">
        <v>0</v>
      </c>
      <c r="BA102" s="2343"/>
      <c r="BB102" s="2343">
        <v>0</v>
      </c>
      <c r="BC102" s="2343"/>
      <c r="BD102" s="2343">
        <v>700</v>
      </c>
      <c r="BE102" s="2343"/>
      <c r="BF102" s="2491">
        <v>0</v>
      </c>
      <c r="BG102" s="3706">
        <f>SUM(V102:V104)</f>
        <v>0</v>
      </c>
      <c r="BH102" s="3706">
        <f>SUM(W102:W104)</f>
        <v>0</v>
      </c>
      <c r="BI102" s="3749">
        <f>BG102/Q102</f>
        <v>0</v>
      </c>
      <c r="BJ102" s="2491" t="s">
        <v>1407</v>
      </c>
      <c r="BK102" s="2491" t="s">
        <v>1567</v>
      </c>
      <c r="BL102" s="3747">
        <v>44033</v>
      </c>
      <c r="BM102" s="3750">
        <v>44044</v>
      </c>
      <c r="BN102" s="3747">
        <v>44195</v>
      </c>
      <c r="BO102" s="3747">
        <v>44195</v>
      </c>
      <c r="BP102" s="2343" t="s">
        <v>1409</v>
      </c>
    </row>
    <row r="103" spans="1:68" ht="41.25" customHeight="1" x14ac:dyDescent="0.25">
      <c r="A103" s="141"/>
      <c r="B103" s="1"/>
      <c r="C103" s="1"/>
      <c r="D103" s="3784"/>
      <c r="E103" s="3785"/>
      <c r="F103" s="3473"/>
      <c r="G103" s="2772"/>
      <c r="H103" s="2786"/>
      <c r="I103" s="2413"/>
      <c r="J103" s="2416"/>
      <c r="K103" s="2348"/>
      <c r="L103" s="3667"/>
      <c r="M103" s="2331"/>
      <c r="N103" s="2343"/>
      <c r="O103" s="2413"/>
      <c r="P103" s="2854"/>
      <c r="Q103" s="3818"/>
      <c r="R103" s="3728"/>
      <c r="S103" s="3728"/>
      <c r="T103" s="1736" t="s">
        <v>1581</v>
      </c>
      <c r="U103" s="1631">
        <v>5000000</v>
      </c>
      <c r="V103" s="1631">
        <v>0</v>
      </c>
      <c r="W103" s="1631">
        <v>0</v>
      </c>
      <c r="X103" s="1632">
        <v>88</v>
      </c>
      <c r="Y103" s="1633" t="s">
        <v>86</v>
      </c>
      <c r="Z103" s="2343"/>
      <c r="AA103" s="2761"/>
      <c r="AB103" s="2343"/>
      <c r="AC103" s="2761"/>
      <c r="AD103" s="2343"/>
      <c r="AE103" s="2343"/>
      <c r="AF103" s="2343"/>
      <c r="AG103" s="2343"/>
      <c r="AH103" s="2343"/>
      <c r="AI103" s="2343"/>
      <c r="AJ103" s="2343"/>
      <c r="AK103" s="2343"/>
      <c r="AL103" s="2343"/>
      <c r="AM103" s="2343"/>
      <c r="AN103" s="2343"/>
      <c r="AO103" s="2343"/>
      <c r="AP103" s="2343"/>
      <c r="AQ103" s="2343"/>
      <c r="AR103" s="2343"/>
      <c r="AS103" s="2343"/>
      <c r="AT103" s="2343"/>
      <c r="AU103" s="2343"/>
      <c r="AV103" s="2343"/>
      <c r="AW103" s="2343"/>
      <c r="AX103" s="2343"/>
      <c r="AY103" s="2343"/>
      <c r="AZ103" s="2343"/>
      <c r="BA103" s="2343"/>
      <c r="BB103" s="2343"/>
      <c r="BC103" s="2343"/>
      <c r="BD103" s="2343"/>
      <c r="BE103" s="2343"/>
      <c r="BF103" s="2761"/>
      <c r="BG103" s="3707"/>
      <c r="BH103" s="3707"/>
      <c r="BI103" s="3779"/>
      <c r="BJ103" s="2761"/>
      <c r="BK103" s="2761"/>
      <c r="BL103" s="3747"/>
      <c r="BM103" s="3751"/>
      <c r="BN103" s="3747"/>
      <c r="BO103" s="3747"/>
      <c r="BP103" s="2343"/>
    </row>
    <row r="104" spans="1:68" ht="54.75" customHeight="1" x14ac:dyDescent="0.25">
      <c r="A104" s="141"/>
      <c r="B104" s="1"/>
      <c r="C104" s="1"/>
      <c r="D104" s="3812"/>
      <c r="E104" s="3813"/>
      <c r="F104" s="3474"/>
      <c r="G104" s="3865"/>
      <c r="H104" s="2786"/>
      <c r="I104" s="2413"/>
      <c r="J104" s="2416"/>
      <c r="K104" s="2348"/>
      <c r="L104" s="3668"/>
      <c r="M104" s="2331"/>
      <c r="N104" s="2343"/>
      <c r="O104" s="2413"/>
      <c r="P104" s="2854"/>
      <c r="Q104" s="3818"/>
      <c r="R104" s="3728"/>
      <c r="S104" s="3728"/>
      <c r="T104" s="1736" t="s">
        <v>1582</v>
      </c>
      <c r="U104" s="1631">
        <v>0</v>
      </c>
      <c r="V104" s="1631">
        <v>0</v>
      </c>
      <c r="W104" s="1631">
        <v>0</v>
      </c>
      <c r="X104" s="1632">
        <v>88</v>
      </c>
      <c r="Y104" s="1633" t="s">
        <v>86</v>
      </c>
      <c r="Z104" s="2343"/>
      <c r="AA104" s="2342"/>
      <c r="AB104" s="2343"/>
      <c r="AC104" s="2342"/>
      <c r="AD104" s="2343"/>
      <c r="AE104" s="2343"/>
      <c r="AF104" s="2343"/>
      <c r="AG104" s="2343"/>
      <c r="AH104" s="2343"/>
      <c r="AI104" s="2343"/>
      <c r="AJ104" s="2343"/>
      <c r="AK104" s="2343"/>
      <c r="AL104" s="2343"/>
      <c r="AM104" s="2343"/>
      <c r="AN104" s="2343"/>
      <c r="AO104" s="2343"/>
      <c r="AP104" s="2343"/>
      <c r="AQ104" s="2343"/>
      <c r="AR104" s="2343"/>
      <c r="AS104" s="2343"/>
      <c r="AT104" s="2343"/>
      <c r="AU104" s="2343"/>
      <c r="AV104" s="2343"/>
      <c r="AW104" s="2343"/>
      <c r="AX104" s="2343"/>
      <c r="AY104" s="2343"/>
      <c r="AZ104" s="2343"/>
      <c r="BA104" s="2343"/>
      <c r="BB104" s="2343"/>
      <c r="BC104" s="2343"/>
      <c r="BD104" s="2343"/>
      <c r="BE104" s="2343"/>
      <c r="BF104" s="2342"/>
      <c r="BG104" s="3708"/>
      <c r="BH104" s="3708"/>
      <c r="BI104" s="3780"/>
      <c r="BJ104" s="2342"/>
      <c r="BK104" s="2342"/>
      <c r="BL104" s="3747"/>
      <c r="BM104" s="3752"/>
      <c r="BN104" s="3747"/>
      <c r="BO104" s="3747"/>
      <c r="BP104" s="2343"/>
    </row>
    <row r="105" spans="1:68" ht="20.25" customHeight="1" thickBot="1" x14ac:dyDescent="0.3">
      <c r="A105" s="141"/>
      <c r="B105" s="1"/>
      <c r="C105" s="1"/>
      <c r="D105" s="1561">
        <v>38</v>
      </c>
      <c r="E105" s="1697" t="s">
        <v>1583</v>
      </c>
      <c r="F105" s="1698"/>
      <c r="G105" s="1699"/>
      <c r="H105" s="1700"/>
      <c r="I105" s="1701"/>
      <c r="J105" s="1701"/>
      <c r="K105" s="1740"/>
      <c r="L105" s="1741"/>
      <c r="M105" s="1701"/>
      <c r="N105" s="1742"/>
      <c r="O105" s="1701"/>
      <c r="P105" s="1704"/>
      <c r="Q105" s="1705"/>
      <c r="R105" s="1706"/>
      <c r="S105" s="1706"/>
      <c r="T105" s="1743"/>
      <c r="U105" s="1744"/>
      <c r="V105" s="1744"/>
      <c r="W105" s="1744"/>
      <c r="X105" s="1745"/>
      <c r="Y105" s="1746"/>
      <c r="Z105" s="1710"/>
      <c r="AA105" s="1710"/>
      <c r="AB105" s="1710"/>
      <c r="AC105" s="1710"/>
      <c r="AD105" s="1710"/>
      <c r="AE105" s="1710"/>
      <c r="AF105" s="1710"/>
      <c r="AG105" s="1710"/>
      <c r="AH105" s="1710"/>
      <c r="AI105" s="1710"/>
      <c r="AJ105" s="1710"/>
      <c r="AK105" s="1710"/>
      <c r="AL105" s="1710"/>
      <c r="AM105" s="1710"/>
      <c r="AN105" s="1710"/>
      <c r="AO105" s="1710"/>
      <c r="AP105" s="1710"/>
      <c r="AQ105" s="1710"/>
      <c r="AR105" s="1710"/>
      <c r="AS105" s="1710"/>
      <c r="AT105" s="1710"/>
      <c r="AU105" s="1710"/>
      <c r="AV105" s="1710"/>
      <c r="AW105" s="1710"/>
      <c r="AX105" s="1710"/>
      <c r="AY105" s="1710"/>
      <c r="AZ105" s="1710"/>
      <c r="BA105" s="1710"/>
      <c r="BB105" s="1710"/>
      <c r="BC105" s="1710"/>
      <c r="BD105" s="1710"/>
      <c r="BE105" s="1710"/>
      <c r="BF105" s="1710"/>
      <c r="BG105" s="1711"/>
      <c r="BH105" s="1711"/>
      <c r="BI105" s="1710"/>
      <c r="BJ105" s="1710"/>
      <c r="BK105" s="1700"/>
      <c r="BL105" s="1710"/>
      <c r="BM105" s="1710"/>
      <c r="BN105" s="1710"/>
      <c r="BO105" s="1710"/>
      <c r="BP105" s="1700"/>
    </row>
    <row r="106" spans="1:68" s="1601" customFormat="1" ht="134.25" customHeight="1" x14ac:dyDescent="0.25">
      <c r="A106" s="616"/>
      <c r="B106" s="1471"/>
      <c r="C106" s="1471"/>
      <c r="D106" s="1518"/>
      <c r="E106" s="1463"/>
      <c r="F106" s="1519"/>
      <c r="G106" s="3903" t="s">
        <v>1584</v>
      </c>
      <c r="H106" s="2891" t="s">
        <v>1585</v>
      </c>
      <c r="I106" s="3061" t="s">
        <v>1586</v>
      </c>
      <c r="J106" s="1566" t="s">
        <v>1587</v>
      </c>
      <c r="K106" s="1511">
        <v>20</v>
      </c>
      <c r="L106" s="1712">
        <v>0</v>
      </c>
      <c r="M106" s="3908" t="s">
        <v>1551</v>
      </c>
      <c r="N106" s="3109" t="s">
        <v>1552</v>
      </c>
      <c r="O106" s="3061" t="s">
        <v>1553</v>
      </c>
      <c r="P106" s="2885">
        <f>SUM(U106:U109)/(Q106+Q94)</f>
        <v>0.59090909090909094</v>
      </c>
      <c r="Q106" s="3835">
        <v>39000000</v>
      </c>
      <c r="R106" s="3912" t="s">
        <v>1554</v>
      </c>
      <c r="S106" s="3914" t="s">
        <v>1555</v>
      </c>
      <c r="T106" s="1731" t="s">
        <v>1588</v>
      </c>
      <c r="U106" s="1631">
        <v>14000000</v>
      </c>
      <c r="V106" s="1631">
        <v>8333333</v>
      </c>
      <c r="W106" s="1631">
        <v>0</v>
      </c>
      <c r="X106" s="1646">
        <v>20</v>
      </c>
      <c r="Y106" s="1600" t="s">
        <v>7</v>
      </c>
      <c r="Z106" s="3916">
        <v>2360</v>
      </c>
      <c r="AA106" s="3909">
        <v>44</v>
      </c>
      <c r="AB106" s="3909">
        <v>2360</v>
      </c>
      <c r="AC106" s="3909">
        <v>64</v>
      </c>
      <c r="AD106" s="3909">
        <v>1500</v>
      </c>
      <c r="AE106" s="3909"/>
      <c r="AF106" s="3909">
        <v>480</v>
      </c>
      <c r="AG106" s="3909"/>
      <c r="AH106" s="3909">
        <v>1200</v>
      </c>
      <c r="AI106" s="3909"/>
      <c r="AJ106" s="3909">
        <v>1500</v>
      </c>
      <c r="AK106" s="3909"/>
      <c r="AL106" s="3909">
        <v>20</v>
      </c>
      <c r="AM106" s="3909"/>
      <c r="AN106" s="3909">
        <v>20</v>
      </c>
      <c r="AO106" s="1747"/>
      <c r="AP106" s="3909">
        <v>0</v>
      </c>
      <c r="AQ106" s="3909"/>
      <c r="AR106" s="3909">
        <v>0</v>
      </c>
      <c r="AS106" s="3909"/>
      <c r="AT106" s="3909">
        <v>0</v>
      </c>
      <c r="AU106" s="3909"/>
      <c r="AV106" s="3909">
        <v>0</v>
      </c>
      <c r="AW106" s="3909"/>
      <c r="AX106" s="3909">
        <v>1000</v>
      </c>
      <c r="AY106" s="3909"/>
      <c r="AZ106" s="3909">
        <v>0</v>
      </c>
      <c r="BA106" s="3909"/>
      <c r="BB106" s="3909">
        <v>0</v>
      </c>
      <c r="BC106" s="3909"/>
      <c r="BD106" s="3909">
        <v>4720</v>
      </c>
      <c r="BE106" s="3926">
        <v>108</v>
      </c>
      <c r="BF106" s="3926">
        <v>1</v>
      </c>
      <c r="BG106" s="3662">
        <f>SUM(V106:V109)</f>
        <v>13973304</v>
      </c>
      <c r="BH106" s="3662">
        <f>SUM(W106:W109)</f>
        <v>0</v>
      </c>
      <c r="BI106" s="3688">
        <f>BG106/Q106</f>
        <v>0.35828984615384618</v>
      </c>
      <c r="BJ106" s="3926" t="s">
        <v>1407</v>
      </c>
      <c r="BK106" s="3929" t="s">
        <v>1557</v>
      </c>
      <c r="BL106" s="3920">
        <v>44033</v>
      </c>
      <c r="BM106" s="3920">
        <v>44044</v>
      </c>
      <c r="BN106" s="3920">
        <v>44195</v>
      </c>
      <c r="BO106" s="3920">
        <v>44195</v>
      </c>
      <c r="BP106" s="3109" t="s">
        <v>1409</v>
      </c>
    </row>
    <row r="107" spans="1:68" s="1601" customFormat="1" ht="78.75" customHeight="1" x14ac:dyDescent="0.25">
      <c r="A107" s="616"/>
      <c r="B107" s="1471"/>
      <c r="C107" s="1471"/>
      <c r="D107" s="1522"/>
      <c r="E107" s="1471"/>
      <c r="F107" s="1523"/>
      <c r="G107" s="3904"/>
      <c r="H107" s="2892"/>
      <c r="I107" s="3907"/>
      <c r="J107" s="3908" t="s">
        <v>1589</v>
      </c>
      <c r="K107" s="3923">
        <v>12</v>
      </c>
      <c r="L107" s="3646">
        <v>8</v>
      </c>
      <c r="M107" s="3769"/>
      <c r="N107" s="3767"/>
      <c r="O107" s="3907"/>
      <c r="P107" s="2886"/>
      <c r="Q107" s="3804"/>
      <c r="R107" s="3913"/>
      <c r="S107" s="3915"/>
      <c r="T107" s="1731" t="s">
        <v>1590</v>
      </c>
      <c r="U107" s="1631">
        <v>14000000</v>
      </c>
      <c r="V107" s="1631">
        <v>5639971</v>
      </c>
      <c r="W107" s="1631">
        <v>0</v>
      </c>
      <c r="X107" s="1748">
        <v>88</v>
      </c>
      <c r="Y107" s="1633" t="s">
        <v>86</v>
      </c>
      <c r="Z107" s="3917"/>
      <c r="AA107" s="3881"/>
      <c r="AB107" s="3881"/>
      <c r="AC107" s="3881"/>
      <c r="AD107" s="3881"/>
      <c r="AE107" s="3881"/>
      <c r="AF107" s="3881"/>
      <c r="AG107" s="3881"/>
      <c r="AH107" s="3881"/>
      <c r="AI107" s="3881"/>
      <c r="AJ107" s="3881"/>
      <c r="AK107" s="3881"/>
      <c r="AL107" s="3881"/>
      <c r="AM107" s="3881"/>
      <c r="AN107" s="3881"/>
      <c r="AO107" s="1749"/>
      <c r="AP107" s="3881"/>
      <c r="AQ107" s="3881"/>
      <c r="AR107" s="3881"/>
      <c r="AS107" s="3881"/>
      <c r="AT107" s="3881"/>
      <c r="AU107" s="3881"/>
      <c r="AV107" s="3881"/>
      <c r="AW107" s="3881"/>
      <c r="AX107" s="3881"/>
      <c r="AY107" s="3881"/>
      <c r="AZ107" s="3881"/>
      <c r="BA107" s="3881"/>
      <c r="BB107" s="3881"/>
      <c r="BC107" s="3881"/>
      <c r="BD107" s="3881"/>
      <c r="BE107" s="3881"/>
      <c r="BF107" s="3881"/>
      <c r="BG107" s="3663"/>
      <c r="BH107" s="3663"/>
      <c r="BI107" s="3689"/>
      <c r="BJ107" s="3881"/>
      <c r="BK107" s="3791"/>
      <c r="BL107" s="3921"/>
      <c r="BM107" s="3921"/>
      <c r="BN107" s="3921"/>
      <c r="BO107" s="3921"/>
      <c r="BP107" s="3767"/>
    </row>
    <row r="108" spans="1:68" s="1601" customFormat="1" ht="64.5" customHeight="1" x14ac:dyDescent="0.25">
      <c r="A108" s="616"/>
      <c r="B108" s="1471"/>
      <c r="C108" s="1471"/>
      <c r="D108" s="1522"/>
      <c r="E108" s="1471"/>
      <c r="F108" s="1523"/>
      <c r="G108" s="3904"/>
      <c r="H108" s="2892"/>
      <c r="I108" s="3907"/>
      <c r="J108" s="3769"/>
      <c r="K108" s="3771"/>
      <c r="L108" s="3647"/>
      <c r="M108" s="3769"/>
      <c r="N108" s="3767"/>
      <c r="O108" s="3907"/>
      <c r="P108" s="2886"/>
      <c r="Q108" s="3804"/>
      <c r="R108" s="3913"/>
      <c r="S108" s="3915"/>
      <c r="T108" s="1731" t="s">
        <v>1591</v>
      </c>
      <c r="U108" s="1631">
        <v>6000000</v>
      </c>
      <c r="V108" s="1631"/>
      <c r="W108" s="1631">
        <v>0</v>
      </c>
      <c r="X108" s="1748">
        <v>88</v>
      </c>
      <c r="Y108" s="1633" t="s">
        <v>86</v>
      </c>
      <c r="Z108" s="3917"/>
      <c r="AA108" s="3881"/>
      <c r="AB108" s="3881"/>
      <c r="AC108" s="3881"/>
      <c r="AD108" s="3881"/>
      <c r="AE108" s="3881"/>
      <c r="AF108" s="3881"/>
      <c r="AG108" s="3881"/>
      <c r="AH108" s="3881"/>
      <c r="AI108" s="3881"/>
      <c r="AJ108" s="3881"/>
      <c r="AK108" s="3881"/>
      <c r="AL108" s="3881"/>
      <c r="AM108" s="3881"/>
      <c r="AN108" s="3881"/>
      <c r="AO108" s="1749"/>
      <c r="AP108" s="3881"/>
      <c r="AQ108" s="3881"/>
      <c r="AR108" s="3881"/>
      <c r="AS108" s="3881"/>
      <c r="AT108" s="3881"/>
      <c r="AU108" s="3881"/>
      <c r="AV108" s="3881"/>
      <c r="AW108" s="3881"/>
      <c r="AX108" s="3881"/>
      <c r="AY108" s="3881"/>
      <c r="AZ108" s="3881"/>
      <c r="BA108" s="3881"/>
      <c r="BB108" s="3881"/>
      <c r="BC108" s="3881"/>
      <c r="BD108" s="3881"/>
      <c r="BE108" s="3881"/>
      <c r="BF108" s="3881"/>
      <c r="BG108" s="3663"/>
      <c r="BH108" s="3663"/>
      <c r="BI108" s="3689"/>
      <c r="BJ108" s="3881"/>
      <c r="BK108" s="3791"/>
      <c r="BL108" s="3921"/>
      <c r="BM108" s="3921"/>
      <c r="BN108" s="3921"/>
      <c r="BO108" s="3921"/>
      <c r="BP108" s="3767"/>
    </row>
    <row r="109" spans="1:68" s="1601" customFormat="1" ht="76.5" customHeight="1" x14ac:dyDescent="0.25">
      <c r="A109" s="616"/>
      <c r="B109" s="1471"/>
      <c r="C109" s="1471"/>
      <c r="D109" s="1522"/>
      <c r="E109" s="1471"/>
      <c r="F109" s="1523"/>
      <c r="G109" s="3905"/>
      <c r="H109" s="3906"/>
      <c r="I109" s="3907"/>
      <c r="J109" s="3137"/>
      <c r="K109" s="3924"/>
      <c r="L109" s="3925"/>
      <c r="M109" s="3769"/>
      <c r="N109" s="3767"/>
      <c r="O109" s="3907"/>
      <c r="P109" s="3911"/>
      <c r="Q109" s="3804"/>
      <c r="R109" s="3913"/>
      <c r="S109" s="3915"/>
      <c r="T109" s="1731" t="s">
        <v>1592</v>
      </c>
      <c r="U109" s="1631">
        <v>5000000</v>
      </c>
      <c r="V109" s="1631"/>
      <c r="W109" s="1631">
        <v>0</v>
      </c>
      <c r="X109" s="1646">
        <v>20</v>
      </c>
      <c r="Y109" s="1600" t="s">
        <v>7</v>
      </c>
      <c r="Z109" s="3917"/>
      <c r="AA109" s="3910"/>
      <c r="AB109" s="3881"/>
      <c r="AC109" s="3910"/>
      <c r="AD109" s="3881"/>
      <c r="AE109" s="3910"/>
      <c r="AF109" s="3881"/>
      <c r="AG109" s="3910"/>
      <c r="AH109" s="3881"/>
      <c r="AI109" s="3910"/>
      <c r="AJ109" s="3881"/>
      <c r="AK109" s="3910"/>
      <c r="AL109" s="3881"/>
      <c r="AM109" s="3910"/>
      <c r="AN109" s="3881"/>
      <c r="AO109" s="1750"/>
      <c r="AP109" s="3881"/>
      <c r="AQ109" s="3910"/>
      <c r="AR109" s="3881"/>
      <c r="AS109" s="3910"/>
      <c r="AT109" s="3881"/>
      <c r="AU109" s="3910"/>
      <c r="AV109" s="3881"/>
      <c r="AW109" s="3910"/>
      <c r="AX109" s="3881"/>
      <c r="AY109" s="3910"/>
      <c r="AZ109" s="3881"/>
      <c r="BA109" s="3910"/>
      <c r="BB109" s="3881"/>
      <c r="BC109" s="3910"/>
      <c r="BD109" s="3881"/>
      <c r="BE109" s="3910"/>
      <c r="BF109" s="3910"/>
      <c r="BG109" s="3927"/>
      <c r="BH109" s="3927"/>
      <c r="BI109" s="3928"/>
      <c r="BJ109" s="3910"/>
      <c r="BK109" s="3930"/>
      <c r="BL109" s="3767"/>
      <c r="BM109" s="3922"/>
      <c r="BN109" s="3767"/>
      <c r="BO109" s="3767"/>
      <c r="BP109" s="3767"/>
    </row>
    <row r="110" spans="1:68" ht="105" customHeight="1" x14ac:dyDescent="0.25">
      <c r="A110" s="141"/>
      <c r="B110" s="1"/>
      <c r="C110" s="1"/>
      <c r="D110" s="212"/>
      <c r="E110" s="1"/>
      <c r="F110" s="3"/>
      <c r="G110" s="3903" t="s">
        <v>1593</v>
      </c>
      <c r="H110" s="2770">
        <v>38.200000000000003</v>
      </c>
      <c r="I110" s="2413" t="s">
        <v>1594</v>
      </c>
      <c r="J110" s="2610" t="s">
        <v>1595</v>
      </c>
      <c r="K110" s="2348">
        <v>12</v>
      </c>
      <c r="L110" s="3666">
        <v>0</v>
      </c>
      <c r="M110" s="2416" t="s">
        <v>1596</v>
      </c>
      <c r="N110" s="2343" t="s">
        <v>1597</v>
      </c>
      <c r="O110" s="2949" t="s">
        <v>1598</v>
      </c>
      <c r="P110" s="3918">
        <v>1</v>
      </c>
      <c r="Q110" s="3919">
        <v>18000000</v>
      </c>
      <c r="R110" s="3728" t="s">
        <v>1599</v>
      </c>
      <c r="S110" s="3728" t="s">
        <v>1600</v>
      </c>
      <c r="T110" s="1751" t="s">
        <v>1601</v>
      </c>
      <c r="U110" s="1752">
        <v>18000000</v>
      </c>
      <c r="V110" s="1753">
        <f>9333333+5333333</f>
        <v>14666666</v>
      </c>
      <c r="W110" s="1753">
        <v>0</v>
      </c>
      <c r="X110" s="1754">
        <v>88</v>
      </c>
      <c r="Y110" s="1755" t="s">
        <v>86</v>
      </c>
      <c r="Z110" s="2343">
        <v>0</v>
      </c>
      <c r="AA110" s="2491">
        <v>9</v>
      </c>
      <c r="AB110" s="2343">
        <v>0</v>
      </c>
      <c r="AC110" s="2491">
        <v>9</v>
      </c>
      <c r="AD110" s="2343">
        <v>0</v>
      </c>
      <c r="AE110" s="2491"/>
      <c r="AF110" s="2343">
        <v>0</v>
      </c>
      <c r="AG110" s="2491"/>
      <c r="AH110" s="2343">
        <v>0</v>
      </c>
      <c r="AI110" s="2491"/>
      <c r="AJ110" s="2343">
        <v>0</v>
      </c>
      <c r="AK110" s="2491"/>
      <c r="AL110" s="2343">
        <v>0</v>
      </c>
      <c r="AM110" s="2491"/>
      <c r="AN110" s="2343">
        <v>0</v>
      </c>
      <c r="AO110" s="2491"/>
      <c r="AP110" s="2343">
        <v>0</v>
      </c>
      <c r="AQ110" s="2491"/>
      <c r="AR110" s="2343">
        <v>0</v>
      </c>
      <c r="AS110" s="2491"/>
      <c r="AT110" s="2343">
        <v>0</v>
      </c>
      <c r="AU110" s="2491"/>
      <c r="AV110" s="2343">
        <v>0</v>
      </c>
      <c r="AW110" s="2491"/>
      <c r="AX110" s="2343">
        <v>0</v>
      </c>
      <c r="AY110" s="2491"/>
      <c r="AZ110" s="2343">
        <v>0</v>
      </c>
      <c r="BA110" s="2491"/>
      <c r="BB110" s="2343">
        <v>0</v>
      </c>
      <c r="BC110" s="2491"/>
      <c r="BD110" s="2343">
        <v>1000</v>
      </c>
      <c r="BE110" s="2491"/>
      <c r="BF110" s="2491"/>
      <c r="BG110" s="3706">
        <f>SUM(V110:V111)</f>
        <v>14666666</v>
      </c>
      <c r="BH110" s="3706">
        <f>SUM(W110:W111)</f>
        <v>0</v>
      </c>
      <c r="BI110" s="3749">
        <f>BG110/Q110</f>
        <v>0.81481477777777778</v>
      </c>
      <c r="BJ110" s="2491">
        <v>88</v>
      </c>
      <c r="BK110" s="2491" t="s">
        <v>1567</v>
      </c>
      <c r="BL110" s="3747">
        <v>44033</v>
      </c>
      <c r="BM110" s="3750">
        <v>44044</v>
      </c>
      <c r="BN110" s="3747">
        <v>44195</v>
      </c>
      <c r="BO110" s="3747">
        <v>44195</v>
      </c>
      <c r="BP110" s="2343" t="s">
        <v>1409</v>
      </c>
    </row>
    <row r="111" spans="1:68" ht="70.5" customHeight="1" x14ac:dyDescent="0.25">
      <c r="A111" s="141"/>
      <c r="B111" s="1"/>
      <c r="C111" s="1"/>
      <c r="D111" s="212"/>
      <c r="E111" s="1"/>
      <c r="F111" s="3"/>
      <c r="G111" s="3905"/>
      <c r="H111" s="2770"/>
      <c r="I111" s="2413"/>
      <c r="J111" s="2416"/>
      <c r="K111" s="2348"/>
      <c r="L111" s="3668"/>
      <c r="M111" s="2416"/>
      <c r="N111" s="2343"/>
      <c r="O111" s="2949"/>
      <c r="P111" s="3918"/>
      <c r="Q111" s="3919"/>
      <c r="R111" s="3728"/>
      <c r="S111" s="3728"/>
      <c r="T111" s="1736" t="s">
        <v>1543</v>
      </c>
      <c r="U111" s="1756">
        <v>0</v>
      </c>
      <c r="V111" s="1757"/>
      <c r="W111" s="1757">
        <v>0</v>
      </c>
      <c r="X111" s="1758">
        <v>88</v>
      </c>
      <c r="Y111" s="1755" t="s">
        <v>86</v>
      </c>
      <c r="Z111" s="2343"/>
      <c r="AA111" s="2342"/>
      <c r="AB111" s="2343"/>
      <c r="AC111" s="2342"/>
      <c r="AD111" s="2343"/>
      <c r="AE111" s="2342"/>
      <c r="AF111" s="2343"/>
      <c r="AG111" s="2342"/>
      <c r="AH111" s="2343"/>
      <c r="AI111" s="2342"/>
      <c r="AJ111" s="2343"/>
      <c r="AK111" s="2342"/>
      <c r="AL111" s="2343"/>
      <c r="AM111" s="2342"/>
      <c r="AN111" s="2343"/>
      <c r="AO111" s="2342"/>
      <c r="AP111" s="2343"/>
      <c r="AQ111" s="2342"/>
      <c r="AR111" s="2343"/>
      <c r="AS111" s="2342"/>
      <c r="AT111" s="2343"/>
      <c r="AU111" s="2342"/>
      <c r="AV111" s="2343"/>
      <c r="AW111" s="2342"/>
      <c r="AX111" s="2343"/>
      <c r="AY111" s="2342"/>
      <c r="AZ111" s="2343"/>
      <c r="BA111" s="2342"/>
      <c r="BB111" s="2343"/>
      <c r="BC111" s="2342"/>
      <c r="BD111" s="2343"/>
      <c r="BE111" s="2342"/>
      <c r="BF111" s="2342"/>
      <c r="BG111" s="3708"/>
      <c r="BH111" s="3708"/>
      <c r="BI111" s="3780"/>
      <c r="BJ111" s="2342"/>
      <c r="BK111" s="2342"/>
      <c r="BL111" s="3747"/>
      <c r="BM111" s="3752"/>
      <c r="BN111" s="3747"/>
      <c r="BO111" s="3747"/>
      <c r="BP111" s="2343"/>
    </row>
    <row r="112" spans="1:68" ht="48.75" customHeight="1" x14ac:dyDescent="0.25">
      <c r="A112" s="141"/>
      <c r="B112" s="1"/>
      <c r="C112" s="1"/>
      <c r="D112" s="212"/>
      <c r="E112" s="1"/>
      <c r="F112" s="3"/>
      <c r="G112" s="3931" t="s">
        <v>1140</v>
      </c>
      <c r="H112" s="3933">
        <v>38.700000000000003</v>
      </c>
      <c r="I112" s="2344" t="s">
        <v>1602</v>
      </c>
      <c r="J112" s="2610" t="s">
        <v>1603</v>
      </c>
      <c r="K112" s="2457">
        <v>1</v>
      </c>
      <c r="L112" s="3716">
        <v>0.6</v>
      </c>
      <c r="M112" s="2610" t="s">
        <v>1604</v>
      </c>
      <c r="N112" s="2340" t="s">
        <v>1605</v>
      </c>
      <c r="O112" s="3020" t="s">
        <v>1606</v>
      </c>
      <c r="P112" s="3032">
        <v>1</v>
      </c>
      <c r="Q112" s="3936">
        <v>83980000</v>
      </c>
      <c r="R112" s="3712" t="s">
        <v>1607</v>
      </c>
      <c r="S112" s="3712" t="s">
        <v>1608</v>
      </c>
      <c r="T112" s="3939" t="s">
        <v>1609</v>
      </c>
      <c r="U112" s="1694">
        <v>4500000</v>
      </c>
      <c r="V112" s="1759">
        <v>4000000</v>
      </c>
      <c r="W112" s="1732">
        <v>0</v>
      </c>
      <c r="X112" s="1695">
        <v>88</v>
      </c>
      <c r="Y112" s="1696" t="s">
        <v>4</v>
      </c>
      <c r="Z112" s="2496">
        <v>1323</v>
      </c>
      <c r="AA112" s="3935">
        <v>4</v>
      </c>
      <c r="AB112" s="2307">
        <v>1377</v>
      </c>
      <c r="AC112" s="3935">
        <v>15</v>
      </c>
      <c r="AD112" s="2307">
        <v>200</v>
      </c>
      <c r="AE112" s="3935"/>
      <c r="AF112" s="2307">
        <v>1200</v>
      </c>
      <c r="AG112" s="3935"/>
      <c r="AH112" s="2307">
        <v>800</v>
      </c>
      <c r="AI112" s="3935">
        <v>18</v>
      </c>
      <c r="AJ112" s="2307">
        <v>300</v>
      </c>
      <c r="AK112" s="3935">
        <v>1</v>
      </c>
      <c r="AL112" s="2307">
        <v>0</v>
      </c>
      <c r="AM112" s="3935"/>
      <c r="AN112" s="2307">
        <v>0</v>
      </c>
      <c r="AO112" s="3935"/>
      <c r="AP112" s="2307">
        <v>0</v>
      </c>
      <c r="AQ112" s="3935"/>
      <c r="AR112" s="2307">
        <v>0</v>
      </c>
      <c r="AS112" s="3935"/>
      <c r="AT112" s="2307">
        <v>0</v>
      </c>
      <c r="AU112" s="3935"/>
      <c r="AV112" s="2307">
        <v>0</v>
      </c>
      <c r="AW112" s="3935"/>
      <c r="AX112" s="2307">
        <v>0</v>
      </c>
      <c r="AY112" s="3935"/>
      <c r="AZ112" s="2307">
        <v>0</v>
      </c>
      <c r="BA112" s="3935">
        <v>2</v>
      </c>
      <c r="BB112" s="2307">
        <v>200</v>
      </c>
      <c r="BC112" s="3935">
        <v>1</v>
      </c>
      <c r="BD112" s="2307">
        <v>2700</v>
      </c>
      <c r="BE112" s="3935">
        <v>19</v>
      </c>
      <c r="BF112" s="3935">
        <v>2</v>
      </c>
      <c r="BG112" s="3950">
        <f>SUM(V112:V120)</f>
        <v>59213333</v>
      </c>
      <c r="BH112" s="3950">
        <f>SUM(W112:W120)</f>
        <v>42580000</v>
      </c>
      <c r="BI112" s="3951">
        <f>BG112/Q112</f>
        <v>0.70508850916884969</v>
      </c>
      <c r="BJ112" s="3935" t="s">
        <v>1407</v>
      </c>
      <c r="BK112" s="3935" t="s">
        <v>1610</v>
      </c>
      <c r="BL112" s="3736">
        <v>43832</v>
      </c>
      <c r="BM112" s="3736">
        <v>43832</v>
      </c>
      <c r="BN112" s="3736">
        <v>44195</v>
      </c>
      <c r="BO112" s="3736">
        <v>44195</v>
      </c>
      <c r="BP112" s="2307" t="s">
        <v>1409</v>
      </c>
    </row>
    <row r="113" spans="1:68" ht="44.25" customHeight="1" x14ac:dyDescent="0.25">
      <c r="A113" s="141"/>
      <c r="B113" s="1"/>
      <c r="C113" s="1"/>
      <c r="D113" s="212"/>
      <c r="E113" s="1"/>
      <c r="F113" s="3"/>
      <c r="G113" s="3932"/>
      <c r="H113" s="3934"/>
      <c r="I113" s="2331"/>
      <c r="J113" s="2416"/>
      <c r="K113" s="2348"/>
      <c r="L113" s="3717"/>
      <c r="M113" s="2416"/>
      <c r="N113" s="2341"/>
      <c r="O113" s="3020"/>
      <c r="P113" s="3032"/>
      <c r="Q113" s="3936"/>
      <c r="R113" s="3712"/>
      <c r="S113" s="3712"/>
      <c r="T113" s="3940"/>
      <c r="U113" s="1604">
        <v>16200000</v>
      </c>
      <c r="V113" s="1760">
        <f>+U113</f>
        <v>16200000</v>
      </c>
      <c r="W113" s="1631">
        <f>+V113</f>
        <v>16200000</v>
      </c>
      <c r="X113" s="1646">
        <v>20</v>
      </c>
      <c r="Y113" s="1600" t="s">
        <v>7</v>
      </c>
      <c r="Z113" s="2496"/>
      <c r="AA113" s="2307"/>
      <c r="AB113" s="2307"/>
      <c r="AC113" s="2307"/>
      <c r="AD113" s="2307"/>
      <c r="AE113" s="2307"/>
      <c r="AF113" s="2307"/>
      <c r="AG113" s="2307"/>
      <c r="AH113" s="2307"/>
      <c r="AI113" s="2307"/>
      <c r="AJ113" s="2307"/>
      <c r="AK113" s="2307"/>
      <c r="AL113" s="2307"/>
      <c r="AM113" s="2307"/>
      <c r="AN113" s="2307"/>
      <c r="AO113" s="2307"/>
      <c r="AP113" s="2307"/>
      <c r="AQ113" s="2307"/>
      <c r="AR113" s="2307"/>
      <c r="AS113" s="2307"/>
      <c r="AT113" s="2307"/>
      <c r="AU113" s="2307"/>
      <c r="AV113" s="2307"/>
      <c r="AW113" s="2307"/>
      <c r="AX113" s="2307"/>
      <c r="AY113" s="2307"/>
      <c r="AZ113" s="2307"/>
      <c r="BA113" s="2307"/>
      <c r="BB113" s="2307"/>
      <c r="BC113" s="2307"/>
      <c r="BD113" s="2307"/>
      <c r="BE113" s="2307"/>
      <c r="BF113" s="2307"/>
      <c r="BG113" s="3714"/>
      <c r="BH113" s="3714"/>
      <c r="BI113" s="3032"/>
      <c r="BJ113" s="2307"/>
      <c r="BK113" s="2307"/>
      <c r="BL113" s="3736"/>
      <c r="BM113" s="3736"/>
      <c r="BN113" s="3736"/>
      <c r="BO113" s="3736"/>
      <c r="BP113" s="2307"/>
    </row>
    <row r="114" spans="1:68" ht="135" customHeight="1" x14ac:dyDescent="0.25">
      <c r="A114" s="141"/>
      <c r="B114" s="1"/>
      <c r="C114" s="1"/>
      <c r="D114" s="212"/>
      <c r="E114" s="1"/>
      <c r="F114" s="3"/>
      <c r="G114" s="3932"/>
      <c r="H114" s="3934"/>
      <c r="I114" s="2331"/>
      <c r="J114" s="2416"/>
      <c r="K114" s="2348"/>
      <c r="L114" s="3717"/>
      <c r="M114" s="2416"/>
      <c r="N114" s="2341"/>
      <c r="O114" s="3020"/>
      <c r="P114" s="3032"/>
      <c r="Q114" s="3936"/>
      <c r="R114" s="3712"/>
      <c r="S114" s="3712"/>
      <c r="T114" s="1676" t="s">
        <v>1611</v>
      </c>
      <c r="U114" s="1604">
        <v>7000000</v>
      </c>
      <c r="V114" s="1761">
        <v>4333333</v>
      </c>
      <c r="W114" s="1631"/>
      <c r="X114" s="1646">
        <v>88</v>
      </c>
      <c r="Y114" s="1600" t="s">
        <v>4</v>
      </c>
      <c r="Z114" s="2496"/>
      <c r="AA114" s="2307"/>
      <c r="AB114" s="2307"/>
      <c r="AC114" s="2307"/>
      <c r="AD114" s="2307"/>
      <c r="AE114" s="2307"/>
      <c r="AF114" s="2307"/>
      <c r="AG114" s="2307"/>
      <c r="AH114" s="2307"/>
      <c r="AI114" s="2307"/>
      <c r="AJ114" s="2307"/>
      <c r="AK114" s="2307"/>
      <c r="AL114" s="2307"/>
      <c r="AM114" s="2307"/>
      <c r="AN114" s="2307"/>
      <c r="AO114" s="2307"/>
      <c r="AP114" s="2307"/>
      <c r="AQ114" s="2307"/>
      <c r="AR114" s="2307"/>
      <c r="AS114" s="2307"/>
      <c r="AT114" s="2307"/>
      <c r="AU114" s="2307"/>
      <c r="AV114" s="2307"/>
      <c r="AW114" s="2307"/>
      <c r="AX114" s="2307"/>
      <c r="AY114" s="2307"/>
      <c r="AZ114" s="2307"/>
      <c r="BA114" s="2307"/>
      <c r="BB114" s="2307"/>
      <c r="BC114" s="2307"/>
      <c r="BD114" s="2307"/>
      <c r="BE114" s="2307"/>
      <c r="BF114" s="2307"/>
      <c r="BG114" s="3714"/>
      <c r="BH114" s="3714"/>
      <c r="BI114" s="3032"/>
      <c r="BJ114" s="2307"/>
      <c r="BK114" s="2307"/>
      <c r="BL114" s="3736"/>
      <c r="BM114" s="3736"/>
      <c r="BN114" s="3736"/>
      <c r="BO114" s="3736"/>
      <c r="BP114" s="2307"/>
    </row>
    <row r="115" spans="1:68" ht="150" customHeight="1" x14ac:dyDescent="0.25">
      <c r="A115" s="141"/>
      <c r="B115" s="1"/>
      <c r="C115" s="1"/>
      <c r="D115" s="212"/>
      <c r="E115" s="1"/>
      <c r="F115" s="3"/>
      <c r="G115" s="3932"/>
      <c r="H115" s="3934"/>
      <c r="I115" s="2331"/>
      <c r="J115" s="2416"/>
      <c r="K115" s="2348"/>
      <c r="L115" s="3717"/>
      <c r="M115" s="2416"/>
      <c r="N115" s="2341"/>
      <c r="O115" s="3020"/>
      <c r="P115" s="3032"/>
      <c r="Q115" s="3936"/>
      <c r="R115" s="3712"/>
      <c r="S115" s="3712"/>
      <c r="T115" s="1676" t="s">
        <v>1612</v>
      </c>
      <c r="U115" s="1604">
        <v>5500000</v>
      </c>
      <c r="V115" s="1670">
        <v>3000000</v>
      </c>
      <c r="W115" s="1719">
        <v>0</v>
      </c>
      <c r="X115" s="1695">
        <v>88</v>
      </c>
      <c r="Y115" s="1696" t="s">
        <v>4</v>
      </c>
      <c r="Z115" s="2307"/>
      <c r="AA115" s="2307"/>
      <c r="AB115" s="2307"/>
      <c r="AC115" s="2307"/>
      <c r="AD115" s="2307"/>
      <c r="AE115" s="2307"/>
      <c r="AF115" s="2307"/>
      <c r="AG115" s="2307"/>
      <c r="AH115" s="2307"/>
      <c r="AI115" s="2307"/>
      <c r="AJ115" s="2307"/>
      <c r="AK115" s="2307"/>
      <c r="AL115" s="2307"/>
      <c r="AM115" s="2307"/>
      <c r="AN115" s="2307"/>
      <c r="AO115" s="2307"/>
      <c r="AP115" s="2307"/>
      <c r="AQ115" s="2307"/>
      <c r="AR115" s="2307"/>
      <c r="AS115" s="2307"/>
      <c r="AT115" s="2307"/>
      <c r="AU115" s="2307"/>
      <c r="AV115" s="2307"/>
      <c r="AW115" s="2307"/>
      <c r="AX115" s="2307"/>
      <c r="AY115" s="2307"/>
      <c r="AZ115" s="2307"/>
      <c r="BA115" s="2307"/>
      <c r="BB115" s="2307"/>
      <c r="BC115" s="2307"/>
      <c r="BD115" s="2307"/>
      <c r="BE115" s="2307"/>
      <c r="BF115" s="2307"/>
      <c r="BG115" s="3714"/>
      <c r="BH115" s="3714"/>
      <c r="BI115" s="3032"/>
      <c r="BJ115" s="2307"/>
      <c r="BK115" s="2307"/>
      <c r="BL115" s="3736"/>
      <c r="BM115" s="3736"/>
      <c r="BN115" s="3736"/>
      <c r="BO115" s="3736"/>
      <c r="BP115" s="2307"/>
    </row>
    <row r="116" spans="1:68" ht="50.25" customHeight="1" x14ac:dyDescent="0.25">
      <c r="A116" s="141"/>
      <c r="B116" s="1"/>
      <c r="C116" s="1"/>
      <c r="D116" s="212"/>
      <c r="E116" s="1"/>
      <c r="F116" s="3"/>
      <c r="G116" s="3932"/>
      <c r="H116" s="3934"/>
      <c r="I116" s="2331"/>
      <c r="J116" s="2416"/>
      <c r="K116" s="2348"/>
      <c r="L116" s="3717"/>
      <c r="M116" s="2416"/>
      <c r="N116" s="2341"/>
      <c r="O116" s="3020"/>
      <c r="P116" s="3032"/>
      <c r="Q116" s="3936"/>
      <c r="R116" s="3712"/>
      <c r="S116" s="3712"/>
      <c r="T116" s="1676" t="s">
        <v>1581</v>
      </c>
      <c r="U116" s="1604">
        <v>5000000</v>
      </c>
      <c r="V116" s="1670"/>
      <c r="W116" s="1762">
        <v>0</v>
      </c>
      <c r="X116" s="1646">
        <v>88</v>
      </c>
      <c r="Y116" s="1600" t="s">
        <v>4</v>
      </c>
      <c r="Z116" s="2307"/>
      <c r="AA116" s="2307"/>
      <c r="AB116" s="2307"/>
      <c r="AC116" s="2307"/>
      <c r="AD116" s="2307"/>
      <c r="AE116" s="2307"/>
      <c r="AF116" s="2307"/>
      <c r="AG116" s="2307"/>
      <c r="AH116" s="2307"/>
      <c r="AI116" s="2307"/>
      <c r="AJ116" s="2307"/>
      <c r="AK116" s="2307"/>
      <c r="AL116" s="2307"/>
      <c r="AM116" s="2307"/>
      <c r="AN116" s="2307"/>
      <c r="AO116" s="2307"/>
      <c r="AP116" s="2307"/>
      <c r="AQ116" s="2307"/>
      <c r="AR116" s="2307"/>
      <c r="AS116" s="2307"/>
      <c r="AT116" s="2307"/>
      <c r="AU116" s="2307"/>
      <c r="AV116" s="2307"/>
      <c r="AW116" s="2307"/>
      <c r="AX116" s="2307"/>
      <c r="AY116" s="2307"/>
      <c r="AZ116" s="2307"/>
      <c r="BA116" s="2307"/>
      <c r="BB116" s="2307"/>
      <c r="BC116" s="2307"/>
      <c r="BD116" s="2307"/>
      <c r="BE116" s="2307"/>
      <c r="BF116" s="2307"/>
      <c r="BG116" s="3714"/>
      <c r="BH116" s="3714"/>
      <c r="BI116" s="3032"/>
      <c r="BJ116" s="2307"/>
      <c r="BK116" s="2307"/>
      <c r="BL116" s="3736"/>
      <c r="BM116" s="3736"/>
      <c r="BN116" s="3736"/>
      <c r="BO116" s="3736"/>
      <c r="BP116" s="2307"/>
    </row>
    <row r="117" spans="1:68" ht="78.75" customHeight="1" x14ac:dyDescent="0.25">
      <c r="A117" s="141"/>
      <c r="B117" s="1"/>
      <c r="C117" s="1"/>
      <c r="D117" s="212"/>
      <c r="E117" s="1"/>
      <c r="F117" s="3"/>
      <c r="G117" s="3932"/>
      <c r="H117" s="3934"/>
      <c r="I117" s="2331"/>
      <c r="J117" s="2416"/>
      <c r="K117" s="2348"/>
      <c r="L117" s="3717"/>
      <c r="M117" s="2416"/>
      <c r="N117" s="2341"/>
      <c r="O117" s="3020"/>
      <c r="P117" s="3032"/>
      <c r="Q117" s="3936"/>
      <c r="R117" s="3712"/>
      <c r="S117" s="3712"/>
      <c r="T117" s="1676" t="s">
        <v>1613</v>
      </c>
      <c r="U117" s="1604"/>
      <c r="V117" s="1670"/>
      <c r="W117" s="1762">
        <v>0</v>
      </c>
      <c r="X117" s="1646"/>
      <c r="Y117" s="1600"/>
      <c r="Z117" s="2307"/>
      <c r="AA117" s="2307"/>
      <c r="AB117" s="2307"/>
      <c r="AC117" s="2307"/>
      <c r="AD117" s="2307"/>
      <c r="AE117" s="2307"/>
      <c r="AF117" s="2307"/>
      <c r="AG117" s="2307"/>
      <c r="AH117" s="2307"/>
      <c r="AI117" s="2307"/>
      <c r="AJ117" s="2307"/>
      <c r="AK117" s="2307"/>
      <c r="AL117" s="2307"/>
      <c r="AM117" s="2307"/>
      <c r="AN117" s="2307"/>
      <c r="AO117" s="2307"/>
      <c r="AP117" s="2307"/>
      <c r="AQ117" s="2307"/>
      <c r="AR117" s="2307"/>
      <c r="AS117" s="2307"/>
      <c r="AT117" s="2307"/>
      <c r="AU117" s="2307"/>
      <c r="AV117" s="2307"/>
      <c r="AW117" s="2307"/>
      <c r="AX117" s="2307"/>
      <c r="AY117" s="2307"/>
      <c r="AZ117" s="2307"/>
      <c r="BA117" s="2307"/>
      <c r="BB117" s="2307"/>
      <c r="BC117" s="2307"/>
      <c r="BD117" s="2307"/>
      <c r="BE117" s="2307"/>
      <c r="BF117" s="2307"/>
      <c r="BG117" s="3714"/>
      <c r="BH117" s="3714"/>
      <c r="BI117" s="3032"/>
      <c r="BJ117" s="2307"/>
      <c r="BK117" s="2307"/>
      <c r="BL117" s="3736"/>
      <c r="BM117" s="3736"/>
      <c r="BN117" s="3736"/>
      <c r="BO117" s="3736"/>
      <c r="BP117" s="2307"/>
    </row>
    <row r="118" spans="1:68" ht="41.25" customHeight="1" x14ac:dyDescent="0.25">
      <c r="A118" s="141"/>
      <c r="B118" s="1"/>
      <c r="C118" s="1"/>
      <c r="D118" s="212"/>
      <c r="E118" s="1"/>
      <c r="F118" s="3"/>
      <c r="G118" s="3932"/>
      <c r="H118" s="3934"/>
      <c r="I118" s="2331"/>
      <c r="J118" s="2416"/>
      <c r="K118" s="2348"/>
      <c r="L118" s="3717"/>
      <c r="M118" s="2416"/>
      <c r="N118" s="2341"/>
      <c r="O118" s="3020"/>
      <c r="P118" s="3032"/>
      <c r="Q118" s="3936"/>
      <c r="R118" s="3712"/>
      <c r="S118" s="3712"/>
      <c r="T118" s="3941" t="s">
        <v>1614</v>
      </c>
      <c r="U118" s="1604">
        <v>23000000</v>
      </c>
      <c r="V118" s="1604">
        <f>3900000+5000000</f>
        <v>8900000</v>
      </c>
      <c r="W118" s="1762">
        <v>3600000</v>
      </c>
      <c r="X118" s="1646">
        <v>88</v>
      </c>
      <c r="Y118" s="1600" t="s">
        <v>4</v>
      </c>
      <c r="Z118" s="2307"/>
      <c r="AA118" s="2307"/>
      <c r="AB118" s="2307"/>
      <c r="AC118" s="2307"/>
      <c r="AD118" s="2307"/>
      <c r="AE118" s="2307"/>
      <c r="AF118" s="2307"/>
      <c r="AG118" s="2307"/>
      <c r="AH118" s="2307"/>
      <c r="AI118" s="2307"/>
      <c r="AJ118" s="2307"/>
      <c r="AK118" s="2307"/>
      <c r="AL118" s="2307"/>
      <c r="AM118" s="2307"/>
      <c r="AN118" s="2307"/>
      <c r="AO118" s="2307"/>
      <c r="AP118" s="2307"/>
      <c r="AQ118" s="2307"/>
      <c r="AR118" s="2307"/>
      <c r="AS118" s="2307"/>
      <c r="AT118" s="2307"/>
      <c r="AU118" s="2307"/>
      <c r="AV118" s="2307"/>
      <c r="AW118" s="2307"/>
      <c r="AX118" s="2307"/>
      <c r="AY118" s="2307"/>
      <c r="AZ118" s="2307"/>
      <c r="BA118" s="2307"/>
      <c r="BB118" s="2307"/>
      <c r="BC118" s="2307"/>
      <c r="BD118" s="2307"/>
      <c r="BE118" s="2307"/>
      <c r="BF118" s="2307"/>
      <c r="BG118" s="3714"/>
      <c r="BH118" s="3714"/>
      <c r="BI118" s="3032"/>
      <c r="BJ118" s="2307"/>
      <c r="BK118" s="2307"/>
      <c r="BL118" s="3736"/>
      <c r="BM118" s="3736"/>
      <c r="BN118" s="3736"/>
      <c r="BO118" s="3736"/>
      <c r="BP118" s="2307"/>
    </row>
    <row r="119" spans="1:68" ht="48" customHeight="1" x14ac:dyDescent="0.25">
      <c r="A119" s="141"/>
      <c r="B119" s="1"/>
      <c r="C119" s="1"/>
      <c r="D119" s="212"/>
      <c r="E119" s="1"/>
      <c r="F119" s="3"/>
      <c r="G119" s="3932"/>
      <c r="H119" s="3934"/>
      <c r="I119" s="2331"/>
      <c r="J119" s="2416"/>
      <c r="K119" s="2348"/>
      <c r="L119" s="3717"/>
      <c r="M119" s="2416"/>
      <c r="N119" s="2341"/>
      <c r="O119" s="3020"/>
      <c r="P119" s="3032"/>
      <c r="Q119" s="3936"/>
      <c r="R119" s="3712"/>
      <c r="S119" s="3712"/>
      <c r="T119" s="3940"/>
      <c r="U119" s="1604">
        <v>15500000</v>
      </c>
      <c r="V119" s="1670">
        <f>+U119</f>
        <v>15500000</v>
      </c>
      <c r="W119" s="1762">
        <f>+V119</f>
        <v>15500000</v>
      </c>
      <c r="X119" s="1646">
        <v>20</v>
      </c>
      <c r="Y119" s="1600" t="s">
        <v>7</v>
      </c>
      <c r="Z119" s="2307"/>
      <c r="AA119" s="2307"/>
      <c r="AB119" s="2307"/>
      <c r="AC119" s="2307"/>
      <c r="AD119" s="2307"/>
      <c r="AE119" s="2307"/>
      <c r="AF119" s="2307"/>
      <c r="AG119" s="2307"/>
      <c r="AH119" s="2307"/>
      <c r="AI119" s="2307"/>
      <c r="AJ119" s="2307"/>
      <c r="AK119" s="2307"/>
      <c r="AL119" s="2307"/>
      <c r="AM119" s="2307"/>
      <c r="AN119" s="2307"/>
      <c r="AO119" s="2307"/>
      <c r="AP119" s="2307"/>
      <c r="AQ119" s="2307"/>
      <c r="AR119" s="2307"/>
      <c r="AS119" s="2307"/>
      <c r="AT119" s="2307"/>
      <c r="AU119" s="2307"/>
      <c r="AV119" s="2307"/>
      <c r="AW119" s="2307"/>
      <c r="AX119" s="2307"/>
      <c r="AY119" s="2307"/>
      <c r="AZ119" s="2307"/>
      <c r="BA119" s="2307"/>
      <c r="BB119" s="2307"/>
      <c r="BC119" s="2307"/>
      <c r="BD119" s="2307"/>
      <c r="BE119" s="2307"/>
      <c r="BF119" s="2307"/>
      <c r="BG119" s="3714"/>
      <c r="BH119" s="3714"/>
      <c r="BI119" s="3032"/>
      <c r="BJ119" s="2307"/>
      <c r="BK119" s="2307"/>
      <c r="BL119" s="3736"/>
      <c r="BM119" s="3736"/>
      <c r="BN119" s="3736"/>
      <c r="BO119" s="3736"/>
      <c r="BP119" s="2307"/>
    </row>
    <row r="120" spans="1:68" ht="75" customHeight="1" x14ac:dyDescent="0.25">
      <c r="A120" s="141"/>
      <c r="B120" s="1"/>
      <c r="C120" s="1"/>
      <c r="D120" s="212"/>
      <c r="E120" s="1"/>
      <c r="F120" s="3"/>
      <c r="G120" s="3932"/>
      <c r="H120" s="3934"/>
      <c r="I120" s="2331"/>
      <c r="J120" s="2416"/>
      <c r="K120" s="2348"/>
      <c r="L120" s="3718"/>
      <c r="M120" s="2416"/>
      <c r="N120" s="2341"/>
      <c r="O120" s="3021"/>
      <c r="P120" s="3033"/>
      <c r="Q120" s="3937"/>
      <c r="R120" s="3938"/>
      <c r="S120" s="3938"/>
      <c r="T120" s="1676" t="s">
        <v>1615</v>
      </c>
      <c r="U120" s="1604">
        <v>7280000</v>
      </c>
      <c r="V120" s="1670">
        <f>+U120</f>
        <v>7280000</v>
      </c>
      <c r="W120" s="1762">
        <f>+V120</f>
        <v>7280000</v>
      </c>
      <c r="X120" s="1646">
        <v>20</v>
      </c>
      <c r="Y120" s="1600" t="s">
        <v>7</v>
      </c>
      <c r="Z120" s="2467"/>
      <c r="AA120" s="2467"/>
      <c r="AB120" s="2467"/>
      <c r="AC120" s="2467"/>
      <c r="AD120" s="2467"/>
      <c r="AE120" s="2467"/>
      <c r="AF120" s="2467"/>
      <c r="AG120" s="2467"/>
      <c r="AH120" s="2467"/>
      <c r="AI120" s="2467"/>
      <c r="AJ120" s="2467"/>
      <c r="AK120" s="2467"/>
      <c r="AL120" s="2467"/>
      <c r="AM120" s="2467"/>
      <c r="AN120" s="2467"/>
      <c r="AO120" s="2467"/>
      <c r="AP120" s="2467"/>
      <c r="AQ120" s="2467"/>
      <c r="AR120" s="2467"/>
      <c r="AS120" s="2467"/>
      <c r="AT120" s="2467"/>
      <c r="AU120" s="2467"/>
      <c r="AV120" s="2467"/>
      <c r="AW120" s="2467"/>
      <c r="AX120" s="2467"/>
      <c r="AY120" s="2467"/>
      <c r="AZ120" s="2467"/>
      <c r="BA120" s="2467"/>
      <c r="BB120" s="2467"/>
      <c r="BC120" s="2467"/>
      <c r="BD120" s="2467"/>
      <c r="BE120" s="2467"/>
      <c r="BF120" s="2467"/>
      <c r="BG120" s="3715"/>
      <c r="BH120" s="3715"/>
      <c r="BI120" s="3033"/>
      <c r="BJ120" s="2467"/>
      <c r="BK120" s="2467"/>
      <c r="BL120" s="3949"/>
      <c r="BM120" s="3949"/>
      <c r="BN120" s="3949"/>
      <c r="BO120" s="3949"/>
      <c r="BP120" s="2467"/>
    </row>
    <row r="121" spans="1:68" ht="45" customHeight="1" x14ac:dyDescent="0.25">
      <c r="A121" s="141"/>
      <c r="B121" s="1"/>
      <c r="C121" s="1"/>
      <c r="D121" s="212"/>
      <c r="E121" s="1"/>
      <c r="F121" s="3"/>
      <c r="G121" s="3945" t="s">
        <v>1140</v>
      </c>
      <c r="H121" s="3947">
        <v>38.799999999999997</v>
      </c>
      <c r="I121" s="2309" t="s">
        <v>1616</v>
      </c>
      <c r="J121" s="2440" t="s">
        <v>1617</v>
      </c>
      <c r="K121" s="2319">
        <v>1</v>
      </c>
      <c r="L121" s="3948">
        <v>0.7</v>
      </c>
      <c r="M121" s="2440" t="s">
        <v>1618</v>
      </c>
      <c r="N121" s="3935" t="s">
        <v>1619</v>
      </c>
      <c r="O121" s="2422" t="s">
        <v>1620</v>
      </c>
      <c r="P121" s="3031">
        <v>1</v>
      </c>
      <c r="Q121" s="3835">
        <v>79725000</v>
      </c>
      <c r="R121" s="3831" t="s">
        <v>1621</v>
      </c>
      <c r="S121" s="3831" t="s">
        <v>1622</v>
      </c>
      <c r="T121" s="1676" t="s">
        <v>1623</v>
      </c>
      <c r="U121" s="1604">
        <v>0</v>
      </c>
      <c r="V121" s="1604"/>
      <c r="W121" s="1762">
        <v>0</v>
      </c>
      <c r="X121" s="1646"/>
      <c r="Y121" s="1600"/>
      <c r="Z121" s="2306">
        <v>3000</v>
      </c>
      <c r="AA121" s="2306">
        <v>92</v>
      </c>
      <c r="AB121" s="2306">
        <v>0</v>
      </c>
      <c r="AC121" s="2306"/>
      <c r="AD121" s="2306">
        <v>500</v>
      </c>
      <c r="AE121" s="2306"/>
      <c r="AF121" s="2306">
        <v>1500</v>
      </c>
      <c r="AG121" s="2306"/>
      <c r="AH121" s="2306">
        <v>800</v>
      </c>
      <c r="AI121" s="2306">
        <v>69</v>
      </c>
      <c r="AJ121" s="2306">
        <v>100</v>
      </c>
      <c r="AK121" s="2306">
        <v>23</v>
      </c>
      <c r="AL121" s="2306">
        <v>100</v>
      </c>
      <c r="AM121" s="2306"/>
      <c r="AN121" s="2306">
        <v>1</v>
      </c>
      <c r="AO121" s="2306"/>
      <c r="AP121" s="2306">
        <v>0</v>
      </c>
      <c r="AQ121" s="2306"/>
      <c r="AR121" s="2306">
        <v>0</v>
      </c>
      <c r="AS121" s="2306"/>
      <c r="AT121" s="2306">
        <v>0</v>
      </c>
      <c r="AU121" s="2306"/>
      <c r="AV121" s="2306">
        <v>0</v>
      </c>
      <c r="AW121" s="2306"/>
      <c r="AX121" s="2306">
        <v>0</v>
      </c>
      <c r="AY121" s="2306">
        <v>5</v>
      </c>
      <c r="AZ121" s="2306">
        <v>0</v>
      </c>
      <c r="BA121" s="2306">
        <v>13</v>
      </c>
      <c r="BB121" s="2306">
        <v>0</v>
      </c>
      <c r="BC121" s="2306"/>
      <c r="BD121" s="2306">
        <v>3000</v>
      </c>
      <c r="BE121" s="2306">
        <v>92</v>
      </c>
      <c r="BF121" s="2306">
        <v>3</v>
      </c>
      <c r="BG121" s="3713">
        <f>SUM(V121:V131)</f>
        <v>63825001</v>
      </c>
      <c r="BH121" s="3713">
        <f>SUM(W121:W131)</f>
        <v>34725000</v>
      </c>
      <c r="BI121" s="3031">
        <f>BG121/Q121</f>
        <v>0.80056445280652244</v>
      </c>
      <c r="BJ121" s="2306" t="s">
        <v>1407</v>
      </c>
      <c r="BK121" s="2306" t="s">
        <v>1610</v>
      </c>
      <c r="BL121" s="3719">
        <v>43832</v>
      </c>
      <c r="BM121" s="3719">
        <v>43832</v>
      </c>
      <c r="BN121" s="3719">
        <v>44195</v>
      </c>
      <c r="BO121" s="3719">
        <v>44195</v>
      </c>
      <c r="BP121" s="2306" t="s">
        <v>1409</v>
      </c>
    </row>
    <row r="122" spans="1:68" ht="30" x14ac:dyDescent="0.25">
      <c r="A122" s="141"/>
      <c r="B122" s="1"/>
      <c r="C122" s="1"/>
      <c r="D122" s="212"/>
      <c r="E122" s="1"/>
      <c r="F122" s="3"/>
      <c r="G122" s="3946"/>
      <c r="H122" s="3947"/>
      <c r="I122" s="2309"/>
      <c r="J122" s="2440"/>
      <c r="K122" s="2319"/>
      <c r="L122" s="3833"/>
      <c r="M122" s="2440"/>
      <c r="N122" s="2307"/>
      <c r="O122" s="2423"/>
      <c r="P122" s="3032"/>
      <c r="Q122" s="3804"/>
      <c r="R122" s="3712"/>
      <c r="S122" s="3712"/>
      <c r="T122" s="3941" t="s">
        <v>1624</v>
      </c>
      <c r="U122" s="1604">
        <v>14000000</v>
      </c>
      <c r="V122" s="1604">
        <f>10266667+1600001</f>
        <v>11866668</v>
      </c>
      <c r="W122" s="1762"/>
      <c r="X122" s="1646">
        <v>88</v>
      </c>
      <c r="Y122" s="1600" t="s">
        <v>4</v>
      </c>
      <c r="Z122" s="2307"/>
      <c r="AA122" s="2307"/>
      <c r="AB122" s="2307"/>
      <c r="AC122" s="2307"/>
      <c r="AD122" s="2307"/>
      <c r="AE122" s="2307"/>
      <c r="AF122" s="2307"/>
      <c r="AG122" s="2307"/>
      <c r="AH122" s="2307"/>
      <c r="AI122" s="2307"/>
      <c r="AJ122" s="2307"/>
      <c r="AK122" s="2307"/>
      <c r="AL122" s="2307"/>
      <c r="AM122" s="2307"/>
      <c r="AN122" s="2307"/>
      <c r="AO122" s="2307"/>
      <c r="AP122" s="2307"/>
      <c r="AQ122" s="2307"/>
      <c r="AR122" s="2307"/>
      <c r="AS122" s="2307"/>
      <c r="AT122" s="2307"/>
      <c r="AU122" s="2307"/>
      <c r="AV122" s="2307"/>
      <c r="AW122" s="2307"/>
      <c r="AX122" s="2307"/>
      <c r="AY122" s="2307"/>
      <c r="AZ122" s="2307"/>
      <c r="BA122" s="2307"/>
      <c r="BB122" s="2307"/>
      <c r="BC122" s="2307"/>
      <c r="BD122" s="2307"/>
      <c r="BE122" s="2307"/>
      <c r="BF122" s="2307"/>
      <c r="BG122" s="3714"/>
      <c r="BH122" s="3714"/>
      <c r="BI122" s="3032"/>
      <c r="BJ122" s="2307"/>
      <c r="BK122" s="2307"/>
      <c r="BL122" s="3736"/>
      <c r="BM122" s="3736"/>
      <c r="BN122" s="3736"/>
      <c r="BO122" s="3736"/>
      <c r="BP122" s="2307"/>
    </row>
    <row r="123" spans="1:68" ht="43.5" customHeight="1" x14ac:dyDescent="0.25">
      <c r="A123" s="141"/>
      <c r="B123" s="1"/>
      <c r="C123" s="1"/>
      <c r="D123" s="212"/>
      <c r="E123" s="1"/>
      <c r="F123" s="3"/>
      <c r="G123" s="3946"/>
      <c r="H123" s="3947"/>
      <c r="I123" s="2309"/>
      <c r="J123" s="2440"/>
      <c r="K123" s="2319"/>
      <c r="L123" s="3833"/>
      <c r="M123" s="2440"/>
      <c r="N123" s="2307"/>
      <c r="O123" s="2423"/>
      <c r="P123" s="3032"/>
      <c r="Q123" s="3804"/>
      <c r="R123" s="3712"/>
      <c r="S123" s="3712"/>
      <c r="T123" s="3940"/>
      <c r="U123" s="1604">
        <v>19280000</v>
      </c>
      <c r="V123" s="1604">
        <f>+U123</f>
        <v>19280000</v>
      </c>
      <c r="W123" s="1762">
        <f>+V123</f>
        <v>19280000</v>
      </c>
      <c r="X123" s="1646">
        <v>20</v>
      </c>
      <c r="Y123" s="1600" t="s">
        <v>7</v>
      </c>
      <c r="Z123" s="2307"/>
      <c r="AA123" s="2307"/>
      <c r="AB123" s="2307"/>
      <c r="AC123" s="2307"/>
      <c r="AD123" s="2307"/>
      <c r="AE123" s="2307"/>
      <c r="AF123" s="2307"/>
      <c r="AG123" s="2307"/>
      <c r="AH123" s="2307"/>
      <c r="AI123" s="2307"/>
      <c r="AJ123" s="2307"/>
      <c r="AK123" s="2307"/>
      <c r="AL123" s="2307"/>
      <c r="AM123" s="2307"/>
      <c r="AN123" s="2307"/>
      <c r="AO123" s="2307"/>
      <c r="AP123" s="2307"/>
      <c r="AQ123" s="2307"/>
      <c r="AR123" s="2307"/>
      <c r="AS123" s="2307"/>
      <c r="AT123" s="2307"/>
      <c r="AU123" s="2307"/>
      <c r="AV123" s="2307"/>
      <c r="AW123" s="2307"/>
      <c r="AX123" s="2307"/>
      <c r="AY123" s="2307"/>
      <c r="AZ123" s="2307"/>
      <c r="BA123" s="2307"/>
      <c r="BB123" s="2307"/>
      <c r="BC123" s="2307"/>
      <c r="BD123" s="2307"/>
      <c r="BE123" s="2307"/>
      <c r="BF123" s="2307"/>
      <c r="BG123" s="3714"/>
      <c r="BH123" s="3714"/>
      <c r="BI123" s="3032"/>
      <c r="BJ123" s="2307"/>
      <c r="BK123" s="2307"/>
      <c r="BL123" s="3736"/>
      <c r="BM123" s="3736"/>
      <c r="BN123" s="3736"/>
      <c r="BO123" s="3736"/>
      <c r="BP123" s="2307"/>
    </row>
    <row r="124" spans="1:68" ht="54.75" customHeight="1" x14ac:dyDescent="0.25">
      <c r="A124" s="141"/>
      <c r="B124" s="1"/>
      <c r="C124" s="1"/>
      <c r="D124" s="212"/>
      <c r="E124" s="1"/>
      <c r="F124" s="3"/>
      <c r="G124" s="3946"/>
      <c r="H124" s="3947"/>
      <c r="I124" s="2309"/>
      <c r="J124" s="2440"/>
      <c r="K124" s="2319"/>
      <c r="L124" s="3833"/>
      <c r="M124" s="2440"/>
      <c r="N124" s="2307"/>
      <c r="O124" s="2423"/>
      <c r="P124" s="3032"/>
      <c r="Q124" s="3804"/>
      <c r="R124" s="3712"/>
      <c r="S124" s="3712"/>
      <c r="T124" s="1676" t="s">
        <v>1416</v>
      </c>
      <c r="U124" s="1604">
        <v>3000000</v>
      </c>
      <c r="V124" s="1604">
        <v>0</v>
      </c>
      <c r="W124" s="1762">
        <v>0</v>
      </c>
      <c r="X124" s="1646">
        <v>88</v>
      </c>
      <c r="Y124" s="1600" t="s">
        <v>4</v>
      </c>
      <c r="Z124" s="2307"/>
      <c r="AA124" s="2307"/>
      <c r="AB124" s="2307"/>
      <c r="AC124" s="2307"/>
      <c r="AD124" s="2307"/>
      <c r="AE124" s="2307"/>
      <c r="AF124" s="2307"/>
      <c r="AG124" s="2307"/>
      <c r="AH124" s="2307"/>
      <c r="AI124" s="2307"/>
      <c r="AJ124" s="2307"/>
      <c r="AK124" s="2307"/>
      <c r="AL124" s="2307"/>
      <c r="AM124" s="2307"/>
      <c r="AN124" s="2307"/>
      <c r="AO124" s="2307"/>
      <c r="AP124" s="2307"/>
      <c r="AQ124" s="2307"/>
      <c r="AR124" s="2307"/>
      <c r="AS124" s="2307"/>
      <c r="AT124" s="2307"/>
      <c r="AU124" s="2307"/>
      <c r="AV124" s="2307"/>
      <c r="AW124" s="2307"/>
      <c r="AX124" s="2307"/>
      <c r="AY124" s="2307"/>
      <c r="AZ124" s="2307"/>
      <c r="BA124" s="2307"/>
      <c r="BB124" s="2307"/>
      <c r="BC124" s="2307"/>
      <c r="BD124" s="2307"/>
      <c r="BE124" s="2307"/>
      <c r="BF124" s="2307"/>
      <c r="BG124" s="3714"/>
      <c r="BH124" s="3714"/>
      <c r="BI124" s="3032"/>
      <c r="BJ124" s="2307"/>
      <c r="BK124" s="2307"/>
      <c r="BL124" s="3736"/>
      <c r="BM124" s="3736"/>
      <c r="BN124" s="3736"/>
      <c r="BO124" s="3736"/>
      <c r="BP124" s="2307"/>
    </row>
    <row r="125" spans="1:68" ht="90" x14ac:dyDescent="0.25">
      <c r="A125" s="141"/>
      <c r="B125" s="1"/>
      <c r="C125" s="1"/>
      <c r="D125" s="212"/>
      <c r="E125" s="1"/>
      <c r="F125" s="3"/>
      <c r="G125" s="3946"/>
      <c r="H125" s="3947"/>
      <c r="I125" s="2309"/>
      <c r="J125" s="2440"/>
      <c r="K125" s="2319"/>
      <c r="L125" s="3833"/>
      <c r="M125" s="2440"/>
      <c r="N125" s="2307"/>
      <c r="O125" s="2423"/>
      <c r="P125" s="3032"/>
      <c r="Q125" s="3804"/>
      <c r="R125" s="3712"/>
      <c r="S125" s="3712"/>
      <c r="T125" s="1676" t="s">
        <v>1625</v>
      </c>
      <c r="U125" s="1651"/>
      <c r="V125" s="1651">
        <v>0</v>
      </c>
      <c r="W125" s="1762">
        <v>0</v>
      </c>
      <c r="X125" s="1646"/>
      <c r="Y125" s="1600"/>
      <c r="Z125" s="2307"/>
      <c r="AA125" s="2307"/>
      <c r="AB125" s="2307"/>
      <c r="AC125" s="2307"/>
      <c r="AD125" s="2307"/>
      <c r="AE125" s="2307"/>
      <c r="AF125" s="2307"/>
      <c r="AG125" s="2307"/>
      <c r="AH125" s="2307"/>
      <c r="AI125" s="2307"/>
      <c r="AJ125" s="2307"/>
      <c r="AK125" s="2307"/>
      <c r="AL125" s="2307"/>
      <c r="AM125" s="2307"/>
      <c r="AN125" s="2307"/>
      <c r="AO125" s="2307"/>
      <c r="AP125" s="2307"/>
      <c r="AQ125" s="2307"/>
      <c r="AR125" s="2307"/>
      <c r="AS125" s="2307"/>
      <c r="AT125" s="2307"/>
      <c r="AU125" s="2307"/>
      <c r="AV125" s="2307"/>
      <c r="AW125" s="2307"/>
      <c r="AX125" s="2307"/>
      <c r="AY125" s="2307"/>
      <c r="AZ125" s="2307"/>
      <c r="BA125" s="2307"/>
      <c r="BB125" s="2307"/>
      <c r="BC125" s="2307"/>
      <c r="BD125" s="2307"/>
      <c r="BE125" s="2307"/>
      <c r="BF125" s="2307"/>
      <c r="BG125" s="3714"/>
      <c r="BH125" s="3714"/>
      <c r="BI125" s="3032"/>
      <c r="BJ125" s="2307"/>
      <c r="BK125" s="2307"/>
      <c r="BL125" s="3736"/>
      <c r="BM125" s="3736"/>
      <c r="BN125" s="3736"/>
      <c r="BO125" s="3736"/>
      <c r="BP125" s="2307"/>
    </row>
    <row r="126" spans="1:68" ht="33" customHeight="1" x14ac:dyDescent="0.25">
      <c r="A126" s="141"/>
      <c r="B126" s="1"/>
      <c r="C126" s="1"/>
      <c r="D126" s="212"/>
      <c r="E126" s="1"/>
      <c r="F126" s="3"/>
      <c r="G126" s="3946"/>
      <c r="H126" s="3947"/>
      <c r="I126" s="2309"/>
      <c r="J126" s="2440"/>
      <c r="K126" s="2319"/>
      <c r="L126" s="3833"/>
      <c r="M126" s="2440"/>
      <c r="N126" s="2307"/>
      <c r="O126" s="2423"/>
      <c r="P126" s="3032"/>
      <c r="Q126" s="3804"/>
      <c r="R126" s="3712"/>
      <c r="S126" s="3712"/>
      <c r="T126" s="3942" t="s">
        <v>1626</v>
      </c>
      <c r="U126" s="1604">
        <v>1120000</v>
      </c>
      <c r="V126" s="1604">
        <f>+U126</f>
        <v>1120000</v>
      </c>
      <c r="W126" s="1631">
        <f>+V126</f>
        <v>1120000</v>
      </c>
      <c r="X126" s="1763">
        <v>20</v>
      </c>
      <c r="Y126" s="1600" t="s">
        <v>7</v>
      </c>
      <c r="Z126" s="2307"/>
      <c r="AA126" s="2307"/>
      <c r="AB126" s="2307"/>
      <c r="AC126" s="2307"/>
      <c r="AD126" s="2307"/>
      <c r="AE126" s="2307"/>
      <c r="AF126" s="2307"/>
      <c r="AG126" s="2307"/>
      <c r="AH126" s="2307"/>
      <c r="AI126" s="2307"/>
      <c r="AJ126" s="2307"/>
      <c r="AK126" s="2307"/>
      <c r="AL126" s="2307"/>
      <c r="AM126" s="2307"/>
      <c r="AN126" s="2307"/>
      <c r="AO126" s="2307"/>
      <c r="AP126" s="2307"/>
      <c r="AQ126" s="2307"/>
      <c r="AR126" s="2307"/>
      <c r="AS126" s="2307"/>
      <c r="AT126" s="2307"/>
      <c r="AU126" s="2307"/>
      <c r="AV126" s="2307"/>
      <c r="AW126" s="2307"/>
      <c r="AX126" s="2307"/>
      <c r="AY126" s="2307"/>
      <c r="AZ126" s="2307"/>
      <c r="BA126" s="2307"/>
      <c r="BB126" s="2307"/>
      <c r="BC126" s="2307"/>
      <c r="BD126" s="2307"/>
      <c r="BE126" s="2307"/>
      <c r="BF126" s="2307"/>
      <c r="BG126" s="3714"/>
      <c r="BH126" s="3714"/>
      <c r="BI126" s="3032"/>
      <c r="BJ126" s="2307"/>
      <c r="BK126" s="2307"/>
      <c r="BL126" s="3736"/>
      <c r="BM126" s="3736"/>
      <c r="BN126" s="3736"/>
      <c r="BO126" s="3736"/>
      <c r="BP126" s="2307"/>
    </row>
    <row r="127" spans="1:68" ht="30" x14ac:dyDescent="0.25">
      <c r="A127" s="141"/>
      <c r="B127" s="1"/>
      <c r="C127" s="1"/>
      <c r="D127" s="212"/>
      <c r="E127" s="1"/>
      <c r="F127" s="3"/>
      <c r="G127" s="3946"/>
      <c r="H127" s="3947"/>
      <c r="I127" s="2309"/>
      <c r="J127" s="2440"/>
      <c r="K127" s="2319"/>
      <c r="L127" s="3833"/>
      <c r="M127" s="2440"/>
      <c r="N127" s="2307"/>
      <c r="O127" s="2423"/>
      <c r="P127" s="3032"/>
      <c r="Q127" s="3804"/>
      <c r="R127" s="3712"/>
      <c r="S127" s="3712"/>
      <c r="T127" s="3943"/>
      <c r="U127" s="1764">
        <v>14000000</v>
      </c>
      <c r="V127" s="1614">
        <v>3500000</v>
      </c>
      <c r="W127" s="1719">
        <v>0</v>
      </c>
      <c r="X127" s="1606">
        <v>88</v>
      </c>
      <c r="Y127" s="1617" t="s">
        <v>4</v>
      </c>
      <c r="Z127" s="2307"/>
      <c r="AA127" s="2307"/>
      <c r="AB127" s="2307"/>
      <c r="AC127" s="2307"/>
      <c r="AD127" s="2307"/>
      <c r="AE127" s="2307"/>
      <c r="AF127" s="2307"/>
      <c r="AG127" s="2307"/>
      <c r="AH127" s="2307"/>
      <c r="AI127" s="2307"/>
      <c r="AJ127" s="2307"/>
      <c r="AK127" s="2307"/>
      <c r="AL127" s="2307"/>
      <c r="AM127" s="2307"/>
      <c r="AN127" s="2307"/>
      <c r="AO127" s="2307"/>
      <c r="AP127" s="2307"/>
      <c r="AQ127" s="2307"/>
      <c r="AR127" s="2307"/>
      <c r="AS127" s="2307"/>
      <c r="AT127" s="2307"/>
      <c r="AU127" s="2307"/>
      <c r="AV127" s="2307"/>
      <c r="AW127" s="2307"/>
      <c r="AX127" s="2307"/>
      <c r="AY127" s="2307"/>
      <c r="AZ127" s="2307"/>
      <c r="BA127" s="2307"/>
      <c r="BB127" s="2307"/>
      <c r="BC127" s="2307"/>
      <c r="BD127" s="2307"/>
      <c r="BE127" s="2307"/>
      <c r="BF127" s="2307"/>
      <c r="BG127" s="3714"/>
      <c r="BH127" s="3714"/>
      <c r="BI127" s="3032"/>
      <c r="BJ127" s="2307"/>
      <c r="BK127" s="2307"/>
      <c r="BL127" s="3736"/>
      <c r="BM127" s="3736"/>
      <c r="BN127" s="3736"/>
      <c r="BO127" s="3736"/>
      <c r="BP127" s="2307"/>
    </row>
    <row r="128" spans="1:68" ht="30" x14ac:dyDescent="0.25">
      <c r="A128" s="141"/>
      <c r="B128" s="1"/>
      <c r="C128" s="1"/>
      <c r="D128" s="212"/>
      <c r="E128" s="1"/>
      <c r="F128" s="3"/>
      <c r="G128" s="3946"/>
      <c r="H128" s="3947"/>
      <c r="I128" s="2309"/>
      <c r="J128" s="2440"/>
      <c r="K128" s="2319"/>
      <c r="L128" s="3833"/>
      <c r="M128" s="2440"/>
      <c r="N128" s="2307"/>
      <c r="O128" s="2423"/>
      <c r="P128" s="3032"/>
      <c r="Q128" s="3804"/>
      <c r="R128" s="3712"/>
      <c r="S128" s="3712"/>
      <c r="T128" s="3944" t="s">
        <v>1627</v>
      </c>
      <c r="U128" s="1724">
        <v>14000000</v>
      </c>
      <c r="V128" s="1598">
        <f>10266667+3466666</f>
        <v>13733333</v>
      </c>
      <c r="W128" s="1762"/>
      <c r="X128" s="1606">
        <v>88</v>
      </c>
      <c r="Y128" s="1617" t="s">
        <v>4</v>
      </c>
      <c r="Z128" s="2307"/>
      <c r="AA128" s="2307"/>
      <c r="AB128" s="2307"/>
      <c r="AC128" s="2307"/>
      <c r="AD128" s="2307"/>
      <c r="AE128" s="2307"/>
      <c r="AF128" s="2307"/>
      <c r="AG128" s="2307"/>
      <c r="AH128" s="2307"/>
      <c r="AI128" s="2307"/>
      <c r="AJ128" s="2307"/>
      <c r="AK128" s="2307"/>
      <c r="AL128" s="2307"/>
      <c r="AM128" s="2307"/>
      <c r="AN128" s="2307"/>
      <c r="AO128" s="2307"/>
      <c r="AP128" s="2307"/>
      <c r="AQ128" s="2307"/>
      <c r="AR128" s="2307"/>
      <c r="AS128" s="2307"/>
      <c r="AT128" s="2307"/>
      <c r="AU128" s="2307"/>
      <c r="AV128" s="2307"/>
      <c r="AW128" s="2307"/>
      <c r="AX128" s="2307"/>
      <c r="AY128" s="2307"/>
      <c r="AZ128" s="2307"/>
      <c r="BA128" s="2307"/>
      <c r="BB128" s="2307"/>
      <c r="BC128" s="2307"/>
      <c r="BD128" s="2307"/>
      <c r="BE128" s="2307"/>
      <c r="BF128" s="2307"/>
      <c r="BG128" s="3714"/>
      <c r="BH128" s="3714"/>
      <c r="BI128" s="3032"/>
      <c r="BJ128" s="2307"/>
      <c r="BK128" s="2307"/>
      <c r="BL128" s="3736"/>
      <c r="BM128" s="3736"/>
      <c r="BN128" s="3736"/>
      <c r="BO128" s="3736"/>
      <c r="BP128" s="2307"/>
    </row>
    <row r="129" spans="1:68" ht="56.25" customHeight="1" x14ac:dyDescent="0.25">
      <c r="A129" s="141"/>
      <c r="B129" s="1"/>
      <c r="C129" s="1"/>
      <c r="D129" s="212"/>
      <c r="E129" s="1"/>
      <c r="F129" s="3"/>
      <c r="G129" s="3946"/>
      <c r="H129" s="3947"/>
      <c r="I129" s="2309"/>
      <c r="J129" s="2440"/>
      <c r="K129" s="2319"/>
      <c r="L129" s="3833"/>
      <c r="M129" s="2440"/>
      <c r="N129" s="2307"/>
      <c r="O129" s="2423"/>
      <c r="P129" s="3032"/>
      <c r="Q129" s="3804"/>
      <c r="R129" s="3712"/>
      <c r="S129" s="3712"/>
      <c r="T129" s="3943"/>
      <c r="U129" s="1724">
        <v>6800000</v>
      </c>
      <c r="V129" s="1598">
        <f>+U129</f>
        <v>6800000</v>
      </c>
      <c r="W129" s="1762">
        <f>+V129</f>
        <v>6800000</v>
      </c>
      <c r="X129" s="1646">
        <v>20</v>
      </c>
      <c r="Y129" s="1600" t="s">
        <v>7</v>
      </c>
      <c r="Z129" s="2307"/>
      <c r="AA129" s="2307"/>
      <c r="AB129" s="2307"/>
      <c r="AC129" s="2307"/>
      <c r="AD129" s="2307"/>
      <c r="AE129" s="2307"/>
      <c r="AF129" s="2307"/>
      <c r="AG129" s="2307"/>
      <c r="AH129" s="2307"/>
      <c r="AI129" s="2307"/>
      <c r="AJ129" s="2307"/>
      <c r="AK129" s="2307"/>
      <c r="AL129" s="2307"/>
      <c r="AM129" s="2307"/>
      <c r="AN129" s="2307"/>
      <c r="AO129" s="2307"/>
      <c r="AP129" s="2307"/>
      <c r="AQ129" s="2307"/>
      <c r="AR129" s="2307"/>
      <c r="AS129" s="2307"/>
      <c r="AT129" s="2307"/>
      <c r="AU129" s="2307"/>
      <c r="AV129" s="2307"/>
      <c r="AW129" s="2307"/>
      <c r="AX129" s="2307"/>
      <c r="AY129" s="2307"/>
      <c r="AZ129" s="2307"/>
      <c r="BA129" s="2307"/>
      <c r="BB129" s="2307"/>
      <c r="BC129" s="2307"/>
      <c r="BD129" s="2307"/>
      <c r="BE129" s="2307"/>
      <c r="BF129" s="2307"/>
      <c r="BG129" s="3714"/>
      <c r="BH129" s="3714"/>
      <c r="BI129" s="3032"/>
      <c r="BJ129" s="2307"/>
      <c r="BK129" s="2307"/>
      <c r="BL129" s="3736"/>
      <c r="BM129" s="3736"/>
      <c r="BN129" s="3736"/>
      <c r="BO129" s="3736"/>
      <c r="BP129" s="2307"/>
    </row>
    <row r="130" spans="1:68" ht="52.5" customHeight="1" x14ac:dyDescent="0.25">
      <c r="A130" s="141"/>
      <c r="B130" s="1"/>
      <c r="C130" s="1"/>
      <c r="D130" s="212"/>
      <c r="E130" s="1"/>
      <c r="F130" s="3"/>
      <c r="G130" s="3946"/>
      <c r="H130" s="3947"/>
      <c r="I130" s="2309"/>
      <c r="J130" s="2440"/>
      <c r="K130" s="2319"/>
      <c r="L130" s="3833"/>
      <c r="M130" s="2440"/>
      <c r="N130" s="2307"/>
      <c r="O130" s="2423"/>
      <c r="P130" s="3032"/>
      <c r="Q130" s="3804"/>
      <c r="R130" s="3712"/>
      <c r="S130" s="3712"/>
      <c r="T130" s="1676" t="s">
        <v>1613</v>
      </c>
      <c r="U130" s="1724"/>
      <c r="V130" s="1598">
        <v>0</v>
      </c>
      <c r="W130" s="1762">
        <v>0</v>
      </c>
      <c r="X130" s="1606"/>
      <c r="Y130" s="1617"/>
      <c r="Z130" s="2307"/>
      <c r="AA130" s="2307"/>
      <c r="AB130" s="2307"/>
      <c r="AC130" s="2307"/>
      <c r="AD130" s="2307"/>
      <c r="AE130" s="2307"/>
      <c r="AF130" s="2307"/>
      <c r="AG130" s="2307"/>
      <c r="AH130" s="2307"/>
      <c r="AI130" s="2307"/>
      <c r="AJ130" s="2307"/>
      <c r="AK130" s="2307"/>
      <c r="AL130" s="2307"/>
      <c r="AM130" s="2307"/>
      <c r="AN130" s="2307"/>
      <c r="AO130" s="2307"/>
      <c r="AP130" s="2307"/>
      <c r="AQ130" s="2307"/>
      <c r="AR130" s="2307"/>
      <c r="AS130" s="2307"/>
      <c r="AT130" s="2307"/>
      <c r="AU130" s="2307"/>
      <c r="AV130" s="2307"/>
      <c r="AW130" s="2307"/>
      <c r="AX130" s="2307"/>
      <c r="AY130" s="2307"/>
      <c r="AZ130" s="2307"/>
      <c r="BA130" s="2307"/>
      <c r="BB130" s="2307"/>
      <c r="BC130" s="2307"/>
      <c r="BD130" s="2307"/>
      <c r="BE130" s="2307"/>
      <c r="BF130" s="2307"/>
      <c r="BG130" s="3714"/>
      <c r="BH130" s="3714"/>
      <c r="BI130" s="3032"/>
      <c r="BJ130" s="2307"/>
      <c r="BK130" s="2307"/>
      <c r="BL130" s="3736"/>
      <c r="BM130" s="3736"/>
      <c r="BN130" s="3736"/>
      <c r="BO130" s="3736"/>
      <c r="BP130" s="2307"/>
    </row>
    <row r="131" spans="1:68" ht="75" customHeight="1" x14ac:dyDescent="0.25">
      <c r="A131" s="141"/>
      <c r="B131" s="1"/>
      <c r="C131" s="1"/>
      <c r="D131" s="212"/>
      <c r="E131" s="1"/>
      <c r="F131" s="3"/>
      <c r="G131" s="3946"/>
      <c r="H131" s="3947"/>
      <c r="I131" s="2309"/>
      <c r="J131" s="2440"/>
      <c r="K131" s="2319"/>
      <c r="L131" s="3834"/>
      <c r="M131" s="2440"/>
      <c r="N131" s="2307"/>
      <c r="O131" s="2423"/>
      <c r="P131" s="3032"/>
      <c r="Q131" s="3804"/>
      <c r="R131" s="3712"/>
      <c r="S131" s="3712"/>
      <c r="T131" s="1680" t="s">
        <v>1628</v>
      </c>
      <c r="U131" s="1660">
        <v>7525000</v>
      </c>
      <c r="V131" s="1660">
        <f>+U131</f>
        <v>7525000</v>
      </c>
      <c r="W131" s="1762">
        <f>+V131</f>
        <v>7525000</v>
      </c>
      <c r="X131" s="1646">
        <v>20</v>
      </c>
      <c r="Y131" s="1600" t="s">
        <v>7</v>
      </c>
      <c r="Z131" s="2467"/>
      <c r="AA131" s="2467"/>
      <c r="AB131" s="2467"/>
      <c r="AC131" s="2467"/>
      <c r="AD131" s="2467"/>
      <c r="AE131" s="2467"/>
      <c r="AF131" s="2467"/>
      <c r="AG131" s="2467"/>
      <c r="AH131" s="2467"/>
      <c r="AI131" s="2467"/>
      <c r="AJ131" s="2467"/>
      <c r="AK131" s="2467"/>
      <c r="AL131" s="2467"/>
      <c r="AM131" s="2467"/>
      <c r="AN131" s="2467"/>
      <c r="AO131" s="2467"/>
      <c r="AP131" s="2467"/>
      <c r="AQ131" s="2467"/>
      <c r="AR131" s="2467"/>
      <c r="AS131" s="2467"/>
      <c r="AT131" s="2467"/>
      <c r="AU131" s="2467"/>
      <c r="AV131" s="2467"/>
      <c r="AW131" s="2467"/>
      <c r="AX131" s="2467"/>
      <c r="AY131" s="2467"/>
      <c r="AZ131" s="2467"/>
      <c r="BA131" s="2467"/>
      <c r="BB131" s="2467"/>
      <c r="BC131" s="2467"/>
      <c r="BD131" s="2467"/>
      <c r="BE131" s="2467"/>
      <c r="BF131" s="2467"/>
      <c r="BG131" s="3715"/>
      <c r="BH131" s="3715"/>
      <c r="BI131" s="3033"/>
      <c r="BJ131" s="2467"/>
      <c r="BK131" s="2467"/>
      <c r="BL131" s="3949"/>
      <c r="BM131" s="3949"/>
      <c r="BN131" s="3949"/>
      <c r="BO131" s="3949"/>
      <c r="BP131" s="2467"/>
    </row>
    <row r="132" spans="1:68" s="1601" customFormat="1" ht="51" customHeight="1" x14ac:dyDescent="0.25">
      <c r="A132" s="616"/>
      <c r="B132" s="1471"/>
      <c r="C132" s="1471"/>
      <c r="D132" s="1522"/>
      <c r="E132" s="1471"/>
      <c r="F132" s="1523"/>
      <c r="G132" s="3952" t="s">
        <v>1140</v>
      </c>
      <c r="H132" s="3953">
        <v>38.9</v>
      </c>
      <c r="I132" s="3954" t="s">
        <v>1629</v>
      </c>
      <c r="J132" s="3144" t="s">
        <v>1630</v>
      </c>
      <c r="K132" s="3665">
        <v>1</v>
      </c>
      <c r="L132" s="3716">
        <v>0.7</v>
      </c>
      <c r="M132" s="2416" t="s">
        <v>1631</v>
      </c>
      <c r="N132" s="2343" t="s">
        <v>1632</v>
      </c>
      <c r="O132" s="2413" t="s">
        <v>1633</v>
      </c>
      <c r="P132" s="3859">
        <v>2.167599924733745E-2</v>
      </c>
      <c r="Q132" s="3818">
        <v>4382727592.3900003</v>
      </c>
      <c r="R132" s="3728" t="s">
        <v>1634</v>
      </c>
      <c r="S132" s="3728" t="s">
        <v>1635</v>
      </c>
      <c r="T132" s="1765" t="s">
        <v>1636</v>
      </c>
      <c r="U132" s="1766"/>
      <c r="V132" s="1767"/>
      <c r="W132" s="1762">
        <v>0</v>
      </c>
      <c r="X132" s="1768"/>
      <c r="Y132" s="1769"/>
      <c r="Z132" s="2495">
        <v>3500</v>
      </c>
      <c r="AA132" s="2566">
        <v>312</v>
      </c>
      <c r="AB132" s="2306">
        <v>4000</v>
      </c>
      <c r="AC132" s="2566">
        <v>434</v>
      </c>
      <c r="AD132" s="2306">
        <v>0</v>
      </c>
      <c r="AE132" s="2306">
        <v>0</v>
      </c>
      <c r="AF132" s="2306">
        <v>0</v>
      </c>
      <c r="AG132" s="2306">
        <v>0</v>
      </c>
      <c r="AH132" s="2306">
        <v>0</v>
      </c>
      <c r="AI132" s="2306">
        <v>11</v>
      </c>
      <c r="AJ132" s="2306">
        <v>7500</v>
      </c>
      <c r="AK132" s="2306">
        <v>293</v>
      </c>
      <c r="AL132" s="2306">
        <v>0</v>
      </c>
      <c r="AM132" s="2306">
        <v>0</v>
      </c>
      <c r="AN132" s="2306">
        <v>0</v>
      </c>
      <c r="AO132" s="2306">
        <v>1</v>
      </c>
      <c r="AP132" s="2306">
        <v>0</v>
      </c>
      <c r="AQ132" s="2306">
        <v>0</v>
      </c>
      <c r="AR132" s="2306">
        <v>0</v>
      </c>
      <c r="AS132" s="2306">
        <v>0</v>
      </c>
      <c r="AT132" s="2306">
        <v>0</v>
      </c>
      <c r="AU132" s="2306">
        <v>15</v>
      </c>
      <c r="AV132" s="2306">
        <v>0</v>
      </c>
      <c r="AW132" s="2306">
        <v>0</v>
      </c>
      <c r="AX132" s="2306">
        <v>0</v>
      </c>
      <c r="AY132" s="2306">
        <v>0</v>
      </c>
      <c r="AZ132" s="2306">
        <v>0</v>
      </c>
      <c r="BA132" s="2306">
        <v>373</v>
      </c>
      <c r="BB132" s="2306">
        <v>0</v>
      </c>
      <c r="BC132" s="2306">
        <v>2</v>
      </c>
      <c r="BD132" s="2306">
        <v>7500</v>
      </c>
      <c r="BE132" s="2306">
        <f>2+18+693+33</f>
        <v>746</v>
      </c>
      <c r="BF132" s="2840">
        <v>5</v>
      </c>
      <c r="BG132" s="3969">
        <f>SUM(V132:V152)</f>
        <v>1167308906</v>
      </c>
      <c r="BH132" s="3969">
        <f>SUM(W132:W152)</f>
        <v>1125775573</v>
      </c>
      <c r="BI132" s="2846">
        <f>BG132/Q132</f>
        <v>0.26634302073139804</v>
      </c>
      <c r="BJ132" s="3964" t="s">
        <v>1637</v>
      </c>
      <c r="BK132" s="3966" t="s">
        <v>1557</v>
      </c>
      <c r="BL132" s="3719">
        <v>43832</v>
      </c>
      <c r="BM132" s="3719">
        <v>43832</v>
      </c>
      <c r="BN132" s="3719">
        <v>44195</v>
      </c>
      <c r="BO132" s="3719">
        <v>44195</v>
      </c>
      <c r="BP132" s="2315" t="s">
        <v>1409</v>
      </c>
    </row>
    <row r="133" spans="1:68" s="1601" customFormat="1" ht="60" customHeight="1" x14ac:dyDescent="0.25">
      <c r="A133" s="616"/>
      <c r="B133" s="1471"/>
      <c r="C133" s="1471"/>
      <c r="D133" s="1522"/>
      <c r="E133" s="1471"/>
      <c r="F133" s="1523"/>
      <c r="G133" s="3952"/>
      <c r="H133" s="3953"/>
      <c r="I133" s="3954"/>
      <c r="J133" s="3144"/>
      <c r="K133" s="3665"/>
      <c r="L133" s="3717"/>
      <c r="M133" s="2416"/>
      <c r="N133" s="2343"/>
      <c r="O133" s="2413"/>
      <c r="P133" s="3859"/>
      <c r="Q133" s="3818"/>
      <c r="R133" s="3728"/>
      <c r="S133" s="3955"/>
      <c r="T133" s="3840" t="s">
        <v>1638</v>
      </c>
      <c r="U133" s="1770">
        <v>2000000</v>
      </c>
      <c r="V133" s="1771">
        <v>2000000</v>
      </c>
      <c r="W133" s="1762">
        <v>0</v>
      </c>
      <c r="X133" s="1768">
        <v>88</v>
      </c>
      <c r="Y133" s="1769" t="s">
        <v>4</v>
      </c>
      <c r="Z133" s="2496"/>
      <c r="AA133" s="2567"/>
      <c r="AB133" s="2307"/>
      <c r="AC133" s="2567"/>
      <c r="AD133" s="2307"/>
      <c r="AE133" s="2307"/>
      <c r="AF133" s="2307"/>
      <c r="AG133" s="2307"/>
      <c r="AH133" s="2307"/>
      <c r="AI133" s="2307"/>
      <c r="AJ133" s="2307"/>
      <c r="AK133" s="2307"/>
      <c r="AL133" s="2307"/>
      <c r="AM133" s="2307"/>
      <c r="AN133" s="2307"/>
      <c r="AO133" s="2307"/>
      <c r="AP133" s="2307"/>
      <c r="AQ133" s="2307"/>
      <c r="AR133" s="2307"/>
      <c r="AS133" s="2307"/>
      <c r="AT133" s="2307"/>
      <c r="AU133" s="2307"/>
      <c r="AV133" s="2307"/>
      <c r="AW133" s="2307"/>
      <c r="AX133" s="2307"/>
      <c r="AY133" s="2307"/>
      <c r="AZ133" s="2307"/>
      <c r="BA133" s="2307"/>
      <c r="BB133" s="2307"/>
      <c r="BC133" s="2307"/>
      <c r="BD133" s="2307"/>
      <c r="BE133" s="2307"/>
      <c r="BF133" s="2841"/>
      <c r="BG133" s="3970"/>
      <c r="BH133" s="3970"/>
      <c r="BI133" s="2847"/>
      <c r="BJ133" s="3965"/>
      <c r="BK133" s="3967"/>
      <c r="BL133" s="3736"/>
      <c r="BM133" s="3736"/>
      <c r="BN133" s="3736"/>
      <c r="BO133" s="3736"/>
      <c r="BP133" s="2315"/>
    </row>
    <row r="134" spans="1:68" s="1601" customFormat="1" ht="42.75" customHeight="1" x14ac:dyDescent="0.25">
      <c r="A134" s="616"/>
      <c r="B134" s="1471"/>
      <c r="C134" s="1471"/>
      <c r="D134" s="1522"/>
      <c r="E134" s="1471"/>
      <c r="F134" s="1523"/>
      <c r="G134" s="3952"/>
      <c r="H134" s="3953"/>
      <c r="I134" s="3954"/>
      <c r="J134" s="3144"/>
      <c r="K134" s="3665"/>
      <c r="L134" s="3717"/>
      <c r="M134" s="2416"/>
      <c r="N134" s="2343"/>
      <c r="O134" s="2413"/>
      <c r="P134" s="3859"/>
      <c r="Q134" s="3818"/>
      <c r="R134" s="3728"/>
      <c r="S134" s="3955"/>
      <c r="T134" s="3840"/>
      <c r="U134" s="1728">
        <v>9686666</v>
      </c>
      <c r="V134" s="1660">
        <f t="shared" ref="V134:W137" si="1">+U134</f>
        <v>9686666</v>
      </c>
      <c r="W134" s="1718">
        <f t="shared" si="1"/>
        <v>9686666</v>
      </c>
      <c r="X134" s="1772">
        <v>20</v>
      </c>
      <c r="Y134" s="1769" t="s">
        <v>7</v>
      </c>
      <c r="Z134" s="2496"/>
      <c r="AA134" s="2567"/>
      <c r="AB134" s="2307"/>
      <c r="AC134" s="2567"/>
      <c r="AD134" s="2307"/>
      <c r="AE134" s="2307"/>
      <c r="AF134" s="2307"/>
      <c r="AG134" s="2307"/>
      <c r="AH134" s="2307"/>
      <c r="AI134" s="2307"/>
      <c r="AJ134" s="2307"/>
      <c r="AK134" s="2307"/>
      <c r="AL134" s="2307"/>
      <c r="AM134" s="2307"/>
      <c r="AN134" s="2307"/>
      <c r="AO134" s="2307"/>
      <c r="AP134" s="2307"/>
      <c r="AQ134" s="2307"/>
      <c r="AR134" s="2307"/>
      <c r="AS134" s="2307"/>
      <c r="AT134" s="2307"/>
      <c r="AU134" s="2307"/>
      <c r="AV134" s="2307"/>
      <c r="AW134" s="2307"/>
      <c r="AX134" s="2307"/>
      <c r="AY134" s="2307"/>
      <c r="AZ134" s="2307"/>
      <c r="BA134" s="2307"/>
      <c r="BB134" s="2307"/>
      <c r="BC134" s="2307"/>
      <c r="BD134" s="2307"/>
      <c r="BE134" s="2307"/>
      <c r="BF134" s="2841"/>
      <c r="BG134" s="3970"/>
      <c r="BH134" s="3970"/>
      <c r="BI134" s="2847"/>
      <c r="BJ134" s="3965"/>
      <c r="BK134" s="3967"/>
      <c r="BL134" s="3736"/>
      <c r="BM134" s="3736"/>
      <c r="BN134" s="3736"/>
      <c r="BO134" s="3736"/>
      <c r="BP134" s="2315"/>
    </row>
    <row r="135" spans="1:68" s="1601" customFormat="1" ht="69" customHeight="1" x14ac:dyDescent="0.25">
      <c r="A135" s="616"/>
      <c r="B135" s="1471"/>
      <c r="C135" s="1471"/>
      <c r="D135" s="1522"/>
      <c r="E135" s="1471"/>
      <c r="F135" s="1523"/>
      <c r="G135" s="3952"/>
      <c r="H135" s="3953"/>
      <c r="I135" s="3954"/>
      <c r="J135" s="3144"/>
      <c r="K135" s="3665"/>
      <c r="L135" s="3717"/>
      <c r="M135" s="2416"/>
      <c r="N135" s="2343"/>
      <c r="O135" s="2413"/>
      <c r="P135" s="3859"/>
      <c r="Q135" s="3818"/>
      <c r="R135" s="3728"/>
      <c r="S135" s="3728"/>
      <c r="T135" s="1773" t="s">
        <v>1639</v>
      </c>
      <c r="U135" s="1774">
        <v>2800000</v>
      </c>
      <c r="V135" s="1685">
        <f t="shared" si="1"/>
        <v>2800000</v>
      </c>
      <c r="W135" s="1685">
        <f t="shared" si="1"/>
        <v>2800000</v>
      </c>
      <c r="X135" s="1772">
        <v>20</v>
      </c>
      <c r="Y135" s="1769" t="s">
        <v>7</v>
      </c>
      <c r="Z135" s="2496"/>
      <c r="AA135" s="2567"/>
      <c r="AB135" s="2307"/>
      <c r="AC135" s="2567"/>
      <c r="AD135" s="2307"/>
      <c r="AE135" s="2307"/>
      <c r="AF135" s="2307"/>
      <c r="AG135" s="2307"/>
      <c r="AH135" s="2307"/>
      <c r="AI135" s="2307"/>
      <c r="AJ135" s="2307"/>
      <c r="AK135" s="2307"/>
      <c r="AL135" s="2307"/>
      <c r="AM135" s="2307"/>
      <c r="AN135" s="2307"/>
      <c r="AO135" s="2307"/>
      <c r="AP135" s="2307"/>
      <c r="AQ135" s="2307"/>
      <c r="AR135" s="2307"/>
      <c r="AS135" s="2307"/>
      <c r="AT135" s="2307"/>
      <c r="AU135" s="2307"/>
      <c r="AV135" s="2307"/>
      <c r="AW135" s="2307"/>
      <c r="AX135" s="2307"/>
      <c r="AY135" s="2307"/>
      <c r="AZ135" s="2307"/>
      <c r="BA135" s="2307"/>
      <c r="BB135" s="2307"/>
      <c r="BC135" s="2307"/>
      <c r="BD135" s="2307"/>
      <c r="BE135" s="2307"/>
      <c r="BF135" s="2841"/>
      <c r="BG135" s="3970"/>
      <c r="BH135" s="3970"/>
      <c r="BI135" s="2847"/>
      <c r="BJ135" s="3965"/>
      <c r="BK135" s="3967"/>
      <c r="BL135" s="3736"/>
      <c r="BM135" s="3736"/>
      <c r="BN135" s="3736"/>
      <c r="BO135" s="3736"/>
      <c r="BP135" s="2315"/>
    </row>
    <row r="136" spans="1:68" s="1601" customFormat="1" ht="75.75" customHeight="1" x14ac:dyDescent="0.25">
      <c r="A136" s="616"/>
      <c r="B136" s="1471"/>
      <c r="C136" s="1471"/>
      <c r="D136" s="1522"/>
      <c r="E136" s="1471"/>
      <c r="F136" s="1523"/>
      <c r="G136" s="3952"/>
      <c r="H136" s="3953"/>
      <c r="I136" s="3954"/>
      <c r="J136" s="3144"/>
      <c r="K136" s="3665"/>
      <c r="L136" s="3717"/>
      <c r="M136" s="2416"/>
      <c r="N136" s="2343"/>
      <c r="O136" s="2413"/>
      <c r="P136" s="3859"/>
      <c r="Q136" s="3818"/>
      <c r="R136" s="3728"/>
      <c r="S136" s="3728"/>
      <c r="T136" s="1717" t="s">
        <v>1640</v>
      </c>
      <c r="U136" s="1728">
        <v>8726667</v>
      </c>
      <c r="V136" s="1660">
        <f t="shared" si="1"/>
        <v>8726667</v>
      </c>
      <c r="W136" s="1762">
        <f t="shared" si="1"/>
        <v>8726667</v>
      </c>
      <c r="X136" s="1768">
        <v>20</v>
      </c>
      <c r="Y136" s="1769" t="s">
        <v>7</v>
      </c>
      <c r="Z136" s="2496"/>
      <c r="AA136" s="2567"/>
      <c r="AB136" s="2307"/>
      <c r="AC136" s="2567"/>
      <c r="AD136" s="2307"/>
      <c r="AE136" s="2307"/>
      <c r="AF136" s="2307"/>
      <c r="AG136" s="2307"/>
      <c r="AH136" s="2307"/>
      <c r="AI136" s="2307"/>
      <c r="AJ136" s="2307"/>
      <c r="AK136" s="2307"/>
      <c r="AL136" s="2307"/>
      <c r="AM136" s="2307"/>
      <c r="AN136" s="2307"/>
      <c r="AO136" s="2307"/>
      <c r="AP136" s="2307"/>
      <c r="AQ136" s="2307"/>
      <c r="AR136" s="2307"/>
      <c r="AS136" s="2307"/>
      <c r="AT136" s="2307"/>
      <c r="AU136" s="2307"/>
      <c r="AV136" s="2307"/>
      <c r="AW136" s="2307"/>
      <c r="AX136" s="2307"/>
      <c r="AY136" s="2307"/>
      <c r="AZ136" s="2307"/>
      <c r="BA136" s="2307"/>
      <c r="BB136" s="2307"/>
      <c r="BC136" s="2307"/>
      <c r="BD136" s="2307"/>
      <c r="BE136" s="2307"/>
      <c r="BF136" s="2841"/>
      <c r="BG136" s="3970"/>
      <c r="BH136" s="3970"/>
      <c r="BI136" s="2847"/>
      <c r="BJ136" s="3965"/>
      <c r="BK136" s="3967"/>
      <c r="BL136" s="3736"/>
      <c r="BM136" s="3736"/>
      <c r="BN136" s="3736"/>
      <c r="BO136" s="3736"/>
      <c r="BP136" s="2315"/>
    </row>
    <row r="137" spans="1:68" s="1601" customFormat="1" ht="78" customHeight="1" x14ac:dyDescent="0.25">
      <c r="A137" s="616"/>
      <c r="B137" s="1471"/>
      <c r="C137" s="1471"/>
      <c r="D137" s="1522"/>
      <c r="E137" s="1471"/>
      <c r="F137" s="1523"/>
      <c r="G137" s="3952"/>
      <c r="H137" s="3953"/>
      <c r="I137" s="3954"/>
      <c r="J137" s="3144"/>
      <c r="K137" s="3665"/>
      <c r="L137" s="3717"/>
      <c r="M137" s="2416"/>
      <c r="N137" s="2343"/>
      <c r="O137" s="2413"/>
      <c r="P137" s="3859"/>
      <c r="Q137" s="3818"/>
      <c r="R137" s="3728"/>
      <c r="S137" s="3728"/>
      <c r="T137" s="1717" t="s">
        <v>1641</v>
      </c>
      <c r="U137" s="1774">
        <v>7840000</v>
      </c>
      <c r="V137" s="1660">
        <f t="shared" si="1"/>
        <v>7840000</v>
      </c>
      <c r="W137" s="1762">
        <f t="shared" si="1"/>
        <v>7840000</v>
      </c>
      <c r="X137" s="1768">
        <v>20</v>
      </c>
      <c r="Y137" s="1769" t="s">
        <v>7</v>
      </c>
      <c r="Z137" s="2496"/>
      <c r="AA137" s="2567"/>
      <c r="AB137" s="2307"/>
      <c r="AC137" s="2567"/>
      <c r="AD137" s="2307"/>
      <c r="AE137" s="2307"/>
      <c r="AF137" s="2307"/>
      <c r="AG137" s="2307"/>
      <c r="AH137" s="2307"/>
      <c r="AI137" s="2307"/>
      <c r="AJ137" s="2307"/>
      <c r="AK137" s="2307"/>
      <c r="AL137" s="2307"/>
      <c r="AM137" s="2307"/>
      <c r="AN137" s="2307"/>
      <c r="AO137" s="2307"/>
      <c r="AP137" s="2307"/>
      <c r="AQ137" s="2307"/>
      <c r="AR137" s="2307"/>
      <c r="AS137" s="2307"/>
      <c r="AT137" s="2307"/>
      <c r="AU137" s="2307"/>
      <c r="AV137" s="2307"/>
      <c r="AW137" s="2307"/>
      <c r="AX137" s="2307"/>
      <c r="AY137" s="2307"/>
      <c r="AZ137" s="2307"/>
      <c r="BA137" s="2307"/>
      <c r="BB137" s="2307"/>
      <c r="BC137" s="2307"/>
      <c r="BD137" s="2307"/>
      <c r="BE137" s="2307"/>
      <c r="BF137" s="2841"/>
      <c r="BG137" s="3970"/>
      <c r="BH137" s="3970"/>
      <c r="BI137" s="2847"/>
      <c r="BJ137" s="3965"/>
      <c r="BK137" s="3967"/>
      <c r="BL137" s="3736"/>
      <c r="BM137" s="3736"/>
      <c r="BN137" s="3736"/>
      <c r="BO137" s="3736"/>
      <c r="BP137" s="2315"/>
    </row>
    <row r="138" spans="1:68" s="1601" customFormat="1" ht="75" x14ac:dyDescent="0.25">
      <c r="A138" s="616"/>
      <c r="B138" s="1471"/>
      <c r="C138" s="1471"/>
      <c r="D138" s="1522"/>
      <c r="E138" s="1471"/>
      <c r="F138" s="1523"/>
      <c r="G138" s="3952"/>
      <c r="H138" s="3953"/>
      <c r="I138" s="3954"/>
      <c r="J138" s="3144"/>
      <c r="K138" s="3665"/>
      <c r="L138" s="3717"/>
      <c r="M138" s="2416"/>
      <c r="N138" s="2343"/>
      <c r="O138" s="2413"/>
      <c r="P138" s="3859"/>
      <c r="Q138" s="3818"/>
      <c r="R138" s="3728"/>
      <c r="S138" s="3728"/>
      <c r="T138" s="1775" t="s">
        <v>1642</v>
      </c>
      <c r="U138" s="1766">
        <v>2000000</v>
      </c>
      <c r="V138" s="1767">
        <v>2000000</v>
      </c>
      <c r="W138" s="1762">
        <v>0</v>
      </c>
      <c r="X138" s="1768">
        <v>88</v>
      </c>
      <c r="Y138" s="1769" t="s">
        <v>4</v>
      </c>
      <c r="Z138" s="2496"/>
      <c r="AA138" s="2567"/>
      <c r="AB138" s="2307"/>
      <c r="AC138" s="2567"/>
      <c r="AD138" s="2307"/>
      <c r="AE138" s="2307"/>
      <c r="AF138" s="2307"/>
      <c r="AG138" s="2307"/>
      <c r="AH138" s="2307"/>
      <c r="AI138" s="2307"/>
      <c r="AJ138" s="2307"/>
      <c r="AK138" s="2307"/>
      <c r="AL138" s="2307"/>
      <c r="AM138" s="2307"/>
      <c r="AN138" s="2307"/>
      <c r="AO138" s="2307"/>
      <c r="AP138" s="2307"/>
      <c r="AQ138" s="2307"/>
      <c r="AR138" s="2307"/>
      <c r="AS138" s="2307"/>
      <c r="AT138" s="2307"/>
      <c r="AU138" s="2307"/>
      <c r="AV138" s="2307"/>
      <c r="AW138" s="2307"/>
      <c r="AX138" s="2307"/>
      <c r="AY138" s="2307"/>
      <c r="AZ138" s="2307"/>
      <c r="BA138" s="2307"/>
      <c r="BB138" s="2307"/>
      <c r="BC138" s="2307"/>
      <c r="BD138" s="2307"/>
      <c r="BE138" s="2307"/>
      <c r="BF138" s="2841"/>
      <c r="BG138" s="3970"/>
      <c r="BH138" s="3970"/>
      <c r="BI138" s="2847"/>
      <c r="BJ138" s="3965"/>
      <c r="BK138" s="3967"/>
      <c r="BL138" s="3736"/>
      <c r="BM138" s="3736"/>
      <c r="BN138" s="3736"/>
      <c r="BO138" s="3736"/>
      <c r="BP138" s="2315"/>
    </row>
    <row r="139" spans="1:68" s="1601" customFormat="1" ht="62.25" customHeight="1" x14ac:dyDescent="0.25">
      <c r="A139" s="616"/>
      <c r="B139" s="1471"/>
      <c r="C139" s="1471"/>
      <c r="D139" s="1522"/>
      <c r="E139" s="1471"/>
      <c r="F139" s="1523"/>
      <c r="G139" s="3952"/>
      <c r="H139" s="3953"/>
      <c r="I139" s="3954"/>
      <c r="J139" s="3144"/>
      <c r="K139" s="3665"/>
      <c r="L139" s="3717"/>
      <c r="M139" s="2416"/>
      <c r="N139" s="2343"/>
      <c r="O139" s="2413"/>
      <c r="P139" s="3859"/>
      <c r="Q139" s="3818"/>
      <c r="R139" s="3728"/>
      <c r="S139" s="3728"/>
      <c r="T139" s="1775" t="s">
        <v>1643</v>
      </c>
      <c r="U139" s="1776">
        <v>20272000</v>
      </c>
      <c r="V139" s="1664">
        <f>+U139</f>
        <v>20272000</v>
      </c>
      <c r="W139" s="1762">
        <f>+V139</f>
        <v>20272000</v>
      </c>
      <c r="X139" s="1768">
        <v>20</v>
      </c>
      <c r="Y139" s="1769" t="s">
        <v>7</v>
      </c>
      <c r="Z139" s="2496"/>
      <c r="AA139" s="2567"/>
      <c r="AB139" s="2307"/>
      <c r="AC139" s="2567"/>
      <c r="AD139" s="2307"/>
      <c r="AE139" s="2307"/>
      <c r="AF139" s="2307"/>
      <c r="AG139" s="2307"/>
      <c r="AH139" s="2307"/>
      <c r="AI139" s="2307"/>
      <c r="AJ139" s="2307"/>
      <c r="AK139" s="2307"/>
      <c r="AL139" s="2307"/>
      <c r="AM139" s="2307"/>
      <c r="AN139" s="2307"/>
      <c r="AO139" s="2307"/>
      <c r="AP139" s="2307"/>
      <c r="AQ139" s="2307"/>
      <c r="AR139" s="2307"/>
      <c r="AS139" s="2307"/>
      <c r="AT139" s="2307"/>
      <c r="AU139" s="2307"/>
      <c r="AV139" s="2307"/>
      <c r="AW139" s="2307"/>
      <c r="AX139" s="2307"/>
      <c r="AY139" s="2307"/>
      <c r="AZ139" s="2307"/>
      <c r="BA139" s="2307"/>
      <c r="BB139" s="2307"/>
      <c r="BC139" s="2307"/>
      <c r="BD139" s="2307"/>
      <c r="BE139" s="2307"/>
      <c r="BF139" s="2841"/>
      <c r="BG139" s="3970"/>
      <c r="BH139" s="3970"/>
      <c r="BI139" s="2847"/>
      <c r="BJ139" s="3965"/>
      <c r="BK139" s="3967"/>
      <c r="BL139" s="3736"/>
      <c r="BM139" s="3736"/>
      <c r="BN139" s="3736"/>
      <c r="BO139" s="3736"/>
      <c r="BP139" s="2315"/>
    </row>
    <row r="140" spans="1:68" s="1601" customFormat="1" ht="78.75" customHeight="1" x14ac:dyDescent="0.25">
      <c r="A140" s="616"/>
      <c r="B140" s="1471"/>
      <c r="C140" s="1471"/>
      <c r="D140" s="1522"/>
      <c r="E140" s="1471"/>
      <c r="F140" s="1523"/>
      <c r="G140" s="3952"/>
      <c r="H140" s="3953"/>
      <c r="I140" s="3954"/>
      <c r="J140" s="3144"/>
      <c r="K140" s="3665"/>
      <c r="L140" s="3718"/>
      <c r="M140" s="2416"/>
      <c r="N140" s="2343"/>
      <c r="O140" s="2413"/>
      <c r="P140" s="3859"/>
      <c r="Q140" s="3818"/>
      <c r="R140" s="3728"/>
      <c r="S140" s="3728"/>
      <c r="T140" s="1777" t="s">
        <v>1639</v>
      </c>
      <c r="U140" s="1778">
        <v>41674667</v>
      </c>
      <c r="V140" s="1660">
        <v>23581334</v>
      </c>
      <c r="W140" s="1718"/>
      <c r="X140" s="1772">
        <v>20</v>
      </c>
      <c r="Y140" s="1769" t="s">
        <v>7</v>
      </c>
      <c r="Z140" s="2496"/>
      <c r="AA140" s="2567"/>
      <c r="AB140" s="2307"/>
      <c r="AC140" s="2567"/>
      <c r="AD140" s="2307"/>
      <c r="AE140" s="2307"/>
      <c r="AF140" s="2307"/>
      <c r="AG140" s="2307"/>
      <c r="AH140" s="2307"/>
      <c r="AI140" s="2307"/>
      <c r="AJ140" s="2307"/>
      <c r="AK140" s="2307"/>
      <c r="AL140" s="2307"/>
      <c r="AM140" s="2307"/>
      <c r="AN140" s="2307"/>
      <c r="AO140" s="2307"/>
      <c r="AP140" s="2307"/>
      <c r="AQ140" s="2307"/>
      <c r="AR140" s="2307"/>
      <c r="AS140" s="2307"/>
      <c r="AT140" s="2307"/>
      <c r="AU140" s="2307"/>
      <c r="AV140" s="2307"/>
      <c r="AW140" s="2307"/>
      <c r="AX140" s="2307"/>
      <c r="AY140" s="2307"/>
      <c r="AZ140" s="2307"/>
      <c r="BA140" s="2307"/>
      <c r="BB140" s="2307"/>
      <c r="BC140" s="2307"/>
      <c r="BD140" s="2307"/>
      <c r="BE140" s="2307"/>
      <c r="BF140" s="2841"/>
      <c r="BG140" s="3970"/>
      <c r="BH140" s="3970"/>
      <c r="BI140" s="2847"/>
      <c r="BJ140" s="3965"/>
      <c r="BK140" s="3967"/>
      <c r="BL140" s="3736"/>
      <c r="BM140" s="3736"/>
      <c r="BN140" s="3736"/>
      <c r="BO140" s="3736"/>
      <c r="BP140" s="2315"/>
    </row>
    <row r="141" spans="1:68" s="1601" customFormat="1" ht="54" customHeight="1" x14ac:dyDescent="0.25">
      <c r="A141" s="616"/>
      <c r="B141" s="1471"/>
      <c r="C141" s="1471"/>
      <c r="D141" s="1522"/>
      <c r="E141" s="1471"/>
      <c r="F141" s="1523"/>
      <c r="G141" s="2771">
        <v>4104015</v>
      </c>
      <c r="H141" s="3225">
        <v>38.1</v>
      </c>
      <c r="I141" s="3957" t="s">
        <v>1644</v>
      </c>
      <c r="J141" s="3641" t="s">
        <v>1645</v>
      </c>
      <c r="K141" s="3845">
        <v>7500</v>
      </c>
      <c r="L141" s="3666">
        <v>3511</v>
      </c>
      <c r="M141" s="2416"/>
      <c r="N141" s="2343"/>
      <c r="O141" s="2413"/>
      <c r="P141" s="3962">
        <v>4.8712436601595355E-3</v>
      </c>
      <c r="Q141" s="3818"/>
      <c r="R141" s="3728"/>
      <c r="S141" s="3728"/>
      <c r="T141" s="1775" t="s">
        <v>1646</v>
      </c>
      <c r="U141" s="1779">
        <v>650668</v>
      </c>
      <c r="V141" s="1780">
        <v>650668</v>
      </c>
      <c r="W141" s="1719">
        <v>0</v>
      </c>
      <c r="X141" s="1768">
        <v>20</v>
      </c>
      <c r="Y141" s="1769" t="s">
        <v>7</v>
      </c>
      <c r="Z141" s="2496"/>
      <c r="AA141" s="2567"/>
      <c r="AB141" s="2307"/>
      <c r="AC141" s="2567"/>
      <c r="AD141" s="2307"/>
      <c r="AE141" s="2307"/>
      <c r="AF141" s="2307"/>
      <c r="AG141" s="2307"/>
      <c r="AH141" s="2307"/>
      <c r="AI141" s="2307"/>
      <c r="AJ141" s="2307"/>
      <c r="AK141" s="2307"/>
      <c r="AL141" s="2307"/>
      <c r="AM141" s="2307"/>
      <c r="AN141" s="2307"/>
      <c r="AO141" s="2307"/>
      <c r="AP141" s="2307"/>
      <c r="AQ141" s="2307"/>
      <c r="AR141" s="2307"/>
      <c r="AS141" s="2307"/>
      <c r="AT141" s="2307"/>
      <c r="AU141" s="2307"/>
      <c r="AV141" s="2307"/>
      <c r="AW141" s="2307"/>
      <c r="AX141" s="2307"/>
      <c r="AY141" s="2307"/>
      <c r="AZ141" s="2307"/>
      <c r="BA141" s="2307"/>
      <c r="BB141" s="2307"/>
      <c r="BC141" s="2307"/>
      <c r="BD141" s="2307"/>
      <c r="BE141" s="2307"/>
      <c r="BF141" s="2841"/>
      <c r="BG141" s="3970"/>
      <c r="BH141" s="3970"/>
      <c r="BI141" s="2847"/>
      <c r="BJ141" s="2567"/>
      <c r="BK141" s="3967"/>
      <c r="BL141" s="2307"/>
      <c r="BM141" s="2307"/>
      <c r="BN141" s="2307"/>
      <c r="BO141" s="2307"/>
      <c r="BP141" s="2315"/>
    </row>
    <row r="142" spans="1:68" s="1601" customFormat="1" ht="67.5" customHeight="1" x14ac:dyDescent="0.25">
      <c r="A142" s="616"/>
      <c r="B142" s="1471"/>
      <c r="C142" s="1471"/>
      <c r="D142" s="1522"/>
      <c r="E142" s="1471"/>
      <c r="F142" s="1523"/>
      <c r="G142" s="2772"/>
      <c r="H142" s="3213"/>
      <c r="I142" s="3958"/>
      <c r="J142" s="3642"/>
      <c r="K142" s="3960"/>
      <c r="L142" s="3667"/>
      <c r="M142" s="2416"/>
      <c r="N142" s="2343"/>
      <c r="O142" s="2413"/>
      <c r="P142" s="3963"/>
      <c r="Q142" s="3818"/>
      <c r="R142" s="3728"/>
      <c r="S142" s="3728"/>
      <c r="T142" s="1775" t="s">
        <v>1647</v>
      </c>
      <c r="U142" s="1766">
        <v>6048000</v>
      </c>
      <c r="V142" s="1660">
        <f>+U142</f>
        <v>6048000</v>
      </c>
      <c r="W142" s="1762">
        <f>+V142</f>
        <v>6048000</v>
      </c>
      <c r="X142" s="1768">
        <v>20</v>
      </c>
      <c r="Y142" s="1769" t="s">
        <v>7</v>
      </c>
      <c r="Z142" s="2496"/>
      <c r="AA142" s="2567"/>
      <c r="AB142" s="2307"/>
      <c r="AC142" s="2567"/>
      <c r="AD142" s="2307"/>
      <c r="AE142" s="2307"/>
      <c r="AF142" s="2307"/>
      <c r="AG142" s="2307"/>
      <c r="AH142" s="2307"/>
      <c r="AI142" s="2307"/>
      <c r="AJ142" s="2307"/>
      <c r="AK142" s="2307"/>
      <c r="AL142" s="2307"/>
      <c r="AM142" s="2307"/>
      <c r="AN142" s="2307"/>
      <c r="AO142" s="2307"/>
      <c r="AP142" s="2307"/>
      <c r="AQ142" s="2307"/>
      <c r="AR142" s="2307"/>
      <c r="AS142" s="2307"/>
      <c r="AT142" s="2307"/>
      <c r="AU142" s="2307"/>
      <c r="AV142" s="2307"/>
      <c r="AW142" s="2307"/>
      <c r="AX142" s="2307"/>
      <c r="AY142" s="2307"/>
      <c r="AZ142" s="2307"/>
      <c r="BA142" s="2307"/>
      <c r="BB142" s="2307"/>
      <c r="BC142" s="2307"/>
      <c r="BD142" s="2307"/>
      <c r="BE142" s="2307"/>
      <c r="BF142" s="2841"/>
      <c r="BG142" s="3970"/>
      <c r="BH142" s="3970"/>
      <c r="BI142" s="2847"/>
      <c r="BJ142" s="2567"/>
      <c r="BK142" s="3967"/>
      <c r="BL142" s="2307"/>
      <c r="BM142" s="2307"/>
      <c r="BN142" s="2307"/>
      <c r="BO142" s="2307"/>
      <c r="BP142" s="2306"/>
    </row>
    <row r="143" spans="1:68" s="1601" customFormat="1" ht="54" customHeight="1" x14ac:dyDescent="0.25">
      <c r="A143" s="616"/>
      <c r="B143" s="1471"/>
      <c r="C143" s="1471"/>
      <c r="D143" s="1522"/>
      <c r="E143" s="1471"/>
      <c r="F143" s="1523"/>
      <c r="G143" s="2772"/>
      <c r="H143" s="3213"/>
      <c r="I143" s="3958"/>
      <c r="J143" s="3642"/>
      <c r="K143" s="3960"/>
      <c r="L143" s="3667"/>
      <c r="M143" s="2416"/>
      <c r="N143" s="2343"/>
      <c r="O143" s="2413"/>
      <c r="P143" s="3963"/>
      <c r="Q143" s="3818"/>
      <c r="R143" s="3728"/>
      <c r="S143" s="3728"/>
      <c r="T143" s="1775" t="s">
        <v>1648</v>
      </c>
      <c r="U143" s="1766">
        <v>650666</v>
      </c>
      <c r="V143" s="1767">
        <v>650666</v>
      </c>
      <c r="W143" s="1762">
        <v>0</v>
      </c>
      <c r="X143" s="1768">
        <v>20</v>
      </c>
      <c r="Y143" s="1769" t="s">
        <v>7</v>
      </c>
      <c r="Z143" s="2496"/>
      <c r="AA143" s="2567"/>
      <c r="AB143" s="2307"/>
      <c r="AC143" s="2567"/>
      <c r="AD143" s="2307"/>
      <c r="AE143" s="2307"/>
      <c r="AF143" s="2307"/>
      <c r="AG143" s="2307"/>
      <c r="AH143" s="2307"/>
      <c r="AI143" s="2307"/>
      <c r="AJ143" s="2307"/>
      <c r="AK143" s="2307"/>
      <c r="AL143" s="2307"/>
      <c r="AM143" s="2307"/>
      <c r="AN143" s="2307"/>
      <c r="AO143" s="2307"/>
      <c r="AP143" s="2307"/>
      <c r="AQ143" s="2307"/>
      <c r="AR143" s="2307"/>
      <c r="AS143" s="2307"/>
      <c r="AT143" s="2307"/>
      <c r="AU143" s="2307"/>
      <c r="AV143" s="2307"/>
      <c r="AW143" s="2307"/>
      <c r="AX143" s="2307"/>
      <c r="AY143" s="2307"/>
      <c r="AZ143" s="2307"/>
      <c r="BA143" s="2307"/>
      <c r="BB143" s="2307"/>
      <c r="BC143" s="2307"/>
      <c r="BD143" s="2307"/>
      <c r="BE143" s="2307"/>
      <c r="BF143" s="2841"/>
      <c r="BG143" s="3970"/>
      <c r="BH143" s="3970"/>
      <c r="BI143" s="2847"/>
      <c r="BJ143" s="2567"/>
      <c r="BK143" s="3967"/>
      <c r="BL143" s="2307"/>
      <c r="BM143" s="2307"/>
      <c r="BN143" s="2307"/>
      <c r="BO143" s="2307"/>
      <c r="BP143" s="2306"/>
    </row>
    <row r="144" spans="1:68" s="1601" customFormat="1" ht="63.75" customHeight="1" x14ac:dyDescent="0.25">
      <c r="A144" s="616"/>
      <c r="B144" s="1471"/>
      <c r="C144" s="1471"/>
      <c r="D144" s="1522"/>
      <c r="E144" s="1471"/>
      <c r="F144" s="1523"/>
      <c r="G144" s="2772"/>
      <c r="H144" s="3213"/>
      <c r="I144" s="3958"/>
      <c r="J144" s="3642"/>
      <c r="K144" s="3960"/>
      <c r="L144" s="3667"/>
      <c r="M144" s="2416"/>
      <c r="N144" s="2343"/>
      <c r="O144" s="2413"/>
      <c r="P144" s="3963"/>
      <c r="Q144" s="3818"/>
      <c r="R144" s="3728"/>
      <c r="S144" s="3728"/>
      <c r="T144" s="1765" t="s">
        <v>1649</v>
      </c>
      <c r="U144" s="1766">
        <v>14000000</v>
      </c>
      <c r="V144" s="1767">
        <v>8999999</v>
      </c>
      <c r="W144" s="1762"/>
      <c r="X144" s="1781">
        <v>88</v>
      </c>
      <c r="Y144" s="1782" t="s">
        <v>4</v>
      </c>
      <c r="Z144" s="2496"/>
      <c r="AA144" s="2567"/>
      <c r="AB144" s="2307"/>
      <c r="AC144" s="2567"/>
      <c r="AD144" s="2307"/>
      <c r="AE144" s="2307"/>
      <c r="AF144" s="2307"/>
      <c r="AG144" s="2307"/>
      <c r="AH144" s="2307"/>
      <c r="AI144" s="2307"/>
      <c r="AJ144" s="2307"/>
      <c r="AK144" s="2307"/>
      <c r="AL144" s="2307"/>
      <c r="AM144" s="2307"/>
      <c r="AN144" s="2307"/>
      <c r="AO144" s="2307"/>
      <c r="AP144" s="2307"/>
      <c r="AQ144" s="2307"/>
      <c r="AR144" s="2307"/>
      <c r="AS144" s="2307"/>
      <c r="AT144" s="2307"/>
      <c r="AU144" s="2307"/>
      <c r="AV144" s="2307"/>
      <c r="AW144" s="2307"/>
      <c r="AX144" s="2307"/>
      <c r="AY144" s="2307"/>
      <c r="AZ144" s="2307"/>
      <c r="BA144" s="2307"/>
      <c r="BB144" s="2307"/>
      <c r="BC144" s="2307"/>
      <c r="BD144" s="2307"/>
      <c r="BE144" s="2307"/>
      <c r="BF144" s="2841"/>
      <c r="BG144" s="3970"/>
      <c r="BH144" s="3970"/>
      <c r="BI144" s="2847"/>
      <c r="BJ144" s="2567"/>
      <c r="BK144" s="3967"/>
      <c r="BL144" s="2307"/>
      <c r="BM144" s="2307"/>
      <c r="BN144" s="2307"/>
      <c r="BO144" s="2307"/>
      <c r="BP144" s="2306"/>
    </row>
    <row r="145" spans="1:68" s="1601" customFormat="1" ht="60" x14ac:dyDescent="0.25">
      <c r="A145" s="616"/>
      <c r="B145" s="1471"/>
      <c r="C145" s="1471"/>
      <c r="D145" s="1522"/>
      <c r="E145" s="1471"/>
      <c r="F145" s="1523"/>
      <c r="G145" s="2772"/>
      <c r="H145" s="3213"/>
      <c r="I145" s="3958"/>
      <c r="J145" s="3642"/>
      <c r="K145" s="3960"/>
      <c r="L145" s="3667"/>
      <c r="M145" s="2416"/>
      <c r="N145" s="2343"/>
      <c r="O145" s="2413"/>
      <c r="P145" s="3779">
        <v>0.97345275709250301</v>
      </c>
      <c r="Q145" s="3818"/>
      <c r="R145" s="3728"/>
      <c r="S145" s="3728"/>
      <c r="T145" s="1783" t="s">
        <v>1650</v>
      </c>
      <c r="U145" s="1766">
        <v>0</v>
      </c>
      <c r="V145" s="1767">
        <v>0</v>
      </c>
      <c r="W145" s="1762">
        <v>0</v>
      </c>
      <c r="X145" s="1511"/>
      <c r="Y145" s="1784"/>
      <c r="Z145" s="2496"/>
      <c r="AA145" s="2567"/>
      <c r="AB145" s="2307"/>
      <c r="AC145" s="2567"/>
      <c r="AD145" s="2307"/>
      <c r="AE145" s="2307"/>
      <c r="AF145" s="2307"/>
      <c r="AG145" s="2307"/>
      <c r="AH145" s="2307"/>
      <c r="AI145" s="2307"/>
      <c r="AJ145" s="2307"/>
      <c r="AK145" s="2307"/>
      <c r="AL145" s="2307"/>
      <c r="AM145" s="2307"/>
      <c r="AN145" s="2307"/>
      <c r="AO145" s="2307"/>
      <c r="AP145" s="2307"/>
      <c r="AQ145" s="2307"/>
      <c r="AR145" s="2307"/>
      <c r="AS145" s="2307"/>
      <c r="AT145" s="2307"/>
      <c r="AU145" s="2307"/>
      <c r="AV145" s="2307"/>
      <c r="AW145" s="2307"/>
      <c r="AX145" s="2307"/>
      <c r="AY145" s="2307"/>
      <c r="AZ145" s="2307"/>
      <c r="BA145" s="2307"/>
      <c r="BB145" s="2307"/>
      <c r="BC145" s="2307"/>
      <c r="BD145" s="2307"/>
      <c r="BE145" s="2307"/>
      <c r="BF145" s="2841"/>
      <c r="BG145" s="3970"/>
      <c r="BH145" s="3970"/>
      <c r="BI145" s="2847"/>
      <c r="BJ145" s="2567"/>
      <c r="BK145" s="3967"/>
      <c r="BL145" s="2307"/>
      <c r="BM145" s="2307"/>
      <c r="BN145" s="2307"/>
      <c r="BO145" s="2307"/>
      <c r="BP145" s="2306"/>
    </row>
    <row r="146" spans="1:68" s="1601" customFormat="1" ht="44.25" customHeight="1" x14ac:dyDescent="0.25">
      <c r="A146" s="616"/>
      <c r="B146" s="1471"/>
      <c r="C146" s="1471"/>
      <c r="D146" s="1522"/>
      <c r="E146" s="1471"/>
      <c r="F146" s="1523"/>
      <c r="G146" s="2772"/>
      <c r="H146" s="3213"/>
      <c r="I146" s="3958"/>
      <c r="J146" s="3642"/>
      <c r="K146" s="3960"/>
      <c r="L146" s="3667"/>
      <c r="M146" s="2416"/>
      <c r="N146" s="2343"/>
      <c r="O146" s="2413"/>
      <c r="P146" s="3779"/>
      <c r="Q146" s="3818"/>
      <c r="R146" s="3728"/>
      <c r="S146" s="3728"/>
      <c r="T146" s="1775" t="s">
        <v>1651</v>
      </c>
      <c r="U146" s="1766">
        <v>0</v>
      </c>
      <c r="V146" s="1767">
        <v>0</v>
      </c>
      <c r="W146" s="1762">
        <v>0</v>
      </c>
      <c r="X146" s="1785"/>
      <c r="Y146" s="1786"/>
      <c r="Z146" s="2496"/>
      <c r="AA146" s="2567"/>
      <c r="AB146" s="2307"/>
      <c r="AC146" s="2567"/>
      <c r="AD146" s="2307"/>
      <c r="AE146" s="2307"/>
      <c r="AF146" s="2307"/>
      <c r="AG146" s="2307"/>
      <c r="AH146" s="2307"/>
      <c r="AI146" s="2307"/>
      <c r="AJ146" s="2307"/>
      <c r="AK146" s="2307"/>
      <c r="AL146" s="2307"/>
      <c r="AM146" s="2307"/>
      <c r="AN146" s="2307"/>
      <c r="AO146" s="2307"/>
      <c r="AP146" s="2307"/>
      <c r="AQ146" s="2307"/>
      <c r="AR146" s="2307"/>
      <c r="AS146" s="2307"/>
      <c r="AT146" s="2307"/>
      <c r="AU146" s="2307"/>
      <c r="AV146" s="2307"/>
      <c r="AW146" s="2307"/>
      <c r="AX146" s="2307"/>
      <c r="AY146" s="2307"/>
      <c r="AZ146" s="2307"/>
      <c r="BA146" s="2307"/>
      <c r="BB146" s="2307"/>
      <c r="BC146" s="2307"/>
      <c r="BD146" s="2307"/>
      <c r="BE146" s="2307"/>
      <c r="BF146" s="2841"/>
      <c r="BG146" s="3970"/>
      <c r="BH146" s="3970"/>
      <c r="BI146" s="2847"/>
      <c r="BJ146" s="2567"/>
      <c r="BK146" s="3967"/>
      <c r="BL146" s="2307"/>
      <c r="BM146" s="2307"/>
      <c r="BN146" s="2307"/>
      <c r="BO146" s="2307"/>
      <c r="BP146" s="2306"/>
    </row>
    <row r="147" spans="1:68" s="1601" customFormat="1" ht="62.25" customHeight="1" x14ac:dyDescent="0.25">
      <c r="A147" s="616"/>
      <c r="B147" s="1471"/>
      <c r="C147" s="1471"/>
      <c r="D147" s="1522"/>
      <c r="E147" s="1471"/>
      <c r="F147" s="1523"/>
      <c r="G147" s="2772"/>
      <c r="H147" s="3213"/>
      <c r="I147" s="3958"/>
      <c r="J147" s="3642"/>
      <c r="K147" s="3960"/>
      <c r="L147" s="3667"/>
      <c r="M147" s="2416"/>
      <c r="N147" s="2343"/>
      <c r="O147" s="2413"/>
      <c r="P147" s="3779"/>
      <c r="Q147" s="3818"/>
      <c r="R147" s="3728"/>
      <c r="S147" s="3728"/>
      <c r="T147" s="1775" t="s">
        <v>1652</v>
      </c>
      <c r="U147" s="1766">
        <v>1500000</v>
      </c>
      <c r="V147" s="1767">
        <v>1500000</v>
      </c>
      <c r="W147" s="1762">
        <v>0</v>
      </c>
      <c r="X147" s="1768">
        <v>20</v>
      </c>
      <c r="Y147" s="1769" t="s">
        <v>7</v>
      </c>
      <c r="Z147" s="2496"/>
      <c r="AA147" s="2567"/>
      <c r="AB147" s="2307"/>
      <c r="AC147" s="2567"/>
      <c r="AD147" s="2307"/>
      <c r="AE147" s="2307"/>
      <c r="AF147" s="2307"/>
      <c r="AG147" s="2307"/>
      <c r="AH147" s="2307"/>
      <c r="AI147" s="2307"/>
      <c r="AJ147" s="2307"/>
      <c r="AK147" s="2307"/>
      <c r="AL147" s="2307"/>
      <c r="AM147" s="2307"/>
      <c r="AN147" s="2307"/>
      <c r="AO147" s="2307"/>
      <c r="AP147" s="2307"/>
      <c r="AQ147" s="2307"/>
      <c r="AR147" s="2307"/>
      <c r="AS147" s="2307"/>
      <c r="AT147" s="2307"/>
      <c r="AU147" s="2307"/>
      <c r="AV147" s="2307"/>
      <c r="AW147" s="2307"/>
      <c r="AX147" s="2307"/>
      <c r="AY147" s="2307"/>
      <c r="AZ147" s="2307"/>
      <c r="BA147" s="2307"/>
      <c r="BB147" s="2307"/>
      <c r="BC147" s="2307"/>
      <c r="BD147" s="2307"/>
      <c r="BE147" s="2307"/>
      <c r="BF147" s="2841"/>
      <c r="BG147" s="3970"/>
      <c r="BH147" s="3970"/>
      <c r="BI147" s="2847"/>
      <c r="BJ147" s="2567"/>
      <c r="BK147" s="3967"/>
      <c r="BL147" s="2307"/>
      <c r="BM147" s="2307"/>
      <c r="BN147" s="2307"/>
      <c r="BO147" s="2307"/>
      <c r="BP147" s="2306"/>
    </row>
    <row r="148" spans="1:68" s="1601" customFormat="1" ht="56.25" customHeight="1" x14ac:dyDescent="0.25">
      <c r="A148" s="616"/>
      <c r="B148" s="1471"/>
      <c r="C148" s="1471"/>
      <c r="D148" s="1522"/>
      <c r="E148" s="1471"/>
      <c r="F148" s="1523"/>
      <c r="G148" s="2772"/>
      <c r="H148" s="3214"/>
      <c r="I148" s="3959"/>
      <c r="J148" s="3856"/>
      <c r="K148" s="3961"/>
      <c r="L148" s="3668"/>
      <c r="M148" s="2416"/>
      <c r="N148" s="2343"/>
      <c r="O148" s="2413"/>
      <c r="P148" s="3779"/>
      <c r="Q148" s="3818"/>
      <c r="R148" s="3728"/>
      <c r="S148" s="3728"/>
      <c r="T148" s="1765" t="s">
        <v>1653</v>
      </c>
      <c r="U148" s="1766">
        <v>2150666</v>
      </c>
      <c r="V148" s="1767">
        <v>2150666</v>
      </c>
      <c r="W148" s="1762">
        <v>0</v>
      </c>
      <c r="X148" s="1768">
        <v>20</v>
      </c>
      <c r="Y148" s="1769" t="s">
        <v>7</v>
      </c>
      <c r="Z148" s="2496"/>
      <c r="AA148" s="2567"/>
      <c r="AB148" s="2307"/>
      <c r="AC148" s="2567"/>
      <c r="AD148" s="2307"/>
      <c r="AE148" s="2307"/>
      <c r="AF148" s="2307"/>
      <c r="AG148" s="2307"/>
      <c r="AH148" s="2307"/>
      <c r="AI148" s="2307"/>
      <c r="AJ148" s="2307"/>
      <c r="AK148" s="2307"/>
      <c r="AL148" s="2307"/>
      <c r="AM148" s="2307"/>
      <c r="AN148" s="2307"/>
      <c r="AO148" s="2307"/>
      <c r="AP148" s="2307"/>
      <c r="AQ148" s="2307"/>
      <c r="AR148" s="2307"/>
      <c r="AS148" s="2307"/>
      <c r="AT148" s="2307"/>
      <c r="AU148" s="2307"/>
      <c r="AV148" s="2307"/>
      <c r="AW148" s="2307"/>
      <c r="AX148" s="2307"/>
      <c r="AY148" s="2307"/>
      <c r="AZ148" s="2307"/>
      <c r="BA148" s="2307"/>
      <c r="BB148" s="2307"/>
      <c r="BC148" s="2307"/>
      <c r="BD148" s="2307"/>
      <c r="BE148" s="2307"/>
      <c r="BF148" s="2841"/>
      <c r="BG148" s="3970"/>
      <c r="BH148" s="3970"/>
      <c r="BI148" s="2847"/>
      <c r="BJ148" s="2567"/>
      <c r="BK148" s="3967"/>
      <c r="BL148" s="2307"/>
      <c r="BM148" s="2307"/>
      <c r="BN148" s="2307"/>
      <c r="BO148" s="2307"/>
      <c r="BP148" s="2306"/>
    </row>
    <row r="149" spans="1:68" ht="58.5" customHeight="1" x14ac:dyDescent="0.25">
      <c r="A149" s="141"/>
      <c r="B149" s="1"/>
      <c r="C149" s="1"/>
      <c r="D149" s="212"/>
      <c r="E149" s="1"/>
      <c r="F149" s="3"/>
      <c r="G149" s="2772"/>
      <c r="H149" s="2345">
        <v>38.5</v>
      </c>
      <c r="I149" s="3973" t="s">
        <v>1654</v>
      </c>
      <c r="J149" s="2584" t="s">
        <v>1655</v>
      </c>
      <c r="K149" s="2522">
        <v>12</v>
      </c>
      <c r="L149" s="3666">
        <v>12</v>
      </c>
      <c r="M149" s="2416"/>
      <c r="N149" s="2343"/>
      <c r="O149" s="2413"/>
      <c r="P149" s="3779"/>
      <c r="Q149" s="3818"/>
      <c r="R149" s="3728"/>
      <c r="S149" s="3955"/>
      <c r="T149" s="3820" t="s">
        <v>1656</v>
      </c>
      <c r="U149" s="1770">
        <v>2402517600</v>
      </c>
      <c r="V149" s="1767">
        <v>749281568</v>
      </c>
      <c r="W149" s="1762">
        <f>+V149</f>
        <v>749281568</v>
      </c>
      <c r="X149" s="1768">
        <v>6</v>
      </c>
      <c r="Y149" s="1769" t="s">
        <v>1657</v>
      </c>
      <c r="Z149" s="2496"/>
      <c r="AA149" s="2567"/>
      <c r="AB149" s="2307"/>
      <c r="AC149" s="2567"/>
      <c r="AD149" s="2307"/>
      <c r="AE149" s="2307"/>
      <c r="AF149" s="2307"/>
      <c r="AG149" s="2307"/>
      <c r="AH149" s="2307"/>
      <c r="AI149" s="2307"/>
      <c r="AJ149" s="2307"/>
      <c r="AK149" s="2307"/>
      <c r="AL149" s="2307"/>
      <c r="AM149" s="2307"/>
      <c r="AN149" s="2307"/>
      <c r="AO149" s="2307"/>
      <c r="AP149" s="2307"/>
      <c r="AQ149" s="2307"/>
      <c r="AR149" s="2307"/>
      <c r="AS149" s="2307"/>
      <c r="AT149" s="2307"/>
      <c r="AU149" s="2307"/>
      <c r="AV149" s="2307"/>
      <c r="AW149" s="2307"/>
      <c r="AX149" s="2307"/>
      <c r="AY149" s="2307"/>
      <c r="AZ149" s="2307"/>
      <c r="BA149" s="2307"/>
      <c r="BB149" s="2307"/>
      <c r="BC149" s="2307"/>
      <c r="BD149" s="2307"/>
      <c r="BE149" s="2307"/>
      <c r="BF149" s="2841"/>
      <c r="BG149" s="3970"/>
      <c r="BH149" s="3970"/>
      <c r="BI149" s="2847"/>
      <c r="BJ149" s="2567"/>
      <c r="BK149" s="3967"/>
      <c r="BL149" s="2307"/>
      <c r="BM149" s="2307"/>
      <c r="BN149" s="2307"/>
      <c r="BO149" s="2307"/>
      <c r="BP149" s="2306"/>
    </row>
    <row r="150" spans="1:68" ht="71.25" customHeight="1" x14ac:dyDescent="0.25">
      <c r="A150" s="141"/>
      <c r="B150" s="1"/>
      <c r="C150" s="1"/>
      <c r="D150" s="212"/>
      <c r="E150" s="1"/>
      <c r="F150" s="3"/>
      <c r="G150" s="2772"/>
      <c r="H150" s="2346"/>
      <c r="I150" s="3974"/>
      <c r="J150" s="2609"/>
      <c r="K150" s="2456"/>
      <c r="L150" s="3667"/>
      <c r="M150" s="2416"/>
      <c r="N150" s="2343"/>
      <c r="O150" s="2413"/>
      <c r="P150" s="3779"/>
      <c r="Q150" s="3818"/>
      <c r="R150" s="3728"/>
      <c r="S150" s="3955"/>
      <c r="T150" s="3820"/>
      <c r="U150" s="1770">
        <v>581391714.38999999</v>
      </c>
      <c r="V150" s="1767"/>
      <c r="W150" s="1762">
        <v>0</v>
      </c>
      <c r="X150" s="1768">
        <v>84</v>
      </c>
      <c r="Y150" s="1769" t="s">
        <v>1658</v>
      </c>
      <c r="Z150" s="2496"/>
      <c r="AA150" s="2567"/>
      <c r="AB150" s="2307"/>
      <c r="AC150" s="2567"/>
      <c r="AD150" s="2307"/>
      <c r="AE150" s="2307"/>
      <c r="AF150" s="2307"/>
      <c r="AG150" s="2307"/>
      <c r="AH150" s="2307"/>
      <c r="AI150" s="2307"/>
      <c r="AJ150" s="2307"/>
      <c r="AK150" s="2307"/>
      <c r="AL150" s="2307"/>
      <c r="AM150" s="2307"/>
      <c r="AN150" s="2307"/>
      <c r="AO150" s="2307"/>
      <c r="AP150" s="2307"/>
      <c r="AQ150" s="2307"/>
      <c r="AR150" s="2307"/>
      <c r="AS150" s="2307"/>
      <c r="AT150" s="2307"/>
      <c r="AU150" s="2307"/>
      <c r="AV150" s="2307"/>
      <c r="AW150" s="2307"/>
      <c r="AX150" s="2307"/>
      <c r="AY150" s="2307"/>
      <c r="AZ150" s="2307"/>
      <c r="BA150" s="2307"/>
      <c r="BB150" s="2307"/>
      <c r="BC150" s="2307"/>
      <c r="BD150" s="2307"/>
      <c r="BE150" s="2307"/>
      <c r="BF150" s="2841"/>
      <c r="BG150" s="3970"/>
      <c r="BH150" s="3970"/>
      <c r="BI150" s="2847"/>
      <c r="BJ150" s="2567"/>
      <c r="BK150" s="3967"/>
      <c r="BL150" s="2307"/>
      <c r="BM150" s="2307"/>
      <c r="BN150" s="2307"/>
      <c r="BO150" s="2307"/>
      <c r="BP150" s="2306"/>
    </row>
    <row r="151" spans="1:68" ht="48.75" customHeight="1" x14ac:dyDescent="0.25">
      <c r="A151" s="141"/>
      <c r="B151" s="1"/>
      <c r="C151" s="1"/>
      <c r="D151" s="212"/>
      <c r="E151" s="1"/>
      <c r="F151" s="3"/>
      <c r="G151" s="2772"/>
      <c r="H151" s="2346"/>
      <c r="I151" s="3974"/>
      <c r="J151" s="2609"/>
      <c r="K151" s="2456"/>
      <c r="L151" s="3667"/>
      <c r="M151" s="2416"/>
      <c r="N151" s="2343"/>
      <c r="O151" s="2413"/>
      <c r="P151" s="3779"/>
      <c r="Q151" s="3818"/>
      <c r="R151" s="3728"/>
      <c r="S151" s="3728"/>
      <c r="T151" s="3956" t="s">
        <v>1659</v>
      </c>
      <c r="U151" s="1766">
        <v>1029650400</v>
      </c>
      <c r="V151" s="1767">
        <v>321120672</v>
      </c>
      <c r="W151" s="1762">
        <f>+V151</f>
        <v>321120672</v>
      </c>
      <c r="X151" s="1768">
        <v>6</v>
      </c>
      <c r="Y151" s="1769" t="s">
        <v>1657</v>
      </c>
      <c r="Z151" s="2496"/>
      <c r="AA151" s="2567"/>
      <c r="AB151" s="2307"/>
      <c r="AC151" s="2567"/>
      <c r="AD151" s="2307"/>
      <c r="AE151" s="2307"/>
      <c r="AF151" s="2307"/>
      <c r="AG151" s="2307"/>
      <c r="AH151" s="2307"/>
      <c r="AI151" s="2307"/>
      <c r="AJ151" s="2307"/>
      <c r="AK151" s="2307"/>
      <c r="AL151" s="2307"/>
      <c r="AM151" s="2307"/>
      <c r="AN151" s="2307"/>
      <c r="AO151" s="2307"/>
      <c r="AP151" s="2307"/>
      <c r="AQ151" s="2307"/>
      <c r="AR151" s="2307"/>
      <c r="AS151" s="2307"/>
      <c r="AT151" s="2307"/>
      <c r="AU151" s="2307"/>
      <c r="AV151" s="2307"/>
      <c r="AW151" s="2307"/>
      <c r="AX151" s="2307"/>
      <c r="AY151" s="2307"/>
      <c r="AZ151" s="2307"/>
      <c r="BA151" s="2307"/>
      <c r="BB151" s="2307"/>
      <c r="BC151" s="2307"/>
      <c r="BD151" s="2307"/>
      <c r="BE151" s="2307"/>
      <c r="BF151" s="2841"/>
      <c r="BG151" s="3970"/>
      <c r="BH151" s="3970"/>
      <c r="BI151" s="2847"/>
      <c r="BJ151" s="2567"/>
      <c r="BK151" s="3967"/>
      <c r="BL151" s="2307"/>
      <c r="BM151" s="2307"/>
      <c r="BN151" s="2307"/>
      <c r="BO151" s="2307"/>
      <c r="BP151" s="2306"/>
    </row>
    <row r="152" spans="1:68" ht="54" customHeight="1" x14ac:dyDescent="0.25">
      <c r="A152" s="141"/>
      <c r="B152" s="1"/>
      <c r="C152" s="1"/>
      <c r="D152" s="212"/>
      <c r="E152" s="1"/>
      <c r="F152" s="3"/>
      <c r="G152" s="2773"/>
      <c r="H152" s="2347"/>
      <c r="I152" s="3810"/>
      <c r="J152" s="2610"/>
      <c r="K152" s="2457"/>
      <c r="L152" s="3668"/>
      <c r="M152" s="2416"/>
      <c r="N152" s="2343"/>
      <c r="O152" s="2413"/>
      <c r="P152" s="3780"/>
      <c r="Q152" s="3818"/>
      <c r="R152" s="3728"/>
      <c r="S152" s="3728"/>
      <c r="T152" s="3819"/>
      <c r="U152" s="1766">
        <v>249167878</v>
      </c>
      <c r="V152" s="1767"/>
      <c r="W152" s="1762">
        <v>0</v>
      </c>
      <c r="X152" s="1768">
        <v>84</v>
      </c>
      <c r="Y152" s="1769" t="s">
        <v>1658</v>
      </c>
      <c r="Z152" s="2496"/>
      <c r="AA152" s="2969"/>
      <c r="AB152" s="2307"/>
      <c r="AC152" s="2969"/>
      <c r="AD152" s="2307"/>
      <c r="AE152" s="2467"/>
      <c r="AF152" s="2307"/>
      <c r="AG152" s="2467"/>
      <c r="AH152" s="2307"/>
      <c r="AI152" s="2467"/>
      <c r="AJ152" s="2307"/>
      <c r="AK152" s="2467"/>
      <c r="AL152" s="2307"/>
      <c r="AM152" s="2467"/>
      <c r="AN152" s="2307"/>
      <c r="AO152" s="2467"/>
      <c r="AP152" s="2307"/>
      <c r="AQ152" s="2467"/>
      <c r="AR152" s="2307"/>
      <c r="AS152" s="2467"/>
      <c r="AT152" s="2307"/>
      <c r="AU152" s="2467"/>
      <c r="AV152" s="2307"/>
      <c r="AW152" s="2467"/>
      <c r="AX152" s="2307"/>
      <c r="AY152" s="2467"/>
      <c r="AZ152" s="2307"/>
      <c r="BA152" s="2467"/>
      <c r="BB152" s="2307"/>
      <c r="BC152" s="2467"/>
      <c r="BD152" s="2307"/>
      <c r="BE152" s="2995"/>
      <c r="BF152" s="2841"/>
      <c r="BG152" s="3970"/>
      <c r="BH152" s="3970"/>
      <c r="BI152" s="2847"/>
      <c r="BJ152" s="2567"/>
      <c r="BK152" s="3968"/>
      <c r="BL152" s="2307"/>
      <c r="BM152" s="2307"/>
      <c r="BN152" s="2307"/>
      <c r="BO152" s="2307"/>
      <c r="BP152" s="2306"/>
    </row>
    <row r="153" spans="1:68" ht="56.25" customHeight="1" x14ac:dyDescent="0.25">
      <c r="A153" s="141"/>
      <c r="B153" s="1"/>
      <c r="C153" s="1"/>
      <c r="D153" s="3784"/>
      <c r="E153" s="3785"/>
      <c r="F153" s="3"/>
      <c r="G153" s="3931" t="s">
        <v>1140</v>
      </c>
      <c r="H153" s="3933">
        <v>38.6</v>
      </c>
      <c r="I153" s="3810" t="s">
        <v>1660</v>
      </c>
      <c r="J153" s="2610" t="s">
        <v>1661</v>
      </c>
      <c r="K153" s="2457">
        <v>1</v>
      </c>
      <c r="L153" s="3716">
        <v>0.25</v>
      </c>
      <c r="M153" s="2610" t="s">
        <v>1662</v>
      </c>
      <c r="N153" s="2342" t="s">
        <v>1663</v>
      </c>
      <c r="O153" s="2492" t="s">
        <v>1664</v>
      </c>
      <c r="P153" s="3971">
        <v>1</v>
      </c>
      <c r="Q153" s="3983">
        <v>188546842</v>
      </c>
      <c r="R153" s="3985" t="s">
        <v>1665</v>
      </c>
      <c r="S153" s="3986" t="s">
        <v>1666</v>
      </c>
      <c r="T153" s="3956" t="s">
        <v>1556</v>
      </c>
      <c r="U153" s="1780">
        <v>8000000</v>
      </c>
      <c r="V153" s="1780">
        <v>5866667</v>
      </c>
      <c r="W153" s="1762"/>
      <c r="X153" s="1695">
        <v>88</v>
      </c>
      <c r="Y153" s="1696" t="s">
        <v>4</v>
      </c>
      <c r="Z153" s="2343">
        <v>2360</v>
      </c>
      <c r="AA153" s="2760">
        <f>76+9</f>
        <v>85</v>
      </c>
      <c r="AB153" s="2343">
        <v>2360</v>
      </c>
      <c r="AC153" s="3982">
        <v>47</v>
      </c>
      <c r="AD153" s="3383">
        <v>1500</v>
      </c>
      <c r="AE153" s="3383">
        <v>3</v>
      </c>
      <c r="AF153" s="3383">
        <v>480</v>
      </c>
      <c r="AG153" s="3383">
        <v>3</v>
      </c>
      <c r="AH153" s="3383">
        <v>1200</v>
      </c>
      <c r="AI153" s="3383">
        <f>110+15</f>
        <v>125</v>
      </c>
      <c r="AJ153" s="3383">
        <v>1500</v>
      </c>
      <c r="AK153" s="3383">
        <f>14+1</f>
        <v>15</v>
      </c>
      <c r="AL153" s="3383">
        <v>20</v>
      </c>
      <c r="AM153" s="3383">
        <v>1</v>
      </c>
      <c r="AN153" s="3383">
        <v>20</v>
      </c>
      <c r="AO153" s="3383"/>
      <c r="AP153" s="3383">
        <v>0</v>
      </c>
      <c r="AQ153" s="3383"/>
      <c r="AR153" s="3383">
        <v>0</v>
      </c>
      <c r="AS153" s="3383"/>
      <c r="AT153" s="3383">
        <v>0</v>
      </c>
      <c r="AU153" s="3383"/>
      <c r="AV153" s="3383">
        <v>0</v>
      </c>
      <c r="AW153" s="3383"/>
      <c r="AX153" s="3383">
        <v>1000</v>
      </c>
      <c r="AY153" s="3383">
        <v>2</v>
      </c>
      <c r="AZ153" s="3383">
        <v>0</v>
      </c>
      <c r="BA153" s="3383">
        <f>116+16</f>
        <v>132</v>
      </c>
      <c r="BB153" s="3976">
        <v>0</v>
      </c>
      <c r="BC153" s="3976">
        <v>2</v>
      </c>
      <c r="BD153" s="3383">
        <v>4720</v>
      </c>
      <c r="BE153" s="2933">
        <f>116+16</f>
        <v>132</v>
      </c>
      <c r="BF153" s="2491">
        <v>2</v>
      </c>
      <c r="BG153" s="3745">
        <f>SUM(V153:V160)</f>
        <v>16133334</v>
      </c>
      <c r="BH153" s="3745">
        <f>SUM(W153:W160)</f>
        <v>0</v>
      </c>
      <c r="BI153" s="3749">
        <f>BG153/Q153</f>
        <v>8.5566715564506776E-2</v>
      </c>
      <c r="BJ153" s="2491" t="s">
        <v>1407</v>
      </c>
      <c r="BK153" s="2491" t="s">
        <v>1557</v>
      </c>
      <c r="BL153" s="3747">
        <v>43832</v>
      </c>
      <c r="BM153" s="3747">
        <v>43832</v>
      </c>
      <c r="BN153" s="3747">
        <v>44195</v>
      </c>
      <c r="BO153" s="3747">
        <v>44195</v>
      </c>
      <c r="BP153" s="2343" t="s">
        <v>1409</v>
      </c>
    </row>
    <row r="154" spans="1:68" ht="39.75" customHeight="1" x14ac:dyDescent="0.25">
      <c r="A154" s="141"/>
      <c r="B154" s="1"/>
      <c r="C154" s="1"/>
      <c r="D154" s="3784"/>
      <c r="E154" s="3785"/>
      <c r="F154" s="3"/>
      <c r="G154" s="3932"/>
      <c r="H154" s="3934"/>
      <c r="I154" s="3811"/>
      <c r="J154" s="2416"/>
      <c r="K154" s="2348"/>
      <c r="L154" s="3717"/>
      <c r="M154" s="2416"/>
      <c r="N154" s="2343"/>
      <c r="O154" s="2413"/>
      <c r="P154" s="3972"/>
      <c r="Q154" s="3984"/>
      <c r="R154" s="3728"/>
      <c r="S154" s="3986"/>
      <c r="T154" s="3819"/>
      <c r="U154" s="1767">
        <v>21000000</v>
      </c>
      <c r="V154" s="1767">
        <v>0</v>
      </c>
      <c r="W154" s="1762"/>
      <c r="X154" s="1646">
        <v>20</v>
      </c>
      <c r="Y154" s="1600" t="s">
        <v>7</v>
      </c>
      <c r="Z154" s="2343"/>
      <c r="AA154" s="2761"/>
      <c r="AB154" s="2343"/>
      <c r="AC154" s="3808"/>
      <c r="AD154" s="3383"/>
      <c r="AE154" s="3383"/>
      <c r="AF154" s="3383"/>
      <c r="AG154" s="3383"/>
      <c r="AH154" s="3383"/>
      <c r="AI154" s="3383"/>
      <c r="AJ154" s="3383"/>
      <c r="AK154" s="3383"/>
      <c r="AL154" s="3383"/>
      <c r="AM154" s="3383"/>
      <c r="AN154" s="3383"/>
      <c r="AO154" s="3383"/>
      <c r="AP154" s="3383"/>
      <c r="AQ154" s="3383"/>
      <c r="AR154" s="3383"/>
      <c r="AS154" s="3383"/>
      <c r="AT154" s="3383"/>
      <c r="AU154" s="3383"/>
      <c r="AV154" s="3383"/>
      <c r="AW154" s="3383"/>
      <c r="AX154" s="3383"/>
      <c r="AY154" s="3383"/>
      <c r="AZ154" s="3383"/>
      <c r="BA154" s="3383"/>
      <c r="BB154" s="3976"/>
      <c r="BC154" s="3976"/>
      <c r="BD154" s="3383"/>
      <c r="BE154" s="2411"/>
      <c r="BF154" s="2761"/>
      <c r="BG154" s="3777"/>
      <c r="BH154" s="3777"/>
      <c r="BI154" s="3779"/>
      <c r="BJ154" s="2761"/>
      <c r="BK154" s="2761"/>
      <c r="BL154" s="3747"/>
      <c r="BM154" s="3747"/>
      <c r="BN154" s="3747"/>
      <c r="BO154" s="3747"/>
      <c r="BP154" s="2343"/>
    </row>
    <row r="155" spans="1:68" ht="56.25" customHeight="1" x14ac:dyDescent="0.25">
      <c r="A155" s="141"/>
      <c r="B155" s="1"/>
      <c r="C155" s="1"/>
      <c r="D155" s="3784"/>
      <c r="E155" s="3785"/>
      <c r="F155" s="3"/>
      <c r="G155" s="3932"/>
      <c r="H155" s="3934"/>
      <c r="I155" s="3811"/>
      <c r="J155" s="2416"/>
      <c r="K155" s="2348"/>
      <c r="L155" s="3717"/>
      <c r="M155" s="2416"/>
      <c r="N155" s="2343"/>
      <c r="O155" s="2413"/>
      <c r="P155" s="3972"/>
      <c r="Q155" s="3984"/>
      <c r="R155" s="3728"/>
      <c r="S155" s="3986"/>
      <c r="T155" s="1787" t="s">
        <v>1667</v>
      </c>
      <c r="U155" s="1767">
        <v>20946667</v>
      </c>
      <c r="V155" s="1767">
        <v>0</v>
      </c>
      <c r="W155" s="1762"/>
      <c r="X155" s="1646">
        <v>20</v>
      </c>
      <c r="Y155" s="1600" t="s">
        <v>7</v>
      </c>
      <c r="Z155" s="2343"/>
      <c r="AA155" s="2761"/>
      <c r="AB155" s="2343"/>
      <c r="AC155" s="3808"/>
      <c r="AD155" s="3383"/>
      <c r="AE155" s="3383"/>
      <c r="AF155" s="3383"/>
      <c r="AG155" s="3383"/>
      <c r="AH155" s="3383"/>
      <c r="AI155" s="3383"/>
      <c r="AJ155" s="3383"/>
      <c r="AK155" s="3383"/>
      <c r="AL155" s="3383"/>
      <c r="AM155" s="3383"/>
      <c r="AN155" s="3383"/>
      <c r="AO155" s="3383"/>
      <c r="AP155" s="3383"/>
      <c r="AQ155" s="3383"/>
      <c r="AR155" s="3383"/>
      <c r="AS155" s="3383"/>
      <c r="AT155" s="3383"/>
      <c r="AU155" s="3383"/>
      <c r="AV155" s="3383"/>
      <c r="AW155" s="3383"/>
      <c r="AX155" s="3383"/>
      <c r="AY155" s="3383"/>
      <c r="AZ155" s="3383"/>
      <c r="BA155" s="3383"/>
      <c r="BB155" s="3976"/>
      <c r="BC155" s="3976"/>
      <c r="BD155" s="3383"/>
      <c r="BE155" s="2411"/>
      <c r="BF155" s="2761"/>
      <c r="BG155" s="3777"/>
      <c r="BH155" s="3777"/>
      <c r="BI155" s="3779"/>
      <c r="BJ155" s="2761"/>
      <c r="BK155" s="2761"/>
      <c r="BL155" s="3747"/>
      <c r="BM155" s="3747"/>
      <c r="BN155" s="3747"/>
      <c r="BO155" s="3747"/>
      <c r="BP155" s="2343"/>
    </row>
    <row r="156" spans="1:68" ht="57.75" customHeight="1" x14ac:dyDescent="0.25">
      <c r="A156" s="141"/>
      <c r="B156" s="1"/>
      <c r="C156" s="1"/>
      <c r="D156" s="3784"/>
      <c r="E156" s="3785"/>
      <c r="F156" s="3"/>
      <c r="G156" s="3932"/>
      <c r="H156" s="3934"/>
      <c r="I156" s="3811"/>
      <c r="J156" s="2416"/>
      <c r="K156" s="2348"/>
      <c r="L156" s="3717"/>
      <c r="M156" s="2416"/>
      <c r="N156" s="2343"/>
      <c r="O156" s="2413"/>
      <c r="P156" s="3972"/>
      <c r="Q156" s="3984"/>
      <c r="R156" s="3728"/>
      <c r="S156" s="3986"/>
      <c r="T156" s="1787" t="s">
        <v>1668</v>
      </c>
      <c r="U156" s="1767">
        <v>8000000</v>
      </c>
      <c r="V156" s="1767">
        <v>0</v>
      </c>
      <c r="W156" s="1762"/>
      <c r="X156" s="1646">
        <v>88</v>
      </c>
      <c r="Y156" s="1600" t="s">
        <v>4</v>
      </c>
      <c r="Z156" s="2343"/>
      <c r="AA156" s="2761"/>
      <c r="AB156" s="2343"/>
      <c r="AC156" s="3808"/>
      <c r="AD156" s="3383"/>
      <c r="AE156" s="3383"/>
      <c r="AF156" s="3383"/>
      <c r="AG156" s="3383"/>
      <c r="AH156" s="3383"/>
      <c r="AI156" s="3383"/>
      <c r="AJ156" s="3383"/>
      <c r="AK156" s="3383"/>
      <c r="AL156" s="3383"/>
      <c r="AM156" s="3383"/>
      <c r="AN156" s="3383"/>
      <c r="AO156" s="3383"/>
      <c r="AP156" s="3383"/>
      <c r="AQ156" s="3383"/>
      <c r="AR156" s="3383"/>
      <c r="AS156" s="3383"/>
      <c r="AT156" s="3383"/>
      <c r="AU156" s="3383"/>
      <c r="AV156" s="3383"/>
      <c r="AW156" s="3383"/>
      <c r="AX156" s="3383"/>
      <c r="AY156" s="3383"/>
      <c r="AZ156" s="3383"/>
      <c r="BA156" s="3383"/>
      <c r="BB156" s="3976"/>
      <c r="BC156" s="3976"/>
      <c r="BD156" s="3383"/>
      <c r="BE156" s="2411"/>
      <c r="BF156" s="2761"/>
      <c r="BG156" s="3777"/>
      <c r="BH156" s="3777"/>
      <c r="BI156" s="3779"/>
      <c r="BJ156" s="2761"/>
      <c r="BK156" s="2761"/>
      <c r="BL156" s="3747"/>
      <c r="BM156" s="3747"/>
      <c r="BN156" s="3747"/>
      <c r="BO156" s="3747"/>
      <c r="BP156" s="2343"/>
    </row>
    <row r="157" spans="1:68" ht="75" x14ac:dyDescent="0.25">
      <c r="A157" s="141"/>
      <c r="B157" s="1"/>
      <c r="C157" s="1"/>
      <c r="D157" s="3784"/>
      <c r="E157" s="3785"/>
      <c r="F157" s="3"/>
      <c r="G157" s="3932"/>
      <c r="H157" s="3934"/>
      <c r="I157" s="3811"/>
      <c r="J157" s="2416"/>
      <c r="K157" s="2348"/>
      <c r="L157" s="3717"/>
      <c r="M157" s="2416"/>
      <c r="N157" s="2343"/>
      <c r="O157" s="2413"/>
      <c r="P157" s="3972"/>
      <c r="Q157" s="3984"/>
      <c r="R157" s="3728"/>
      <c r="S157" s="3986"/>
      <c r="T157" s="1787" t="s">
        <v>1669</v>
      </c>
      <c r="U157" s="1767">
        <v>7000000</v>
      </c>
      <c r="V157" s="1767">
        <v>5000000</v>
      </c>
      <c r="W157" s="1762"/>
      <c r="X157" s="1646">
        <v>88</v>
      </c>
      <c r="Y157" s="1600" t="s">
        <v>4</v>
      </c>
      <c r="Z157" s="2343"/>
      <c r="AA157" s="2761"/>
      <c r="AB157" s="2343"/>
      <c r="AC157" s="3808"/>
      <c r="AD157" s="3383"/>
      <c r="AE157" s="3383"/>
      <c r="AF157" s="3383"/>
      <c r="AG157" s="3383"/>
      <c r="AH157" s="3383"/>
      <c r="AI157" s="3383"/>
      <c r="AJ157" s="3383"/>
      <c r="AK157" s="3383"/>
      <c r="AL157" s="3383"/>
      <c r="AM157" s="3383"/>
      <c r="AN157" s="3383"/>
      <c r="AO157" s="3383"/>
      <c r="AP157" s="3383"/>
      <c r="AQ157" s="3383"/>
      <c r="AR157" s="3383"/>
      <c r="AS157" s="3383"/>
      <c r="AT157" s="3383"/>
      <c r="AU157" s="3383"/>
      <c r="AV157" s="3383"/>
      <c r="AW157" s="3383"/>
      <c r="AX157" s="3383"/>
      <c r="AY157" s="3383"/>
      <c r="AZ157" s="3383"/>
      <c r="BA157" s="3383"/>
      <c r="BB157" s="3976"/>
      <c r="BC157" s="3976"/>
      <c r="BD157" s="3383"/>
      <c r="BE157" s="2411"/>
      <c r="BF157" s="2761"/>
      <c r="BG157" s="3777"/>
      <c r="BH157" s="3777"/>
      <c r="BI157" s="3779"/>
      <c r="BJ157" s="2761"/>
      <c r="BK157" s="2761"/>
      <c r="BL157" s="3747"/>
      <c r="BM157" s="3747"/>
      <c r="BN157" s="3747"/>
      <c r="BO157" s="3747"/>
      <c r="BP157" s="2343"/>
    </row>
    <row r="158" spans="1:68" ht="43.5" customHeight="1" x14ac:dyDescent="0.25">
      <c r="A158" s="141"/>
      <c r="B158" s="1"/>
      <c r="C158" s="1"/>
      <c r="D158" s="3784"/>
      <c r="E158" s="3785"/>
      <c r="F158" s="3"/>
      <c r="G158" s="3932"/>
      <c r="H158" s="3934"/>
      <c r="I158" s="3811"/>
      <c r="J158" s="2416"/>
      <c r="K158" s="2348"/>
      <c r="L158" s="3717"/>
      <c r="M158" s="2416"/>
      <c r="N158" s="2343"/>
      <c r="O158" s="2413"/>
      <c r="P158" s="3972"/>
      <c r="Q158" s="3984"/>
      <c r="R158" s="3728"/>
      <c r="S158" s="3986"/>
      <c r="T158" s="1787" t="s">
        <v>1670</v>
      </c>
      <c r="U158" s="1767">
        <v>7000000</v>
      </c>
      <c r="V158" s="1767">
        <v>5266667</v>
      </c>
      <c r="W158" s="1762"/>
      <c r="X158" s="1646">
        <v>88</v>
      </c>
      <c r="Y158" s="1600" t="s">
        <v>4</v>
      </c>
      <c r="Z158" s="2343"/>
      <c r="AA158" s="2761"/>
      <c r="AB158" s="2343"/>
      <c r="AC158" s="3808"/>
      <c r="AD158" s="3383"/>
      <c r="AE158" s="3383"/>
      <c r="AF158" s="3383"/>
      <c r="AG158" s="3383"/>
      <c r="AH158" s="3383"/>
      <c r="AI158" s="3383"/>
      <c r="AJ158" s="3383"/>
      <c r="AK158" s="3383"/>
      <c r="AL158" s="3383"/>
      <c r="AM158" s="3383"/>
      <c r="AN158" s="3383"/>
      <c r="AO158" s="3383"/>
      <c r="AP158" s="3383"/>
      <c r="AQ158" s="3383"/>
      <c r="AR158" s="3383"/>
      <c r="AS158" s="3383"/>
      <c r="AT158" s="3383"/>
      <c r="AU158" s="3383"/>
      <c r="AV158" s="3383"/>
      <c r="AW158" s="3383"/>
      <c r="AX158" s="3383"/>
      <c r="AY158" s="3383"/>
      <c r="AZ158" s="3383"/>
      <c r="BA158" s="3383"/>
      <c r="BB158" s="3976"/>
      <c r="BC158" s="3976"/>
      <c r="BD158" s="3383"/>
      <c r="BE158" s="2411"/>
      <c r="BF158" s="2761"/>
      <c r="BG158" s="3777"/>
      <c r="BH158" s="3777"/>
      <c r="BI158" s="3779"/>
      <c r="BJ158" s="2761"/>
      <c r="BK158" s="2761"/>
      <c r="BL158" s="3747"/>
      <c r="BM158" s="3747"/>
      <c r="BN158" s="3747"/>
      <c r="BO158" s="3747"/>
      <c r="BP158" s="2343"/>
    </row>
    <row r="159" spans="1:68" ht="47.25" customHeight="1" x14ac:dyDescent="0.25">
      <c r="A159" s="141"/>
      <c r="B159" s="1"/>
      <c r="C159" s="1"/>
      <c r="D159" s="3784"/>
      <c r="E159" s="3785"/>
      <c r="F159" s="3"/>
      <c r="G159" s="3932"/>
      <c r="H159" s="3934"/>
      <c r="I159" s="3811"/>
      <c r="J159" s="2416"/>
      <c r="K159" s="2348"/>
      <c r="L159" s="3717"/>
      <c r="M159" s="2416"/>
      <c r="N159" s="2343"/>
      <c r="O159" s="2413"/>
      <c r="P159" s="3972"/>
      <c r="Q159" s="3984"/>
      <c r="R159" s="3728"/>
      <c r="S159" s="3986"/>
      <c r="T159" s="1787" t="s">
        <v>1671</v>
      </c>
      <c r="U159" s="1767">
        <v>50000000</v>
      </c>
      <c r="V159" s="1767">
        <v>0</v>
      </c>
      <c r="W159" s="1762"/>
      <c r="X159" s="1646">
        <v>20</v>
      </c>
      <c r="Y159" s="1600" t="s">
        <v>7</v>
      </c>
      <c r="Z159" s="2343"/>
      <c r="AA159" s="2761"/>
      <c r="AB159" s="2343"/>
      <c r="AC159" s="3808"/>
      <c r="AD159" s="3383"/>
      <c r="AE159" s="3383"/>
      <c r="AF159" s="3383"/>
      <c r="AG159" s="3383"/>
      <c r="AH159" s="3383"/>
      <c r="AI159" s="3383"/>
      <c r="AJ159" s="3383"/>
      <c r="AK159" s="3383"/>
      <c r="AL159" s="3383"/>
      <c r="AM159" s="3383"/>
      <c r="AN159" s="3383"/>
      <c r="AO159" s="3383"/>
      <c r="AP159" s="3383"/>
      <c r="AQ159" s="3383"/>
      <c r="AR159" s="3383"/>
      <c r="AS159" s="3383"/>
      <c r="AT159" s="3383"/>
      <c r="AU159" s="3383"/>
      <c r="AV159" s="3383"/>
      <c r="AW159" s="3383"/>
      <c r="AX159" s="3383"/>
      <c r="AY159" s="3383"/>
      <c r="AZ159" s="3383"/>
      <c r="BA159" s="3383"/>
      <c r="BB159" s="3976"/>
      <c r="BC159" s="3976"/>
      <c r="BD159" s="3383"/>
      <c r="BE159" s="2411"/>
      <c r="BF159" s="2761"/>
      <c r="BG159" s="3777"/>
      <c r="BH159" s="3777"/>
      <c r="BI159" s="3779"/>
      <c r="BJ159" s="2761"/>
      <c r="BK159" s="2761"/>
      <c r="BL159" s="3747"/>
      <c r="BM159" s="3747"/>
      <c r="BN159" s="3747"/>
      <c r="BO159" s="3747"/>
      <c r="BP159" s="2343"/>
    </row>
    <row r="160" spans="1:68" ht="63.75" customHeight="1" x14ac:dyDescent="0.25">
      <c r="A160" s="141"/>
      <c r="B160" s="1"/>
      <c r="C160" s="1"/>
      <c r="D160" s="3784"/>
      <c r="E160" s="3785"/>
      <c r="F160" s="3"/>
      <c r="G160" s="3932"/>
      <c r="H160" s="3934"/>
      <c r="I160" s="3811"/>
      <c r="J160" s="2416"/>
      <c r="K160" s="2348"/>
      <c r="L160" s="3717"/>
      <c r="M160" s="2416"/>
      <c r="N160" s="2343"/>
      <c r="O160" s="2413"/>
      <c r="P160" s="3972"/>
      <c r="Q160" s="3984"/>
      <c r="R160" s="3728"/>
      <c r="S160" s="3986"/>
      <c r="T160" s="1787" t="s">
        <v>1672</v>
      </c>
      <c r="U160" s="1767">
        <v>24546842</v>
      </c>
      <c r="V160" s="1767">
        <v>0</v>
      </c>
      <c r="W160" s="1762"/>
      <c r="X160" s="1646">
        <v>88</v>
      </c>
      <c r="Y160" s="1600" t="s">
        <v>4</v>
      </c>
      <c r="Z160" s="2343"/>
      <c r="AA160" s="2761"/>
      <c r="AB160" s="2343"/>
      <c r="AC160" s="3808"/>
      <c r="AD160" s="3383"/>
      <c r="AE160" s="3383"/>
      <c r="AF160" s="3383"/>
      <c r="AG160" s="3383"/>
      <c r="AH160" s="3383"/>
      <c r="AI160" s="3383"/>
      <c r="AJ160" s="3383"/>
      <c r="AK160" s="3383"/>
      <c r="AL160" s="3383"/>
      <c r="AM160" s="3383"/>
      <c r="AN160" s="3383"/>
      <c r="AO160" s="3383"/>
      <c r="AP160" s="3383"/>
      <c r="AQ160" s="3383"/>
      <c r="AR160" s="3383"/>
      <c r="AS160" s="3383"/>
      <c r="AT160" s="3383"/>
      <c r="AU160" s="3383"/>
      <c r="AV160" s="3383"/>
      <c r="AW160" s="3383"/>
      <c r="AX160" s="3383"/>
      <c r="AY160" s="3383"/>
      <c r="AZ160" s="3383"/>
      <c r="BA160" s="3383"/>
      <c r="BB160" s="3976"/>
      <c r="BC160" s="3976"/>
      <c r="BD160" s="3383"/>
      <c r="BE160" s="2411"/>
      <c r="BF160" s="2761"/>
      <c r="BG160" s="3777"/>
      <c r="BH160" s="3777"/>
      <c r="BI160" s="3779"/>
      <c r="BJ160" s="2761"/>
      <c r="BK160" s="2761"/>
      <c r="BL160" s="3747"/>
      <c r="BM160" s="3747"/>
      <c r="BN160" s="3747"/>
      <c r="BO160" s="3747"/>
      <c r="BP160" s="2343"/>
    </row>
    <row r="161" spans="1:68" ht="65.25" customHeight="1" x14ac:dyDescent="0.25">
      <c r="A161" s="141"/>
      <c r="B161" s="1"/>
      <c r="C161" s="1"/>
      <c r="D161" s="3784"/>
      <c r="E161" s="3785"/>
      <c r="F161" s="3"/>
      <c r="G161" s="3932"/>
      <c r="H161" s="3934"/>
      <c r="I161" s="3811"/>
      <c r="J161" s="2416"/>
      <c r="K161" s="2348"/>
      <c r="L161" s="3717"/>
      <c r="M161" s="2416"/>
      <c r="N161" s="2343"/>
      <c r="O161" s="2413"/>
      <c r="P161" s="3972"/>
      <c r="Q161" s="3984"/>
      <c r="R161" s="3728"/>
      <c r="S161" s="3986"/>
      <c r="T161" s="1788" t="s">
        <v>1673</v>
      </c>
      <c r="U161" s="1767">
        <v>10000000</v>
      </c>
      <c r="V161" s="1767">
        <v>0</v>
      </c>
      <c r="W161" s="1762"/>
      <c r="X161" s="1646">
        <v>20</v>
      </c>
      <c r="Y161" s="1600" t="s">
        <v>7</v>
      </c>
      <c r="Z161" s="2343"/>
      <c r="AA161" s="2761"/>
      <c r="AB161" s="2343"/>
      <c r="AC161" s="3808"/>
      <c r="AD161" s="3383"/>
      <c r="AE161" s="3383"/>
      <c r="AF161" s="3383"/>
      <c r="AG161" s="3383"/>
      <c r="AH161" s="3383"/>
      <c r="AI161" s="3383"/>
      <c r="AJ161" s="3383"/>
      <c r="AK161" s="3383"/>
      <c r="AL161" s="3383"/>
      <c r="AM161" s="3383"/>
      <c r="AN161" s="3383"/>
      <c r="AO161" s="3383"/>
      <c r="AP161" s="3383"/>
      <c r="AQ161" s="3383"/>
      <c r="AR161" s="3383"/>
      <c r="AS161" s="3383"/>
      <c r="AT161" s="3383"/>
      <c r="AU161" s="3383"/>
      <c r="AV161" s="3383"/>
      <c r="AW161" s="3383"/>
      <c r="AX161" s="3383"/>
      <c r="AY161" s="3383"/>
      <c r="AZ161" s="3383"/>
      <c r="BA161" s="3383"/>
      <c r="BB161" s="3976"/>
      <c r="BC161" s="3976"/>
      <c r="BD161" s="3383"/>
      <c r="BE161" s="2411"/>
      <c r="BF161" s="2761"/>
      <c r="BG161" s="3777"/>
      <c r="BH161" s="3777"/>
      <c r="BI161" s="3779"/>
      <c r="BJ161" s="2761"/>
      <c r="BK161" s="2761"/>
      <c r="BL161" s="3747"/>
      <c r="BM161" s="3747"/>
      <c r="BN161" s="3747"/>
      <c r="BO161" s="3747"/>
      <c r="BP161" s="2343"/>
    </row>
    <row r="162" spans="1:68" ht="109.5" customHeight="1" x14ac:dyDescent="0.25">
      <c r="A162" s="141"/>
      <c r="B162" s="1"/>
      <c r="C162" s="1"/>
      <c r="D162" s="3784"/>
      <c r="E162" s="3785"/>
      <c r="F162" s="3"/>
      <c r="G162" s="3932"/>
      <c r="H162" s="3934"/>
      <c r="I162" s="3811"/>
      <c r="J162" s="2416"/>
      <c r="K162" s="2348"/>
      <c r="L162" s="3717"/>
      <c r="M162" s="2416"/>
      <c r="N162" s="2343"/>
      <c r="O162" s="2413"/>
      <c r="P162" s="3972"/>
      <c r="Q162" s="3984"/>
      <c r="R162" s="3728"/>
      <c r="S162" s="3986"/>
      <c r="T162" s="1787" t="s">
        <v>1674</v>
      </c>
      <c r="U162" s="1660">
        <v>4053333</v>
      </c>
      <c r="V162" s="1660">
        <v>4053333</v>
      </c>
      <c r="W162" s="1660">
        <v>4053333</v>
      </c>
      <c r="X162" s="1646">
        <v>20</v>
      </c>
      <c r="Y162" s="1600" t="s">
        <v>7</v>
      </c>
      <c r="Z162" s="2343"/>
      <c r="AA162" s="2761"/>
      <c r="AB162" s="2343"/>
      <c r="AC162" s="3808"/>
      <c r="AD162" s="3383"/>
      <c r="AE162" s="3383"/>
      <c r="AF162" s="3383"/>
      <c r="AG162" s="3383"/>
      <c r="AH162" s="3383"/>
      <c r="AI162" s="3383"/>
      <c r="AJ162" s="3383"/>
      <c r="AK162" s="3383"/>
      <c r="AL162" s="3383"/>
      <c r="AM162" s="3383"/>
      <c r="AN162" s="3383"/>
      <c r="AO162" s="3383"/>
      <c r="AP162" s="3383"/>
      <c r="AQ162" s="3383"/>
      <c r="AR162" s="3383"/>
      <c r="AS162" s="3383"/>
      <c r="AT162" s="3383"/>
      <c r="AU162" s="3383"/>
      <c r="AV162" s="3383"/>
      <c r="AW162" s="3383"/>
      <c r="AX162" s="3383"/>
      <c r="AY162" s="3383"/>
      <c r="AZ162" s="3383"/>
      <c r="BA162" s="3383"/>
      <c r="BB162" s="3976"/>
      <c r="BC162" s="3976"/>
      <c r="BD162" s="3383"/>
      <c r="BE162" s="2411"/>
      <c r="BF162" s="2761"/>
      <c r="BG162" s="3777"/>
      <c r="BH162" s="3777"/>
      <c r="BI162" s="3779"/>
      <c r="BJ162" s="2761"/>
      <c r="BK162" s="2761"/>
      <c r="BL162" s="3747"/>
      <c r="BM162" s="3747"/>
      <c r="BN162" s="3747"/>
      <c r="BO162" s="3747"/>
      <c r="BP162" s="2343"/>
    </row>
    <row r="163" spans="1:68" ht="60" customHeight="1" x14ac:dyDescent="0.25">
      <c r="A163" s="141"/>
      <c r="B163" s="1"/>
      <c r="C163" s="1"/>
      <c r="D163" s="3784"/>
      <c r="E163" s="3785"/>
      <c r="F163" s="3"/>
      <c r="G163" s="3932"/>
      <c r="H163" s="3934"/>
      <c r="I163" s="3811"/>
      <c r="J163" s="2416"/>
      <c r="K163" s="2348"/>
      <c r="L163" s="3717"/>
      <c r="M163" s="2416"/>
      <c r="N163" s="2343"/>
      <c r="O163" s="2413"/>
      <c r="P163" s="3972"/>
      <c r="Q163" s="3984"/>
      <c r="R163" s="3728"/>
      <c r="S163" s="3986"/>
      <c r="T163" s="1789" t="s">
        <v>1675</v>
      </c>
      <c r="U163" s="1660">
        <v>4480000</v>
      </c>
      <c r="V163" s="1660">
        <v>4480000</v>
      </c>
      <c r="W163" s="1660">
        <v>4480000</v>
      </c>
      <c r="X163" s="1646">
        <v>20</v>
      </c>
      <c r="Y163" s="1600" t="s">
        <v>7</v>
      </c>
      <c r="Z163" s="2341"/>
      <c r="AA163" s="2761"/>
      <c r="AB163" s="2343"/>
      <c r="AC163" s="3808"/>
      <c r="AD163" s="3383"/>
      <c r="AE163" s="3383"/>
      <c r="AF163" s="3383"/>
      <c r="AG163" s="3383"/>
      <c r="AH163" s="3383"/>
      <c r="AI163" s="3383"/>
      <c r="AJ163" s="3383"/>
      <c r="AK163" s="3383"/>
      <c r="AL163" s="3383"/>
      <c r="AM163" s="3383"/>
      <c r="AN163" s="3383"/>
      <c r="AO163" s="3383"/>
      <c r="AP163" s="3383"/>
      <c r="AQ163" s="3383"/>
      <c r="AR163" s="3383"/>
      <c r="AS163" s="3383"/>
      <c r="AT163" s="3383"/>
      <c r="AU163" s="3383"/>
      <c r="AV163" s="3383"/>
      <c r="AW163" s="3383"/>
      <c r="AX163" s="3383"/>
      <c r="AY163" s="3383"/>
      <c r="AZ163" s="3383"/>
      <c r="BA163" s="3383"/>
      <c r="BB163" s="3976"/>
      <c r="BC163" s="3976"/>
      <c r="BD163" s="3383"/>
      <c r="BE163" s="2411"/>
      <c r="BF163" s="2761"/>
      <c r="BG163" s="3777"/>
      <c r="BH163" s="3777"/>
      <c r="BI163" s="3779"/>
      <c r="BJ163" s="2761"/>
      <c r="BK163" s="2761"/>
      <c r="BL163" s="3747"/>
      <c r="BM163" s="3747"/>
      <c r="BN163" s="3747"/>
      <c r="BO163" s="3747"/>
      <c r="BP163" s="2343"/>
    </row>
    <row r="164" spans="1:68" ht="105" x14ac:dyDescent="0.25">
      <c r="A164" s="141"/>
      <c r="B164" s="1"/>
      <c r="C164" s="1"/>
      <c r="D164" s="3784"/>
      <c r="E164" s="3785"/>
      <c r="F164" s="3"/>
      <c r="G164" s="3932"/>
      <c r="H164" s="3934"/>
      <c r="I164" s="3811"/>
      <c r="J164" s="2416"/>
      <c r="K164" s="2348"/>
      <c r="L164" s="3717"/>
      <c r="M164" s="2416"/>
      <c r="N164" s="2343"/>
      <c r="O164" s="2413"/>
      <c r="P164" s="3972"/>
      <c r="Q164" s="3984"/>
      <c r="R164" s="3728"/>
      <c r="S164" s="3986"/>
      <c r="T164" s="1789" t="s">
        <v>1676</v>
      </c>
      <c r="U164" s="1660">
        <v>2240000</v>
      </c>
      <c r="V164" s="1660">
        <v>2240000</v>
      </c>
      <c r="W164" s="1660">
        <v>2240000</v>
      </c>
      <c r="X164" s="1646">
        <v>20</v>
      </c>
      <c r="Y164" s="1600" t="s">
        <v>7</v>
      </c>
      <c r="Z164" s="2341"/>
      <c r="AA164" s="2761"/>
      <c r="AB164" s="2343"/>
      <c r="AC164" s="3808"/>
      <c r="AD164" s="3383"/>
      <c r="AE164" s="3383"/>
      <c r="AF164" s="3383"/>
      <c r="AG164" s="3383"/>
      <c r="AH164" s="3383"/>
      <c r="AI164" s="3383"/>
      <c r="AJ164" s="3383"/>
      <c r="AK164" s="3383"/>
      <c r="AL164" s="3383"/>
      <c r="AM164" s="3383"/>
      <c r="AN164" s="3383"/>
      <c r="AO164" s="3383"/>
      <c r="AP164" s="3383"/>
      <c r="AQ164" s="3383"/>
      <c r="AR164" s="3383"/>
      <c r="AS164" s="3383"/>
      <c r="AT164" s="3383"/>
      <c r="AU164" s="3383"/>
      <c r="AV164" s="3383"/>
      <c r="AW164" s="3383"/>
      <c r="AX164" s="3383"/>
      <c r="AY164" s="3383"/>
      <c r="AZ164" s="3383"/>
      <c r="BA164" s="3383"/>
      <c r="BB164" s="3976"/>
      <c r="BC164" s="3976"/>
      <c r="BD164" s="3383"/>
      <c r="BE164" s="2411"/>
      <c r="BF164" s="2761"/>
      <c r="BG164" s="3777"/>
      <c r="BH164" s="3777"/>
      <c r="BI164" s="3779"/>
      <c r="BJ164" s="2761"/>
      <c r="BK164" s="2761"/>
      <c r="BL164" s="3747"/>
      <c r="BM164" s="3747"/>
      <c r="BN164" s="3747"/>
      <c r="BO164" s="3747"/>
      <c r="BP164" s="2343"/>
    </row>
    <row r="165" spans="1:68" ht="67.5" customHeight="1" x14ac:dyDescent="0.25">
      <c r="A165" s="141"/>
      <c r="B165" s="1"/>
      <c r="C165" s="1"/>
      <c r="D165" s="3784"/>
      <c r="E165" s="3785"/>
      <c r="F165" s="3"/>
      <c r="G165" s="3932"/>
      <c r="H165" s="3934"/>
      <c r="I165" s="3811"/>
      <c r="J165" s="2416"/>
      <c r="K165" s="2348"/>
      <c r="L165" s="3717"/>
      <c r="M165" s="2416"/>
      <c r="N165" s="2343"/>
      <c r="O165" s="2413"/>
      <c r="P165" s="3972"/>
      <c r="Q165" s="3984"/>
      <c r="R165" s="3728"/>
      <c r="S165" s="3986"/>
      <c r="T165" s="1790" t="s">
        <v>1677</v>
      </c>
      <c r="U165" s="1660">
        <v>2240000</v>
      </c>
      <c r="V165" s="1660">
        <v>2240000</v>
      </c>
      <c r="W165" s="1660">
        <v>2240000</v>
      </c>
      <c r="X165" s="1646">
        <v>20</v>
      </c>
      <c r="Y165" s="1600" t="s">
        <v>7</v>
      </c>
      <c r="Z165" s="2343"/>
      <c r="AA165" s="2761"/>
      <c r="AB165" s="2343"/>
      <c r="AC165" s="3808"/>
      <c r="AD165" s="3383"/>
      <c r="AE165" s="3383"/>
      <c r="AF165" s="3383"/>
      <c r="AG165" s="3383"/>
      <c r="AH165" s="3383"/>
      <c r="AI165" s="3383"/>
      <c r="AJ165" s="3383"/>
      <c r="AK165" s="3383"/>
      <c r="AL165" s="3383"/>
      <c r="AM165" s="3383"/>
      <c r="AN165" s="3383"/>
      <c r="AO165" s="3383"/>
      <c r="AP165" s="3383"/>
      <c r="AQ165" s="3383"/>
      <c r="AR165" s="3383"/>
      <c r="AS165" s="3383"/>
      <c r="AT165" s="3383"/>
      <c r="AU165" s="3383"/>
      <c r="AV165" s="3383"/>
      <c r="AW165" s="3383"/>
      <c r="AX165" s="3383"/>
      <c r="AY165" s="3383"/>
      <c r="AZ165" s="3383"/>
      <c r="BA165" s="3383"/>
      <c r="BB165" s="3976"/>
      <c r="BC165" s="3976"/>
      <c r="BD165" s="3383"/>
      <c r="BE165" s="2411"/>
      <c r="BF165" s="2761"/>
      <c r="BG165" s="3777"/>
      <c r="BH165" s="3777"/>
      <c r="BI165" s="3779"/>
      <c r="BJ165" s="2761"/>
      <c r="BK165" s="2761"/>
      <c r="BL165" s="3747"/>
      <c r="BM165" s="3747"/>
      <c r="BN165" s="3747"/>
      <c r="BO165" s="3747"/>
      <c r="BP165" s="2343"/>
    </row>
    <row r="166" spans="1:68" ht="60" x14ac:dyDescent="0.25">
      <c r="A166" s="141"/>
      <c r="B166" s="1"/>
      <c r="C166" s="1"/>
      <c r="D166" s="3784"/>
      <c r="E166" s="3785"/>
      <c r="F166" s="3"/>
      <c r="G166" s="3932"/>
      <c r="H166" s="3934"/>
      <c r="I166" s="3811"/>
      <c r="J166" s="2416"/>
      <c r="K166" s="2348"/>
      <c r="L166" s="3717"/>
      <c r="M166" s="2416"/>
      <c r="N166" s="2343"/>
      <c r="O166" s="2413"/>
      <c r="P166" s="3972"/>
      <c r="Q166" s="3984"/>
      <c r="R166" s="3728"/>
      <c r="S166" s="3986"/>
      <c r="T166" s="1787" t="s">
        <v>1678</v>
      </c>
      <c r="U166" s="1660">
        <v>2240000</v>
      </c>
      <c r="V166" s="1660">
        <v>2240000</v>
      </c>
      <c r="W166" s="1660">
        <v>2240000</v>
      </c>
      <c r="X166" s="1646">
        <v>20</v>
      </c>
      <c r="Y166" s="1600" t="s">
        <v>7</v>
      </c>
      <c r="Z166" s="2343"/>
      <c r="AA166" s="2761"/>
      <c r="AB166" s="2343"/>
      <c r="AC166" s="3808"/>
      <c r="AD166" s="3383"/>
      <c r="AE166" s="3383"/>
      <c r="AF166" s="3383"/>
      <c r="AG166" s="3383"/>
      <c r="AH166" s="3383"/>
      <c r="AI166" s="3383"/>
      <c r="AJ166" s="3383"/>
      <c r="AK166" s="3383"/>
      <c r="AL166" s="3383"/>
      <c r="AM166" s="3383"/>
      <c r="AN166" s="3383"/>
      <c r="AO166" s="3383"/>
      <c r="AP166" s="3383"/>
      <c r="AQ166" s="3383"/>
      <c r="AR166" s="3383"/>
      <c r="AS166" s="3383"/>
      <c r="AT166" s="3383"/>
      <c r="AU166" s="3383"/>
      <c r="AV166" s="3383"/>
      <c r="AW166" s="3383"/>
      <c r="AX166" s="3383"/>
      <c r="AY166" s="3383"/>
      <c r="AZ166" s="3383"/>
      <c r="BA166" s="3383"/>
      <c r="BB166" s="3976"/>
      <c r="BC166" s="3976"/>
      <c r="BD166" s="3383"/>
      <c r="BE166" s="2411"/>
      <c r="BF166" s="2761"/>
      <c r="BG166" s="3777"/>
      <c r="BH166" s="3777"/>
      <c r="BI166" s="3779"/>
      <c r="BJ166" s="2761"/>
      <c r="BK166" s="2761"/>
      <c r="BL166" s="3747"/>
      <c r="BM166" s="3747"/>
      <c r="BN166" s="3747"/>
      <c r="BO166" s="3747"/>
      <c r="BP166" s="2343"/>
    </row>
    <row r="167" spans="1:68" ht="57" customHeight="1" x14ac:dyDescent="0.25">
      <c r="A167" s="141"/>
      <c r="B167" s="1"/>
      <c r="C167" s="1"/>
      <c r="D167" s="3784"/>
      <c r="E167" s="3785"/>
      <c r="F167" s="3"/>
      <c r="G167" s="3932"/>
      <c r="H167" s="3934"/>
      <c r="I167" s="3811"/>
      <c r="J167" s="2416"/>
      <c r="K167" s="2348"/>
      <c r="L167" s="3717"/>
      <c r="M167" s="2416"/>
      <c r="N167" s="2343"/>
      <c r="O167" s="2413"/>
      <c r="P167" s="3972"/>
      <c r="Q167" s="3984"/>
      <c r="R167" s="3728"/>
      <c r="S167" s="3986"/>
      <c r="T167" s="1787" t="s">
        <v>1590</v>
      </c>
      <c r="U167" s="1660">
        <v>6720000</v>
      </c>
      <c r="V167" s="1660">
        <v>6720000</v>
      </c>
      <c r="W167" s="1660">
        <v>6720000</v>
      </c>
      <c r="X167" s="1646">
        <v>20</v>
      </c>
      <c r="Y167" s="1600" t="s">
        <v>7</v>
      </c>
      <c r="Z167" s="2343"/>
      <c r="AA167" s="2761"/>
      <c r="AB167" s="2343"/>
      <c r="AC167" s="3808"/>
      <c r="AD167" s="3383"/>
      <c r="AE167" s="3383"/>
      <c r="AF167" s="3383"/>
      <c r="AG167" s="3383"/>
      <c r="AH167" s="3383"/>
      <c r="AI167" s="3383"/>
      <c r="AJ167" s="3383"/>
      <c r="AK167" s="3383"/>
      <c r="AL167" s="3383"/>
      <c r="AM167" s="3383"/>
      <c r="AN167" s="3383"/>
      <c r="AO167" s="3383"/>
      <c r="AP167" s="3383"/>
      <c r="AQ167" s="3383"/>
      <c r="AR167" s="3383"/>
      <c r="AS167" s="3383"/>
      <c r="AT167" s="3383"/>
      <c r="AU167" s="3383"/>
      <c r="AV167" s="3383"/>
      <c r="AW167" s="3383"/>
      <c r="AX167" s="3383"/>
      <c r="AY167" s="3383"/>
      <c r="AZ167" s="3383"/>
      <c r="BA167" s="3383"/>
      <c r="BB167" s="3976"/>
      <c r="BC167" s="3976"/>
      <c r="BD167" s="3383"/>
      <c r="BE167" s="2411"/>
      <c r="BF167" s="2761"/>
      <c r="BG167" s="3777"/>
      <c r="BH167" s="3777"/>
      <c r="BI167" s="3779"/>
      <c r="BJ167" s="2761"/>
      <c r="BK167" s="2761"/>
      <c r="BL167" s="3747"/>
      <c r="BM167" s="3747"/>
      <c r="BN167" s="3747"/>
      <c r="BO167" s="3747"/>
      <c r="BP167" s="2343"/>
    </row>
    <row r="168" spans="1:68" ht="40.5" customHeight="1" x14ac:dyDescent="0.25">
      <c r="A168" s="141"/>
      <c r="B168" s="1"/>
      <c r="C168" s="1"/>
      <c r="D168" s="3784"/>
      <c r="E168" s="3785"/>
      <c r="F168" s="3"/>
      <c r="G168" s="3932"/>
      <c r="H168" s="3934"/>
      <c r="I168" s="3811"/>
      <c r="J168" s="2416"/>
      <c r="K168" s="2348"/>
      <c r="L168" s="3717"/>
      <c r="M168" s="2416"/>
      <c r="N168" s="2343"/>
      <c r="O168" s="2413"/>
      <c r="P168" s="3972"/>
      <c r="Q168" s="3984"/>
      <c r="R168" s="3728"/>
      <c r="S168" s="3986"/>
      <c r="T168" s="1787" t="s">
        <v>1591</v>
      </c>
      <c r="U168" s="1767">
        <v>1120000</v>
      </c>
      <c r="V168" s="1767">
        <v>1120000</v>
      </c>
      <c r="W168" s="1767">
        <v>1120000</v>
      </c>
      <c r="X168" s="1646">
        <v>20</v>
      </c>
      <c r="Y168" s="1600" t="s">
        <v>7</v>
      </c>
      <c r="Z168" s="2343"/>
      <c r="AA168" s="2761"/>
      <c r="AB168" s="2343"/>
      <c r="AC168" s="3808"/>
      <c r="AD168" s="3383"/>
      <c r="AE168" s="3383"/>
      <c r="AF168" s="3383"/>
      <c r="AG168" s="3383"/>
      <c r="AH168" s="3383"/>
      <c r="AI168" s="3383"/>
      <c r="AJ168" s="3383"/>
      <c r="AK168" s="3383"/>
      <c r="AL168" s="3383"/>
      <c r="AM168" s="3383"/>
      <c r="AN168" s="3383"/>
      <c r="AO168" s="3383"/>
      <c r="AP168" s="3383"/>
      <c r="AQ168" s="3383"/>
      <c r="AR168" s="3383"/>
      <c r="AS168" s="3383"/>
      <c r="AT168" s="3383"/>
      <c r="AU168" s="3383"/>
      <c r="AV168" s="3383"/>
      <c r="AW168" s="3383"/>
      <c r="AX168" s="3383"/>
      <c r="AY168" s="3383"/>
      <c r="AZ168" s="3383"/>
      <c r="BA168" s="3383"/>
      <c r="BB168" s="3976"/>
      <c r="BC168" s="3976"/>
      <c r="BD168" s="3383"/>
      <c r="BE168" s="2411"/>
      <c r="BF168" s="2761"/>
      <c r="BG168" s="3777"/>
      <c r="BH168" s="3777"/>
      <c r="BI168" s="3779"/>
      <c r="BJ168" s="2761"/>
      <c r="BK168" s="2761"/>
      <c r="BL168" s="3747"/>
      <c r="BM168" s="3747"/>
      <c r="BN168" s="3747"/>
      <c r="BO168" s="3747"/>
      <c r="BP168" s="2343"/>
    </row>
    <row r="169" spans="1:68" ht="50.25" customHeight="1" x14ac:dyDescent="0.25">
      <c r="A169" s="141"/>
      <c r="B169" s="1"/>
      <c r="C169" s="1"/>
      <c r="D169" s="3784"/>
      <c r="E169" s="3785"/>
      <c r="F169" s="3"/>
      <c r="G169" s="3932"/>
      <c r="H169" s="3934"/>
      <c r="I169" s="3811"/>
      <c r="J169" s="2416"/>
      <c r="K169" s="2348"/>
      <c r="L169" s="3717"/>
      <c r="M169" s="2416"/>
      <c r="N169" s="2343"/>
      <c r="O169" s="2413"/>
      <c r="P169" s="3972"/>
      <c r="Q169" s="3984"/>
      <c r="R169" s="3728"/>
      <c r="S169" s="3986"/>
      <c r="T169" s="1787" t="s">
        <v>1679</v>
      </c>
      <c r="U169" s="1660">
        <v>5600000</v>
      </c>
      <c r="V169" s="1660">
        <v>5600000</v>
      </c>
      <c r="W169" s="1660">
        <v>5600000</v>
      </c>
      <c r="X169" s="1646">
        <v>20</v>
      </c>
      <c r="Y169" s="1600" t="s">
        <v>7</v>
      </c>
      <c r="Z169" s="2343"/>
      <c r="AA169" s="2761"/>
      <c r="AB169" s="2343"/>
      <c r="AC169" s="3808"/>
      <c r="AD169" s="3383"/>
      <c r="AE169" s="3383"/>
      <c r="AF169" s="3383"/>
      <c r="AG169" s="3383"/>
      <c r="AH169" s="3383"/>
      <c r="AI169" s="3383"/>
      <c r="AJ169" s="3383"/>
      <c r="AK169" s="3383"/>
      <c r="AL169" s="3383"/>
      <c r="AM169" s="3383"/>
      <c r="AN169" s="3383"/>
      <c r="AO169" s="3383"/>
      <c r="AP169" s="3383"/>
      <c r="AQ169" s="3383"/>
      <c r="AR169" s="3383"/>
      <c r="AS169" s="3383"/>
      <c r="AT169" s="3383"/>
      <c r="AU169" s="3383"/>
      <c r="AV169" s="3383"/>
      <c r="AW169" s="3383"/>
      <c r="AX169" s="3383"/>
      <c r="AY169" s="3383"/>
      <c r="AZ169" s="3383"/>
      <c r="BA169" s="3383"/>
      <c r="BB169" s="3976"/>
      <c r="BC169" s="3976"/>
      <c r="BD169" s="3383"/>
      <c r="BE169" s="2411"/>
      <c r="BF169" s="2761"/>
      <c r="BG169" s="3777"/>
      <c r="BH169" s="3777"/>
      <c r="BI169" s="3779"/>
      <c r="BJ169" s="2761"/>
      <c r="BK169" s="2761"/>
      <c r="BL169" s="3747"/>
      <c r="BM169" s="3747"/>
      <c r="BN169" s="3747"/>
      <c r="BO169" s="3747"/>
      <c r="BP169" s="2343"/>
    </row>
    <row r="170" spans="1:68" ht="58.5" customHeight="1" x14ac:dyDescent="0.25">
      <c r="A170" s="141"/>
      <c r="B170" s="1"/>
      <c r="C170" s="1"/>
      <c r="D170" s="3812"/>
      <c r="E170" s="3813"/>
      <c r="F170" s="206"/>
      <c r="G170" s="3932"/>
      <c r="H170" s="3934"/>
      <c r="I170" s="3811"/>
      <c r="J170" s="2416"/>
      <c r="K170" s="2348"/>
      <c r="L170" s="3718"/>
      <c r="M170" s="2416"/>
      <c r="N170" s="2343"/>
      <c r="O170" s="2413"/>
      <c r="P170" s="3972"/>
      <c r="Q170" s="3984"/>
      <c r="R170" s="3728"/>
      <c r="S170" s="3987"/>
      <c r="T170" s="1787" t="s">
        <v>1592</v>
      </c>
      <c r="U170" s="1660">
        <v>3360000</v>
      </c>
      <c r="V170" s="1660">
        <v>3360000</v>
      </c>
      <c r="W170" s="1660">
        <v>3360000</v>
      </c>
      <c r="X170" s="1763">
        <v>20</v>
      </c>
      <c r="Y170" s="1600" t="s">
        <v>7</v>
      </c>
      <c r="Z170" s="2343"/>
      <c r="AA170" s="2342"/>
      <c r="AB170" s="2343"/>
      <c r="AC170" s="2450"/>
      <c r="AD170" s="3383"/>
      <c r="AE170" s="3383"/>
      <c r="AF170" s="3383"/>
      <c r="AG170" s="3383"/>
      <c r="AH170" s="3383"/>
      <c r="AI170" s="3383"/>
      <c r="AJ170" s="3383"/>
      <c r="AK170" s="3383"/>
      <c r="AL170" s="3383"/>
      <c r="AM170" s="3383"/>
      <c r="AN170" s="3383"/>
      <c r="AO170" s="3383"/>
      <c r="AP170" s="3383"/>
      <c r="AQ170" s="3383"/>
      <c r="AR170" s="3383"/>
      <c r="AS170" s="3383"/>
      <c r="AT170" s="3383"/>
      <c r="AU170" s="3383"/>
      <c r="AV170" s="3383"/>
      <c r="AW170" s="3383"/>
      <c r="AX170" s="3383"/>
      <c r="AY170" s="3383"/>
      <c r="AZ170" s="3383"/>
      <c r="BA170" s="3383"/>
      <c r="BB170" s="3976"/>
      <c r="BC170" s="3976"/>
      <c r="BD170" s="3383"/>
      <c r="BE170" s="2340"/>
      <c r="BF170" s="2342"/>
      <c r="BG170" s="3778"/>
      <c r="BH170" s="3778"/>
      <c r="BI170" s="3780"/>
      <c r="BJ170" s="2342"/>
      <c r="BK170" s="2342"/>
      <c r="BL170" s="3747"/>
      <c r="BM170" s="3747"/>
      <c r="BN170" s="3747"/>
      <c r="BO170" s="3747"/>
      <c r="BP170" s="2343"/>
    </row>
    <row r="171" spans="1:68" ht="25.5" customHeight="1" x14ac:dyDescent="0.25">
      <c r="A171" s="141"/>
      <c r="B171" s="1"/>
      <c r="C171" s="1"/>
      <c r="D171" s="1200">
        <v>41</v>
      </c>
      <c r="E171" s="1697" t="s">
        <v>1152</v>
      </c>
      <c r="F171" s="1698"/>
      <c r="G171" s="1700"/>
      <c r="H171" s="1700"/>
      <c r="I171" s="1701"/>
      <c r="J171" s="1701"/>
      <c r="K171" s="1740"/>
      <c r="L171" s="1701"/>
      <c r="M171" s="1701"/>
      <c r="N171" s="1742"/>
      <c r="O171" s="1701"/>
      <c r="P171" s="1704"/>
      <c r="Q171" s="1705"/>
      <c r="R171" s="1706"/>
      <c r="S171" s="1791"/>
      <c r="T171" s="1706"/>
      <c r="U171" s="1707"/>
      <c r="V171" s="1707"/>
      <c r="W171" s="1707"/>
      <c r="X171" s="1708"/>
      <c r="Y171" s="1709"/>
      <c r="Z171" s="1710"/>
      <c r="AA171" s="1710"/>
      <c r="AB171" s="1710"/>
      <c r="AC171" s="1710"/>
      <c r="AD171" s="1710"/>
      <c r="AE171" s="1710"/>
      <c r="AF171" s="1710"/>
      <c r="AG171" s="1710"/>
      <c r="AH171" s="1710"/>
      <c r="AI171" s="1710"/>
      <c r="AJ171" s="1710"/>
      <c r="AK171" s="1710"/>
      <c r="AL171" s="1710"/>
      <c r="AM171" s="1710"/>
      <c r="AN171" s="1710"/>
      <c r="AO171" s="1710"/>
      <c r="AP171" s="1710"/>
      <c r="AQ171" s="1710"/>
      <c r="AR171" s="1710"/>
      <c r="AS171" s="1710"/>
      <c r="AT171" s="1710"/>
      <c r="AU171" s="1710"/>
      <c r="AV171" s="1710"/>
      <c r="AW171" s="1710"/>
      <c r="AX171" s="1710"/>
      <c r="AY171" s="1710"/>
      <c r="AZ171" s="1710"/>
      <c r="BA171" s="1710"/>
      <c r="BB171" s="1710"/>
      <c r="BC171" s="1710"/>
      <c r="BD171" s="1710"/>
      <c r="BE171" s="1710"/>
      <c r="BF171" s="1710"/>
      <c r="BG171" s="1792"/>
      <c r="BH171" s="1792"/>
      <c r="BI171" s="1710"/>
      <c r="BJ171" s="1710"/>
      <c r="BK171" s="1700"/>
      <c r="BL171" s="1710"/>
      <c r="BM171" s="1710"/>
      <c r="BN171" s="1710"/>
      <c r="BO171" s="1710"/>
      <c r="BP171" s="1700"/>
    </row>
    <row r="172" spans="1:68" s="1601" customFormat="1" ht="107.25" customHeight="1" x14ac:dyDescent="0.25">
      <c r="A172" s="616"/>
      <c r="B172" s="1471"/>
      <c r="C172" s="1471"/>
      <c r="D172" s="1518"/>
      <c r="E172" s="1463"/>
      <c r="F172" s="1519"/>
      <c r="G172" s="3903">
        <v>4501024</v>
      </c>
      <c r="H172" s="2891">
        <v>41.2</v>
      </c>
      <c r="I172" s="3061" t="s">
        <v>1173</v>
      </c>
      <c r="J172" s="3908" t="s">
        <v>1680</v>
      </c>
      <c r="K172" s="3975">
        <v>1</v>
      </c>
      <c r="L172" s="3798">
        <v>0</v>
      </c>
      <c r="M172" s="3979" t="s">
        <v>1681</v>
      </c>
      <c r="N172" s="3550" t="s">
        <v>1682</v>
      </c>
      <c r="O172" s="3980" t="s">
        <v>1683</v>
      </c>
      <c r="P172" s="3796">
        <f>SUM(U172:U173)/(Q186+Q172)</f>
        <v>0.72727272727272729</v>
      </c>
      <c r="Q172" s="3981">
        <v>40000000</v>
      </c>
      <c r="R172" s="3977" t="s">
        <v>1684</v>
      </c>
      <c r="S172" s="3977" t="s">
        <v>1685</v>
      </c>
      <c r="T172" s="3977" t="s">
        <v>1173</v>
      </c>
      <c r="U172" s="1718">
        <v>25000000</v>
      </c>
      <c r="V172" s="1718">
        <v>0</v>
      </c>
      <c r="W172" s="1718">
        <v>0</v>
      </c>
      <c r="X172" s="1725">
        <v>20</v>
      </c>
      <c r="Y172" s="1726" t="s">
        <v>1240</v>
      </c>
      <c r="Z172" s="3978">
        <v>295972</v>
      </c>
      <c r="AA172" s="3978"/>
      <c r="AB172" s="3978">
        <v>285580</v>
      </c>
      <c r="AC172" s="3978"/>
      <c r="AD172" s="3978">
        <v>135545</v>
      </c>
      <c r="AE172" s="3988"/>
      <c r="AF172" s="3988">
        <v>44254</v>
      </c>
      <c r="AG172" s="3988"/>
      <c r="AH172" s="3988">
        <v>309146</v>
      </c>
      <c r="AI172" s="3988"/>
      <c r="AJ172" s="3988">
        <v>92607</v>
      </c>
      <c r="AK172" s="3988"/>
      <c r="AL172" s="3988">
        <v>2145</v>
      </c>
      <c r="AM172" s="3988"/>
      <c r="AN172" s="3988">
        <v>12718</v>
      </c>
      <c r="AO172" s="3988"/>
      <c r="AP172" s="3988">
        <v>26</v>
      </c>
      <c r="AQ172" s="3988"/>
      <c r="AR172" s="3988">
        <v>37</v>
      </c>
      <c r="AS172" s="3988"/>
      <c r="AT172" s="3988">
        <v>0</v>
      </c>
      <c r="AU172" s="3988"/>
      <c r="AV172" s="3988">
        <v>0</v>
      </c>
      <c r="AW172" s="3988"/>
      <c r="AX172" s="3988">
        <v>44350</v>
      </c>
      <c r="AY172" s="3988"/>
      <c r="AZ172" s="3988">
        <v>21944</v>
      </c>
      <c r="BA172" s="3988"/>
      <c r="BB172" s="3988">
        <v>75687</v>
      </c>
      <c r="BC172" s="3988"/>
      <c r="BD172" s="3988">
        <v>581552</v>
      </c>
      <c r="BE172" s="3988"/>
      <c r="BF172" s="3988"/>
      <c r="BG172" s="3662">
        <f>SUM(V172:V173)</f>
        <v>0</v>
      </c>
      <c r="BH172" s="3662">
        <f>SUM(W172:W173)</f>
        <v>0</v>
      </c>
      <c r="BI172" s="3688">
        <f>BG172/Q172</f>
        <v>0</v>
      </c>
      <c r="BJ172" s="3988" t="s">
        <v>1407</v>
      </c>
      <c r="BK172" s="3160" t="s">
        <v>1610</v>
      </c>
      <c r="BL172" s="3920">
        <v>44033</v>
      </c>
      <c r="BM172" s="3920" t="s">
        <v>1686</v>
      </c>
      <c r="BN172" s="3920">
        <v>44195</v>
      </c>
      <c r="BO172" s="3920">
        <v>44195</v>
      </c>
      <c r="BP172" s="3109" t="s">
        <v>1409</v>
      </c>
    </row>
    <row r="173" spans="1:68" s="1601" customFormat="1" ht="107.25" customHeight="1" x14ac:dyDescent="0.25">
      <c r="A173" s="616"/>
      <c r="B173" s="1471"/>
      <c r="C173" s="1471"/>
      <c r="D173" s="1522"/>
      <c r="E173" s="1471"/>
      <c r="F173" s="1523"/>
      <c r="G173" s="3905"/>
      <c r="H173" s="2893"/>
      <c r="I173" s="3062"/>
      <c r="J173" s="3137"/>
      <c r="K173" s="3975"/>
      <c r="L173" s="3798"/>
      <c r="M173" s="3979"/>
      <c r="N173" s="3550"/>
      <c r="O173" s="3980"/>
      <c r="P173" s="3796"/>
      <c r="Q173" s="3981"/>
      <c r="R173" s="3977"/>
      <c r="S173" s="3977"/>
      <c r="T173" s="3977"/>
      <c r="U173" s="1718">
        <v>15000000</v>
      </c>
      <c r="V173" s="1718">
        <v>0</v>
      </c>
      <c r="W173" s="1718">
        <v>0</v>
      </c>
      <c r="X173" s="1725">
        <v>88</v>
      </c>
      <c r="Y173" s="1726" t="s">
        <v>86</v>
      </c>
      <c r="Z173" s="3978"/>
      <c r="AA173" s="3978"/>
      <c r="AB173" s="3978"/>
      <c r="AC173" s="3978"/>
      <c r="AD173" s="3978"/>
      <c r="AE173" s="3989"/>
      <c r="AF173" s="3989"/>
      <c r="AG173" s="3989"/>
      <c r="AH173" s="3989"/>
      <c r="AI173" s="3989"/>
      <c r="AJ173" s="3989"/>
      <c r="AK173" s="3989"/>
      <c r="AL173" s="3989"/>
      <c r="AM173" s="3989"/>
      <c r="AN173" s="3989"/>
      <c r="AO173" s="3989"/>
      <c r="AP173" s="3989"/>
      <c r="AQ173" s="3989"/>
      <c r="AR173" s="3989"/>
      <c r="AS173" s="3989"/>
      <c r="AT173" s="3989"/>
      <c r="AU173" s="3989"/>
      <c r="AV173" s="3989"/>
      <c r="AW173" s="3989"/>
      <c r="AX173" s="3989"/>
      <c r="AY173" s="3989"/>
      <c r="AZ173" s="3989"/>
      <c r="BA173" s="3989"/>
      <c r="BB173" s="3989"/>
      <c r="BC173" s="3989"/>
      <c r="BD173" s="3989"/>
      <c r="BE173" s="3989"/>
      <c r="BF173" s="3989"/>
      <c r="BG173" s="3664"/>
      <c r="BH173" s="3664"/>
      <c r="BI173" s="3690"/>
      <c r="BJ173" s="3989"/>
      <c r="BK173" s="3994"/>
      <c r="BL173" s="3992"/>
      <c r="BM173" s="3992"/>
      <c r="BN173" s="3992"/>
      <c r="BO173" s="3992"/>
      <c r="BP173" s="3110"/>
    </row>
    <row r="174" spans="1:68" ht="65.25" customHeight="1" x14ac:dyDescent="0.25">
      <c r="A174" s="141"/>
      <c r="B174" s="1"/>
      <c r="C174" s="1"/>
      <c r="D174" s="3784"/>
      <c r="E174" s="3785"/>
      <c r="F174" s="3473"/>
      <c r="G174" s="2772">
        <v>4501024</v>
      </c>
      <c r="H174" s="3993">
        <v>41.2</v>
      </c>
      <c r="I174" s="2492" t="s">
        <v>1173</v>
      </c>
      <c r="J174" s="2610" t="s">
        <v>1687</v>
      </c>
      <c r="K174" s="3343">
        <v>1</v>
      </c>
      <c r="L174" s="3990">
        <v>0</v>
      </c>
      <c r="M174" s="2610" t="s">
        <v>1688</v>
      </c>
      <c r="N174" s="2342" t="s">
        <v>1689</v>
      </c>
      <c r="O174" s="2492" t="s">
        <v>1690</v>
      </c>
      <c r="P174" s="3422">
        <v>1</v>
      </c>
      <c r="Q174" s="3996">
        <v>40000000</v>
      </c>
      <c r="R174" s="3985" t="s">
        <v>1691</v>
      </c>
      <c r="S174" s="3821" t="s">
        <v>1692</v>
      </c>
      <c r="T174" s="1751" t="s">
        <v>1693</v>
      </c>
      <c r="U174" s="1793">
        <v>12297635</v>
      </c>
      <c r="V174" s="1793">
        <v>0</v>
      </c>
      <c r="W174" s="1793">
        <v>0</v>
      </c>
      <c r="X174" s="1794">
        <v>88</v>
      </c>
      <c r="Y174" s="1696" t="s">
        <v>86</v>
      </c>
      <c r="Z174" s="3255">
        <v>2000</v>
      </c>
      <c r="AA174" s="3995"/>
      <c r="AB174" s="3255">
        <v>0</v>
      </c>
      <c r="AC174" s="3995"/>
      <c r="AD174" s="3255">
        <v>0</v>
      </c>
      <c r="AE174" s="3995"/>
      <c r="AF174" s="3255">
        <v>250</v>
      </c>
      <c r="AG174" s="3995"/>
      <c r="AH174" s="3255">
        <v>500</v>
      </c>
      <c r="AI174" s="3995"/>
      <c r="AJ174" s="3255">
        <v>300</v>
      </c>
      <c r="AK174" s="3995"/>
      <c r="AL174" s="3255">
        <v>20</v>
      </c>
      <c r="AM174" s="3995"/>
      <c r="AN174" s="3255">
        <v>20</v>
      </c>
      <c r="AO174" s="3995"/>
      <c r="AP174" s="3255">
        <v>20</v>
      </c>
      <c r="AQ174" s="3995"/>
      <c r="AR174" s="3255">
        <v>20</v>
      </c>
      <c r="AS174" s="3995"/>
      <c r="AT174" s="3255">
        <v>20</v>
      </c>
      <c r="AU174" s="3995"/>
      <c r="AV174" s="3255">
        <v>20</v>
      </c>
      <c r="AW174" s="3995"/>
      <c r="AX174" s="3255">
        <v>20</v>
      </c>
      <c r="AY174" s="3995"/>
      <c r="AZ174" s="3255">
        <v>200</v>
      </c>
      <c r="BA174" s="3995"/>
      <c r="BB174" s="3255">
        <v>610</v>
      </c>
      <c r="BC174" s="3995"/>
      <c r="BD174" s="3255">
        <v>2000</v>
      </c>
      <c r="BE174" s="3995"/>
      <c r="BF174" s="3995"/>
      <c r="BG174" s="4003">
        <f>SUM(V174:V177)</f>
        <v>0</v>
      </c>
      <c r="BH174" s="4003">
        <f>SUM(W174:W177)</f>
        <v>0</v>
      </c>
      <c r="BI174" s="4004">
        <f>BG174/Q174</f>
        <v>0</v>
      </c>
      <c r="BJ174" s="4005" t="s">
        <v>1407</v>
      </c>
      <c r="BK174" s="3829" t="s">
        <v>1610</v>
      </c>
      <c r="BL174" s="3752">
        <v>44033</v>
      </c>
      <c r="BM174" s="3751" t="s">
        <v>1686</v>
      </c>
      <c r="BN174" s="3752">
        <v>44195</v>
      </c>
      <c r="BO174" s="3751">
        <v>44195</v>
      </c>
      <c r="BP174" s="2342" t="s">
        <v>1409</v>
      </c>
    </row>
    <row r="175" spans="1:68" ht="59.25" customHeight="1" x14ac:dyDescent="0.25">
      <c r="A175" s="141"/>
      <c r="B175" s="1"/>
      <c r="C175" s="1"/>
      <c r="D175" s="3784"/>
      <c r="E175" s="3785"/>
      <c r="F175" s="3473"/>
      <c r="G175" s="2772"/>
      <c r="H175" s="3413"/>
      <c r="I175" s="2413"/>
      <c r="J175" s="2416"/>
      <c r="K175" s="2521"/>
      <c r="L175" s="3990"/>
      <c r="M175" s="2416"/>
      <c r="N175" s="2343"/>
      <c r="O175" s="2413"/>
      <c r="P175" s="3331"/>
      <c r="Q175" s="3997"/>
      <c r="R175" s="3728"/>
      <c r="S175" s="3710"/>
      <c r="T175" s="1736" t="s">
        <v>1694</v>
      </c>
      <c r="U175" s="1795">
        <v>27702365</v>
      </c>
      <c r="V175" s="1795">
        <v>0</v>
      </c>
      <c r="W175" s="1795">
        <v>0</v>
      </c>
      <c r="X175" s="1796">
        <v>20</v>
      </c>
      <c r="Y175" s="1600" t="s">
        <v>1240</v>
      </c>
      <c r="Z175" s="3256"/>
      <c r="AA175" s="3254"/>
      <c r="AB175" s="3256"/>
      <c r="AC175" s="3254"/>
      <c r="AD175" s="3256"/>
      <c r="AE175" s="3254"/>
      <c r="AF175" s="3256"/>
      <c r="AG175" s="3254"/>
      <c r="AH175" s="3256"/>
      <c r="AI175" s="3254"/>
      <c r="AJ175" s="3256"/>
      <c r="AK175" s="3254"/>
      <c r="AL175" s="3256"/>
      <c r="AM175" s="3254"/>
      <c r="AN175" s="3256"/>
      <c r="AO175" s="3254"/>
      <c r="AP175" s="3256"/>
      <c r="AQ175" s="3254"/>
      <c r="AR175" s="3256"/>
      <c r="AS175" s="3254"/>
      <c r="AT175" s="3256"/>
      <c r="AU175" s="3254"/>
      <c r="AV175" s="3256"/>
      <c r="AW175" s="3254"/>
      <c r="AX175" s="3256"/>
      <c r="AY175" s="3254"/>
      <c r="AZ175" s="3256"/>
      <c r="BA175" s="3254"/>
      <c r="BB175" s="3256"/>
      <c r="BC175" s="3254"/>
      <c r="BD175" s="3256"/>
      <c r="BE175" s="3254"/>
      <c r="BF175" s="3254"/>
      <c r="BG175" s="4003"/>
      <c r="BH175" s="4003"/>
      <c r="BI175" s="4004"/>
      <c r="BJ175" s="4005"/>
      <c r="BK175" s="3829"/>
      <c r="BL175" s="3747"/>
      <c r="BM175" s="3751"/>
      <c r="BN175" s="3747"/>
      <c r="BO175" s="3751"/>
      <c r="BP175" s="2343"/>
    </row>
    <row r="176" spans="1:68" ht="62.25" customHeight="1" x14ac:dyDescent="0.25">
      <c r="A176" s="141"/>
      <c r="B176" s="1"/>
      <c r="C176" s="1"/>
      <c r="D176" s="3784"/>
      <c r="E176" s="3785"/>
      <c r="F176" s="3473"/>
      <c r="G176" s="2772"/>
      <c r="H176" s="3413"/>
      <c r="I176" s="2413"/>
      <c r="J176" s="2416"/>
      <c r="K176" s="2521"/>
      <c r="L176" s="3990"/>
      <c r="M176" s="2416"/>
      <c r="N176" s="2343"/>
      <c r="O176" s="2413"/>
      <c r="P176" s="3331"/>
      <c r="Q176" s="3997"/>
      <c r="R176" s="3728"/>
      <c r="S176" s="3710"/>
      <c r="T176" s="1736" t="s">
        <v>1695</v>
      </c>
      <c r="U176" s="1795">
        <v>0</v>
      </c>
      <c r="V176" s="1795">
        <v>0</v>
      </c>
      <c r="W176" s="1795">
        <v>0</v>
      </c>
      <c r="X176" s="1796"/>
      <c r="Y176" s="1600"/>
      <c r="Z176" s="3256"/>
      <c r="AA176" s="3254"/>
      <c r="AB176" s="3256"/>
      <c r="AC176" s="3254"/>
      <c r="AD176" s="3256"/>
      <c r="AE176" s="3254"/>
      <c r="AF176" s="3256"/>
      <c r="AG176" s="3254"/>
      <c r="AH176" s="3256"/>
      <c r="AI176" s="3254"/>
      <c r="AJ176" s="3256"/>
      <c r="AK176" s="3254"/>
      <c r="AL176" s="3256"/>
      <c r="AM176" s="3254"/>
      <c r="AN176" s="3256"/>
      <c r="AO176" s="3254"/>
      <c r="AP176" s="3256"/>
      <c r="AQ176" s="3254"/>
      <c r="AR176" s="3256"/>
      <c r="AS176" s="3254"/>
      <c r="AT176" s="3256"/>
      <c r="AU176" s="3254"/>
      <c r="AV176" s="3256"/>
      <c r="AW176" s="3254"/>
      <c r="AX176" s="3256"/>
      <c r="AY176" s="3254"/>
      <c r="AZ176" s="3256"/>
      <c r="BA176" s="3254"/>
      <c r="BB176" s="3256"/>
      <c r="BC176" s="3254"/>
      <c r="BD176" s="3256"/>
      <c r="BE176" s="3254"/>
      <c r="BF176" s="3254"/>
      <c r="BG176" s="4003"/>
      <c r="BH176" s="4003"/>
      <c r="BI176" s="4004"/>
      <c r="BJ176" s="4005"/>
      <c r="BK176" s="3829"/>
      <c r="BL176" s="3747"/>
      <c r="BM176" s="3751"/>
      <c r="BN176" s="3747"/>
      <c r="BO176" s="3751"/>
      <c r="BP176" s="2343"/>
    </row>
    <row r="177" spans="1:69" ht="62.25" customHeight="1" x14ac:dyDescent="0.25">
      <c r="A177" s="141"/>
      <c r="B177" s="1557"/>
      <c r="C177" s="1"/>
      <c r="D177" s="3812"/>
      <c r="E177" s="3813"/>
      <c r="F177" s="3474"/>
      <c r="G177" s="2773"/>
      <c r="H177" s="3413"/>
      <c r="I177" s="2413"/>
      <c r="J177" s="2416"/>
      <c r="K177" s="2520"/>
      <c r="L177" s="3991"/>
      <c r="M177" s="2416"/>
      <c r="N177" s="2343"/>
      <c r="O177" s="2413"/>
      <c r="P177" s="3331"/>
      <c r="Q177" s="3997"/>
      <c r="R177" s="3728"/>
      <c r="S177" s="3710"/>
      <c r="T177" s="1736" t="s">
        <v>1696</v>
      </c>
      <c r="U177" s="1795">
        <v>0</v>
      </c>
      <c r="V177" s="1795">
        <v>0</v>
      </c>
      <c r="W177" s="1795">
        <v>0</v>
      </c>
      <c r="X177" s="1796"/>
      <c r="Y177" s="1600"/>
      <c r="Z177" s="3256"/>
      <c r="AA177" s="3255"/>
      <c r="AB177" s="3256"/>
      <c r="AC177" s="3255"/>
      <c r="AD177" s="3256"/>
      <c r="AE177" s="3255"/>
      <c r="AF177" s="3256"/>
      <c r="AG177" s="3255"/>
      <c r="AH177" s="3256"/>
      <c r="AI177" s="3255"/>
      <c r="AJ177" s="3256"/>
      <c r="AK177" s="3255"/>
      <c r="AL177" s="3256"/>
      <c r="AM177" s="3255"/>
      <c r="AN177" s="3256"/>
      <c r="AO177" s="3255"/>
      <c r="AP177" s="3256"/>
      <c r="AQ177" s="3255"/>
      <c r="AR177" s="3256"/>
      <c r="AS177" s="3255"/>
      <c r="AT177" s="3256"/>
      <c r="AU177" s="3255"/>
      <c r="AV177" s="3256"/>
      <c r="AW177" s="3255"/>
      <c r="AX177" s="3256"/>
      <c r="AY177" s="3255"/>
      <c r="AZ177" s="3256"/>
      <c r="BA177" s="3255"/>
      <c r="BB177" s="3256"/>
      <c r="BC177" s="3255"/>
      <c r="BD177" s="3256"/>
      <c r="BE177" s="3255"/>
      <c r="BF177" s="3255"/>
      <c r="BG177" s="3827"/>
      <c r="BH177" s="3827"/>
      <c r="BI177" s="3876"/>
      <c r="BJ177" s="4006"/>
      <c r="BK177" s="3830"/>
      <c r="BL177" s="3747"/>
      <c r="BM177" s="3752"/>
      <c r="BN177" s="3747"/>
      <c r="BO177" s="3752"/>
      <c r="BP177" s="2343"/>
    </row>
    <row r="178" spans="1:69" ht="15.75" x14ac:dyDescent="0.25">
      <c r="A178" s="1581">
        <v>2</v>
      </c>
      <c r="B178" s="1319" t="s">
        <v>78</v>
      </c>
      <c r="C178" s="31"/>
      <c r="D178" s="981"/>
      <c r="E178" s="982"/>
      <c r="F178" s="981"/>
      <c r="G178" s="1151"/>
      <c r="H178" s="1151"/>
      <c r="I178" s="981"/>
      <c r="J178" s="981"/>
      <c r="K178" s="1797"/>
      <c r="L178" s="1798"/>
      <c r="M178" s="981"/>
      <c r="N178" s="1152"/>
      <c r="O178" s="981"/>
      <c r="P178" s="1297"/>
      <c r="Q178" s="1799"/>
      <c r="R178" s="1800"/>
      <c r="S178" s="1800"/>
      <c r="T178" s="1800"/>
      <c r="U178" s="1801"/>
      <c r="V178" s="1801"/>
      <c r="W178" s="1801"/>
      <c r="X178" s="1802"/>
      <c r="Y178" s="1803"/>
      <c r="Z178" s="1152"/>
      <c r="AA178" s="1152"/>
      <c r="AB178" s="1152"/>
      <c r="AC178" s="1152"/>
      <c r="AD178" s="1152"/>
      <c r="AE178" s="1152"/>
      <c r="AF178" s="1152"/>
      <c r="AG178" s="1152"/>
      <c r="AH178" s="1152"/>
      <c r="AI178" s="1152"/>
      <c r="AJ178" s="1152"/>
      <c r="AK178" s="1152"/>
      <c r="AL178" s="1152"/>
      <c r="AM178" s="1152"/>
      <c r="AN178" s="1152"/>
      <c r="AO178" s="1152"/>
      <c r="AP178" s="1152"/>
      <c r="AQ178" s="1152"/>
      <c r="AR178" s="1152"/>
      <c r="AS178" s="1152"/>
      <c r="AT178" s="1152"/>
      <c r="AU178" s="1152"/>
      <c r="AV178" s="1152"/>
      <c r="AW178" s="1152"/>
      <c r="AX178" s="1152"/>
      <c r="AY178" s="1152"/>
      <c r="AZ178" s="1152"/>
      <c r="BA178" s="1152"/>
      <c r="BB178" s="1152"/>
      <c r="BC178" s="1152"/>
      <c r="BD178" s="1152"/>
      <c r="BE178" s="1152"/>
      <c r="BF178" s="1152"/>
      <c r="BG178" s="1804"/>
      <c r="BH178" s="1804"/>
      <c r="BI178" s="1152"/>
      <c r="BJ178" s="1152"/>
      <c r="BK178" s="1151"/>
      <c r="BL178" s="1152"/>
      <c r="BM178" s="1152"/>
      <c r="BN178" s="1152"/>
      <c r="BO178" s="1152"/>
      <c r="BP178" s="1151"/>
    </row>
    <row r="179" spans="1:69" ht="21.75" customHeight="1" x14ac:dyDescent="0.25">
      <c r="A179" s="141"/>
      <c r="B179" s="1"/>
      <c r="C179" s="1"/>
      <c r="D179" s="1805">
        <v>29</v>
      </c>
      <c r="E179" s="1274" t="s">
        <v>1697</v>
      </c>
      <c r="F179" s="1806"/>
      <c r="G179" s="1623"/>
      <c r="H179" s="1623"/>
      <c r="I179" s="1624"/>
      <c r="J179" s="1624"/>
      <c r="K179" s="1806"/>
      <c r="L179" s="1807"/>
      <c r="M179" s="1624"/>
      <c r="N179" s="1808"/>
      <c r="O179" s="1809"/>
      <c r="P179" s="1810"/>
      <c r="Q179" s="1811"/>
      <c r="R179" s="1812"/>
      <c r="S179" s="1627"/>
      <c r="T179" s="1627"/>
      <c r="U179" s="1813"/>
      <c r="V179" s="1813"/>
      <c r="W179" s="1813"/>
      <c r="X179" s="1814"/>
      <c r="Y179" s="1815"/>
      <c r="Z179" s="1808"/>
      <c r="AA179" s="1808"/>
      <c r="AB179" s="1808"/>
      <c r="AC179" s="1808"/>
      <c r="AD179" s="1808"/>
      <c r="AE179" s="1808"/>
      <c r="AF179" s="1808"/>
      <c r="AG179" s="1808"/>
      <c r="AH179" s="1808"/>
      <c r="AI179" s="1808"/>
      <c r="AJ179" s="1808"/>
      <c r="AK179" s="1808"/>
      <c r="AL179" s="1808"/>
      <c r="AM179" s="1808"/>
      <c r="AN179" s="1808"/>
      <c r="AO179" s="1808"/>
      <c r="AP179" s="1808"/>
      <c r="AQ179" s="1808"/>
      <c r="AR179" s="1808"/>
      <c r="AS179" s="1808"/>
      <c r="AT179" s="1808"/>
      <c r="AU179" s="1808"/>
      <c r="AV179" s="1808"/>
      <c r="AW179" s="1808"/>
      <c r="AX179" s="1808"/>
      <c r="AY179" s="1808"/>
      <c r="AZ179" s="1808"/>
      <c r="BA179" s="1808"/>
      <c r="BB179" s="1808"/>
      <c r="BC179" s="1808"/>
      <c r="BD179" s="1808"/>
      <c r="BE179" s="1808"/>
      <c r="BF179" s="1808"/>
      <c r="BG179" s="1816"/>
      <c r="BH179" s="1816"/>
      <c r="BI179" s="1808"/>
      <c r="BJ179" s="1808"/>
      <c r="BK179" s="1623"/>
      <c r="BL179" s="1817"/>
      <c r="BM179" s="1817"/>
      <c r="BN179" s="1817"/>
      <c r="BO179" s="1817"/>
      <c r="BP179" s="1818"/>
      <c r="BQ179" s="1"/>
    </row>
    <row r="180" spans="1:69" ht="80.25" customHeight="1" x14ac:dyDescent="0.25">
      <c r="A180" s="141"/>
      <c r="B180" s="1"/>
      <c r="C180" s="1"/>
      <c r="D180" s="3998"/>
      <c r="E180" s="1819"/>
      <c r="F180" s="3999"/>
      <c r="G180" s="4000">
        <v>3604006</v>
      </c>
      <c r="H180" s="3259">
        <v>29.1</v>
      </c>
      <c r="I180" s="2331" t="s">
        <v>1698</v>
      </c>
      <c r="J180" s="2416" t="s">
        <v>619</v>
      </c>
      <c r="K180" s="2348">
        <v>50</v>
      </c>
      <c r="L180" s="3666">
        <v>0</v>
      </c>
      <c r="M180" s="3311" t="s">
        <v>1509</v>
      </c>
      <c r="N180" s="2451" t="s">
        <v>1510</v>
      </c>
      <c r="O180" s="3811" t="s">
        <v>1699</v>
      </c>
      <c r="P180" s="3331">
        <f>(U180+U183+U182)/(Q76+Q180)</f>
        <v>0.3125</v>
      </c>
      <c r="Q180" s="4009">
        <v>25000000</v>
      </c>
      <c r="R180" s="3820" t="s">
        <v>1512</v>
      </c>
      <c r="S180" s="3710" t="s">
        <v>1513</v>
      </c>
      <c r="T180" s="1648" t="s">
        <v>1700</v>
      </c>
      <c r="U180" s="1820">
        <v>18000000</v>
      </c>
      <c r="V180" s="1820">
        <v>0</v>
      </c>
      <c r="W180" s="1820">
        <v>0</v>
      </c>
      <c r="X180" s="1758">
        <v>88</v>
      </c>
      <c r="Y180" s="1633" t="s">
        <v>1701</v>
      </c>
      <c r="Z180" s="3842">
        <v>2080</v>
      </c>
      <c r="AA180" s="4007"/>
      <c r="AB180" s="3842">
        <v>1920</v>
      </c>
      <c r="AC180" s="4007"/>
      <c r="AD180" s="3842">
        <v>2500</v>
      </c>
      <c r="AE180" s="4007"/>
      <c r="AF180" s="3842">
        <v>1500</v>
      </c>
      <c r="AG180" s="4007"/>
      <c r="AH180" s="3842">
        <v>0</v>
      </c>
      <c r="AI180" s="4007"/>
      <c r="AJ180" s="2357">
        <v>0</v>
      </c>
      <c r="AK180" s="4007"/>
      <c r="AL180" s="2357">
        <v>40</v>
      </c>
      <c r="AM180" s="4007"/>
      <c r="AN180" s="2357">
        <v>40</v>
      </c>
      <c r="AO180" s="4007"/>
      <c r="AP180" s="2357">
        <v>0</v>
      </c>
      <c r="AQ180" s="4007"/>
      <c r="AR180" s="2357">
        <v>0</v>
      </c>
      <c r="AS180" s="4007"/>
      <c r="AT180" s="2357">
        <v>0</v>
      </c>
      <c r="AU180" s="4007"/>
      <c r="AV180" s="2357">
        <v>0</v>
      </c>
      <c r="AW180" s="4007"/>
      <c r="AX180" s="2357">
        <v>40</v>
      </c>
      <c r="AY180" s="4007"/>
      <c r="AZ180" s="2357">
        <v>0</v>
      </c>
      <c r="BA180" s="4007"/>
      <c r="BB180" s="2357">
        <v>0</v>
      </c>
      <c r="BC180" s="4007"/>
      <c r="BD180" s="4015">
        <v>4000</v>
      </c>
      <c r="BE180" s="4007"/>
      <c r="BF180" s="4007"/>
      <c r="BG180" s="4012">
        <f>SUM(V180:V183)</f>
        <v>0</v>
      </c>
      <c r="BH180" s="4012">
        <f>SUM(W180:W183)</f>
        <v>0</v>
      </c>
      <c r="BI180" s="4013">
        <f>BG180/Q180</f>
        <v>0</v>
      </c>
      <c r="BJ180" s="4007">
        <v>88</v>
      </c>
      <c r="BK180" s="4014" t="s">
        <v>1442</v>
      </c>
      <c r="BL180" s="3823">
        <v>44033</v>
      </c>
      <c r="BM180" s="4011"/>
      <c r="BN180" s="3823">
        <v>44195</v>
      </c>
      <c r="BO180" s="4011"/>
      <c r="BP180" s="2343" t="s">
        <v>1409</v>
      </c>
      <c r="BQ180" s="1"/>
    </row>
    <row r="181" spans="1:69" ht="67.5" customHeight="1" x14ac:dyDescent="0.25">
      <c r="A181" s="141"/>
      <c r="B181" s="1"/>
      <c r="C181" s="1"/>
      <c r="D181" s="3784"/>
      <c r="E181" s="1821"/>
      <c r="F181" s="3473"/>
      <c r="G181" s="4001"/>
      <c r="H181" s="3259"/>
      <c r="I181" s="2331"/>
      <c r="J181" s="2416"/>
      <c r="K181" s="2348"/>
      <c r="L181" s="3667"/>
      <c r="M181" s="3311"/>
      <c r="N181" s="2451"/>
      <c r="O181" s="3811"/>
      <c r="P181" s="3331"/>
      <c r="Q181" s="4009"/>
      <c r="R181" s="3820"/>
      <c r="S181" s="3710"/>
      <c r="T181" s="1648" t="s">
        <v>1489</v>
      </c>
      <c r="U181" s="1820">
        <v>0</v>
      </c>
      <c r="V181" s="1820">
        <v>0</v>
      </c>
      <c r="W181" s="1820">
        <v>0</v>
      </c>
      <c r="X181" s="1758">
        <v>88</v>
      </c>
      <c r="Y181" s="1633" t="s">
        <v>1701</v>
      </c>
      <c r="Z181" s="3842"/>
      <c r="AA181" s="4008"/>
      <c r="AB181" s="3842"/>
      <c r="AC181" s="4008"/>
      <c r="AD181" s="3842"/>
      <c r="AE181" s="4008"/>
      <c r="AF181" s="3842"/>
      <c r="AG181" s="4008"/>
      <c r="AH181" s="3842"/>
      <c r="AI181" s="4008"/>
      <c r="AJ181" s="2357"/>
      <c r="AK181" s="4008"/>
      <c r="AL181" s="2357"/>
      <c r="AM181" s="4008"/>
      <c r="AN181" s="2357"/>
      <c r="AO181" s="4008"/>
      <c r="AP181" s="2357"/>
      <c r="AQ181" s="4008"/>
      <c r="AR181" s="2357"/>
      <c r="AS181" s="4008"/>
      <c r="AT181" s="2357"/>
      <c r="AU181" s="4008"/>
      <c r="AV181" s="2357"/>
      <c r="AW181" s="4008"/>
      <c r="AX181" s="2357"/>
      <c r="AY181" s="4008"/>
      <c r="AZ181" s="2357"/>
      <c r="BA181" s="4008"/>
      <c r="BB181" s="2357"/>
      <c r="BC181" s="4008"/>
      <c r="BD181" s="4015"/>
      <c r="BE181" s="4008"/>
      <c r="BF181" s="4008"/>
      <c r="BG181" s="4003"/>
      <c r="BH181" s="4003"/>
      <c r="BI181" s="4004"/>
      <c r="BJ181" s="4008"/>
      <c r="BK181" s="3829"/>
      <c r="BL181" s="3823"/>
      <c r="BM181" s="3824"/>
      <c r="BN181" s="3823"/>
      <c r="BO181" s="3824"/>
      <c r="BP181" s="2343"/>
      <c r="BQ181" s="1"/>
    </row>
    <row r="182" spans="1:69" ht="80.25" customHeight="1" x14ac:dyDescent="0.25">
      <c r="A182" s="141"/>
      <c r="B182" s="1"/>
      <c r="C182" s="1"/>
      <c r="D182" s="3784"/>
      <c r="E182" s="1821"/>
      <c r="F182" s="3473"/>
      <c r="G182" s="4001"/>
      <c r="H182" s="3259"/>
      <c r="I182" s="2331"/>
      <c r="J182" s="2416"/>
      <c r="K182" s="2348"/>
      <c r="L182" s="3667"/>
      <c r="M182" s="3311"/>
      <c r="N182" s="2451"/>
      <c r="O182" s="3811"/>
      <c r="P182" s="3331"/>
      <c r="Q182" s="4009"/>
      <c r="R182" s="3820"/>
      <c r="S182" s="3710"/>
      <c r="T182" s="1648" t="s">
        <v>1702</v>
      </c>
      <c r="U182" s="1820">
        <v>4000000</v>
      </c>
      <c r="V182" s="1820">
        <v>0</v>
      </c>
      <c r="W182" s="1820">
        <v>0</v>
      </c>
      <c r="X182" s="1758">
        <v>88</v>
      </c>
      <c r="Y182" s="1633" t="s">
        <v>1701</v>
      </c>
      <c r="Z182" s="3842"/>
      <c r="AA182" s="4008"/>
      <c r="AB182" s="3842"/>
      <c r="AC182" s="4008"/>
      <c r="AD182" s="3842"/>
      <c r="AE182" s="4008"/>
      <c r="AF182" s="3842"/>
      <c r="AG182" s="4008"/>
      <c r="AH182" s="3842"/>
      <c r="AI182" s="4008"/>
      <c r="AJ182" s="2357"/>
      <c r="AK182" s="4008"/>
      <c r="AL182" s="2357"/>
      <c r="AM182" s="4008"/>
      <c r="AN182" s="2357"/>
      <c r="AO182" s="4008"/>
      <c r="AP182" s="2357"/>
      <c r="AQ182" s="4008"/>
      <c r="AR182" s="2357"/>
      <c r="AS182" s="4008"/>
      <c r="AT182" s="2357"/>
      <c r="AU182" s="4008"/>
      <c r="AV182" s="2357"/>
      <c r="AW182" s="4008"/>
      <c r="AX182" s="2357"/>
      <c r="AY182" s="4008"/>
      <c r="AZ182" s="2357"/>
      <c r="BA182" s="4008"/>
      <c r="BB182" s="2357"/>
      <c r="BC182" s="4008"/>
      <c r="BD182" s="4015"/>
      <c r="BE182" s="4008"/>
      <c r="BF182" s="4008"/>
      <c r="BG182" s="4003"/>
      <c r="BH182" s="4003"/>
      <c r="BI182" s="4004"/>
      <c r="BJ182" s="4008"/>
      <c r="BK182" s="3829"/>
      <c r="BL182" s="3823"/>
      <c r="BM182" s="3824"/>
      <c r="BN182" s="3823"/>
      <c r="BO182" s="3824"/>
      <c r="BP182" s="2343"/>
      <c r="BQ182" s="1"/>
    </row>
    <row r="183" spans="1:69" ht="52.5" customHeight="1" x14ac:dyDescent="0.25">
      <c r="A183" s="141"/>
      <c r="B183" s="1"/>
      <c r="C183" s="1"/>
      <c r="D183" s="3812"/>
      <c r="E183" s="1822"/>
      <c r="F183" s="3474"/>
      <c r="G183" s="4002"/>
      <c r="H183" s="3259"/>
      <c r="I183" s="2331"/>
      <c r="J183" s="2416"/>
      <c r="K183" s="2348"/>
      <c r="L183" s="3668"/>
      <c r="M183" s="3311"/>
      <c r="N183" s="2451"/>
      <c r="O183" s="3811"/>
      <c r="P183" s="3331"/>
      <c r="Q183" s="4010"/>
      <c r="R183" s="3820"/>
      <c r="S183" s="3710"/>
      <c r="T183" s="1648" t="s">
        <v>1703</v>
      </c>
      <c r="U183" s="1820">
        <v>3000000</v>
      </c>
      <c r="V183" s="1820">
        <v>0</v>
      </c>
      <c r="W183" s="1820">
        <v>0</v>
      </c>
      <c r="X183" s="1758" t="s">
        <v>1704</v>
      </c>
      <c r="Y183" s="1633" t="s">
        <v>1701</v>
      </c>
      <c r="Z183" s="3842"/>
      <c r="AA183" s="3841"/>
      <c r="AB183" s="3842"/>
      <c r="AC183" s="3841"/>
      <c r="AD183" s="3842"/>
      <c r="AE183" s="3841"/>
      <c r="AF183" s="3842"/>
      <c r="AG183" s="3841"/>
      <c r="AH183" s="3842"/>
      <c r="AI183" s="3841"/>
      <c r="AJ183" s="2357"/>
      <c r="AK183" s="3841"/>
      <c r="AL183" s="2357"/>
      <c r="AM183" s="3841"/>
      <c r="AN183" s="2357"/>
      <c r="AO183" s="3841"/>
      <c r="AP183" s="2357"/>
      <c r="AQ183" s="3841"/>
      <c r="AR183" s="2357"/>
      <c r="AS183" s="3841"/>
      <c r="AT183" s="2357"/>
      <c r="AU183" s="3841"/>
      <c r="AV183" s="2357"/>
      <c r="AW183" s="3841"/>
      <c r="AX183" s="2357"/>
      <c r="AY183" s="3841"/>
      <c r="AZ183" s="2357"/>
      <c r="BA183" s="3841"/>
      <c r="BB183" s="2357"/>
      <c r="BC183" s="3841"/>
      <c r="BD183" s="4015"/>
      <c r="BE183" s="3841"/>
      <c r="BF183" s="3841"/>
      <c r="BG183" s="3827"/>
      <c r="BH183" s="3827"/>
      <c r="BI183" s="3876"/>
      <c r="BJ183" s="3841"/>
      <c r="BK183" s="3830"/>
      <c r="BL183" s="3823"/>
      <c r="BM183" s="3822"/>
      <c r="BN183" s="3823"/>
      <c r="BO183" s="3822"/>
      <c r="BP183" s="2343"/>
      <c r="BQ183" s="1"/>
    </row>
    <row r="184" spans="1:69" ht="15.75" x14ac:dyDescent="0.25">
      <c r="A184" s="711">
        <v>4</v>
      </c>
      <c r="B184" s="27" t="s">
        <v>812</v>
      </c>
      <c r="C184" s="726"/>
      <c r="D184" s="981"/>
      <c r="E184" s="982"/>
      <c r="F184" s="981"/>
      <c r="G184" s="1151"/>
      <c r="H184" s="1151"/>
      <c r="I184" s="981"/>
      <c r="J184" s="981"/>
      <c r="K184" s="981"/>
      <c r="L184" s="1190"/>
      <c r="M184" s="981"/>
      <c r="N184" s="1152"/>
      <c r="O184" s="981"/>
      <c r="P184" s="1297"/>
      <c r="Q184" s="1799"/>
      <c r="R184" s="1803"/>
      <c r="S184" s="1803"/>
      <c r="T184" s="1800"/>
      <c r="U184" s="1801"/>
      <c r="V184" s="1801"/>
      <c r="W184" s="1801"/>
      <c r="X184" s="1802"/>
      <c r="Y184" s="1803"/>
      <c r="Z184" s="1152"/>
      <c r="AA184" s="1152"/>
      <c r="AB184" s="1152"/>
      <c r="AC184" s="1152"/>
      <c r="AD184" s="1152"/>
      <c r="AE184" s="1152"/>
      <c r="AF184" s="1152"/>
      <c r="AG184" s="1152"/>
      <c r="AH184" s="1152"/>
      <c r="AI184" s="1152"/>
      <c r="AJ184" s="1152"/>
      <c r="AK184" s="1152"/>
      <c r="AL184" s="1152"/>
      <c r="AM184" s="1152"/>
      <c r="AN184" s="1152"/>
      <c r="AO184" s="1152"/>
      <c r="AP184" s="1152"/>
      <c r="AQ184" s="1152"/>
      <c r="AR184" s="1152"/>
      <c r="AS184" s="1152"/>
      <c r="AT184" s="1152"/>
      <c r="AU184" s="1152"/>
      <c r="AV184" s="1152"/>
      <c r="AW184" s="1152"/>
      <c r="AX184" s="1152"/>
      <c r="AY184" s="1152"/>
      <c r="AZ184" s="1152"/>
      <c r="BA184" s="1152"/>
      <c r="BB184" s="1152"/>
      <c r="BC184" s="1152"/>
      <c r="BD184" s="1152"/>
      <c r="BE184" s="1152"/>
      <c r="BF184" s="1152"/>
      <c r="BG184" s="1804"/>
      <c r="BH184" s="1804"/>
      <c r="BI184" s="1152"/>
      <c r="BJ184" s="1152"/>
      <c r="BK184" s="1151"/>
      <c r="BL184" s="1152"/>
      <c r="BM184" s="1152"/>
      <c r="BN184" s="1152"/>
      <c r="BO184" s="1152"/>
      <c r="BP184" s="1151"/>
      <c r="BQ184" s="1"/>
    </row>
    <row r="185" spans="1:69" ht="15.75" x14ac:dyDescent="0.25">
      <c r="A185" s="624"/>
      <c r="B185" s="161"/>
      <c r="C185" s="1823"/>
      <c r="D185" s="1805">
        <v>42</v>
      </c>
      <c r="E185" s="1274" t="s">
        <v>328</v>
      </c>
      <c r="F185" s="1806"/>
      <c r="G185" s="1699"/>
      <c r="H185" s="1699"/>
      <c r="I185" s="1824"/>
      <c r="J185" s="1824"/>
      <c r="K185" s="1825"/>
      <c r="L185" s="1826"/>
      <c r="M185" s="1824"/>
      <c r="N185" s="1827"/>
      <c r="O185" s="1828"/>
      <c r="P185" s="1829"/>
      <c r="Q185" s="1830"/>
      <c r="R185" s="1831"/>
      <c r="S185" s="1791"/>
      <c r="T185" s="1791"/>
      <c r="U185" s="1832"/>
      <c r="V185" s="1832"/>
      <c r="W185" s="1832"/>
      <c r="X185" s="1833"/>
      <c r="Y185" s="1834"/>
      <c r="Z185" s="1827"/>
      <c r="AA185" s="1827"/>
      <c r="AB185" s="1827"/>
      <c r="AC185" s="1827"/>
      <c r="AD185" s="1827"/>
      <c r="AE185" s="1827"/>
      <c r="AF185" s="1827"/>
      <c r="AG185" s="1827"/>
      <c r="AH185" s="1827"/>
      <c r="AI185" s="1827"/>
      <c r="AJ185" s="1827"/>
      <c r="AK185" s="1827"/>
      <c r="AL185" s="1827"/>
      <c r="AM185" s="1827"/>
      <c r="AN185" s="1827"/>
      <c r="AO185" s="1827"/>
      <c r="AP185" s="1827"/>
      <c r="AQ185" s="1827"/>
      <c r="AR185" s="1827"/>
      <c r="AS185" s="1827"/>
      <c r="AT185" s="1827"/>
      <c r="AU185" s="1827"/>
      <c r="AV185" s="1827"/>
      <c r="AW185" s="1827"/>
      <c r="AX185" s="1827"/>
      <c r="AY185" s="1827"/>
      <c r="AZ185" s="1827"/>
      <c r="BA185" s="1827"/>
      <c r="BB185" s="1827"/>
      <c r="BC185" s="1827"/>
      <c r="BD185" s="1827"/>
      <c r="BE185" s="1827"/>
      <c r="BF185" s="1827"/>
      <c r="BG185" s="1835"/>
      <c r="BH185" s="1835"/>
      <c r="BI185" s="1827"/>
      <c r="BJ185" s="1827"/>
      <c r="BK185" s="1699"/>
      <c r="BL185" s="1836"/>
      <c r="BM185" s="1836"/>
      <c r="BN185" s="1836"/>
      <c r="BO185" s="1836"/>
      <c r="BP185" s="1837"/>
      <c r="BQ185" s="1"/>
    </row>
    <row r="186" spans="1:69" s="1601" customFormat="1" ht="112.5" customHeight="1" x14ac:dyDescent="0.25">
      <c r="A186" s="615"/>
      <c r="B186" s="1471"/>
      <c r="C186" s="1517"/>
      <c r="D186" s="1838"/>
      <c r="E186" s="1839"/>
      <c r="F186" s="1840"/>
      <c r="G186" s="398">
        <v>4502001</v>
      </c>
      <c r="H186" s="8">
        <v>42.8</v>
      </c>
      <c r="I186" s="1569" t="s">
        <v>1236</v>
      </c>
      <c r="J186" s="1566" t="s">
        <v>1705</v>
      </c>
      <c r="K186" s="1511">
        <v>1</v>
      </c>
      <c r="L186" s="1712">
        <v>0</v>
      </c>
      <c r="M186" s="1566" t="s">
        <v>1681</v>
      </c>
      <c r="N186" s="1565" t="s">
        <v>1682</v>
      </c>
      <c r="O186" s="1569" t="s">
        <v>1683</v>
      </c>
      <c r="P186" s="620">
        <f>U186/(Q186+Q172)</f>
        <v>0.27272727272727271</v>
      </c>
      <c r="Q186" s="1841">
        <v>15000000</v>
      </c>
      <c r="R186" s="1842" t="s">
        <v>1684</v>
      </c>
      <c r="S186" s="1717" t="s">
        <v>1685</v>
      </c>
      <c r="T186" s="1717" t="s">
        <v>1236</v>
      </c>
      <c r="U186" s="1718">
        <v>15000000</v>
      </c>
      <c r="V186" s="1718">
        <v>0</v>
      </c>
      <c r="W186" s="1718">
        <v>0</v>
      </c>
      <c r="X186" s="1725">
        <v>88</v>
      </c>
      <c r="Y186" s="1726" t="s">
        <v>168</v>
      </c>
      <c r="Z186" s="1843">
        <v>295972</v>
      </c>
      <c r="AA186" s="1843"/>
      <c r="AB186" s="1843">
        <v>285580</v>
      </c>
      <c r="AC186" s="1843"/>
      <c r="AD186" s="1843">
        <v>135545</v>
      </c>
      <c r="AE186" s="1843"/>
      <c r="AF186" s="1843">
        <v>44254</v>
      </c>
      <c r="AG186" s="1843"/>
      <c r="AH186" s="1843">
        <v>309146</v>
      </c>
      <c r="AI186" s="1843"/>
      <c r="AJ186" s="1843">
        <v>92607</v>
      </c>
      <c r="AK186" s="1843"/>
      <c r="AL186" s="1843">
        <v>2145</v>
      </c>
      <c r="AM186" s="1843"/>
      <c r="AN186" s="1843">
        <v>12718</v>
      </c>
      <c r="AO186" s="1843"/>
      <c r="AP186" s="1843">
        <v>26</v>
      </c>
      <c r="AQ186" s="1843"/>
      <c r="AR186" s="1843">
        <v>37</v>
      </c>
      <c r="AS186" s="1843"/>
      <c r="AT186" s="1843">
        <v>0</v>
      </c>
      <c r="AU186" s="1843"/>
      <c r="AV186" s="1843">
        <v>0</v>
      </c>
      <c r="AW186" s="1843"/>
      <c r="AX186" s="1843">
        <v>44350</v>
      </c>
      <c r="AY186" s="1843"/>
      <c r="AZ186" s="1843">
        <v>21944</v>
      </c>
      <c r="BA186" s="1843"/>
      <c r="BB186" s="1843">
        <v>75687</v>
      </c>
      <c r="BC186" s="1843"/>
      <c r="BD186" s="1843">
        <v>581552</v>
      </c>
      <c r="BE186" s="1843"/>
      <c r="BF186" s="1843"/>
      <c r="BG186" s="1844">
        <f>SUM(V186)</f>
        <v>0</v>
      </c>
      <c r="BH186" s="1844">
        <f>SUM(W186)</f>
        <v>0</v>
      </c>
      <c r="BI186" s="620">
        <f>BG186/Q186</f>
        <v>0</v>
      </c>
      <c r="BJ186" s="1843">
        <v>20</v>
      </c>
      <c r="BK186" s="1845" t="s">
        <v>1610</v>
      </c>
      <c r="BL186" s="1846">
        <v>44033</v>
      </c>
      <c r="BM186" s="1846" t="s">
        <v>1686</v>
      </c>
      <c r="BN186" s="1846">
        <v>44195</v>
      </c>
      <c r="BO186" s="1846">
        <v>44195</v>
      </c>
      <c r="BP186" s="1563" t="s">
        <v>1409</v>
      </c>
      <c r="BQ186" s="1471"/>
    </row>
    <row r="187" spans="1:69" ht="30.75" customHeight="1" x14ac:dyDescent="0.25">
      <c r="A187" s="126"/>
      <c r="B187" s="125"/>
      <c r="C187" s="206"/>
      <c r="D187" s="125"/>
      <c r="E187" s="125"/>
      <c r="F187" s="206"/>
      <c r="G187" s="1847"/>
      <c r="H187" s="1847"/>
      <c r="I187" s="1541"/>
      <c r="J187" s="1541"/>
      <c r="K187" s="682"/>
      <c r="L187" s="682"/>
      <c r="M187" s="1541"/>
      <c r="N187" s="474"/>
      <c r="O187" s="1541"/>
      <c r="P187" s="620"/>
      <c r="Q187" s="1848">
        <f>SUM(Q12:Q186)</f>
        <v>5743774901.3900003</v>
      </c>
      <c r="R187" s="1676"/>
      <c r="S187" s="1676"/>
      <c r="T187" s="1849"/>
      <c r="U187" s="1850">
        <f>SUM(U12:U186)</f>
        <v>5743774901.3899994</v>
      </c>
      <c r="V187" s="1850">
        <f t="shared" ref="V187:W187" si="2">SUM(V12:V186)</f>
        <v>1733575872</v>
      </c>
      <c r="W187" s="1850">
        <f t="shared" si="2"/>
        <v>1387887570</v>
      </c>
      <c r="X187" s="1552"/>
      <c r="Y187" s="1676"/>
      <c r="Z187" s="1556"/>
      <c r="AA187" s="1556"/>
      <c r="AB187" s="1556"/>
      <c r="AC187" s="1556"/>
      <c r="AD187" s="1556"/>
      <c r="AE187" s="1556"/>
      <c r="AF187" s="1556"/>
      <c r="AG187" s="1556"/>
      <c r="AH187" s="1556"/>
      <c r="AI187" s="1556"/>
      <c r="AJ187" s="1556"/>
      <c r="AK187" s="1556"/>
      <c r="AL187" s="1556"/>
      <c r="AM187" s="1556"/>
      <c r="AN187" s="1556"/>
      <c r="AO187" s="1556"/>
      <c r="AP187" s="1556"/>
      <c r="AQ187" s="1556"/>
      <c r="AR187" s="1556"/>
      <c r="AS187" s="1556"/>
      <c r="AT187" s="1556"/>
      <c r="AU187" s="1556"/>
      <c r="AV187" s="1556"/>
      <c r="AW187" s="1556"/>
      <c r="AX187" s="1556"/>
      <c r="AY187" s="1556"/>
      <c r="AZ187" s="1556"/>
      <c r="BA187" s="1556"/>
      <c r="BB187" s="1556"/>
      <c r="BC187" s="1556"/>
      <c r="BD187" s="1556"/>
      <c r="BE187" s="1556"/>
      <c r="BF187" s="1556"/>
      <c r="BG187" s="472">
        <f>SUM(BG12:BG186)</f>
        <v>1701522539</v>
      </c>
      <c r="BH187" s="472">
        <f>SUM(BH12:BH186)</f>
        <v>1355834237</v>
      </c>
      <c r="BI187" s="1556"/>
      <c r="BJ187" s="1556"/>
      <c r="BK187" s="1552"/>
      <c r="BL187" s="1555"/>
      <c r="BM187" s="1555"/>
      <c r="BN187" s="1555"/>
      <c r="BO187" s="1555"/>
      <c r="BP187" s="1556"/>
      <c r="BQ187" s="1"/>
    </row>
  </sheetData>
  <sheetProtection password="A60F" sheet="1" objects="1" scenarios="1"/>
  <mergeCells count="1420">
    <mergeCell ref="BL180:BL183"/>
    <mergeCell ref="BM180:BM183"/>
    <mergeCell ref="BN180:BN183"/>
    <mergeCell ref="BO180:BO183"/>
    <mergeCell ref="BP180:BP183"/>
    <mergeCell ref="BF180:BF183"/>
    <mergeCell ref="BG180:BG183"/>
    <mergeCell ref="BH180:BH183"/>
    <mergeCell ref="BI180:BI183"/>
    <mergeCell ref="BJ180:BJ183"/>
    <mergeCell ref="BK180:BK183"/>
    <mergeCell ref="AZ180:AZ183"/>
    <mergeCell ref="BA180:BA183"/>
    <mergeCell ref="BB180:BB183"/>
    <mergeCell ref="BC180:BC183"/>
    <mergeCell ref="BD180:BD183"/>
    <mergeCell ref="BE180:BE183"/>
    <mergeCell ref="AT180:AT183"/>
    <mergeCell ref="AU180:AU183"/>
    <mergeCell ref="AV180:AV183"/>
    <mergeCell ref="AW180:AW183"/>
    <mergeCell ref="AX180:AX183"/>
    <mergeCell ref="AY180:AY183"/>
    <mergeCell ref="AN180:AN183"/>
    <mergeCell ref="AO180:AO183"/>
    <mergeCell ref="AP180:AP183"/>
    <mergeCell ref="AQ180:AQ183"/>
    <mergeCell ref="AR180:AR183"/>
    <mergeCell ref="AS180:AS183"/>
    <mergeCell ref="AH180:AH183"/>
    <mergeCell ref="AI180:AI183"/>
    <mergeCell ref="AJ180:AJ183"/>
    <mergeCell ref="AK180:AK183"/>
    <mergeCell ref="AL180:AL183"/>
    <mergeCell ref="AM180:AM183"/>
    <mergeCell ref="AB180:AB183"/>
    <mergeCell ref="AC180:AC183"/>
    <mergeCell ref="AD180:AD183"/>
    <mergeCell ref="AE180:AE183"/>
    <mergeCell ref="AF180:AF183"/>
    <mergeCell ref="AG180:AG183"/>
    <mergeCell ref="P180:P183"/>
    <mergeCell ref="Q180:Q183"/>
    <mergeCell ref="R180:R183"/>
    <mergeCell ref="S180:S183"/>
    <mergeCell ref="Z180:Z183"/>
    <mergeCell ref="AA180:AA183"/>
    <mergeCell ref="J180:J183"/>
    <mergeCell ref="K180:K183"/>
    <mergeCell ref="L180:L183"/>
    <mergeCell ref="M180:M183"/>
    <mergeCell ref="N180:N183"/>
    <mergeCell ref="O180:O183"/>
    <mergeCell ref="BL174:BL177"/>
    <mergeCell ref="BM174:BM177"/>
    <mergeCell ref="BN174:BN177"/>
    <mergeCell ref="BO174:BO177"/>
    <mergeCell ref="BP174:BP177"/>
    <mergeCell ref="D180:D183"/>
    <mergeCell ref="F180:F183"/>
    <mergeCell ref="G180:G183"/>
    <mergeCell ref="H180:H183"/>
    <mergeCell ref="I180:I183"/>
    <mergeCell ref="BF174:BF177"/>
    <mergeCell ref="BG174:BG177"/>
    <mergeCell ref="BH174:BH177"/>
    <mergeCell ref="BI174:BI177"/>
    <mergeCell ref="BJ174:BJ177"/>
    <mergeCell ref="BK174:BK177"/>
    <mergeCell ref="AZ174:AZ177"/>
    <mergeCell ref="BA174:BA177"/>
    <mergeCell ref="BB174:BB177"/>
    <mergeCell ref="BC174:BC177"/>
    <mergeCell ref="BD174:BD177"/>
    <mergeCell ref="BE174:BE177"/>
    <mergeCell ref="AT174:AT177"/>
    <mergeCell ref="AU174:AU177"/>
    <mergeCell ref="AV174:AV177"/>
    <mergeCell ref="AW174:AW177"/>
    <mergeCell ref="AX174:AX177"/>
    <mergeCell ref="AY174:AY177"/>
    <mergeCell ref="AN174:AN177"/>
    <mergeCell ref="AO174:AO177"/>
    <mergeCell ref="AP174:AP177"/>
    <mergeCell ref="AQ174:AQ177"/>
    <mergeCell ref="AR174:AR177"/>
    <mergeCell ref="AS174:AS177"/>
    <mergeCell ref="AH174:AH177"/>
    <mergeCell ref="AI174:AI177"/>
    <mergeCell ref="AJ174:AJ177"/>
    <mergeCell ref="AK174:AK177"/>
    <mergeCell ref="AL174:AL177"/>
    <mergeCell ref="AM174:AM177"/>
    <mergeCell ref="AB174:AB177"/>
    <mergeCell ref="AC174:AC177"/>
    <mergeCell ref="AD174:AD177"/>
    <mergeCell ref="AE174:AE177"/>
    <mergeCell ref="AF174:AF177"/>
    <mergeCell ref="AG174:AG177"/>
    <mergeCell ref="P174:P177"/>
    <mergeCell ref="Q174:Q177"/>
    <mergeCell ref="R174:R177"/>
    <mergeCell ref="S174:S177"/>
    <mergeCell ref="Z174:Z177"/>
    <mergeCell ref="AA174:AA177"/>
    <mergeCell ref="J174:J177"/>
    <mergeCell ref="K174:K177"/>
    <mergeCell ref="L174:L177"/>
    <mergeCell ref="M174:M177"/>
    <mergeCell ref="N174:N177"/>
    <mergeCell ref="O174:O177"/>
    <mergeCell ref="BM172:BM173"/>
    <mergeCell ref="BN172:BN173"/>
    <mergeCell ref="BO172:BO173"/>
    <mergeCell ref="BP172:BP173"/>
    <mergeCell ref="D174:D177"/>
    <mergeCell ref="E174:E177"/>
    <mergeCell ref="F174:F177"/>
    <mergeCell ref="G174:G177"/>
    <mergeCell ref="H174:H177"/>
    <mergeCell ref="I174:I177"/>
    <mergeCell ref="BG172:BG173"/>
    <mergeCell ref="BH172:BH173"/>
    <mergeCell ref="BI172:BI173"/>
    <mergeCell ref="BJ172:BJ173"/>
    <mergeCell ref="BK172:BK173"/>
    <mergeCell ref="BL172:BL173"/>
    <mergeCell ref="BA172:BA173"/>
    <mergeCell ref="BB172:BB173"/>
    <mergeCell ref="BC172:BC173"/>
    <mergeCell ref="BD172:BD173"/>
    <mergeCell ref="BE172:BE173"/>
    <mergeCell ref="BF172:BF173"/>
    <mergeCell ref="AU172:AU173"/>
    <mergeCell ref="AV172:AV173"/>
    <mergeCell ref="AW172:AW173"/>
    <mergeCell ref="AX172:AX173"/>
    <mergeCell ref="AY172:AY173"/>
    <mergeCell ref="AZ172:AZ173"/>
    <mergeCell ref="AO172:AO173"/>
    <mergeCell ref="AP172:AP173"/>
    <mergeCell ref="AQ172:AQ173"/>
    <mergeCell ref="AR172:AR173"/>
    <mergeCell ref="AS172:AS173"/>
    <mergeCell ref="AT172:AT173"/>
    <mergeCell ref="AI172:AI173"/>
    <mergeCell ref="AJ172:AJ173"/>
    <mergeCell ref="AK172:AK173"/>
    <mergeCell ref="AL172:AL173"/>
    <mergeCell ref="AM172:AM173"/>
    <mergeCell ref="AN172:AN173"/>
    <mergeCell ref="AC172:AC173"/>
    <mergeCell ref="AD172:AD173"/>
    <mergeCell ref="AE172:AE173"/>
    <mergeCell ref="AF172:AF173"/>
    <mergeCell ref="AG172:AG173"/>
    <mergeCell ref="AH172:AH173"/>
    <mergeCell ref="R172:R173"/>
    <mergeCell ref="S172:S173"/>
    <mergeCell ref="T172:T173"/>
    <mergeCell ref="Z172:Z173"/>
    <mergeCell ref="AA172:AA173"/>
    <mergeCell ref="AB172:AB173"/>
    <mergeCell ref="L172:L173"/>
    <mergeCell ref="M172:M173"/>
    <mergeCell ref="N172:N173"/>
    <mergeCell ref="O172:O173"/>
    <mergeCell ref="P172:P173"/>
    <mergeCell ref="Q172:Q173"/>
    <mergeCell ref="BL153:BL170"/>
    <mergeCell ref="BM153:BM170"/>
    <mergeCell ref="BN153:BN170"/>
    <mergeCell ref="BO153:BO170"/>
    <mergeCell ref="BP153:BP170"/>
    <mergeCell ref="AK153:AK170"/>
    <mergeCell ref="AL153:AL170"/>
    <mergeCell ref="AM153:AM170"/>
    <mergeCell ref="AB153:AB170"/>
    <mergeCell ref="AC153:AC170"/>
    <mergeCell ref="AD153:AD170"/>
    <mergeCell ref="AE153:AE170"/>
    <mergeCell ref="AF153:AF170"/>
    <mergeCell ref="AG153:AG170"/>
    <mergeCell ref="Q153:Q170"/>
    <mergeCell ref="R153:R170"/>
    <mergeCell ref="S153:S170"/>
    <mergeCell ref="T153:T154"/>
    <mergeCell ref="Z153:Z170"/>
    <mergeCell ref="AA153:AA170"/>
    <mergeCell ref="G172:G173"/>
    <mergeCell ref="H172:H173"/>
    <mergeCell ref="I172:I173"/>
    <mergeCell ref="J172:J173"/>
    <mergeCell ref="K172:K173"/>
    <mergeCell ref="BF153:BF170"/>
    <mergeCell ref="BG153:BG170"/>
    <mergeCell ref="BH153:BH170"/>
    <mergeCell ref="BI153:BI170"/>
    <mergeCell ref="BJ153:BJ170"/>
    <mergeCell ref="BK153:BK170"/>
    <mergeCell ref="AZ153:AZ170"/>
    <mergeCell ref="BA153:BA170"/>
    <mergeCell ref="BB153:BB170"/>
    <mergeCell ref="BC153:BC170"/>
    <mergeCell ref="BD153:BD170"/>
    <mergeCell ref="BE153:BE170"/>
    <mergeCell ref="AT153:AT170"/>
    <mergeCell ref="AU153:AU170"/>
    <mergeCell ref="AV153:AV170"/>
    <mergeCell ref="AW153:AW170"/>
    <mergeCell ref="AX153:AX170"/>
    <mergeCell ref="AY153:AY170"/>
    <mergeCell ref="AN153:AN170"/>
    <mergeCell ref="AO153:AO170"/>
    <mergeCell ref="AP153:AP170"/>
    <mergeCell ref="AQ153:AQ170"/>
    <mergeCell ref="AR153:AR170"/>
    <mergeCell ref="AS153:AS170"/>
    <mergeCell ref="AH153:AH170"/>
    <mergeCell ref="AI153:AI170"/>
    <mergeCell ref="AJ153:AJ170"/>
    <mergeCell ref="K153:K170"/>
    <mergeCell ref="L153:L170"/>
    <mergeCell ref="M153:M170"/>
    <mergeCell ref="N153:N170"/>
    <mergeCell ref="O153:O170"/>
    <mergeCell ref="P153:P170"/>
    <mergeCell ref="D153:D170"/>
    <mergeCell ref="E153:E170"/>
    <mergeCell ref="G153:G170"/>
    <mergeCell ref="H153:H170"/>
    <mergeCell ref="I153:I170"/>
    <mergeCell ref="J153:J170"/>
    <mergeCell ref="H149:H152"/>
    <mergeCell ref="I149:I152"/>
    <mergeCell ref="J149:J152"/>
    <mergeCell ref="K149:K152"/>
    <mergeCell ref="L149:L152"/>
    <mergeCell ref="M132:M152"/>
    <mergeCell ref="N132:N152"/>
    <mergeCell ref="O132:O152"/>
    <mergeCell ref="P132:P140"/>
    <mergeCell ref="BO132:BO152"/>
    <mergeCell ref="BP132:BP152"/>
    <mergeCell ref="T133:T134"/>
    <mergeCell ref="G141:G152"/>
    <mergeCell ref="H141:H148"/>
    <mergeCell ref="I141:I148"/>
    <mergeCell ref="J141:J148"/>
    <mergeCell ref="K141:K148"/>
    <mergeCell ref="L141:L148"/>
    <mergeCell ref="P141:P144"/>
    <mergeCell ref="BI132:BI152"/>
    <mergeCell ref="BJ132:BJ152"/>
    <mergeCell ref="BK132:BK152"/>
    <mergeCell ref="BL132:BL152"/>
    <mergeCell ref="BM132:BM152"/>
    <mergeCell ref="BN132:BN152"/>
    <mergeCell ref="BC132:BC152"/>
    <mergeCell ref="BD132:BD152"/>
    <mergeCell ref="BE132:BE152"/>
    <mergeCell ref="BF132:BF152"/>
    <mergeCell ref="BG132:BG152"/>
    <mergeCell ref="BH132:BH152"/>
    <mergeCell ref="AW132:AW152"/>
    <mergeCell ref="AX132:AX152"/>
    <mergeCell ref="AY132:AY152"/>
    <mergeCell ref="AZ132:AZ152"/>
    <mergeCell ref="BA132:BA152"/>
    <mergeCell ref="BB132:BB152"/>
    <mergeCell ref="AQ132:AQ152"/>
    <mergeCell ref="AR132:AR152"/>
    <mergeCell ref="AS132:AS152"/>
    <mergeCell ref="AT132:AT152"/>
    <mergeCell ref="AU132:AU152"/>
    <mergeCell ref="AV132:AV152"/>
    <mergeCell ref="AK132:AK152"/>
    <mergeCell ref="AL132:AL152"/>
    <mergeCell ref="AM132:AM152"/>
    <mergeCell ref="AN132:AN152"/>
    <mergeCell ref="AO132:AO152"/>
    <mergeCell ref="AP132:AP152"/>
    <mergeCell ref="AE132:AE152"/>
    <mergeCell ref="AF132:AF152"/>
    <mergeCell ref="AG132:AG152"/>
    <mergeCell ref="AH132:AH152"/>
    <mergeCell ref="AI132:AI152"/>
    <mergeCell ref="AJ132:AJ152"/>
    <mergeCell ref="S132:S152"/>
    <mergeCell ref="Z132:Z152"/>
    <mergeCell ref="AA132:AA152"/>
    <mergeCell ref="AB132:AB152"/>
    <mergeCell ref="AC132:AC152"/>
    <mergeCell ref="AD132:AD152"/>
    <mergeCell ref="T149:T150"/>
    <mergeCell ref="T151:T152"/>
    <mergeCell ref="Q132:Q152"/>
    <mergeCell ref="R132:R152"/>
    <mergeCell ref="P145:P152"/>
    <mergeCell ref="G132:G140"/>
    <mergeCell ref="H132:H140"/>
    <mergeCell ref="I132:I140"/>
    <mergeCell ref="J132:J140"/>
    <mergeCell ref="K132:K140"/>
    <mergeCell ref="L132:L140"/>
    <mergeCell ref="BK121:BK131"/>
    <mergeCell ref="BL121:BL131"/>
    <mergeCell ref="BM121:BM131"/>
    <mergeCell ref="BN121:BN131"/>
    <mergeCell ref="BO121:BO131"/>
    <mergeCell ref="BP121:BP131"/>
    <mergeCell ref="BE121:BE131"/>
    <mergeCell ref="BF121:BF131"/>
    <mergeCell ref="BG121:BG131"/>
    <mergeCell ref="BH121:BH131"/>
    <mergeCell ref="BI121:BI131"/>
    <mergeCell ref="BJ121:BJ131"/>
    <mergeCell ref="AY121:AY131"/>
    <mergeCell ref="AZ121:AZ131"/>
    <mergeCell ref="BA121:BA131"/>
    <mergeCell ref="BB121:BB131"/>
    <mergeCell ref="BC121:BC131"/>
    <mergeCell ref="BD121:BD131"/>
    <mergeCell ref="AS121:AS131"/>
    <mergeCell ref="AT121:AT131"/>
    <mergeCell ref="AU121:AU131"/>
    <mergeCell ref="AV121:AV131"/>
    <mergeCell ref="AW121:AW131"/>
    <mergeCell ref="AX121:AX131"/>
    <mergeCell ref="AM121:AM131"/>
    <mergeCell ref="AN121:AN131"/>
    <mergeCell ref="AO121:AO131"/>
    <mergeCell ref="AP121:AP131"/>
    <mergeCell ref="AQ121:AQ131"/>
    <mergeCell ref="AR121:AR131"/>
    <mergeCell ref="AG121:AG131"/>
    <mergeCell ref="AH121:AH131"/>
    <mergeCell ref="AI121:AI131"/>
    <mergeCell ref="AJ121:AJ131"/>
    <mergeCell ref="AK121:AK131"/>
    <mergeCell ref="AL121:AL131"/>
    <mergeCell ref="AA121:AA131"/>
    <mergeCell ref="AB121:AB131"/>
    <mergeCell ref="AC121:AC131"/>
    <mergeCell ref="AD121:AD131"/>
    <mergeCell ref="AE121:AE131"/>
    <mergeCell ref="AF121:AF131"/>
    <mergeCell ref="O121:O131"/>
    <mergeCell ref="P121:P131"/>
    <mergeCell ref="Q121:Q131"/>
    <mergeCell ref="R121:R131"/>
    <mergeCell ref="S121:S131"/>
    <mergeCell ref="Z121:Z131"/>
    <mergeCell ref="T122:T123"/>
    <mergeCell ref="T126:T127"/>
    <mergeCell ref="T128:T129"/>
    <mergeCell ref="BP112:BP120"/>
    <mergeCell ref="T118:T119"/>
    <mergeCell ref="G121:G131"/>
    <mergeCell ref="H121:H131"/>
    <mergeCell ref="I121:I131"/>
    <mergeCell ref="J121:J131"/>
    <mergeCell ref="K121:K131"/>
    <mergeCell ref="L121:L131"/>
    <mergeCell ref="M121:M131"/>
    <mergeCell ref="N121:N131"/>
    <mergeCell ref="BJ112:BJ120"/>
    <mergeCell ref="BK112:BK120"/>
    <mergeCell ref="BL112:BL120"/>
    <mergeCell ref="BM112:BM120"/>
    <mergeCell ref="BN112:BN120"/>
    <mergeCell ref="BO112:BO120"/>
    <mergeCell ref="BD112:BD120"/>
    <mergeCell ref="BE112:BE120"/>
    <mergeCell ref="BF112:BF120"/>
    <mergeCell ref="BG112:BG120"/>
    <mergeCell ref="BH112:BH120"/>
    <mergeCell ref="BI112:BI120"/>
    <mergeCell ref="AX112:AX120"/>
    <mergeCell ref="AY112:AY120"/>
    <mergeCell ref="AZ112:AZ120"/>
    <mergeCell ref="BA112:BA120"/>
    <mergeCell ref="BB112:BB120"/>
    <mergeCell ref="BC112:BC120"/>
    <mergeCell ref="AR112:AR120"/>
    <mergeCell ref="AS112:AS120"/>
    <mergeCell ref="AT112:AT120"/>
    <mergeCell ref="AU112:AU120"/>
    <mergeCell ref="AV112:AV120"/>
    <mergeCell ref="AW112:AW120"/>
    <mergeCell ref="AL112:AL120"/>
    <mergeCell ref="AM112:AM120"/>
    <mergeCell ref="AN112:AN120"/>
    <mergeCell ref="AO112:AO120"/>
    <mergeCell ref="AP112:AP120"/>
    <mergeCell ref="AQ112:AQ120"/>
    <mergeCell ref="AF112:AF120"/>
    <mergeCell ref="AG112:AG120"/>
    <mergeCell ref="AH112:AH120"/>
    <mergeCell ref="AI112:AI120"/>
    <mergeCell ref="AJ112:AJ120"/>
    <mergeCell ref="AK112:AK120"/>
    <mergeCell ref="Z112:Z120"/>
    <mergeCell ref="AA112:AA120"/>
    <mergeCell ref="AB112:AB120"/>
    <mergeCell ref="AC112:AC120"/>
    <mergeCell ref="AD112:AD120"/>
    <mergeCell ref="AE112:AE120"/>
    <mergeCell ref="O112:O120"/>
    <mergeCell ref="P112:P120"/>
    <mergeCell ref="Q112:Q120"/>
    <mergeCell ref="R112:R120"/>
    <mergeCell ref="S112:S120"/>
    <mergeCell ref="T112:T113"/>
    <mergeCell ref="BO110:BO111"/>
    <mergeCell ref="BP110:BP111"/>
    <mergeCell ref="G112:G120"/>
    <mergeCell ref="H112:H120"/>
    <mergeCell ref="I112:I120"/>
    <mergeCell ref="J112:J120"/>
    <mergeCell ref="K112:K120"/>
    <mergeCell ref="L112:L120"/>
    <mergeCell ref="M112:M120"/>
    <mergeCell ref="N112:N120"/>
    <mergeCell ref="BI110:BI111"/>
    <mergeCell ref="BJ110:BJ111"/>
    <mergeCell ref="BK110:BK111"/>
    <mergeCell ref="BL110:BL111"/>
    <mergeCell ref="BM110:BM111"/>
    <mergeCell ref="BN110:BN111"/>
    <mergeCell ref="BC110:BC111"/>
    <mergeCell ref="BD110:BD111"/>
    <mergeCell ref="BE110:BE111"/>
    <mergeCell ref="BF110:BF111"/>
    <mergeCell ref="BG110:BG111"/>
    <mergeCell ref="BH110:BH111"/>
    <mergeCell ref="AW110:AW111"/>
    <mergeCell ref="AX110:AX111"/>
    <mergeCell ref="AY110:AY111"/>
    <mergeCell ref="AZ110:AZ111"/>
    <mergeCell ref="BA110:BA111"/>
    <mergeCell ref="BB110:BB111"/>
    <mergeCell ref="AQ110:AQ111"/>
    <mergeCell ref="AR110:AR111"/>
    <mergeCell ref="AS110:AS111"/>
    <mergeCell ref="AT110:AT111"/>
    <mergeCell ref="AU110:AU111"/>
    <mergeCell ref="AV110:AV111"/>
    <mergeCell ref="AK110:AK111"/>
    <mergeCell ref="AL110:AL111"/>
    <mergeCell ref="AM110:AM111"/>
    <mergeCell ref="AN110:AN111"/>
    <mergeCell ref="AO110:AO111"/>
    <mergeCell ref="AP110:AP111"/>
    <mergeCell ref="AE110:AE111"/>
    <mergeCell ref="AF110:AF111"/>
    <mergeCell ref="AG110:AG111"/>
    <mergeCell ref="AH110:AH111"/>
    <mergeCell ref="AI110:AI111"/>
    <mergeCell ref="AJ110:AJ111"/>
    <mergeCell ref="S110:S111"/>
    <mergeCell ref="Z110:Z111"/>
    <mergeCell ref="AA110:AA111"/>
    <mergeCell ref="AB110:AB111"/>
    <mergeCell ref="AC110:AC111"/>
    <mergeCell ref="AD110:AD111"/>
    <mergeCell ref="M110:M111"/>
    <mergeCell ref="N110:N111"/>
    <mergeCell ref="O110:O111"/>
    <mergeCell ref="P110:P111"/>
    <mergeCell ref="Q110:Q111"/>
    <mergeCell ref="R110:R111"/>
    <mergeCell ref="G110:G111"/>
    <mergeCell ref="H110:H111"/>
    <mergeCell ref="I110:I111"/>
    <mergeCell ref="J110:J111"/>
    <mergeCell ref="K110:K111"/>
    <mergeCell ref="L110:L111"/>
    <mergeCell ref="BL106:BL109"/>
    <mergeCell ref="BM106:BM109"/>
    <mergeCell ref="BN106:BN109"/>
    <mergeCell ref="BO106:BO109"/>
    <mergeCell ref="BP106:BP109"/>
    <mergeCell ref="J107:J109"/>
    <mergeCell ref="K107:K109"/>
    <mergeCell ref="L107:L109"/>
    <mergeCell ref="BF106:BF109"/>
    <mergeCell ref="BG106:BG109"/>
    <mergeCell ref="BH106:BH109"/>
    <mergeCell ref="BI106:BI109"/>
    <mergeCell ref="BJ106:BJ109"/>
    <mergeCell ref="BK106:BK109"/>
    <mergeCell ref="AZ106:AZ109"/>
    <mergeCell ref="BA106:BA109"/>
    <mergeCell ref="BB106:BB109"/>
    <mergeCell ref="BC106:BC109"/>
    <mergeCell ref="BD106:BD109"/>
    <mergeCell ref="BE106:BE109"/>
    <mergeCell ref="AT106:AT109"/>
    <mergeCell ref="AU106:AU109"/>
    <mergeCell ref="AV106:AV109"/>
    <mergeCell ref="AW106:AW109"/>
    <mergeCell ref="AX106:AX109"/>
    <mergeCell ref="AY106:AY109"/>
    <mergeCell ref="AM106:AM109"/>
    <mergeCell ref="AN106:AN109"/>
    <mergeCell ref="AP106:AP109"/>
    <mergeCell ref="AQ106:AQ109"/>
    <mergeCell ref="AR106:AR109"/>
    <mergeCell ref="AS106:AS109"/>
    <mergeCell ref="AG106:AG109"/>
    <mergeCell ref="AH106:AH109"/>
    <mergeCell ref="AI106:AI109"/>
    <mergeCell ref="AJ106:AJ109"/>
    <mergeCell ref="AK106:AK109"/>
    <mergeCell ref="AL106:AL109"/>
    <mergeCell ref="AA106:AA109"/>
    <mergeCell ref="AB106:AB109"/>
    <mergeCell ref="AC106:AC109"/>
    <mergeCell ref="AD106:AD109"/>
    <mergeCell ref="AE106:AE109"/>
    <mergeCell ref="AF106:AF109"/>
    <mergeCell ref="O106:O109"/>
    <mergeCell ref="P106:P109"/>
    <mergeCell ref="Q106:Q109"/>
    <mergeCell ref="R106:R109"/>
    <mergeCell ref="S106:S109"/>
    <mergeCell ref="Z106:Z109"/>
    <mergeCell ref="BL102:BL104"/>
    <mergeCell ref="BM102:BM104"/>
    <mergeCell ref="BN102:BN104"/>
    <mergeCell ref="BO102:BO104"/>
    <mergeCell ref="BP102:BP104"/>
    <mergeCell ref="AK102:AK104"/>
    <mergeCell ref="AL102:AL104"/>
    <mergeCell ref="AM102:AM104"/>
    <mergeCell ref="AB102:AB104"/>
    <mergeCell ref="AC102:AC104"/>
    <mergeCell ref="AD102:AD104"/>
    <mergeCell ref="AE102:AE104"/>
    <mergeCell ref="AF102:AF104"/>
    <mergeCell ref="AG102:AG104"/>
    <mergeCell ref="P102:P104"/>
    <mergeCell ref="Q102:Q104"/>
    <mergeCell ref="R102:R104"/>
    <mergeCell ref="S102:S104"/>
    <mergeCell ref="Z102:Z104"/>
    <mergeCell ref="AA102:AA104"/>
    <mergeCell ref="G106:G109"/>
    <mergeCell ref="H106:H109"/>
    <mergeCell ref="I106:I109"/>
    <mergeCell ref="M106:M109"/>
    <mergeCell ref="N106:N109"/>
    <mergeCell ref="BF102:BF104"/>
    <mergeCell ref="BG102:BG104"/>
    <mergeCell ref="BH102:BH104"/>
    <mergeCell ref="BI102:BI104"/>
    <mergeCell ref="BJ102:BJ104"/>
    <mergeCell ref="BK102:BK104"/>
    <mergeCell ref="AZ102:AZ104"/>
    <mergeCell ref="BA102:BA104"/>
    <mergeCell ref="BB102:BB104"/>
    <mergeCell ref="BC102:BC104"/>
    <mergeCell ref="BD102:BD104"/>
    <mergeCell ref="BE102:BE104"/>
    <mergeCell ref="AT102:AT104"/>
    <mergeCell ref="AU102:AU104"/>
    <mergeCell ref="AV102:AV104"/>
    <mergeCell ref="AW102:AW104"/>
    <mergeCell ref="AX102:AX104"/>
    <mergeCell ref="AY102:AY104"/>
    <mergeCell ref="AN102:AN104"/>
    <mergeCell ref="AO102:AO104"/>
    <mergeCell ref="AP102:AP104"/>
    <mergeCell ref="AQ102:AQ104"/>
    <mergeCell ref="AR102:AR104"/>
    <mergeCell ref="AS102:AS104"/>
    <mergeCell ref="AH102:AH104"/>
    <mergeCell ref="AI102:AI104"/>
    <mergeCell ref="AJ102:AJ104"/>
    <mergeCell ref="J102:J104"/>
    <mergeCell ref="K102:K104"/>
    <mergeCell ref="L102:L104"/>
    <mergeCell ref="M102:M104"/>
    <mergeCell ref="N102:N104"/>
    <mergeCell ref="O102:O104"/>
    <mergeCell ref="D102:D104"/>
    <mergeCell ref="E102:E104"/>
    <mergeCell ref="F102:F104"/>
    <mergeCell ref="G102:G104"/>
    <mergeCell ref="H102:H104"/>
    <mergeCell ref="I102:I104"/>
    <mergeCell ref="BO97:BO101"/>
    <mergeCell ref="BP97:BP101"/>
    <mergeCell ref="G99:G101"/>
    <mergeCell ref="H99:H101"/>
    <mergeCell ref="I99:I101"/>
    <mergeCell ref="J99:J101"/>
    <mergeCell ref="K99:K101"/>
    <mergeCell ref="L99:L101"/>
    <mergeCell ref="P99:P101"/>
    <mergeCell ref="BI97:BI101"/>
    <mergeCell ref="BJ97:BJ101"/>
    <mergeCell ref="BK97:BK101"/>
    <mergeCell ref="BL97:BL101"/>
    <mergeCell ref="BM97:BM101"/>
    <mergeCell ref="BN97:BN101"/>
    <mergeCell ref="BC97:BC101"/>
    <mergeCell ref="BD97:BD101"/>
    <mergeCell ref="BE97:BE101"/>
    <mergeCell ref="BF97:BF101"/>
    <mergeCell ref="BG97:BG101"/>
    <mergeCell ref="BH97:BH101"/>
    <mergeCell ref="AW97:AW101"/>
    <mergeCell ref="AX97:AX101"/>
    <mergeCell ref="AY97:AY101"/>
    <mergeCell ref="AZ97:AZ101"/>
    <mergeCell ref="BA97:BA101"/>
    <mergeCell ref="BB97:BB101"/>
    <mergeCell ref="AQ97:AQ101"/>
    <mergeCell ref="AR97:AR101"/>
    <mergeCell ref="AS97:AS101"/>
    <mergeCell ref="AT97:AT101"/>
    <mergeCell ref="AU97:AU101"/>
    <mergeCell ref="AV97:AV101"/>
    <mergeCell ref="AK97:AK101"/>
    <mergeCell ref="AL97:AL101"/>
    <mergeCell ref="AM97:AM101"/>
    <mergeCell ref="AN97:AN101"/>
    <mergeCell ref="AO97:AO101"/>
    <mergeCell ref="AP97:AP101"/>
    <mergeCell ref="AE97:AE101"/>
    <mergeCell ref="AF97:AF101"/>
    <mergeCell ref="AG97:AG101"/>
    <mergeCell ref="AH97:AH101"/>
    <mergeCell ref="AI97:AI101"/>
    <mergeCell ref="AJ97:AJ101"/>
    <mergeCell ref="S97:S101"/>
    <mergeCell ref="Z97:Z101"/>
    <mergeCell ref="AA97:AA101"/>
    <mergeCell ref="AB97:AB101"/>
    <mergeCell ref="AC97:AC101"/>
    <mergeCell ref="AD97:AD101"/>
    <mergeCell ref="M97:M101"/>
    <mergeCell ref="N97:N101"/>
    <mergeCell ref="O97:O101"/>
    <mergeCell ref="P97:P98"/>
    <mergeCell ref="Q97:Q101"/>
    <mergeCell ref="R97:R101"/>
    <mergeCell ref="BM94:BM96"/>
    <mergeCell ref="BN94:BN96"/>
    <mergeCell ref="BO94:BO96"/>
    <mergeCell ref="BP94:BP96"/>
    <mergeCell ref="G97:G98"/>
    <mergeCell ref="H97:H98"/>
    <mergeCell ref="I97:I98"/>
    <mergeCell ref="J97:J98"/>
    <mergeCell ref="K97:K98"/>
    <mergeCell ref="L97:L98"/>
    <mergeCell ref="BG94:BG96"/>
    <mergeCell ref="BH94:BH96"/>
    <mergeCell ref="BI94:BI96"/>
    <mergeCell ref="BJ94:BJ96"/>
    <mergeCell ref="BK94:BK96"/>
    <mergeCell ref="BL94:BL96"/>
    <mergeCell ref="BA94:BA96"/>
    <mergeCell ref="BB94:BB96"/>
    <mergeCell ref="BC94:BC96"/>
    <mergeCell ref="BD94:BD96"/>
    <mergeCell ref="BE94:BE96"/>
    <mergeCell ref="BF94:BF96"/>
    <mergeCell ref="AU94:AU96"/>
    <mergeCell ref="AV94:AV96"/>
    <mergeCell ref="AW94:AW96"/>
    <mergeCell ref="AX94:AX96"/>
    <mergeCell ref="AY94:AY96"/>
    <mergeCell ref="AZ94:AZ96"/>
    <mergeCell ref="AO94:AO96"/>
    <mergeCell ref="AP94:AP96"/>
    <mergeCell ref="AQ94:AQ96"/>
    <mergeCell ref="AR94:AR96"/>
    <mergeCell ref="AS94:AS96"/>
    <mergeCell ref="AT94:AT96"/>
    <mergeCell ref="AI94:AI96"/>
    <mergeCell ref="AJ94:AJ96"/>
    <mergeCell ref="AK94:AK96"/>
    <mergeCell ref="AL94:AL96"/>
    <mergeCell ref="AM94:AM96"/>
    <mergeCell ref="AN94:AN96"/>
    <mergeCell ref="AC94:AC96"/>
    <mergeCell ref="AD94:AD96"/>
    <mergeCell ref="AE94:AE96"/>
    <mergeCell ref="AF94:AF96"/>
    <mergeCell ref="AG94:AG96"/>
    <mergeCell ref="AH94:AH96"/>
    <mergeCell ref="R94:R96"/>
    <mergeCell ref="S94:S96"/>
    <mergeCell ref="T94:T95"/>
    <mergeCell ref="Z94:Z96"/>
    <mergeCell ref="AA94:AA96"/>
    <mergeCell ref="AB94:AB96"/>
    <mergeCell ref="L94:L96"/>
    <mergeCell ref="M94:M96"/>
    <mergeCell ref="N94:N96"/>
    <mergeCell ref="O94:O96"/>
    <mergeCell ref="P94:P96"/>
    <mergeCell ref="Q94:Q96"/>
    <mergeCell ref="BL92:BL93"/>
    <mergeCell ref="BM92:BM93"/>
    <mergeCell ref="BN92:BN93"/>
    <mergeCell ref="BO92:BO93"/>
    <mergeCell ref="BP92:BP93"/>
    <mergeCell ref="G94:G96"/>
    <mergeCell ref="H94:H96"/>
    <mergeCell ref="I94:I96"/>
    <mergeCell ref="J94:J96"/>
    <mergeCell ref="K94:K96"/>
    <mergeCell ref="BF92:BF93"/>
    <mergeCell ref="BG92:BG93"/>
    <mergeCell ref="BH92:BH93"/>
    <mergeCell ref="BI92:BI93"/>
    <mergeCell ref="BJ92:BJ93"/>
    <mergeCell ref="BK92:BK93"/>
    <mergeCell ref="AZ92:AZ93"/>
    <mergeCell ref="BA92:BA93"/>
    <mergeCell ref="BB92:BB93"/>
    <mergeCell ref="BC92:BC93"/>
    <mergeCell ref="BD92:BD93"/>
    <mergeCell ref="BE92:BE93"/>
    <mergeCell ref="AT92:AT93"/>
    <mergeCell ref="AU92:AU93"/>
    <mergeCell ref="AV92:AV93"/>
    <mergeCell ref="AW92:AW93"/>
    <mergeCell ref="AX92:AX93"/>
    <mergeCell ref="AY92:AY93"/>
    <mergeCell ref="AN92:AN93"/>
    <mergeCell ref="AO92:AO93"/>
    <mergeCell ref="AP92:AP93"/>
    <mergeCell ref="AQ92:AQ93"/>
    <mergeCell ref="AR92:AR93"/>
    <mergeCell ref="AS92:AS93"/>
    <mergeCell ref="AH92:AH93"/>
    <mergeCell ref="AI92:AI93"/>
    <mergeCell ref="AJ92:AJ93"/>
    <mergeCell ref="AK92:AK93"/>
    <mergeCell ref="AL92:AL93"/>
    <mergeCell ref="AM92:AM93"/>
    <mergeCell ref="AB92:AB93"/>
    <mergeCell ref="AC92:AC93"/>
    <mergeCell ref="AD92:AD93"/>
    <mergeCell ref="AE92:AE93"/>
    <mergeCell ref="AF92:AF93"/>
    <mergeCell ref="AG92:AG93"/>
    <mergeCell ref="P92:P93"/>
    <mergeCell ref="Q92:Q93"/>
    <mergeCell ref="R92:R93"/>
    <mergeCell ref="S92:S93"/>
    <mergeCell ref="Z92:Z93"/>
    <mergeCell ref="AA92:AA93"/>
    <mergeCell ref="J92:J93"/>
    <mergeCell ref="K92:K93"/>
    <mergeCell ref="L92:L93"/>
    <mergeCell ref="M92:M93"/>
    <mergeCell ref="N92:N93"/>
    <mergeCell ref="O92:O93"/>
    <mergeCell ref="BN88:BN91"/>
    <mergeCell ref="BO88:BO91"/>
    <mergeCell ref="BP88:BP91"/>
    <mergeCell ref="C92:C93"/>
    <mergeCell ref="D92:D93"/>
    <mergeCell ref="E92:E93"/>
    <mergeCell ref="F92:F93"/>
    <mergeCell ref="G92:G93"/>
    <mergeCell ref="H92:H93"/>
    <mergeCell ref="I92:I93"/>
    <mergeCell ref="BH88:BH91"/>
    <mergeCell ref="BI88:BI91"/>
    <mergeCell ref="BJ88:BJ91"/>
    <mergeCell ref="BK88:BK91"/>
    <mergeCell ref="BL88:BL91"/>
    <mergeCell ref="BM88:BM91"/>
    <mergeCell ref="BB88:BB91"/>
    <mergeCell ref="BC88:BC91"/>
    <mergeCell ref="BD88:BD91"/>
    <mergeCell ref="BE88:BE91"/>
    <mergeCell ref="BF88:BF91"/>
    <mergeCell ref="BG88:BG91"/>
    <mergeCell ref="AV88:AV91"/>
    <mergeCell ref="AW88:AW91"/>
    <mergeCell ref="AX88:AX91"/>
    <mergeCell ref="AY88:AY91"/>
    <mergeCell ref="AZ88:AZ91"/>
    <mergeCell ref="BA88:BA91"/>
    <mergeCell ref="AP88:AP91"/>
    <mergeCell ref="AQ88:AQ91"/>
    <mergeCell ref="AR88:AR91"/>
    <mergeCell ref="AS88:AS91"/>
    <mergeCell ref="AT88:AT91"/>
    <mergeCell ref="AU88:AU91"/>
    <mergeCell ref="AJ88:AJ91"/>
    <mergeCell ref="AK88:AK91"/>
    <mergeCell ref="AL88:AL91"/>
    <mergeCell ref="AM88:AM91"/>
    <mergeCell ref="AN88:AN91"/>
    <mergeCell ref="AO88:AO91"/>
    <mergeCell ref="AD88:AD91"/>
    <mergeCell ref="AE88:AE91"/>
    <mergeCell ref="AF88:AF91"/>
    <mergeCell ref="AG88:AG91"/>
    <mergeCell ref="AH88:AH91"/>
    <mergeCell ref="AI88:AI91"/>
    <mergeCell ref="R88:R91"/>
    <mergeCell ref="S88:S91"/>
    <mergeCell ref="Z88:Z91"/>
    <mergeCell ref="AA88:AA91"/>
    <mergeCell ref="AB88:AB91"/>
    <mergeCell ref="AC88:AC91"/>
    <mergeCell ref="L88:L91"/>
    <mergeCell ref="M88:M91"/>
    <mergeCell ref="N88:N91"/>
    <mergeCell ref="O88:O91"/>
    <mergeCell ref="P88:P91"/>
    <mergeCell ref="Q88:Q91"/>
    <mergeCell ref="BL82:BL85"/>
    <mergeCell ref="BM82:BM85"/>
    <mergeCell ref="BN82:BN85"/>
    <mergeCell ref="BO82:BO85"/>
    <mergeCell ref="BP82:BP85"/>
    <mergeCell ref="G88:G91"/>
    <mergeCell ref="H88:H91"/>
    <mergeCell ref="I88:I91"/>
    <mergeCell ref="J88:J91"/>
    <mergeCell ref="K88:K91"/>
    <mergeCell ref="BF82:BF85"/>
    <mergeCell ref="BG82:BG85"/>
    <mergeCell ref="BH82:BH85"/>
    <mergeCell ref="BI82:BI85"/>
    <mergeCell ref="BJ82:BJ85"/>
    <mergeCell ref="BK82:BK85"/>
    <mergeCell ref="AZ82:AZ85"/>
    <mergeCell ref="BA82:BA85"/>
    <mergeCell ref="BB82:BB85"/>
    <mergeCell ref="BC82:BC85"/>
    <mergeCell ref="BD82:BD85"/>
    <mergeCell ref="BE82:BE85"/>
    <mergeCell ref="AT82:AT85"/>
    <mergeCell ref="AU82:AU85"/>
    <mergeCell ref="AV82:AV85"/>
    <mergeCell ref="AW82:AW85"/>
    <mergeCell ref="AX82:AX85"/>
    <mergeCell ref="AY82:AY85"/>
    <mergeCell ref="AN82:AN85"/>
    <mergeCell ref="AO82:AO85"/>
    <mergeCell ref="AP82:AP85"/>
    <mergeCell ref="AQ82:AQ85"/>
    <mergeCell ref="AR82:AR85"/>
    <mergeCell ref="AS82:AS85"/>
    <mergeCell ref="AH82:AH85"/>
    <mergeCell ref="AI82:AI85"/>
    <mergeCell ref="AJ82:AJ85"/>
    <mergeCell ref="AK82:AK85"/>
    <mergeCell ref="AL82:AL85"/>
    <mergeCell ref="AM82:AM85"/>
    <mergeCell ref="AB82:AB85"/>
    <mergeCell ref="AC82:AC85"/>
    <mergeCell ref="AD82:AD85"/>
    <mergeCell ref="AE82:AE85"/>
    <mergeCell ref="AF82:AF85"/>
    <mergeCell ref="AG82:AG85"/>
    <mergeCell ref="P82:P85"/>
    <mergeCell ref="Q82:Q85"/>
    <mergeCell ref="R82:R85"/>
    <mergeCell ref="S82:S85"/>
    <mergeCell ref="Z82:Z85"/>
    <mergeCell ref="AA82:AA85"/>
    <mergeCell ref="J82:J85"/>
    <mergeCell ref="K82:K85"/>
    <mergeCell ref="L82:L85"/>
    <mergeCell ref="M82:M85"/>
    <mergeCell ref="N82:N85"/>
    <mergeCell ref="O82:O85"/>
    <mergeCell ref="D82:D85"/>
    <mergeCell ref="E82:E85"/>
    <mergeCell ref="F82:F85"/>
    <mergeCell ref="G82:G85"/>
    <mergeCell ref="H82:H85"/>
    <mergeCell ref="I82:I85"/>
    <mergeCell ref="BK76:BK81"/>
    <mergeCell ref="BL76:BL81"/>
    <mergeCell ref="BM76:BM81"/>
    <mergeCell ref="BN76:BN81"/>
    <mergeCell ref="BO76:BO81"/>
    <mergeCell ref="AM76:AM81"/>
    <mergeCell ref="AN76:AN81"/>
    <mergeCell ref="AO76:AO81"/>
    <mergeCell ref="AP76:AP81"/>
    <mergeCell ref="AQ76:AQ81"/>
    <mergeCell ref="AR76:AR81"/>
    <mergeCell ref="AG76:AG81"/>
    <mergeCell ref="AH76:AH81"/>
    <mergeCell ref="AI76:AI81"/>
    <mergeCell ref="AJ76:AJ81"/>
    <mergeCell ref="AK76:AK81"/>
    <mergeCell ref="AL76:AL81"/>
    <mergeCell ref="AA76:AA81"/>
    <mergeCell ref="AB76:AB81"/>
    <mergeCell ref="AC76:AC81"/>
    <mergeCell ref="BP76:BP81"/>
    <mergeCell ref="BE76:BE81"/>
    <mergeCell ref="BF76:BF81"/>
    <mergeCell ref="BG76:BG81"/>
    <mergeCell ref="BH76:BH81"/>
    <mergeCell ref="BI76:BI81"/>
    <mergeCell ref="BJ76:BJ81"/>
    <mergeCell ref="AY76:AY81"/>
    <mergeCell ref="AZ76:AZ81"/>
    <mergeCell ref="BA76:BA81"/>
    <mergeCell ref="BB76:BB81"/>
    <mergeCell ref="BC76:BC81"/>
    <mergeCell ref="BD76:BD81"/>
    <mergeCell ref="AS76:AS81"/>
    <mergeCell ref="AT76:AT81"/>
    <mergeCell ref="AU76:AU81"/>
    <mergeCell ref="AV76:AV81"/>
    <mergeCell ref="AW76:AW81"/>
    <mergeCell ref="AX76:AX81"/>
    <mergeCell ref="AD76:AD81"/>
    <mergeCell ref="AE76:AE81"/>
    <mergeCell ref="AF76:AF81"/>
    <mergeCell ref="O76:O81"/>
    <mergeCell ref="P76:P81"/>
    <mergeCell ref="Q76:Q81"/>
    <mergeCell ref="R76:R81"/>
    <mergeCell ref="S76:S81"/>
    <mergeCell ref="Z76:Z81"/>
    <mergeCell ref="T80:T81"/>
    <mergeCell ref="I76:I81"/>
    <mergeCell ref="J76:J81"/>
    <mergeCell ref="K76:K81"/>
    <mergeCell ref="L76:L81"/>
    <mergeCell ref="M76:M81"/>
    <mergeCell ref="N76:N81"/>
    <mergeCell ref="BL73:BL75"/>
    <mergeCell ref="AS73:AS75"/>
    <mergeCell ref="AH73:AH75"/>
    <mergeCell ref="AI73:AI75"/>
    <mergeCell ref="AJ73:AJ75"/>
    <mergeCell ref="AK73:AK75"/>
    <mergeCell ref="AL73:AL75"/>
    <mergeCell ref="AM73:AM75"/>
    <mergeCell ref="AB73:AB75"/>
    <mergeCell ref="AC73:AC75"/>
    <mergeCell ref="AD73:AD75"/>
    <mergeCell ref="AE73:AE75"/>
    <mergeCell ref="AF73:AF75"/>
    <mergeCell ref="AG73:AG75"/>
    <mergeCell ref="P73:P75"/>
    <mergeCell ref="Q73:Q75"/>
    <mergeCell ref="BM73:BM75"/>
    <mergeCell ref="BN73:BN75"/>
    <mergeCell ref="BO73:BO75"/>
    <mergeCell ref="BP73:BP75"/>
    <mergeCell ref="D76:D79"/>
    <mergeCell ref="E76:E79"/>
    <mergeCell ref="F76:F79"/>
    <mergeCell ref="G76:G81"/>
    <mergeCell ref="H76:H81"/>
    <mergeCell ref="BF73:BF75"/>
    <mergeCell ref="BG73:BG75"/>
    <mergeCell ref="BH73:BH75"/>
    <mergeCell ref="BI73:BI75"/>
    <mergeCell ref="BJ73:BJ75"/>
    <mergeCell ref="BK73:BK75"/>
    <mergeCell ref="AZ73:AZ75"/>
    <mergeCell ref="BA73:BA75"/>
    <mergeCell ref="BB73:BB75"/>
    <mergeCell ref="BC73:BC75"/>
    <mergeCell ref="BD73:BD75"/>
    <mergeCell ref="BE73:BE75"/>
    <mergeCell ref="AT73:AT75"/>
    <mergeCell ref="AU73:AU75"/>
    <mergeCell ref="AV73:AV75"/>
    <mergeCell ref="AW73:AW75"/>
    <mergeCell ref="AX73:AX75"/>
    <mergeCell ref="AY73:AY75"/>
    <mergeCell ref="AN73:AN75"/>
    <mergeCell ref="AO73:AO75"/>
    <mergeCell ref="AP73:AP75"/>
    <mergeCell ref="AQ73:AQ75"/>
    <mergeCell ref="AR73:AR75"/>
    <mergeCell ref="R73:R75"/>
    <mergeCell ref="S73:S75"/>
    <mergeCell ref="Z73:Z75"/>
    <mergeCell ref="AA73:AA75"/>
    <mergeCell ref="BP62:BP72"/>
    <mergeCell ref="G73:G75"/>
    <mergeCell ref="H73:H75"/>
    <mergeCell ref="I73:I75"/>
    <mergeCell ref="J73:J75"/>
    <mergeCell ref="K73:K75"/>
    <mergeCell ref="L73:L75"/>
    <mergeCell ref="M73:M75"/>
    <mergeCell ref="N73:N75"/>
    <mergeCell ref="O73:O75"/>
    <mergeCell ref="BJ62:BJ72"/>
    <mergeCell ref="BK62:BK72"/>
    <mergeCell ref="BL62:BL72"/>
    <mergeCell ref="BM62:BM72"/>
    <mergeCell ref="BN62:BN72"/>
    <mergeCell ref="BO62:BO72"/>
    <mergeCell ref="BD62:BD72"/>
    <mergeCell ref="BE62:BE72"/>
    <mergeCell ref="BF62:BF72"/>
    <mergeCell ref="BG62:BG72"/>
    <mergeCell ref="BH62:BH72"/>
    <mergeCell ref="BI62:BI72"/>
    <mergeCell ref="AX62:AX72"/>
    <mergeCell ref="AY62:AY72"/>
    <mergeCell ref="AZ62:AZ72"/>
    <mergeCell ref="BA62:BA72"/>
    <mergeCell ref="BB62:BB72"/>
    <mergeCell ref="BC62:BC72"/>
    <mergeCell ref="AR62:AR72"/>
    <mergeCell ref="AS62:AS72"/>
    <mergeCell ref="AT62:AT72"/>
    <mergeCell ref="AU62:AU72"/>
    <mergeCell ref="AV62:AV72"/>
    <mergeCell ref="AW62:AW72"/>
    <mergeCell ref="AL62:AL72"/>
    <mergeCell ref="AM62:AM72"/>
    <mergeCell ref="AN62:AN72"/>
    <mergeCell ref="AO62:AO72"/>
    <mergeCell ref="AP62:AP72"/>
    <mergeCell ref="AQ62:AQ72"/>
    <mergeCell ref="AF62:AF72"/>
    <mergeCell ref="AG62:AG72"/>
    <mergeCell ref="AH62:AH72"/>
    <mergeCell ref="AI62:AI72"/>
    <mergeCell ref="AJ62:AJ72"/>
    <mergeCell ref="AK62:AK72"/>
    <mergeCell ref="Z62:Z72"/>
    <mergeCell ref="AA62:AA72"/>
    <mergeCell ref="AB62:AB72"/>
    <mergeCell ref="AC62:AC72"/>
    <mergeCell ref="AD62:AD72"/>
    <mergeCell ref="AE62:AE72"/>
    <mergeCell ref="N62:N72"/>
    <mergeCell ref="O62:O72"/>
    <mergeCell ref="P62:P72"/>
    <mergeCell ref="Q62:Q72"/>
    <mergeCell ref="R62:R72"/>
    <mergeCell ref="S62:S72"/>
    <mergeCell ref="BO48:BO61"/>
    <mergeCell ref="BP48:BP61"/>
    <mergeCell ref="T51:T52"/>
    <mergeCell ref="G62:G72"/>
    <mergeCell ref="H62:H72"/>
    <mergeCell ref="I62:I72"/>
    <mergeCell ref="J62:J72"/>
    <mergeCell ref="K62:K72"/>
    <mergeCell ref="L62:L72"/>
    <mergeCell ref="M62:M72"/>
    <mergeCell ref="BI48:BI61"/>
    <mergeCell ref="BJ48:BJ61"/>
    <mergeCell ref="BK48:BK61"/>
    <mergeCell ref="BL48:BL61"/>
    <mergeCell ref="BM48:BM61"/>
    <mergeCell ref="BN48:BN61"/>
    <mergeCell ref="BC48:BC61"/>
    <mergeCell ref="BD48:BD61"/>
    <mergeCell ref="BE48:BE61"/>
    <mergeCell ref="BF48:BF61"/>
    <mergeCell ref="BG48:BG61"/>
    <mergeCell ref="BH48:BH61"/>
    <mergeCell ref="AW48:AW61"/>
    <mergeCell ref="AX48:AX61"/>
    <mergeCell ref="AY48:AY61"/>
    <mergeCell ref="AZ48:AZ61"/>
    <mergeCell ref="BA48:BA61"/>
    <mergeCell ref="BB48:BB61"/>
    <mergeCell ref="AQ48:AQ61"/>
    <mergeCell ref="AR48:AR61"/>
    <mergeCell ref="AS48:AS61"/>
    <mergeCell ref="AT48:AT61"/>
    <mergeCell ref="AU48:AU61"/>
    <mergeCell ref="AV48:AV61"/>
    <mergeCell ref="AK48:AK61"/>
    <mergeCell ref="AL48:AL61"/>
    <mergeCell ref="AM48:AM61"/>
    <mergeCell ref="AN48:AN61"/>
    <mergeCell ref="AO48:AO61"/>
    <mergeCell ref="AP48:AP61"/>
    <mergeCell ref="AE48:AE61"/>
    <mergeCell ref="AF48:AF61"/>
    <mergeCell ref="AG48:AG61"/>
    <mergeCell ref="AH48:AH61"/>
    <mergeCell ref="AI48:AI61"/>
    <mergeCell ref="AJ48:AJ61"/>
    <mergeCell ref="S48:S61"/>
    <mergeCell ref="Z48:Z61"/>
    <mergeCell ref="AA48:AA61"/>
    <mergeCell ref="AB48:AB61"/>
    <mergeCell ref="AC48:AC61"/>
    <mergeCell ref="AD48:AD61"/>
    <mergeCell ref="M48:M61"/>
    <mergeCell ref="N48:N61"/>
    <mergeCell ref="O48:O61"/>
    <mergeCell ref="P48:P61"/>
    <mergeCell ref="Q48:Q61"/>
    <mergeCell ref="R48:R61"/>
    <mergeCell ref="G48:G61"/>
    <mergeCell ref="H48:H61"/>
    <mergeCell ref="I48:I61"/>
    <mergeCell ref="J48:J61"/>
    <mergeCell ref="K48:K61"/>
    <mergeCell ref="L48:L61"/>
    <mergeCell ref="BK39:BK47"/>
    <mergeCell ref="BL39:BL47"/>
    <mergeCell ref="BM39:BM47"/>
    <mergeCell ref="BN39:BN47"/>
    <mergeCell ref="BO39:BO47"/>
    <mergeCell ref="BP39:BP47"/>
    <mergeCell ref="BE39:BE47"/>
    <mergeCell ref="BF39:BF47"/>
    <mergeCell ref="BG39:BG47"/>
    <mergeCell ref="BH39:BH47"/>
    <mergeCell ref="BI39:BI47"/>
    <mergeCell ref="BJ39:BJ47"/>
    <mergeCell ref="AY39:AY47"/>
    <mergeCell ref="AZ39:AZ47"/>
    <mergeCell ref="BA39:BA47"/>
    <mergeCell ref="BB39:BB47"/>
    <mergeCell ref="BC39:BC47"/>
    <mergeCell ref="BD39:BD47"/>
    <mergeCell ref="AS39:AS47"/>
    <mergeCell ref="AT39:AT47"/>
    <mergeCell ref="AU39:AU47"/>
    <mergeCell ref="AV39:AV47"/>
    <mergeCell ref="AW39:AW47"/>
    <mergeCell ref="AX39:AX47"/>
    <mergeCell ref="AM39:AM47"/>
    <mergeCell ref="AN39:AN47"/>
    <mergeCell ref="AO39:AO47"/>
    <mergeCell ref="AP39:AP47"/>
    <mergeCell ref="AQ39:AQ47"/>
    <mergeCell ref="AR39:AR47"/>
    <mergeCell ref="AG39:AG47"/>
    <mergeCell ref="AH39:AH47"/>
    <mergeCell ref="AI39:AI47"/>
    <mergeCell ref="AJ39:AJ47"/>
    <mergeCell ref="AK39:AK47"/>
    <mergeCell ref="AL39:AL47"/>
    <mergeCell ref="AA39:AA47"/>
    <mergeCell ref="AB39:AB47"/>
    <mergeCell ref="AC39:AC47"/>
    <mergeCell ref="AD39:AD47"/>
    <mergeCell ref="AE39:AE47"/>
    <mergeCell ref="AF39:AF47"/>
    <mergeCell ref="O39:O47"/>
    <mergeCell ref="P39:P47"/>
    <mergeCell ref="Q39:Q47"/>
    <mergeCell ref="R39:R47"/>
    <mergeCell ref="S39:S47"/>
    <mergeCell ref="Z39:Z47"/>
    <mergeCell ref="T40:T41"/>
    <mergeCell ref="I39:I47"/>
    <mergeCell ref="J39:J47"/>
    <mergeCell ref="K39:K47"/>
    <mergeCell ref="L39:L47"/>
    <mergeCell ref="M39:M47"/>
    <mergeCell ref="N39:N47"/>
    <mergeCell ref="B38:C38"/>
    <mergeCell ref="E38:F38"/>
    <mergeCell ref="B39:C39"/>
    <mergeCell ref="E39:F39"/>
    <mergeCell ref="G39:G47"/>
    <mergeCell ref="H39:H47"/>
    <mergeCell ref="BN29:BN38"/>
    <mergeCell ref="BO29:BO38"/>
    <mergeCell ref="BP29:BP38"/>
    <mergeCell ref="G32:G38"/>
    <mergeCell ref="H32:H38"/>
    <mergeCell ref="I32:I38"/>
    <mergeCell ref="J32:J38"/>
    <mergeCell ref="K32:K38"/>
    <mergeCell ref="L32:L38"/>
    <mergeCell ref="P32:P38"/>
    <mergeCell ref="BH29:BH38"/>
    <mergeCell ref="BI29:BI38"/>
    <mergeCell ref="BJ29:BJ38"/>
    <mergeCell ref="BK29:BK38"/>
    <mergeCell ref="BL29:BL38"/>
    <mergeCell ref="BM29:BM38"/>
    <mergeCell ref="BB29:BB38"/>
    <mergeCell ref="BC29:BC38"/>
    <mergeCell ref="BD29:BD38"/>
    <mergeCell ref="BE29:BE38"/>
    <mergeCell ref="BF29:BF38"/>
    <mergeCell ref="BG29:BG38"/>
    <mergeCell ref="AV29:AV38"/>
    <mergeCell ref="AW29:AW38"/>
    <mergeCell ref="AX29:AX38"/>
    <mergeCell ref="AY29:AY38"/>
    <mergeCell ref="AZ29:AZ38"/>
    <mergeCell ref="BA29:BA38"/>
    <mergeCell ref="AP29:AP38"/>
    <mergeCell ref="AQ29:AQ38"/>
    <mergeCell ref="AR29:AR38"/>
    <mergeCell ref="AS29:AS38"/>
    <mergeCell ref="AT29:AT38"/>
    <mergeCell ref="AU29:AU38"/>
    <mergeCell ref="AJ29:AJ38"/>
    <mergeCell ref="AK29:AK38"/>
    <mergeCell ref="AL29:AL38"/>
    <mergeCell ref="AM29:AM38"/>
    <mergeCell ref="AN29:AN38"/>
    <mergeCell ref="AO29:AO38"/>
    <mergeCell ref="AD29:AD38"/>
    <mergeCell ref="AE29:AE38"/>
    <mergeCell ref="AF29:AF38"/>
    <mergeCell ref="AG29:AG38"/>
    <mergeCell ref="AH29:AH38"/>
    <mergeCell ref="AI29:AI38"/>
    <mergeCell ref="S29:S38"/>
    <mergeCell ref="T29:T30"/>
    <mergeCell ref="Z29:Z38"/>
    <mergeCell ref="AA29:AA38"/>
    <mergeCell ref="AB29:AB38"/>
    <mergeCell ref="AC29:AC38"/>
    <mergeCell ref="M29:M38"/>
    <mergeCell ref="N29:N38"/>
    <mergeCell ref="O29:O38"/>
    <mergeCell ref="P29:P31"/>
    <mergeCell ref="Q29:Q38"/>
    <mergeCell ref="R29:R38"/>
    <mergeCell ref="G29:G31"/>
    <mergeCell ref="H29:H31"/>
    <mergeCell ref="I29:I31"/>
    <mergeCell ref="J29:J31"/>
    <mergeCell ref="K29:K31"/>
    <mergeCell ref="L29:L31"/>
    <mergeCell ref="BK22:BK27"/>
    <mergeCell ref="BL22:BL27"/>
    <mergeCell ref="BM22:BM27"/>
    <mergeCell ref="BN22:BN27"/>
    <mergeCell ref="BO22:BO27"/>
    <mergeCell ref="BP22:BP27"/>
    <mergeCell ref="BE22:BE27"/>
    <mergeCell ref="BF22:BF27"/>
    <mergeCell ref="BG22:BG27"/>
    <mergeCell ref="BH22:BH27"/>
    <mergeCell ref="BI22:BI27"/>
    <mergeCell ref="BJ22:BJ27"/>
    <mergeCell ref="AY22:AY27"/>
    <mergeCell ref="AZ22:AZ27"/>
    <mergeCell ref="BA22:BA27"/>
    <mergeCell ref="BB22:BB27"/>
    <mergeCell ref="BC22:BC27"/>
    <mergeCell ref="BD22:BD27"/>
    <mergeCell ref="AS22:AS27"/>
    <mergeCell ref="AT22:AT27"/>
    <mergeCell ref="AU22:AU27"/>
    <mergeCell ref="AV22:AV27"/>
    <mergeCell ref="AW22:AW27"/>
    <mergeCell ref="AX22:AX27"/>
    <mergeCell ref="AM22:AM27"/>
    <mergeCell ref="AN22:AN27"/>
    <mergeCell ref="AO22:AO27"/>
    <mergeCell ref="AP22:AP27"/>
    <mergeCell ref="AQ22:AQ27"/>
    <mergeCell ref="AR22:AR27"/>
    <mergeCell ref="AG22:AG27"/>
    <mergeCell ref="AH22:AH27"/>
    <mergeCell ref="AI22:AI27"/>
    <mergeCell ref="AJ22:AJ27"/>
    <mergeCell ref="AK22:AK27"/>
    <mergeCell ref="AL22:AL27"/>
    <mergeCell ref="AA22:AA27"/>
    <mergeCell ref="AB22:AB27"/>
    <mergeCell ref="AC22:AC27"/>
    <mergeCell ref="AD22:AD27"/>
    <mergeCell ref="AE22:AE27"/>
    <mergeCell ref="AF22:AF27"/>
    <mergeCell ref="O22:O27"/>
    <mergeCell ref="P22:P27"/>
    <mergeCell ref="Q22:Q27"/>
    <mergeCell ref="R22:R27"/>
    <mergeCell ref="S22:S27"/>
    <mergeCell ref="Z22:Z27"/>
    <mergeCell ref="I22:I27"/>
    <mergeCell ref="J22:J27"/>
    <mergeCell ref="K22:K27"/>
    <mergeCell ref="L22:L27"/>
    <mergeCell ref="M22:M27"/>
    <mergeCell ref="N22:N27"/>
    <mergeCell ref="B20:C20"/>
    <mergeCell ref="E20:F20"/>
    <mergeCell ref="E22:E27"/>
    <mergeCell ref="F22:F27"/>
    <mergeCell ref="G22:G27"/>
    <mergeCell ref="H22:H27"/>
    <mergeCell ref="BO12:BO20"/>
    <mergeCell ref="BP12:BP20"/>
    <mergeCell ref="T13:T14"/>
    <mergeCell ref="T15:T16"/>
    <mergeCell ref="G17:G20"/>
    <mergeCell ref="H17:H20"/>
    <mergeCell ref="I17:I20"/>
    <mergeCell ref="J17:J20"/>
    <mergeCell ref="K17:K20"/>
    <mergeCell ref="L17:L20"/>
    <mergeCell ref="BI12:BI20"/>
    <mergeCell ref="BJ12:BJ20"/>
    <mergeCell ref="BK12:BK20"/>
    <mergeCell ref="BL12:BL20"/>
    <mergeCell ref="BM12:BM20"/>
    <mergeCell ref="BN12:BN20"/>
    <mergeCell ref="BC12:BC20"/>
    <mergeCell ref="BD12:BD20"/>
    <mergeCell ref="BE12:BE20"/>
    <mergeCell ref="BF12:BF20"/>
    <mergeCell ref="BG12:BG20"/>
    <mergeCell ref="BH12:BH20"/>
    <mergeCell ref="AW12:AW20"/>
    <mergeCell ref="AX12:AX20"/>
    <mergeCell ref="AY12:AY20"/>
    <mergeCell ref="AZ12:AZ20"/>
    <mergeCell ref="BA12:BA20"/>
    <mergeCell ref="BB12:BB20"/>
    <mergeCell ref="AQ12:AQ20"/>
    <mergeCell ref="AR12:AR20"/>
    <mergeCell ref="AS12:AS20"/>
    <mergeCell ref="AT12:AT20"/>
    <mergeCell ref="AU12:AU20"/>
    <mergeCell ref="AV12:AV20"/>
    <mergeCell ref="AK12:AK20"/>
    <mergeCell ref="AL12:AL20"/>
    <mergeCell ref="AM12:AM20"/>
    <mergeCell ref="AN12:AN20"/>
    <mergeCell ref="AO12:AO20"/>
    <mergeCell ref="AP12:AP20"/>
    <mergeCell ref="AE12:AE20"/>
    <mergeCell ref="AF12:AF20"/>
    <mergeCell ref="AG12:AG20"/>
    <mergeCell ref="AH12:AH20"/>
    <mergeCell ref="AI12:AI20"/>
    <mergeCell ref="AJ12:AJ20"/>
    <mergeCell ref="S12:S20"/>
    <mergeCell ref="Z12:Z20"/>
    <mergeCell ref="AA12:AA20"/>
    <mergeCell ref="AB12:AB20"/>
    <mergeCell ref="AC12:AC20"/>
    <mergeCell ref="AD12:AD20"/>
    <mergeCell ref="M12:M20"/>
    <mergeCell ref="N12:N20"/>
    <mergeCell ref="O12:O20"/>
    <mergeCell ref="P12:P16"/>
    <mergeCell ref="Q12:Q20"/>
    <mergeCell ref="R12:R20"/>
    <mergeCell ref="P17:P20"/>
    <mergeCell ref="G12:G16"/>
    <mergeCell ref="H12:H16"/>
    <mergeCell ref="I12:I16"/>
    <mergeCell ref="J12:J16"/>
    <mergeCell ref="K12:K16"/>
    <mergeCell ref="L12:L16"/>
    <mergeCell ref="BF8:BF9"/>
    <mergeCell ref="BG8:BG9"/>
    <mergeCell ref="BH8:BH9"/>
    <mergeCell ref="BI8:BI9"/>
    <mergeCell ref="BJ8:BJ9"/>
    <mergeCell ref="BK8:BK9"/>
    <mergeCell ref="AR8:AS8"/>
    <mergeCell ref="AT8:AU8"/>
    <mergeCell ref="AV8:AW8"/>
    <mergeCell ref="AX8:AY8"/>
    <mergeCell ref="AZ8:BA8"/>
    <mergeCell ref="BB8:BC8"/>
    <mergeCell ref="BD7:BE8"/>
    <mergeCell ref="BF7:BK7"/>
    <mergeCell ref="P7:P8"/>
    <mergeCell ref="Q7:Q8"/>
    <mergeCell ref="R7:R8"/>
    <mergeCell ref="S7:S8"/>
    <mergeCell ref="T7:T8"/>
    <mergeCell ref="U7:W7"/>
    <mergeCell ref="I7:I8"/>
    <mergeCell ref="J7:J8"/>
    <mergeCell ref="K7:L7"/>
    <mergeCell ref="M7:M8"/>
    <mergeCell ref="N7:N8"/>
    <mergeCell ref="O7:O8"/>
    <mergeCell ref="A1:BL4"/>
    <mergeCell ref="A5:K6"/>
    <mergeCell ref="M5:BP5"/>
    <mergeCell ref="Z6:BB6"/>
    <mergeCell ref="A7:A8"/>
    <mergeCell ref="B7:C8"/>
    <mergeCell ref="D7:D8"/>
    <mergeCell ref="E7:F8"/>
    <mergeCell ref="G7:G8"/>
    <mergeCell ref="H7:H8"/>
    <mergeCell ref="BL7:BM8"/>
    <mergeCell ref="BN7:BO8"/>
    <mergeCell ref="BP7:BP8"/>
    <mergeCell ref="Z8:AA8"/>
    <mergeCell ref="AB8:AC8"/>
    <mergeCell ref="AD8:AE8"/>
    <mergeCell ref="AF8:AG8"/>
    <mergeCell ref="AH8:AI8"/>
    <mergeCell ref="X7:X8"/>
    <mergeCell ref="Y7:Y8"/>
    <mergeCell ref="Z7:AC7"/>
    <mergeCell ref="AD7:AK7"/>
    <mergeCell ref="AL7:AW7"/>
    <mergeCell ref="AX7:BC7"/>
    <mergeCell ref="AJ8:AK8"/>
    <mergeCell ref="AL8:AM8"/>
    <mergeCell ref="AN8:AO8"/>
    <mergeCell ref="AP8:AQ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F335"/>
  <sheetViews>
    <sheetView showGridLines="0" zoomScale="50" zoomScaleNormal="50" workbookViewId="0">
      <selection activeCell="I17" sqref="I17:I19"/>
    </sheetView>
  </sheetViews>
  <sheetFormatPr baseColWidth="10" defaultColWidth="11.42578125" defaultRowHeight="15" x14ac:dyDescent="0.2"/>
  <cols>
    <col min="1" max="1" width="13.5703125" style="691" customWidth="1"/>
    <col min="2" max="2" width="4" style="630" customWidth="1"/>
    <col min="3" max="3" width="16.28515625" style="630" customWidth="1"/>
    <col min="4" max="4" width="13.7109375" style="630" customWidth="1"/>
    <col min="5" max="5" width="11.28515625" style="630" customWidth="1"/>
    <col min="6" max="6" width="11" style="630" customWidth="1"/>
    <col min="7" max="7" width="13" style="630" customWidth="1"/>
    <col min="8" max="8" width="22" style="630" customWidth="1"/>
    <col min="9" max="9" width="44.42578125" style="165" customWidth="1"/>
    <col min="10" max="10" width="40.42578125" style="165" customWidth="1"/>
    <col min="11" max="11" width="14.85546875" style="2185" customWidth="1"/>
    <col min="12" max="12" width="16.7109375" style="2185" customWidth="1"/>
    <col min="13" max="13" width="36.42578125" style="165" customWidth="1"/>
    <col min="14" max="14" width="27.42578125" style="693" customWidth="1"/>
    <col min="15" max="15" width="38" style="165" customWidth="1"/>
    <col min="16" max="16" width="20.42578125" style="694" customWidth="1"/>
    <col min="17" max="17" width="31.7109375" style="702" customWidth="1"/>
    <col min="18" max="18" width="49.5703125" style="165" customWidth="1"/>
    <col min="19" max="19" width="56" style="165" customWidth="1"/>
    <col min="20" max="20" width="65.85546875" style="165" customWidth="1"/>
    <col min="21" max="21" width="32.42578125" style="2190" bestFit="1" customWidth="1"/>
    <col min="22" max="22" width="29.5703125" style="2187" customWidth="1"/>
    <col min="23" max="23" width="29.28515625" style="2187" customWidth="1"/>
    <col min="24" max="24" width="19.42578125" style="696" customWidth="1"/>
    <col min="25" max="25" width="57.42578125" style="165" customWidth="1"/>
    <col min="26" max="57" width="11.140625" style="630" customWidth="1"/>
    <col min="58" max="58" width="11.42578125" style="630"/>
    <col min="59" max="59" width="30" style="630" customWidth="1"/>
    <col min="60" max="60" width="30.140625" style="630" customWidth="1"/>
    <col min="61" max="61" width="18.140625" style="2188" customWidth="1"/>
    <col min="62" max="63" width="18.140625" style="2189" customWidth="1"/>
    <col min="64" max="65" width="16.140625" style="698" customWidth="1"/>
    <col min="66" max="67" width="21.7109375" style="699" customWidth="1"/>
    <col min="68" max="68" width="27" style="700" customWidth="1"/>
    <col min="69" max="16384" width="11.42578125" style="630"/>
  </cols>
  <sheetData>
    <row r="1" spans="1:84" ht="15" customHeight="1" x14ac:dyDescent="0.2">
      <c r="A1" s="2241" t="s">
        <v>578</v>
      </c>
      <c r="B1" s="2242"/>
      <c r="C1" s="2242"/>
      <c r="D1" s="2242"/>
      <c r="E1" s="2242"/>
      <c r="F1" s="2242"/>
      <c r="G1" s="2242"/>
      <c r="H1" s="2242"/>
      <c r="I1" s="2242"/>
      <c r="J1" s="2242"/>
      <c r="K1" s="2242"/>
      <c r="L1" s="2242"/>
      <c r="M1" s="2242"/>
      <c r="N1" s="2242"/>
      <c r="O1" s="2242"/>
      <c r="P1" s="2242"/>
      <c r="Q1" s="2242"/>
      <c r="R1" s="2242"/>
      <c r="S1" s="2242"/>
      <c r="T1" s="2242"/>
      <c r="U1" s="2242"/>
      <c r="V1" s="2242"/>
      <c r="W1" s="2242"/>
      <c r="X1" s="2242"/>
      <c r="Y1" s="2242"/>
      <c r="Z1" s="2242"/>
      <c r="AA1" s="2242"/>
      <c r="AB1" s="2242"/>
      <c r="AC1" s="2242"/>
      <c r="AD1" s="2242"/>
      <c r="AE1" s="2242"/>
      <c r="AF1" s="2242"/>
      <c r="AG1" s="2242"/>
      <c r="AH1" s="2242"/>
      <c r="AI1" s="2242"/>
      <c r="AJ1" s="2242"/>
      <c r="AK1" s="2242"/>
      <c r="AL1" s="2242"/>
      <c r="AM1" s="2242"/>
      <c r="AN1" s="2242"/>
      <c r="AO1" s="2242"/>
      <c r="AP1" s="2242"/>
      <c r="AQ1" s="2242"/>
      <c r="AR1" s="2242"/>
      <c r="AS1" s="2242"/>
      <c r="AT1" s="2242"/>
      <c r="AU1" s="2242"/>
      <c r="AV1" s="2242"/>
      <c r="AW1" s="2242"/>
      <c r="AX1" s="2242"/>
      <c r="AY1" s="2242"/>
      <c r="AZ1" s="2242"/>
      <c r="BA1" s="2242"/>
      <c r="BB1" s="2242"/>
      <c r="BC1" s="2242"/>
      <c r="BD1" s="2242"/>
      <c r="BE1" s="2242"/>
      <c r="BF1" s="2242"/>
      <c r="BG1" s="2242"/>
      <c r="BH1" s="2242"/>
      <c r="BI1" s="2242"/>
      <c r="BJ1" s="2242"/>
      <c r="BK1" s="2242"/>
      <c r="BL1" s="2242"/>
      <c r="BM1" s="2242"/>
      <c r="BN1" s="1881"/>
      <c r="BO1" s="628" t="s">
        <v>29</v>
      </c>
      <c r="BP1" s="947" t="s">
        <v>336</v>
      </c>
      <c r="BQ1" s="15"/>
      <c r="BR1" s="15"/>
      <c r="BS1" s="15"/>
      <c r="BT1" s="15"/>
      <c r="BU1" s="15"/>
      <c r="BV1" s="15"/>
      <c r="BW1" s="15"/>
      <c r="BX1" s="15"/>
      <c r="BY1" s="15"/>
      <c r="BZ1" s="15"/>
      <c r="CA1" s="15"/>
      <c r="CB1" s="15"/>
      <c r="CC1" s="15"/>
      <c r="CD1" s="15"/>
      <c r="CE1" s="15"/>
      <c r="CF1" s="15"/>
    </row>
    <row r="2" spans="1:84" ht="15" customHeight="1" x14ac:dyDescent="0.2">
      <c r="A2" s="2244"/>
      <c r="B2" s="2245"/>
      <c r="C2" s="2245"/>
      <c r="D2" s="2245"/>
      <c r="E2" s="2245"/>
      <c r="F2" s="2245"/>
      <c r="G2" s="2245"/>
      <c r="H2" s="2245"/>
      <c r="I2" s="2245"/>
      <c r="J2" s="2245"/>
      <c r="K2" s="2245"/>
      <c r="L2" s="2245"/>
      <c r="M2" s="2245"/>
      <c r="N2" s="2245"/>
      <c r="O2" s="2245"/>
      <c r="P2" s="2245"/>
      <c r="Q2" s="2245"/>
      <c r="R2" s="2245"/>
      <c r="S2" s="2245"/>
      <c r="T2" s="2245"/>
      <c r="U2" s="2245"/>
      <c r="V2" s="2245"/>
      <c r="W2" s="2245"/>
      <c r="X2" s="2245"/>
      <c r="Y2" s="2245"/>
      <c r="Z2" s="2245"/>
      <c r="AA2" s="2245"/>
      <c r="AB2" s="2245"/>
      <c r="AC2" s="2245"/>
      <c r="AD2" s="2245"/>
      <c r="AE2" s="2245"/>
      <c r="AF2" s="2245"/>
      <c r="AG2" s="2245"/>
      <c r="AH2" s="2245"/>
      <c r="AI2" s="2245"/>
      <c r="AJ2" s="2245"/>
      <c r="AK2" s="2245"/>
      <c r="AL2" s="2245"/>
      <c r="AM2" s="2245"/>
      <c r="AN2" s="2245"/>
      <c r="AO2" s="2245"/>
      <c r="AP2" s="2245"/>
      <c r="AQ2" s="2245"/>
      <c r="AR2" s="2245"/>
      <c r="AS2" s="2245"/>
      <c r="AT2" s="2245"/>
      <c r="AU2" s="2245"/>
      <c r="AV2" s="2245"/>
      <c r="AW2" s="2245"/>
      <c r="AX2" s="2245"/>
      <c r="AY2" s="2245"/>
      <c r="AZ2" s="2245"/>
      <c r="BA2" s="2245"/>
      <c r="BB2" s="2245"/>
      <c r="BC2" s="2245"/>
      <c r="BD2" s="2245"/>
      <c r="BE2" s="2245"/>
      <c r="BF2" s="2245"/>
      <c r="BG2" s="2245"/>
      <c r="BH2" s="2245"/>
      <c r="BI2" s="2245"/>
      <c r="BJ2" s="2245"/>
      <c r="BK2" s="2245"/>
      <c r="BL2" s="2245"/>
      <c r="BM2" s="2245"/>
      <c r="BN2" s="1882"/>
      <c r="BO2" s="631" t="s">
        <v>30</v>
      </c>
      <c r="BP2" s="948">
        <v>6</v>
      </c>
      <c r="BQ2" s="15"/>
      <c r="BR2" s="15"/>
      <c r="BS2" s="15"/>
      <c r="BT2" s="15"/>
      <c r="BU2" s="15"/>
      <c r="BV2" s="15"/>
      <c r="BW2" s="15"/>
      <c r="BX2" s="15"/>
      <c r="BY2" s="15"/>
      <c r="BZ2" s="15"/>
      <c r="CA2" s="15"/>
      <c r="CB2" s="15"/>
      <c r="CC2" s="15"/>
      <c r="CD2" s="15"/>
      <c r="CE2" s="15"/>
      <c r="CF2" s="15"/>
    </row>
    <row r="3" spans="1:84" ht="15" customHeight="1" x14ac:dyDescent="0.2">
      <c r="A3" s="2244"/>
      <c r="B3" s="2245"/>
      <c r="C3" s="2245"/>
      <c r="D3" s="2245"/>
      <c r="E3" s="2245"/>
      <c r="F3" s="2245"/>
      <c r="G3" s="2245"/>
      <c r="H3" s="2245"/>
      <c r="I3" s="2245"/>
      <c r="J3" s="2245"/>
      <c r="K3" s="2245"/>
      <c r="L3" s="2245"/>
      <c r="M3" s="2245"/>
      <c r="N3" s="2245"/>
      <c r="O3" s="2245"/>
      <c r="P3" s="2245"/>
      <c r="Q3" s="2245"/>
      <c r="R3" s="2245"/>
      <c r="S3" s="2245"/>
      <c r="T3" s="2245"/>
      <c r="U3" s="2245"/>
      <c r="V3" s="2245"/>
      <c r="W3" s="2245"/>
      <c r="X3" s="2245"/>
      <c r="Y3" s="2245"/>
      <c r="Z3" s="2245"/>
      <c r="AA3" s="2245"/>
      <c r="AB3" s="2245"/>
      <c r="AC3" s="2245"/>
      <c r="AD3" s="2245"/>
      <c r="AE3" s="2245"/>
      <c r="AF3" s="2245"/>
      <c r="AG3" s="2245"/>
      <c r="AH3" s="2245"/>
      <c r="AI3" s="2245"/>
      <c r="AJ3" s="2245"/>
      <c r="AK3" s="2245"/>
      <c r="AL3" s="2245"/>
      <c r="AM3" s="2245"/>
      <c r="AN3" s="2245"/>
      <c r="AO3" s="2245"/>
      <c r="AP3" s="2245"/>
      <c r="AQ3" s="2245"/>
      <c r="AR3" s="2245"/>
      <c r="AS3" s="2245"/>
      <c r="AT3" s="2245"/>
      <c r="AU3" s="2245"/>
      <c r="AV3" s="2245"/>
      <c r="AW3" s="2245"/>
      <c r="AX3" s="2245"/>
      <c r="AY3" s="2245"/>
      <c r="AZ3" s="2245"/>
      <c r="BA3" s="2245"/>
      <c r="BB3" s="2245"/>
      <c r="BC3" s="2245"/>
      <c r="BD3" s="2245"/>
      <c r="BE3" s="2245"/>
      <c r="BF3" s="2245"/>
      <c r="BG3" s="2245"/>
      <c r="BH3" s="2245"/>
      <c r="BI3" s="2245"/>
      <c r="BJ3" s="2245"/>
      <c r="BK3" s="2245"/>
      <c r="BL3" s="2245"/>
      <c r="BM3" s="2245"/>
      <c r="BN3" s="1882"/>
      <c r="BO3" s="631" t="s">
        <v>32</v>
      </c>
      <c r="BP3" s="949" t="s">
        <v>33</v>
      </c>
      <c r="BQ3" s="15"/>
      <c r="BR3" s="15"/>
      <c r="BS3" s="15"/>
      <c r="BT3" s="15"/>
      <c r="BU3" s="15"/>
      <c r="BV3" s="15"/>
      <c r="BW3" s="15"/>
      <c r="BX3" s="15"/>
      <c r="BY3" s="15"/>
      <c r="BZ3" s="15"/>
      <c r="CA3" s="15"/>
      <c r="CB3" s="15"/>
      <c r="CC3" s="15"/>
      <c r="CD3" s="15"/>
      <c r="CE3" s="15"/>
      <c r="CF3" s="15"/>
    </row>
    <row r="4" spans="1:84" ht="15" customHeight="1" x14ac:dyDescent="0.2">
      <c r="A4" s="2247"/>
      <c r="B4" s="2248"/>
      <c r="C4" s="2248"/>
      <c r="D4" s="2248"/>
      <c r="E4" s="2248"/>
      <c r="F4" s="2248"/>
      <c r="G4" s="2248"/>
      <c r="H4" s="2248"/>
      <c r="I4" s="2248"/>
      <c r="J4" s="2248"/>
      <c r="K4" s="2248"/>
      <c r="L4" s="2248"/>
      <c r="M4" s="2248"/>
      <c r="N4" s="2248"/>
      <c r="O4" s="2248"/>
      <c r="P4" s="2248"/>
      <c r="Q4" s="2248"/>
      <c r="R4" s="2248"/>
      <c r="S4" s="2248"/>
      <c r="T4" s="2248"/>
      <c r="U4" s="2248"/>
      <c r="V4" s="2248"/>
      <c r="W4" s="2248"/>
      <c r="X4" s="2248"/>
      <c r="Y4" s="2248"/>
      <c r="Z4" s="2248"/>
      <c r="AA4" s="2248"/>
      <c r="AB4" s="2248"/>
      <c r="AC4" s="2248"/>
      <c r="AD4" s="2248"/>
      <c r="AE4" s="2248"/>
      <c r="AF4" s="2248"/>
      <c r="AG4" s="2248"/>
      <c r="AH4" s="2248"/>
      <c r="AI4" s="2248"/>
      <c r="AJ4" s="2248"/>
      <c r="AK4" s="2248"/>
      <c r="AL4" s="2248"/>
      <c r="AM4" s="2248"/>
      <c r="AN4" s="2248"/>
      <c r="AO4" s="2248"/>
      <c r="AP4" s="2248"/>
      <c r="AQ4" s="2248"/>
      <c r="AR4" s="2248"/>
      <c r="AS4" s="2248"/>
      <c r="AT4" s="2248"/>
      <c r="AU4" s="2248"/>
      <c r="AV4" s="2248"/>
      <c r="AW4" s="2248"/>
      <c r="AX4" s="2248"/>
      <c r="AY4" s="2248"/>
      <c r="AZ4" s="2248"/>
      <c r="BA4" s="2248"/>
      <c r="BB4" s="2248"/>
      <c r="BC4" s="2248"/>
      <c r="BD4" s="2248"/>
      <c r="BE4" s="2248"/>
      <c r="BF4" s="2248"/>
      <c r="BG4" s="2248"/>
      <c r="BH4" s="2248"/>
      <c r="BI4" s="2248"/>
      <c r="BJ4" s="2248"/>
      <c r="BK4" s="2248"/>
      <c r="BL4" s="2248"/>
      <c r="BM4" s="2248"/>
      <c r="BN4" s="1883"/>
      <c r="BO4" s="631" t="s">
        <v>34</v>
      </c>
      <c r="BP4" s="951" t="s">
        <v>339</v>
      </c>
      <c r="BQ4" s="15"/>
      <c r="BR4" s="15"/>
      <c r="BS4" s="15"/>
      <c r="BT4" s="15"/>
      <c r="BU4" s="15"/>
      <c r="BV4" s="15"/>
      <c r="BW4" s="15"/>
      <c r="BX4" s="15"/>
      <c r="BY4" s="15"/>
      <c r="BZ4" s="15"/>
      <c r="CA4" s="15"/>
      <c r="CB4" s="15"/>
      <c r="CC4" s="15"/>
      <c r="CD4" s="15"/>
      <c r="CE4" s="15"/>
      <c r="CF4" s="15"/>
    </row>
    <row r="5" spans="1:84" ht="15" customHeight="1" x14ac:dyDescent="0.2">
      <c r="A5" s="2250" t="s">
        <v>340</v>
      </c>
      <c r="B5" s="2251"/>
      <c r="C5" s="2251"/>
      <c r="D5" s="2251"/>
      <c r="E5" s="2251"/>
      <c r="F5" s="2251"/>
      <c r="G5" s="2251"/>
      <c r="H5" s="2251"/>
      <c r="I5" s="2251"/>
      <c r="J5" s="2251"/>
      <c r="K5" s="2251"/>
      <c r="L5" s="2251"/>
      <c r="M5" s="3428"/>
      <c r="N5" s="3245" t="s">
        <v>37</v>
      </c>
      <c r="O5" s="2251"/>
      <c r="P5" s="2251"/>
      <c r="Q5" s="2251"/>
      <c r="R5" s="2251"/>
      <c r="S5" s="2251"/>
      <c r="T5" s="2251"/>
      <c r="U5" s="2251"/>
      <c r="V5" s="2251"/>
      <c r="W5" s="2251"/>
      <c r="X5" s="2251"/>
      <c r="Y5" s="2251"/>
      <c r="Z5" s="2251"/>
      <c r="AA5" s="2251"/>
      <c r="AB5" s="2251"/>
      <c r="AC5" s="2251"/>
      <c r="AD5" s="2251"/>
      <c r="AE5" s="2251"/>
      <c r="AF5" s="2251"/>
      <c r="AG5" s="2251"/>
      <c r="AH5" s="2251"/>
      <c r="AI5" s="2251"/>
      <c r="AJ5" s="2251"/>
      <c r="AK5" s="2251"/>
      <c r="AL5" s="2251"/>
      <c r="AM5" s="2251"/>
      <c r="AN5" s="2251"/>
      <c r="AO5" s="2251"/>
      <c r="AP5" s="2251"/>
      <c r="AQ5" s="2251"/>
      <c r="AR5" s="2251"/>
      <c r="AS5" s="2251"/>
      <c r="AT5" s="2251"/>
      <c r="AU5" s="2251"/>
      <c r="AV5" s="2251"/>
      <c r="AW5" s="2251"/>
      <c r="AX5" s="2251"/>
      <c r="AY5" s="2251"/>
      <c r="AZ5" s="2251"/>
      <c r="BA5" s="2251"/>
      <c r="BB5" s="2251"/>
      <c r="BC5" s="2251"/>
      <c r="BD5" s="2251"/>
      <c r="BE5" s="2251"/>
      <c r="BF5" s="2251"/>
      <c r="BG5" s="2251"/>
      <c r="BH5" s="2251"/>
      <c r="BI5" s="2251"/>
      <c r="BJ5" s="2251"/>
      <c r="BK5" s="2251"/>
      <c r="BL5" s="2251"/>
      <c r="BM5" s="2251"/>
      <c r="BN5" s="2251"/>
      <c r="BO5" s="2251"/>
      <c r="BP5" s="2251"/>
      <c r="BQ5" s="15"/>
      <c r="BR5" s="15"/>
      <c r="BS5" s="15"/>
      <c r="BT5" s="15"/>
      <c r="BU5" s="15"/>
      <c r="BV5" s="15"/>
      <c r="BW5" s="15"/>
      <c r="BX5" s="15"/>
      <c r="BY5" s="15"/>
      <c r="BZ5" s="15"/>
      <c r="CA5" s="15"/>
      <c r="CB5" s="15"/>
      <c r="CC5" s="15"/>
      <c r="CD5" s="15"/>
      <c r="CE5" s="15"/>
      <c r="CF5" s="15"/>
    </row>
    <row r="6" spans="1:84" ht="15" customHeight="1" thickBot="1" x14ac:dyDescent="0.25">
      <c r="A6" s="2252"/>
      <c r="B6" s="2253"/>
      <c r="C6" s="2253"/>
      <c r="D6" s="2253"/>
      <c r="E6" s="2253"/>
      <c r="F6" s="2253"/>
      <c r="G6" s="2253"/>
      <c r="H6" s="2253"/>
      <c r="I6" s="2253"/>
      <c r="J6" s="2253"/>
      <c r="K6" s="2253"/>
      <c r="L6" s="2253"/>
      <c r="M6" s="2713"/>
      <c r="N6" s="3246"/>
      <c r="O6" s="2711"/>
      <c r="P6" s="2711"/>
      <c r="Q6" s="2711"/>
      <c r="R6" s="2711"/>
      <c r="S6" s="2711"/>
      <c r="T6" s="2711"/>
      <c r="U6" s="2711"/>
      <c r="V6" s="2711"/>
      <c r="W6" s="2711"/>
      <c r="X6" s="2711"/>
      <c r="Y6" s="2711"/>
      <c r="Z6" s="2711"/>
      <c r="AA6" s="2711"/>
      <c r="AB6" s="2711"/>
      <c r="AC6" s="2711"/>
      <c r="AD6" s="2711"/>
      <c r="AE6" s="2711"/>
      <c r="AF6" s="2711"/>
      <c r="AG6" s="2711"/>
      <c r="AH6" s="2711"/>
      <c r="AI6" s="2711"/>
      <c r="AJ6" s="2711"/>
      <c r="AK6" s="2711"/>
      <c r="AL6" s="2711"/>
      <c r="AM6" s="2711"/>
      <c r="AN6" s="2711"/>
      <c r="AO6" s="2711"/>
      <c r="AP6" s="2711"/>
      <c r="AQ6" s="2711"/>
      <c r="AR6" s="2711"/>
      <c r="AS6" s="2711"/>
      <c r="AT6" s="2711"/>
      <c r="AU6" s="2711"/>
      <c r="AV6" s="2711"/>
      <c r="AW6" s="2711"/>
      <c r="AX6" s="2711"/>
      <c r="AY6" s="2711"/>
      <c r="AZ6" s="2711"/>
      <c r="BA6" s="2711"/>
      <c r="BB6" s="2711"/>
      <c r="BC6" s="2711"/>
      <c r="BD6" s="2711"/>
      <c r="BE6" s="2711"/>
      <c r="BF6" s="2711"/>
      <c r="BG6" s="2711"/>
      <c r="BH6" s="2711"/>
      <c r="BI6" s="2711"/>
      <c r="BJ6" s="2711"/>
      <c r="BK6" s="2711"/>
      <c r="BL6" s="2711"/>
      <c r="BM6" s="2711"/>
      <c r="BN6" s="2711"/>
      <c r="BO6" s="2711"/>
      <c r="BP6" s="2711"/>
      <c r="BQ6" s="15"/>
      <c r="BR6" s="15"/>
      <c r="BS6" s="15"/>
      <c r="BT6" s="15"/>
      <c r="BU6" s="15"/>
      <c r="BV6" s="15"/>
      <c r="BW6" s="15"/>
      <c r="BX6" s="15"/>
      <c r="BY6" s="15"/>
      <c r="BZ6" s="15"/>
      <c r="CA6" s="15"/>
      <c r="CB6" s="15"/>
      <c r="CC6" s="15"/>
      <c r="CD6" s="15"/>
      <c r="CE6" s="15"/>
      <c r="CF6" s="15"/>
    </row>
    <row r="7" spans="1:84" s="1" customFormat="1" ht="44.25" customHeight="1" x14ac:dyDescent="0.2">
      <c r="A7" s="2257" t="s">
        <v>39</v>
      </c>
      <c r="B7" s="2259" t="s">
        <v>40</v>
      </c>
      <c r="C7" s="2260"/>
      <c r="D7" s="2260" t="s">
        <v>39</v>
      </c>
      <c r="E7" s="2259" t="s">
        <v>41</v>
      </c>
      <c r="F7" s="2260"/>
      <c r="G7" s="2260" t="s">
        <v>39</v>
      </c>
      <c r="H7" s="2239" t="s">
        <v>579</v>
      </c>
      <c r="I7" s="2259" t="s">
        <v>43</v>
      </c>
      <c r="J7" s="2239" t="s">
        <v>44</v>
      </c>
      <c r="K7" s="2303" t="s">
        <v>45</v>
      </c>
      <c r="L7" s="2303"/>
      <c r="M7" s="2386" t="s">
        <v>46</v>
      </c>
      <c r="N7" s="2239" t="s">
        <v>47</v>
      </c>
      <c r="O7" s="2239" t="s">
        <v>37</v>
      </c>
      <c r="P7" s="2285" t="s">
        <v>48</v>
      </c>
      <c r="Q7" s="2287" t="s">
        <v>49</v>
      </c>
      <c r="R7" s="2259" t="s">
        <v>50</v>
      </c>
      <c r="S7" s="2259" t="s">
        <v>51</v>
      </c>
      <c r="T7" s="2239" t="s">
        <v>52</v>
      </c>
      <c r="U7" s="4018" t="s">
        <v>49</v>
      </c>
      <c r="V7" s="4018"/>
      <c r="W7" s="4018"/>
      <c r="X7" s="2271" t="s">
        <v>39</v>
      </c>
      <c r="Y7" s="2386" t="s">
        <v>53</v>
      </c>
      <c r="Z7" s="2274" t="s">
        <v>54</v>
      </c>
      <c r="AA7" s="2275"/>
      <c r="AB7" s="2275"/>
      <c r="AC7" s="2276"/>
      <c r="AD7" s="2277" t="s">
        <v>55</v>
      </c>
      <c r="AE7" s="2278"/>
      <c r="AF7" s="2278"/>
      <c r="AG7" s="2278"/>
      <c r="AH7" s="2278"/>
      <c r="AI7" s="2278"/>
      <c r="AJ7" s="2278"/>
      <c r="AK7" s="2279"/>
      <c r="AL7" s="2280" t="s">
        <v>56</v>
      </c>
      <c r="AM7" s="2280"/>
      <c r="AN7" s="2280"/>
      <c r="AO7" s="2280"/>
      <c r="AP7" s="2280"/>
      <c r="AQ7" s="2280"/>
      <c r="AR7" s="2280"/>
      <c r="AS7" s="2280"/>
      <c r="AT7" s="2280"/>
      <c r="AU7" s="2280"/>
      <c r="AV7" s="2280"/>
      <c r="AW7" s="2280"/>
      <c r="AX7" s="2277" t="s">
        <v>57</v>
      </c>
      <c r="AY7" s="2278"/>
      <c r="AZ7" s="2278"/>
      <c r="BA7" s="2278"/>
      <c r="BB7" s="2278"/>
      <c r="BC7" s="2279"/>
      <c r="BD7" s="2535" t="s">
        <v>58</v>
      </c>
      <c r="BE7" s="2535"/>
      <c r="BF7" s="3501" t="s">
        <v>335</v>
      </c>
      <c r="BG7" s="3502"/>
      <c r="BH7" s="3502"/>
      <c r="BI7" s="3502"/>
      <c r="BJ7" s="3502"/>
      <c r="BK7" s="3503"/>
      <c r="BL7" s="2264" t="s">
        <v>59</v>
      </c>
      <c r="BM7" s="2265"/>
      <c r="BN7" s="2264" t="s">
        <v>60</v>
      </c>
      <c r="BO7" s="2265"/>
      <c r="BP7" s="2268" t="s">
        <v>61</v>
      </c>
      <c r="BQ7" s="18"/>
      <c r="BR7" s="18"/>
      <c r="BS7" s="18"/>
      <c r="BT7" s="18"/>
      <c r="BU7" s="18"/>
      <c r="BV7" s="18"/>
      <c r="BW7" s="18"/>
      <c r="BX7" s="18"/>
      <c r="BY7" s="18"/>
      <c r="BZ7" s="18"/>
      <c r="CA7" s="18"/>
      <c r="CB7" s="18"/>
      <c r="CC7" s="18"/>
      <c r="CD7" s="18"/>
      <c r="CE7" s="18"/>
      <c r="CF7" s="18"/>
    </row>
    <row r="8" spans="1:84" s="1" customFormat="1" ht="39.75" customHeight="1" x14ac:dyDescent="0.2">
      <c r="A8" s="2258"/>
      <c r="B8" s="2261"/>
      <c r="C8" s="2262"/>
      <c r="D8" s="2262"/>
      <c r="E8" s="2261"/>
      <c r="F8" s="2262"/>
      <c r="G8" s="2262"/>
      <c r="H8" s="2240"/>
      <c r="I8" s="2261"/>
      <c r="J8" s="2240"/>
      <c r="K8" s="2239" t="s">
        <v>158</v>
      </c>
      <c r="L8" s="2239" t="s">
        <v>159</v>
      </c>
      <c r="M8" s="2387"/>
      <c r="N8" s="2240"/>
      <c r="O8" s="2240"/>
      <c r="P8" s="2286"/>
      <c r="Q8" s="2288"/>
      <c r="R8" s="2261"/>
      <c r="S8" s="2261"/>
      <c r="T8" s="2240"/>
      <c r="U8" s="4016" t="s">
        <v>581</v>
      </c>
      <c r="V8" s="4016" t="s">
        <v>150</v>
      </c>
      <c r="W8" s="4016" t="s">
        <v>582</v>
      </c>
      <c r="X8" s="2272"/>
      <c r="Y8" s="2387"/>
      <c r="Z8" s="2274" t="s">
        <v>63</v>
      </c>
      <c r="AA8" s="2276"/>
      <c r="AB8" s="2274" t="s">
        <v>64</v>
      </c>
      <c r="AC8" s="2276"/>
      <c r="AD8" s="2277" t="s">
        <v>65</v>
      </c>
      <c r="AE8" s="2279"/>
      <c r="AF8" s="2277" t="s">
        <v>66</v>
      </c>
      <c r="AG8" s="2279"/>
      <c r="AH8" s="2277" t="s">
        <v>67</v>
      </c>
      <c r="AI8" s="2279"/>
      <c r="AJ8" s="2277" t="s">
        <v>68</v>
      </c>
      <c r="AK8" s="2279"/>
      <c r="AL8" s="2280" t="s">
        <v>69</v>
      </c>
      <c r="AM8" s="2280"/>
      <c r="AN8" s="2280" t="s">
        <v>70</v>
      </c>
      <c r="AO8" s="2280"/>
      <c r="AP8" s="2280" t="s">
        <v>71</v>
      </c>
      <c r="AQ8" s="2280"/>
      <c r="AR8" s="2280" t="s">
        <v>72</v>
      </c>
      <c r="AS8" s="2280"/>
      <c r="AT8" s="2280" t="s">
        <v>73</v>
      </c>
      <c r="AU8" s="2280"/>
      <c r="AV8" s="2280" t="s">
        <v>74</v>
      </c>
      <c r="AW8" s="2280"/>
      <c r="AX8" s="2277" t="s">
        <v>75</v>
      </c>
      <c r="AY8" s="2279"/>
      <c r="AZ8" s="2277" t="s">
        <v>76</v>
      </c>
      <c r="BA8" s="2279"/>
      <c r="BB8" s="2277" t="s">
        <v>77</v>
      </c>
      <c r="BC8" s="2279"/>
      <c r="BD8" s="2535"/>
      <c r="BE8" s="2535"/>
      <c r="BF8" s="3171" t="s">
        <v>152</v>
      </c>
      <c r="BG8" s="3174" t="s">
        <v>153</v>
      </c>
      <c r="BH8" s="3171" t="s">
        <v>154</v>
      </c>
      <c r="BI8" s="4019" t="s">
        <v>155</v>
      </c>
      <c r="BJ8" s="3171" t="s">
        <v>156</v>
      </c>
      <c r="BK8" s="3172" t="s">
        <v>157</v>
      </c>
      <c r="BL8" s="2266"/>
      <c r="BM8" s="2267"/>
      <c r="BN8" s="2266"/>
      <c r="BO8" s="2267"/>
      <c r="BP8" s="2268"/>
      <c r="BQ8" s="18"/>
      <c r="BR8" s="18"/>
      <c r="BS8" s="18"/>
      <c r="BT8" s="18"/>
      <c r="BU8" s="18"/>
      <c r="BV8" s="18"/>
      <c r="BW8" s="18"/>
      <c r="BX8" s="18"/>
      <c r="BY8" s="18"/>
      <c r="BZ8" s="18"/>
      <c r="CA8" s="18"/>
      <c r="CB8" s="18"/>
      <c r="CC8" s="18"/>
      <c r="CD8" s="18"/>
      <c r="CE8" s="18"/>
      <c r="CF8" s="18"/>
    </row>
    <row r="9" spans="1:84" s="1" customFormat="1" ht="30" customHeight="1" x14ac:dyDescent="0.2">
      <c r="A9" s="2258"/>
      <c r="B9" s="2261"/>
      <c r="C9" s="2262"/>
      <c r="D9" s="2262"/>
      <c r="E9" s="2261"/>
      <c r="F9" s="2262"/>
      <c r="G9" s="2262"/>
      <c r="H9" s="2263"/>
      <c r="I9" s="2261"/>
      <c r="J9" s="2240"/>
      <c r="K9" s="2263"/>
      <c r="L9" s="2263"/>
      <c r="M9" s="2387"/>
      <c r="N9" s="2240"/>
      <c r="O9" s="2240"/>
      <c r="P9" s="2286"/>
      <c r="Q9" s="2288"/>
      <c r="R9" s="2261"/>
      <c r="S9" s="2261"/>
      <c r="T9" s="2240"/>
      <c r="U9" s="4017"/>
      <c r="V9" s="4017"/>
      <c r="W9" s="4017"/>
      <c r="X9" s="2273"/>
      <c r="Y9" s="2387"/>
      <c r="Z9" s="642" t="s">
        <v>158</v>
      </c>
      <c r="AA9" s="642" t="s">
        <v>159</v>
      </c>
      <c r="AB9" s="642" t="s">
        <v>158</v>
      </c>
      <c r="AC9" s="642" t="s">
        <v>159</v>
      </c>
      <c r="AD9" s="642" t="s">
        <v>158</v>
      </c>
      <c r="AE9" s="642" t="s">
        <v>159</v>
      </c>
      <c r="AF9" s="642" t="s">
        <v>158</v>
      </c>
      <c r="AG9" s="642" t="s">
        <v>159</v>
      </c>
      <c r="AH9" s="642" t="s">
        <v>158</v>
      </c>
      <c r="AI9" s="642" t="s">
        <v>159</v>
      </c>
      <c r="AJ9" s="642" t="s">
        <v>158</v>
      </c>
      <c r="AK9" s="642" t="s">
        <v>159</v>
      </c>
      <c r="AL9" s="642" t="s">
        <v>158</v>
      </c>
      <c r="AM9" s="642" t="s">
        <v>159</v>
      </c>
      <c r="AN9" s="642" t="s">
        <v>158</v>
      </c>
      <c r="AO9" s="642" t="s">
        <v>159</v>
      </c>
      <c r="AP9" s="2039" t="s">
        <v>158</v>
      </c>
      <c r="AQ9" s="2039" t="s">
        <v>159</v>
      </c>
      <c r="AR9" s="2039" t="s">
        <v>158</v>
      </c>
      <c r="AS9" s="2039" t="s">
        <v>159</v>
      </c>
      <c r="AT9" s="2039" t="s">
        <v>158</v>
      </c>
      <c r="AU9" s="2039" t="s">
        <v>159</v>
      </c>
      <c r="AV9" s="2039" t="s">
        <v>158</v>
      </c>
      <c r="AW9" s="2039" t="s">
        <v>159</v>
      </c>
      <c r="AX9" s="2039" t="s">
        <v>158</v>
      </c>
      <c r="AY9" s="2039" t="s">
        <v>159</v>
      </c>
      <c r="AZ9" s="2039" t="s">
        <v>158</v>
      </c>
      <c r="BA9" s="2039" t="s">
        <v>159</v>
      </c>
      <c r="BB9" s="2039" t="s">
        <v>158</v>
      </c>
      <c r="BC9" s="2039" t="s">
        <v>159</v>
      </c>
      <c r="BD9" s="2039" t="s">
        <v>158</v>
      </c>
      <c r="BE9" s="2039" t="s">
        <v>159</v>
      </c>
      <c r="BF9" s="3172"/>
      <c r="BG9" s="4029"/>
      <c r="BH9" s="3172"/>
      <c r="BI9" s="4020"/>
      <c r="BJ9" s="3172"/>
      <c r="BK9" s="4025"/>
      <c r="BL9" s="2039" t="s">
        <v>158</v>
      </c>
      <c r="BM9" s="2039" t="s">
        <v>159</v>
      </c>
      <c r="BN9" s="2039" t="s">
        <v>158</v>
      </c>
      <c r="BO9" s="2039" t="s">
        <v>159</v>
      </c>
      <c r="BP9" s="2391"/>
      <c r="BQ9" s="18"/>
      <c r="BR9" s="18"/>
      <c r="BS9" s="18"/>
      <c r="BT9" s="18"/>
      <c r="BU9" s="18"/>
      <c r="BV9" s="18"/>
      <c r="BW9" s="18"/>
      <c r="BX9" s="18"/>
      <c r="BY9" s="18"/>
      <c r="BZ9" s="18"/>
      <c r="CA9" s="18"/>
      <c r="CB9" s="18"/>
      <c r="CC9" s="18"/>
      <c r="CD9" s="18"/>
      <c r="CE9" s="18"/>
      <c r="CF9" s="18"/>
    </row>
    <row r="10" spans="1:84" s="1" customFormat="1" ht="29.25" customHeight="1" x14ac:dyDescent="0.2">
      <c r="A10" s="711">
        <v>1</v>
      </c>
      <c r="B10" s="27" t="s">
        <v>1797</v>
      </c>
      <c r="C10" s="726"/>
      <c r="D10" s="29"/>
      <c r="E10" s="986"/>
      <c r="F10" s="986"/>
      <c r="G10" s="986"/>
      <c r="H10" s="986"/>
      <c r="I10" s="1582"/>
      <c r="J10" s="1582"/>
      <c r="K10" s="986"/>
      <c r="L10" s="2040"/>
      <c r="M10" s="1582"/>
      <c r="N10" s="1585"/>
      <c r="O10" s="2041"/>
      <c r="P10" s="986"/>
      <c r="Q10" s="1586"/>
      <c r="R10" s="1582"/>
      <c r="S10" s="1582"/>
      <c r="T10" s="2042"/>
      <c r="U10" s="2043"/>
      <c r="V10" s="2043"/>
      <c r="W10" s="2044"/>
      <c r="X10" s="986"/>
      <c r="Y10" s="1582"/>
      <c r="Z10" s="986"/>
      <c r="AA10" s="986"/>
      <c r="AB10" s="986"/>
      <c r="AC10" s="986"/>
      <c r="AD10" s="986"/>
      <c r="AE10" s="986"/>
      <c r="AF10" s="986"/>
      <c r="AG10" s="986"/>
      <c r="AH10" s="986"/>
      <c r="AI10" s="986"/>
      <c r="AJ10" s="986"/>
      <c r="AK10" s="986"/>
      <c r="AL10" s="986"/>
      <c r="AM10" s="986"/>
      <c r="AN10" s="986"/>
      <c r="AO10" s="986"/>
      <c r="AP10" s="982"/>
      <c r="AQ10" s="2045"/>
      <c r="AR10" s="2045"/>
      <c r="AS10" s="2045"/>
      <c r="AT10" s="2045"/>
      <c r="AU10" s="2045"/>
      <c r="AV10" s="2045"/>
      <c r="AW10" s="2045"/>
      <c r="AX10" s="2045"/>
      <c r="AY10" s="2045"/>
      <c r="AZ10" s="2045"/>
      <c r="BA10" s="2045"/>
      <c r="BB10" s="2045"/>
      <c r="BC10" s="2045"/>
      <c r="BD10" s="2045"/>
      <c r="BE10" s="2045"/>
      <c r="BF10" s="2045"/>
      <c r="BG10" s="2045"/>
      <c r="BH10" s="2045"/>
      <c r="BI10" s="2046"/>
      <c r="BJ10" s="2047"/>
      <c r="BK10" s="2047"/>
      <c r="BL10" s="2045"/>
      <c r="BM10" s="2045"/>
      <c r="BN10" s="2045"/>
      <c r="BO10" s="2045"/>
      <c r="BP10" s="2048"/>
    </row>
    <row r="11" spans="1:84" s="1" customFormat="1" ht="29.25" customHeight="1" x14ac:dyDescent="0.2">
      <c r="A11" s="4026"/>
      <c r="B11" s="4026"/>
      <c r="C11" s="4026"/>
      <c r="D11" s="1805">
        <v>11</v>
      </c>
      <c r="E11" s="989" t="s">
        <v>1798</v>
      </c>
      <c r="F11" s="46"/>
      <c r="G11" s="745"/>
      <c r="H11" s="745"/>
      <c r="I11" s="744"/>
      <c r="J11" s="744"/>
      <c r="K11" s="746"/>
      <c r="L11" s="1265"/>
      <c r="M11" s="2049"/>
      <c r="N11" s="2050"/>
      <c r="O11" s="2051"/>
      <c r="P11" s="2052"/>
      <c r="Q11" s="2053"/>
      <c r="R11" s="2054"/>
      <c r="S11" s="46"/>
      <c r="T11" s="2055"/>
      <c r="U11" s="2056"/>
      <c r="V11" s="2056"/>
      <c r="W11" s="2057"/>
      <c r="X11" s="2058"/>
      <c r="Y11" s="2054"/>
      <c r="Z11" s="2052"/>
      <c r="AA11" s="2052"/>
      <c r="AB11" s="2052"/>
      <c r="AC11" s="2052"/>
      <c r="AD11" s="2052"/>
      <c r="AE11" s="2052"/>
      <c r="AF11" s="2052"/>
      <c r="AG11" s="2052"/>
      <c r="AH11" s="2052"/>
      <c r="AI11" s="2052"/>
      <c r="AJ11" s="2052"/>
      <c r="AK11" s="2052"/>
      <c r="AL11" s="2052"/>
      <c r="AM11" s="2052"/>
      <c r="AN11" s="2052"/>
      <c r="AO11" s="2052"/>
      <c r="AP11" s="2059"/>
      <c r="AQ11" s="2052"/>
      <c r="AR11" s="2052"/>
      <c r="AS11" s="2052"/>
      <c r="AT11" s="2052"/>
      <c r="AU11" s="2052"/>
      <c r="AV11" s="2052"/>
      <c r="AW11" s="2052"/>
      <c r="AX11" s="2052"/>
      <c r="AY11" s="2052"/>
      <c r="AZ11" s="2052"/>
      <c r="BA11" s="2052"/>
      <c r="BB11" s="2052"/>
      <c r="BC11" s="2052"/>
      <c r="BD11" s="2052"/>
      <c r="BE11" s="2052"/>
      <c r="BF11" s="2052"/>
      <c r="BG11" s="2052"/>
      <c r="BH11" s="2052"/>
      <c r="BI11" s="993"/>
      <c r="BJ11" s="2053"/>
      <c r="BK11" s="2053"/>
      <c r="BL11" s="2052"/>
      <c r="BM11" s="2052"/>
      <c r="BN11" s="2052"/>
      <c r="BO11" s="2052"/>
      <c r="BP11" s="2060"/>
    </row>
    <row r="12" spans="1:84" s="1" customFormat="1" ht="54.75" customHeight="1" x14ac:dyDescent="0.2">
      <c r="A12" s="4026"/>
      <c r="B12" s="4026"/>
      <c r="C12" s="4026"/>
      <c r="D12" s="2475"/>
      <c r="E12" s="2475"/>
      <c r="F12" s="2475"/>
      <c r="G12" s="2495" t="s">
        <v>208</v>
      </c>
      <c r="H12" s="4027">
        <v>11.19</v>
      </c>
      <c r="I12" s="2422" t="s">
        <v>1799</v>
      </c>
      <c r="J12" s="2422" t="s">
        <v>1800</v>
      </c>
      <c r="K12" s="3063">
        <v>1</v>
      </c>
      <c r="L12" s="3451">
        <v>0.5</v>
      </c>
      <c r="M12" s="2304" t="s">
        <v>1801</v>
      </c>
      <c r="N12" s="2666" t="s">
        <v>1802</v>
      </c>
      <c r="O12" s="2422" t="s">
        <v>1803</v>
      </c>
      <c r="P12" s="3031">
        <f>SUM(U12:U16)/(Q12+Q114)</f>
        <v>0.42372881355932202</v>
      </c>
      <c r="Q12" s="2970">
        <f>SUM(U12:U16)</f>
        <v>50000000</v>
      </c>
      <c r="R12" s="2422" t="s">
        <v>1804</v>
      </c>
      <c r="S12" s="4021" t="s">
        <v>1805</v>
      </c>
      <c r="T12" s="1920" t="s">
        <v>1806</v>
      </c>
      <c r="U12" s="2061">
        <f>10000000</f>
        <v>10000000</v>
      </c>
      <c r="V12" s="2062">
        <v>0</v>
      </c>
      <c r="W12" s="2062">
        <v>0</v>
      </c>
      <c r="X12" s="2063">
        <v>61</v>
      </c>
      <c r="Y12" s="2064" t="s">
        <v>1807</v>
      </c>
      <c r="Z12" s="3604" t="s">
        <v>1808</v>
      </c>
      <c r="AA12" s="3604" t="s">
        <v>1808</v>
      </c>
      <c r="AB12" s="2666" t="s">
        <v>1808</v>
      </c>
      <c r="AC12" s="3604" t="s">
        <v>1808</v>
      </c>
      <c r="AD12" s="2666">
        <v>64149</v>
      </c>
      <c r="AE12" s="2666" t="s">
        <v>1808</v>
      </c>
      <c r="AF12" s="2666" t="s">
        <v>1808</v>
      </c>
      <c r="AG12" s="2666" t="s">
        <v>1808</v>
      </c>
      <c r="AH12" s="2666" t="s">
        <v>1808</v>
      </c>
      <c r="AI12" s="2666" t="s">
        <v>1808</v>
      </c>
      <c r="AJ12" s="2666" t="s">
        <v>1808</v>
      </c>
      <c r="AK12" s="2666" t="s">
        <v>1808</v>
      </c>
      <c r="AL12" s="2666" t="s">
        <v>1808</v>
      </c>
      <c r="AM12" s="2666" t="s">
        <v>1808</v>
      </c>
      <c r="AN12" s="2666" t="s">
        <v>1808</v>
      </c>
      <c r="AO12" s="2666" t="s">
        <v>1808</v>
      </c>
      <c r="AP12" s="2666" t="s">
        <v>1808</v>
      </c>
      <c r="AQ12" s="2667" t="s">
        <v>1808</v>
      </c>
      <c r="AR12" s="2667" t="s">
        <v>1808</v>
      </c>
      <c r="AS12" s="2667" t="s">
        <v>1808</v>
      </c>
      <c r="AT12" s="2667" t="s">
        <v>1808</v>
      </c>
      <c r="AU12" s="2667" t="s">
        <v>1808</v>
      </c>
      <c r="AV12" s="2667" t="s">
        <v>1808</v>
      </c>
      <c r="AW12" s="2667" t="s">
        <v>1808</v>
      </c>
      <c r="AX12" s="2667" t="s">
        <v>1808</v>
      </c>
      <c r="AY12" s="2667" t="s">
        <v>1808</v>
      </c>
      <c r="AZ12" s="2667" t="s">
        <v>1808</v>
      </c>
      <c r="BA12" s="2667" t="s">
        <v>1808</v>
      </c>
      <c r="BB12" s="2667" t="s">
        <v>1808</v>
      </c>
      <c r="BC12" s="2667" t="s">
        <v>1808</v>
      </c>
      <c r="BD12" s="2667" t="s">
        <v>1808</v>
      </c>
      <c r="BE12" s="2667" t="s">
        <v>1808</v>
      </c>
      <c r="BF12" s="2667">
        <v>0</v>
      </c>
      <c r="BG12" s="4031">
        <v>0</v>
      </c>
      <c r="BH12" s="4031">
        <v>0</v>
      </c>
      <c r="BI12" s="3017">
        <f>SUM(BG12/Q12)</f>
        <v>0</v>
      </c>
      <c r="BJ12" s="2423" t="s">
        <v>1809</v>
      </c>
      <c r="BK12" s="2423" t="s">
        <v>1810</v>
      </c>
      <c r="BL12" s="4033">
        <v>43832</v>
      </c>
      <c r="BM12" s="4033">
        <v>43832</v>
      </c>
      <c r="BN12" s="4033">
        <v>44196</v>
      </c>
      <c r="BO12" s="4033">
        <v>44196</v>
      </c>
      <c r="BP12" s="4036" t="s">
        <v>1811</v>
      </c>
    </row>
    <row r="13" spans="1:84" s="1" customFormat="1" ht="54.75" customHeight="1" x14ac:dyDescent="0.2">
      <c r="A13" s="4026"/>
      <c r="B13" s="4026"/>
      <c r="C13" s="4026"/>
      <c r="D13" s="2475"/>
      <c r="E13" s="2475"/>
      <c r="F13" s="2475"/>
      <c r="G13" s="2496"/>
      <c r="H13" s="4028"/>
      <c r="I13" s="2423"/>
      <c r="J13" s="2423"/>
      <c r="K13" s="3063"/>
      <c r="L13" s="3451"/>
      <c r="M13" s="2305"/>
      <c r="N13" s="2667"/>
      <c r="O13" s="2423"/>
      <c r="P13" s="3032"/>
      <c r="Q13" s="2890"/>
      <c r="R13" s="2423"/>
      <c r="S13" s="4022"/>
      <c r="T13" s="1920" t="s">
        <v>1812</v>
      </c>
      <c r="U13" s="2061">
        <f>10000000</f>
        <v>10000000</v>
      </c>
      <c r="V13" s="2062">
        <v>0</v>
      </c>
      <c r="W13" s="2062">
        <v>0</v>
      </c>
      <c r="X13" s="2063">
        <v>61</v>
      </c>
      <c r="Y13" s="2064" t="s">
        <v>1807</v>
      </c>
      <c r="Z13" s="4024"/>
      <c r="AA13" s="4024"/>
      <c r="AB13" s="2667"/>
      <c r="AC13" s="4024"/>
      <c r="AD13" s="2667"/>
      <c r="AE13" s="2667"/>
      <c r="AF13" s="2667"/>
      <c r="AG13" s="2667"/>
      <c r="AH13" s="2667"/>
      <c r="AI13" s="2667"/>
      <c r="AJ13" s="2667"/>
      <c r="AK13" s="2667"/>
      <c r="AL13" s="2667"/>
      <c r="AM13" s="2667"/>
      <c r="AN13" s="2667"/>
      <c r="AO13" s="2667"/>
      <c r="AP13" s="2667"/>
      <c r="AQ13" s="2667"/>
      <c r="AR13" s="2667"/>
      <c r="AS13" s="2667"/>
      <c r="AT13" s="2667"/>
      <c r="AU13" s="2667"/>
      <c r="AV13" s="2667"/>
      <c r="AW13" s="2667"/>
      <c r="AX13" s="2667"/>
      <c r="AY13" s="2667"/>
      <c r="AZ13" s="2667"/>
      <c r="BA13" s="2667"/>
      <c r="BB13" s="2667"/>
      <c r="BC13" s="2667"/>
      <c r="BD13" s="2667"/>
      <c r="BE13" s="2667"/>
      <c r="BF13" s="2667"/>
      <c r="BG13" s="4031"/>
      <c r="BH13" s="4031"/>
      <c r="BI13" s="3017"/>
      <c r="BJ13" s="2423"/>
      <c r="BK13" s="2423"/>
      <c r="BL13" s="2667"/>
      <c r="BM13" s="2667"/>
      <c r="BN13" s="2667"/>
      <c r="BO13" s="2667"/>
      <c r="BP13" s="4037"/>
    </row>
    <row r="14" spans="1:84" s="1" customFormat="1" ht="54.75" customHeight="1" x14ac:dyDescent="0.2">
      <c r="A14" s="4026"/>
      <c r="B14" s="4026"/>
      <c r="C14" s="4026"/>
      <c r="D14" s="2475"/>
      <c r="E14" s="2475"/>
      <c r="F14" s="2475"/>
      <c r="G14" s="2496"/>
      <c r="H14" s="4028"/>
      <c r="I14" s="2423"/>
      <c r="J14" s="2423"/>
      <c r="K14" s="3063"/>
      <c r="L14" s="3451"/>
      <c r="M14" s="2305"/>
      <c r="N14" s="2667"/>
      <c r="O14" s="2423"/>
      <c r="P14" s="3032"/>
      <c r="Q14" s="2890"/>
      <c r="R14" s="2423"/>
      <c r="S14" s="4022"/>
      <c r="T14" s="1920" t="s">
        <v>1813</v>
      </c>
      <c r="U14" s="2061">
        <f>10000000</f>
        <v>10000000</v>
      </c>
      <c r="V14" s="2062">
        <v>0</v>
      </c>
      <c r="W14" s="2062">
        <v>0</v>
      </c>
      <c r="X14" s="2063">
        <v>61</v>
      </c>
      <c r="Y14" s="2064" t="s">
        <v>1807</v>
      </c>
      <c r="Z14" s="4024"/>
      <c r="AA14" s="4024"/>
      <c r="AB14" s="2667"/>
      <c r="AC14" s="4024"/>
      <c r="AD14" s="2667"/>
      <c r="AE14" s="2667"/>
      <c r="AF14" s="2667"/>
      <c r="AG14" s="2667"/>
      <c r="AH14" s="2667"/>
      <c r="AI14" s="2667"/>
      <c r="AJ14" s="2667"/>
      <c r="AK14" s="2667"/>
      <c r="AL14" s="2667"/>
      <c r="AM14" s="2667"/>
      <c r="AN14" s="2667"/>
      <c r="AO14" s="2667"/>
      <c r="AP14" s="2667"/>
      <c r="AQ14" s="2667"/>
      <c r="AR14" s="2667"/>
      <c r="AS14" s="2667"/>
      <c r="AT14" s="2667"/>
      <c r="AU14" s="2667"/>
      <c r="AV14" s="2667"/>
      <c r="AW14" s="2667"/>
      <c r="AX14" s="2667"/>
      <c r="AY14" s="2667"/>
      <c r="AZ14" s="2667"/>
      <c r="BA14" s="2667"/>
      <c r="BB14" s="2667"/>
      <c r="BC14" s="2667"/>
      <c r="BD14" s="2667"/>
      <c r="BE14" s="2667"/>
      <c r="BF14" s="2667"/>
      <c r="BG14" s="4031"/>
      <c r="BH14" s="4031"/>
      <c r="BI14" s="3017"/>
      <c r="BJ14" s="2423"/>
      <c r="BK14" s="2423"/>
      <c r="BL14" s="2667"/>
      <c r="BM14" s="2667"/>
      <c r="BN14" s="2667"/>
      <c r="BO14" s="2667"/>
      <c r="BP14" s="4037"/>
    </row>
    <row r="15" spans="1:84" s="1" customFormat="1" ht="54.75" customHeight="1" x14ac:dyDescent="0.2">
      <c r="A15" s="4026"/>
      <c r="B15" s="4026"/>
      <c r="C15" s="4026"/>
      <c r="D15" s="2475"/>
      <c r="E15" s="2475"/>
      <c r="F15" s="2475"/>
      <c r="G15" s="2496"/>
      <c r="H15" s="4028"/>
      <c r="I15" s="2423"/>
      <c r="J15" s="2423"/>
      <c r="K15" s="3063"/>
      <c r="L15" s="3451"/>
      <c r="M15" s="2305"/>
      <c r="N15" s="2667"/>
      <c r="O15" s="2423"/>
      <c r="P15" s="3032"/>
      <c r="Q15" s="2890"/>
      <c r="R15" s="2423"/>
      <c r="S15" s="4022"/>
      <c r="T15" s="1920" t="s">
        <v>1814</v>
      </c>
      <c r="U15" s="2061">
        <f>10000000</f>
        <v>10000000</v>
      </c>
      <c r="V15" s="2062">
        <v>0</v>
      </c>
      <c r="W15" s="2062">
        <v>0</v>
      </c>
      <c r="X15" s="2063">
        <v>61</v>
      </c>
      <c r="Y15" s="2064" t="s">
        <v>1807</v>
      </c>
      <c r="Z15" s="4024"/>
      <c r="AA15" s="4024"/>
      <c r="AB15" s="2667"/>
      <c r="AC15" s="4024"/>
      <c r="AD15" s="2667"/>
      <c r="AE15" s="2667"/>
      <c r="AF15" s="2667"/>
      <c r="AG15" s="2667"/>
      <c r="AH15" s="2667"/>
      <c r="AI15" s="2667"/>
      <c r="AJ15" s="2667"/>
      <c r="AK15" s="2667"/>
      <c r="AL15" s="2667"/>
      <c r="AM15" s="2667"/>
      <c r="AN15" s="2667"/>
      <c r="AO15" s="2667"/>
      <c r="AP15" s="2667"/>
      <c r="AQ15" s="2667"/>
      <c r="AR15" s="2667"/>
      <c r="AS15" s="2667"/>
      <c r="AT15" s="2667"/>
      <c r="AU15" s="2667"/>
      <c r="AV15" s="2667"/>
      <c r="AW15" s="2667"/>
      <c r="AX15" s="2667"/>
      <c r="AY15" s="2667"/>
      <c r="AZ15" s="2667"/>
      <c r="BA15" s="2667"/>
      <c r="BB15" s="2667"/>
      <c r="BC15" s="2667"/>
      <c r="BD15" s="2667"/>
      <c r="BE15" s="2667"/>
      <c r="BF15" s="2667"/>
      <c r="BG15" s="4031"/>
      <c r="BH15" s="4031"/>
      <c r="BI15" s="3017"/>
      <c r="BJ15" s="2423"/>
      <c r="BK15" s="2423"/>
      <c r="BL15" s="2667"/>
      <c r="BM15" s="2667"/>
      <c r="BN15" s="2667"/>
      <c r="BO15" s="2667"/>
      <c r="BP15" s="4037"/>
    </row>
    <row r="16" spans="1:84" s="1" customFormat="1" ht="54.75" customHeight="1" x14ac:dyDescent="0.2">
      <c r="A16" s="4026"/>
      <c r="B16" s="4026"/>
      <c r="C16" s="4026"/>
      <c r="D16" s="2475"/>
      <c r="E16" s="2475"/>
      <c r="F16" s="2475"/>
      <c r="G16" s="2496"/>
      <c r="H16" s="4028"/>
      <c r="I16" s="2423"/>
      <c r="J16" s="2423"/>
      <c r="K16" s="3063"/>
      <c r="L16" s="3451"/>
      <c r="M16" s="2305"/>
      <c r="N16" s="2667"/>
      <c r="O16" s="2423"/>
      <c r="P16" s="3033"/>
      <c r="Q16" s="2971"/>
      <c r="R16" s="2424"/>
      <c r="S16" s="4023"/>
      <c r="T16" s="1920" t="s">
        <v>1815</v>
      </c>
      <c r="U16" s="2061">
        <v>10000000</v>
      </c>
      <c r="V16" s="2062">
        <v>0</v>
      </c>
      <c r="W16" s="2062">
        <v>0</v>
      </c>
      <c r="X16" s="2063">
        <v>61</v>
      </c>
      <c r="Y16" s="2065" t="s">
        <v>1807</v>
      </c>
      <c r="Z16" s="3605"/>
      <c r="AA16" s="3605"/>
      <c r="AB16" s="2668"/>
      <c r="AC16" s="3605"/>
      <c r="AD16" s="2668"/>
      <c r="AE16" s="2668"/>
      <c r="AF16" s="2668"/>
      <c r="AG16" s="2668"/>
      <c r="AH16" s="2668"/>
      <c r="AI16" s="2668"/>
      <c r="AJ16" s="2668"/>
      <c r="AK16" s="2668"/>
      <c r="AL16" s="2668"/>
      <c r="AM16" s="2668"/>
      <c r="AN16" s="2668"/>
      <c r="AO16" s="2668"/>
      <c r="AP16" s="2668"/>
      <c r="AQ16" s="2668"/>
      <c r="AR16" s="2668"/>
      <c r="AS16" s="2668"/>
      <c r="AT16" s="2668"/>
      <c r="AU16" s="2668"/>
      <c r="AV16" s="2668"/>
      <c r="AW16" s="2668"/>
      <c r="AX16" s="2668"/>
      <c r="AY16" s="2668"/>
      <c r="AZ16" s="2668"/>
      <c r="BA16" s="2668"/>
      <c r="BB16" s="2668"/>
      <c r="BC16" s="2668"/>
      <c r="BD16" s="2668"/>
      <c r="BE16" s="2668"/>
      <c r="BF16" s="2668"/>
      <c r="BG16" s="4032"/>
      <c r="BH16" s="4032"/>
      <c r="BI16" s="3018"/>
      <c r="BJ16" s="2424"/>
      <c r="BK16" s="2424"/>
      <c r="BL16" s="2668"/>
      <c r="BM16" s="2668"/>
      <c r="BN16" s="2668"/>
      <c r="BO16" s="2668"/>
      <c r="BP16" s="4038"/>
    </row>
    <row r="17" spans="1:68" s="1" customFormat="1" ht="96" customHeight="1" x14ac:dyDescent="0.2">
      <c r="A17" s="4026"/>
      <c r="B17" s="4026"/>
      <c r="C17" s="4026"/>
      <c r="D17" s="2475"/>
      <c r="E17" s="2475"/>
      <c r="F17" s="2475"/>
      <c r="G17" s="2341">
        <v>1903009</v>
      </c>
      <c r="H17" s="4030">
        <v>11.2</v>
      </c>
      <c r="I17" s="2463" t="s">
        <v>1816</v>
      </c>
      <c r="J17" s="2463" t="s">
        <v>1817</v>
      </c>
      <c r="K17" s="3063">
        <v>380</v>
      </c>
      <c r="L17" s="3451">
        <v>160</v>
      </c>
      <c r="M17" s="2315" t="s">
        <v>1818</v>
      </c>
      <c r="N17" s="3383" t="s">
        <v>1819</v>
      </c>
      <c r="O17" s="2463" t="s">
        <v>1820</v>
      </c>
      <c r="P17" s="3031">
        <f>SUM(U17:U19)/Q17</f>
        <v>2.768843657330107E-2</v>
      </c>
      <c r="Q17" s="4047">
        <f>SUM(U17:U41)</f>
        <v>1314628216.8600001</v>
      </c>
      <c r="R17" s="2463" t="s">
        <v>1821</v>
      </c>
      <c r="S17" s="2439" t="s">
        <v>1822</v>
      </c>
      <c r="T17" s="1910" t="s">
        <v>1823</v>
      </c>
      <c r="U17" s="2066">
        <v>20000000</v>
      </c>
      <c r="V17" s="2062">
        <v>9000000</v>
      </c>
      <c r="W17" s="2062">
        <v>0</v>
      </c>
      <c r="X17" s="1912">
        <v>61</v>
      </c>
      <c r="Y17" s="2067" t="s">
        <v>1824</v>
      </c>
      <c r="Z17" s="2495">
        <v>289394</v>
      </c>
      <c r="AA17" s="2306">
        <f>Z17*0.55</f>
        <v>159166.70000000001</v>
      </c>
      <c r="AB17" s="2306">
        <v>279112</v>
      </c>
      <c r="AC17" s="2306">
        <f>AB17*0.55</f>
        <v>153511.6</v>
      </c>
      <c r="AD17" s="2306">
        <v>63164</v>
      </c>
      <c r="AE17" s="2306">
        <f>AD17*0.55</f>
        <v>34740.200000000004</v>
      </c>
      <c r="AF17" s="2306">
        <v>45607</v>
      </c>
      <c r="AG17" s="2306">
        <f>AF17*0.55</f>
        <v>25083.850000000002</v>
      </c>
      <c r="AH17" s="2306">
        <v>365607</v>
      </c>
      <c r="AI17" s="2306">
        <f>AH17*0.55</f>
        <v>201083.85</v>
      </c>
      <c r="AJ17" s="2306">
        <v>75612</v>
      </c>
      <c r="AK17" s="2306">
        <f>AJ17*0.55</f>
        <v>41586.600000000006</v>
      </c>
      <c r="AL17" s="2306">
        <v>2145</v>
      </c>
      <c r="AM17" s="2306">
        <f>AL17*0.55</f>
        <v>1179.75</v>
      </c>
      <c r="AN17" s="2306">
        <v>12718</v>
      </c>
      <c r="AO17" s="2306">
        <f>AN17*0.55</f>
        <v>6994.9000000000005</v>
      </c>
      <c r="AP17" s="2306">
        <v>26</v>
      </c>
      <c r="AQ17" s="2306">
        <f>AP17*0.55</f>
        <v>14.3</v>
      </c>
      <c r="AR17" s="2306">
        <v>37</v>
      </c>
      <c r="AS17" s="2306">
        <f>AR17*0.55</f>
        <v>20.350000000000001</v>
      </c>
      <c r="AT17" s="2306">
        <v>0</v>
      </c>
      <c r="AU17" s="2306">
        <f>AT17*0.55</f>
        <v>0</v>
      </c>
      <c r="AV17" s="2306">
        <v>0</v>
      </c>
      <c r="AW17" s="2306">
        <f>AV17*0.55</f>
        <v>0</v>
      </c>
      <c r="AX17" s="2306">
        <v>78</v>
      </c>
      <c r="AY17" s="2306">
        <f>AX17*0.55</f>
        <v>42.900000000000006</v>
      </c>
      <c r="AZ17" s="2306">
        <v>16897</v>
      </c>
      <c r="BA17" s="2306">
        <f>AZ17*0.55</f>
        <v>9293.35</v>
      </c>
      <c r="BB17" s="2306">
        <v>852</v>
      </c>
      <c r="BC17" s="2306">
        <f>BB17*0.55</f>
        <v>468.6</v>
      </c>
      <c r="BD17" s="2306">
        <v>568506</v>
      </c>
      <c r="BE17" s="2306">
        <f>BD17*0.55</f>
        <v>312678.30000000005</v>
      </c>
      <c r="BF17" s="2306">
        <v>13</v>
      </c>
      <c r="BG17" s="4039">
        <f>SUM(V17:V41)</f>
        <v>676044041</v>
      </c>
      <c r="BH17" s="4039">
        <f>SUM(W17:W41)</f>
        <v>618881642</v>
      </c>
      <c r="BI17" s="3031">
        <f>SUM(BG17/Q17)</f>
        <v>0.51424732280183105</v>
      </c>
      <c r="BJ17" s="2422" t="s">
        <v>1809</v>
      </c>
      <c r="BK17" s="2422" t="s">
        <v>1810</v>
      </c>
      <c r="BL17" s="3719">
        <v>43832</v>
      </c>
      <c r="BM17" s="3719">
        <v>43832</v>
      </c>
      <c r="BN17" s="3719">
        <v>44196</v>
      </c>
      <c r="BO17" s="3719">
        <v>44196</v>
      </c>
      <c r="BP17" s="2422" t="s">
        <v>1811</v>
      </c>
    </row>
    <row r="18" spans="1:68" s="1" customFormat="1" ht="96" customHeight="1" x14ac:dyDescent="0.2">
      <c r="A18" s="4026"/>
      <c r="B18" s="4026"/>
      <c r="C18" s="4026"/>
      <c r="D18" s="2475"/>
      <c r="E18" s="2475"/>
      <c r="F18" s="2475"/>
      <c r="G18" s="2341"/>
      <c r="H18" s="4030"/>
      <c r="I18" s="2463"/>
      <c r="J18" s="2463"/>
      <c r="K18" s="3063"/>
      <c r="L18" s="3451"/>
      <c r="M18" s="2315"/>
      <c r="N18" s="3383"/>
      <c r="O18" s="2463"/>
      <c r="P18" s="3032"/>
      <c r="Q18" s="4047"/>
      <c r="R18" s="2463"/>
      <c r="S18" s="2440"/>
      <c r="T18" s="1910" t="s">
        <v>1825</v>
      </c>
      <c r="U18" s="2066">
        <f>20000000-11200000</f>
        <v>8800000</v>
      </c>
      <c r="V18" s="2062">
        <v>6973333</v>
      </c>
      <c r="W18" s="2062">
        <v>0</v>
      </c>
      <c r="X18" s="1912">
        <v>61</v>
      </c>
      <c r="Y18" s="2067" t="s">
        <v>1824</v>
      </c>
      <c r="Z18" s="2496"/>
      <c r="AA18" s="2307"/>
      <c r="AB18" s="2307"/>
      <c r="AC18" s="2307"/>
      <c r="AD18" s="2307"/>
      <c r="AE18" s="2307"/>
      <c r="AF18" s="2307"/>
      <c r="AG18" s="2307"/>
      <c r="AH18" s="2307"/>
      <c r="AI18" s="2307"/>
      <c r="AJ18" s="2307"/>
      <c r="AK18" s="2307"/>
      <c r="AL18" s="2307"/>
      <c r="AM18" s="2307"/>
      <c r="AN18" s="2307"/>
      <c r="AO18" s="2307"/>
      <c r="AP18" s="2307"/>
      <c r="AQ18" s="2307"/>
      <c r="AR18" s="2307"/>
      <c r="AS18" s="2307"/>
      <c r="AT18" s="2307"/>
      <c r="AU18" s="2307"/>
      <c r="AV18" s="2307"/>
      <c r="AW18" s="2307"/>
      <c r="AX18" s="2307"/>
      <c r="AY18" s="2307"/>
      <c r="AZ18" s="2307"/>
      <c r="BA18" s="2307"/>
      <c r="BB18" s="2307"/>
      <c r="BC18" s="2307"/>
      <c r="BD18" s="2307"/>
      <c r="BE18" s="2307"/>
      <c r="BF18" s="2307"/>
      <c r="BG18" s="2567"/>
      <c r="BH18" s="2567"/>
      <c r="BI18" s="3032"/>
      <c r="BJ18" s="2423"/>
      <c r="BK18" s="2423"/>
      <c r="BL18" s="2307"/>
      <c r="BM18" s="2307"/>
      <c r="BN18" s="2307"/>
      <c r="BO18" s="2307"/>
      <c r="BP18" s="2423"/>
    </row>
    <row r="19" spans="1:68" s="1" customFormat="1" ht="96" customHeight="1" x14ac:dyDescent="0.2">
      <c r="A19" s="4026"/>
      <c r="B19" s="4026"/>
      <c r="C19" s="4026"/>
      <c r="D19" s="2475"/>
      <c r="E19" s="2475"/>
      <c r="F19" s="2475"/>
      <c r="G19" s="2341"/>
      <c r="H19" s="4030"/>
      <c r="I19" s="2463"/>
      <c r="J19" s="2463"/>
      <c r="K19" s="3063"/>
      <c r="L19" s="3451"/>
      <c r="M19" s="2315"/>
      <c r="N19" s="3383"/>
      <c r="O19" s="2463"/>
      <c r="P19" s="3033"/>
      <c r="Q19" s="4047"/>
      <c r="R19" s="2463"/>
      <c r="S19" s="2440"/>
      <c r="T19" s="1910" t="s">
        <v>1826</v>
      </c>
      <c r="U19" s="2066">
        <f>30000000-22400000</f>
        <v>7600000</v>
      </c>
      <c r="V19" s="2062">
        <v>4000000</v>
      </c>
      <c r="W19" s="2062">
        <v>0</v>
      </c>
      <c r="X19" s="1912">
        <v>61</v>
      </c>
      <c r="Y19" s="2067" t="s">
        <v>1824</v>
      </c>
      <c r="Z19" s="2496"/>
      <c r="AA19" s="2307"/>
      <c r="AB19" s="2307"/>
      <c r="AC19" s="2307"/>
      <c r="AD19" s="2307"/>
      <c r="AE19" s="2307"/>
      <c r="AF19" s="2307"/>
      <c r="AG19" s="2307"/>
      <c r="AH19" s="2307"/>
      <c r="AI19" s="2307"/>
      <c r="AJ19" s="2307"/>
      <c r="AK19" s="2307"/>
      <c r="AL19" s="2307"/>
      <c r="AM19" s="2307"/>
      <c r="AN19" s="2307"/>
      <c r="AO19" s="2307"/>
      <c r="AP19" s="2307"/>
      <c r="AQ19" s="2307"/>
      <c r="AR19" s="2307"/>
      <c r="AS19" s="2307"/>
      <c r="AT19" s="2307"/>
      <c r="AU19" s="2307"/>
      <c r="AV19" s="2307"/>
      <c r="AW19" s="2307"/>
      <c r="AX19" s="2307"/>
      <c r="AY19" s="2307"/>
      <c r="AZ19" s="2307"/>
      <c r="BA19" s="2307"/>
      <c r="BB19" s="2307"/>
      <c r="BC19" s="2307"/>
      <c r="BD19" s="2307"/>
      <c r="BE19" s="2307"/>
      <c r="BF19" s="2307"/>
      <c r="BG19" s="2567"/>
      <c r="BH19" s="2567"/>
      <c r="BI19" s="3032"/>
      <c r="BJ19" s="2423"/>
      <c r="BK19" s="2423"/>
      <c r="BL19" s="2307"/>
      <c r="BM19" s="2307"/>
      <c r="BN19" s="2307"/>
      <c r="BO19" s="2307"/>
      <c r="BP19" s="2423"/>
    </row>
    <row r="20" spans="1:68" s="1" customFormat="1" ht="96" customHeight="1" x14ac:dyDescent="0.2">
      <c r="A20" s="4026"/>
      <c r="B20" s="4026"/>
      <c r="C20" s="4026"/>
      <c r="D20" s="2475"/>
      <c r="E20" s="2475"/>
      <c r="F20" s="2475"/>
      <c r="G20" s="2340">
        <v>1903023</v>
      </c>
      <c r="H20" s="4042">
        <v>11.9</v>
      </c>
      <c r="I20" s="2463" t="s">
        <v>1827</v>
      </c>
      <c r="J20" s="2463" t="s">
        <v>1828</v>
      </c>
      <c r="K20" s="3063">
        <v>12</v>
      </c>
      <c r="L20" s="3451">
        <v>3</v>
      </c>
      <c r="M20" s="2315"/>
      <c r="N20" s="3383"/>
      <c r="O20" s="2463"/>
      <c r="P20" s="2885">
        <f>SUM(U20:U22)/Q17</f>
        <v>8.5195189456310997E-3</v>
      </c>
      <c r="Q20" s="3383"/>
      <c r="R20" s="2463"/>
      <c r="S20" s="2440"/>
      <c r="T20" s="1908" t="s">
        <v>1829</v>
      </c>
      <c r="U20" s="2066">
        <f>15000000-11000000</f>
        <v>4000000</v>
      </c>
      <c r="V20" s="2062">
        <v>0</v>
      </c>
      <c r="W20" s="2062">
        <v>0</v>
      </c>
      <c r="X20" s="1912">
        <v>61</v>
      </c>
      <c r="Y20" s="2067" t="s">
        <v>1824</v>
      </c>
      <c r="Z20" s="2496"/>
      <c r="AA20" s="2307"/>
      <c r="AB20" s="2307"/>
      <c r="AC20" s="2307"/>
      <c r="AD20" s="2307"/>
      <c r="AE20" s="2307"/>
      <c r="AF20" s="2307"/>
      <c r="AG20" s="2307"/>
      <c r="AH20" s="2307"/>
      <c r="AI20" s="2307"/>
      <c r="AJ20" s="2307"/>
      <c r="AK20" s="2307"/>
      <c r="AL20" s="2307"/>
      <c r="AM20" s="2307"/>
      <c r="AN20" s="2307"/>
      <c r="AO20" s="2307"/>
      <c r="AP20" s="2307"/>
      <c r="AQ20" s="2307"/>
      <c r="AR20" s="2307"/>
      <c r="AS20" s="2307"/>
      <c r="AT20" s="2307"/>
      <c r="AU20" s="2307"/>
      <c r="AV20" s="2307"/>
      <c r="AW20" s="2307"/>
      <c r="AX20" s="2307"/>
      <c r="AY20" s="2307"/>
      <c r="AZ20" s="2307"/>
      <c r="BA20" s="2307"/>
      <c r="BB20" s="2307"/>
      <c r="BC20" s="2307"/>
      <c r="BD20" s="2307"/>
      <c r="BE20" s="2307"/>
      <c r="BF20" s="2307"/>
      <c r="BG20" s="2567"/>
      <c r="BH20" s="2567"/>
      <c r="BI20" s="3032"/>
      <c r="BJ20" s="2423"/>
      <c r="BK20" s="2423"/>
      <c r="BL20" s="2307"/>
      <c r="BM20" s="2307"/>
      <c r="BN20" s="2307"/>
      <c r="BO20" s="2307"/>
      <c r="BP20" s="2423"/>
    </row>
    <row r="21" spans="1:68" s="1" customFormat="1" ht="96" customHeight="1" x14ac:dyDescent="0.2">
      <c r="A21" s="4026"/>
      <c r="B21" s="4026"/>
      <c r="C21" s="4026"/>
      <c r="D21" s="2475"/>
      <c r="E21" s="2475"/>
      <c r="F21" s="2475"/>
      <c r="G21" s="2341"/>
      <c r="H21" s="4030"/>
      <c r="I21" s="2463"/>
      <c r="J21" s="2463"/>
      <c r="K21" s="3063"/>
      <c r="L21" s="3451"/>
      <c r="M21" s="2315"/>
      <c r="N21" s="3383"/>
      <c r="O21" s="2463"/>
      <c r="P21" s="2886"/>
      <c r="Q21" s="3383"/>
      <c r="R21" s="2463"/>
      <c r="S21" s="2440"/>
      <c r="T21" s="1908" t="s">
        <v>1830</v>
      </c>
      <c r="U21" s="2066">
        <f>15000000-11000000</f>
        <v>4000000</v>
      </c>
      <c r="V21" s="2062">
        <v>0</v>
      </c>
      <c r="W21" s="2062">
        <v>0</v>
      </c>
      <c r="X21" s="1912">
        <v>61</v>
      </c>
      <c r="Y21" s="2067" t="s">
        <v>1824</v>
      </c>
      <c r="Z21" s="2496"/>
      <c r="AA21" s="2307"/>
      <c r="AB21" s="2307"/>
      <c r="AC21" s="2307"/>
      <c r="AD21" s="2307"/>
      <c r="AE21" s="2307"/>
      <c r="AF21" s="2307"/>
      <c r="AG21" s="2307"/>
      <c r="AH21" s="2307"/>
      <c r="AI21" s="2307"/>
      <c r="AJ21" s="2307"/>
      <c r="AK21" s="2307"/>
      <c r="AL21" s="2307"/>
      <c r="AM21" s="2307"/>
      <c r="AN21" s="2307"/>
      <c r="AO21" s="2307"/>
      <c r="AP21" s="2307"/>
      <c r="AQ21" s="2307"/>
      <c r="AR21" s="2307"/>
      <c r="AS21" s="2307"/>
      <c r="AT21" s="2307"/>
      <c r="AU21" s="2307"/>
      <c r="AV21" s="2307"/>
      <c r="AW21" s="2307"/>
      <c r="AX21" s="2307"/>
      <c r="AY21" s="2307"/>
      <c r="AZ21" s="2307"/>
      <c r="BA21" s="2307"/>
      <c r="BB21" s="2307"/>
      <c r="BC21" s="2307"/>
      <c r="BD21" s="2307"/>
      <c r="BE21" s="2307"/>
      <c r="BF21" s="2307"/>
      <c r="BG21" s="2567"/>
      <c r="BH21" s="2567"/>
      <c r="BI21" s="3032"/>
      <c r="BJ21" s="2423"/>
      <c r="BK21" s="2423"/>
      <c r="BL21" s="2307"/>
      <c r="BM21" s="2307"/>
      <c r="BN21" s="2307"/>
      <c r="BO21" s="2307"/>
      <c r="BP21" s="2423"/>
    </row>
    <row r="22" spans="1:68" s="1" customFormat="1" ht="96" customHeight="1" x14ac:dyDescent="0.2">
      <c r="A22" s="4026"/>
      <c r="B22" s="4026"/>
      <c r="C22" s="4026"/>
      <c r="D22" s="2475"/>
      <c r="E22" s="2475"/>
      <c r="F22" s="2475"/>
      <c r="G22" s="2933"/>
      <c r="H22" s="4043"/>
      <c r="I22" s="2463"/>
      <c r="J22" s="2463"/>
      <c r="K22" s="3063"/>
      <c r="L22" s="3451"/>
      <c r="M22" s="2315"/>
      <c r="N22" s="3383"/>
      <c r="O22" s="2463"/>
      <c r="P22" s="2887"/>
      <c r="Q22" s="3383"/>
      <c r="R22" s="2463"/>
      <c r="S22" s="2440"/>
      <c r="T22" s="1908" t="s">
        <v>1831</v>
      </c>
      <c r="U22" s="2066">
        <f>49027688.86-45827688.86</f>
        <v>3200000</v>
      </c>
      <c r="V22" s="2062">
        <v>0</v>
      </c>
      <c r="W22" s="2062">
        <v>0</v>
      </c>
      <c r="X22" s="1912">
        <v>61</v>
      </c>
      <c r="Y22" s="2067" t="s">
        <v>1824</v>
      </c>
      <c r="Z22" s="2496"/>
      <c r="AA22" s="2307"/>
      <c r="AB22" s="2307"/>
      <c r="AC22" s="2307"/>
      <c r="AD22" s="2307"/>
      <c r="AE22" s="2307"/>
      <c r="AF22" s="2307"/>
      <c r="AG22" s="2307"/>
      <c r="AH22" s="2307"/>
      <c r="AI22" s="2307"/>
      <c r="AJ22" s="2307"/>
      <c r="AK22" s="2307"/>
      <c r="AL22" s="2307"/>
      <c r="AM22" s="2307"/>
      <c r="AN22" s="2307"/>
      <c r="AO22" s="2307"/>
      <c r="AP22" s="2307"/>
      <c r="AQ22" s="2307"/>
      <c r="AR22" s="2307"/>
      <c r="AS22" s="2307"/>
      <c r="AT22" s="2307"/>
      <c r="AU22" s="2307"/>
      <c r="AV22" s="2307"/>
      <c r="AW22" s="2307"/>
      <c r="AX22" s="2307"/>
      <c r="AY22" s="2307"/>
      <c r="AZ22" s="2307"/>
      <c r="BA22" s="2307"/>
      <c r="BB22" s="2307"/>
      <c r="BC22" s="2307"/>
      <c r="BD22" s="2307"/>
      <c r="BE22" s="2307"/>
      <c r="BF22" s="2307"/>
      <c r="BG22" s="2567"/>
      <c r="BH22" s="2567"/>
      <c r="BI22" s="3032"/>
      <c r="BJ22" s="2423"/>
      <c r="BK22" s="2423"/>
      <c r="BL22" s="2307"/>
      <c r="BM22" s="2307"/>
      <c r="BN22" s="2307"/>
      <c r="BO22" s="2307"/>
      <c r="BP22" s="2423"/>
    </row>
    <row r="23" spans="1:68" s="1" customFormat="1" ht="96" customHeight="1" x14ac:dyDescent="0.2">
      <c r="A23" s="4026"/>
      <c r="B23" s="4026"/>
      <c r="C23" s="4026"/>
      <c r="D23" s="2475"/>
      <c r="E23" s="2475"/>
      <c r="F23" s="2475"/>
      <c r="G23" s="2341" t="s">
        <v>208</v>
      </c>
      <c r="H23" s="4030">
        <v>11.18</v>
      </c>
      <c r="I23" s="2463" t="s">
        <v>1832</v>
      </c>
      <c r="J23" s="2463" t="s">
        <v>1833</v>
      </c>
      <c r="K23" s="3063">
        <v>12</v>
      </c>
      <c r="L23" s="3451">
        <v>2</v>
      </c>
      <c r="M23" s="2315"/>
      <c r="N23" s="3383"/>
      <c r="O23" s="2463"/>
      <c r="P23" s="3031">
        <f>SUM(U23:U26)/Q17</f>
        <v>5.1953852141661074E-2</v>
      </c>
      <c r="Q23" s="3383"/>
      <c r="R23" s="2463"/>
      <c r="S23" s="2440"/>
      <c r="T23" s="1908" t="s">
        <v>1834</v>
      </c>
      <c r="U23" s="2066">
        <f>20253333+9746667</f>
        <v>30000000</v>
      </c>
      <c r="V23" s="2062">
        <v>26000000</v>
      </c>
      <c r="W23" s="2062">
        <v>20253333</v>
      </c>
      <c r="X23" s="1912">
        <v>61</v>
      </c>
      <c r="Y23" s="2067" t="s">
        <v>1824</v>
      </c>
      <c r="Z23" s="2496"/>
      <c r="AA23" s="2307"/>
      <c r="AB23" s="2307"/>
      <c r="AC23" s="2307"/>
      <c r="AD23" s="2307"/>
      <c r="AE23" s="2307"/>
      <c r="AF23" s="2307"/>
      <c r="AG23" s="2307"/>
      <c r="AH23" s="2307"/>
      <c r="AI23" s="2307"/>
      <c r="AJ23" s="2307"/>
      <c r="AK23" s="2307"/>
      <c r="AL23" s="2307"/>
      <c r="AM23" s="2307"/>
      <c r="AN23" s="2307"/>
      <c r="AO23" s="2307"/>
      <c r="AP23" s="2307"/>
      <c r="AQ23" s="2307"/>
      <c r="AR23" s="2307"/>
      <c r="AS23" s="2307"/>
      <c r="AT23" s="2307"/>
      <c r="AU23" s="2307"/>
      <c r="AV23" s="2307"/>
      <c r="AW23" s="2307"/>
      <c r="AX23" s="2307"/>
      <c r="AY23" s="2307"/>
      <c r="AZ23" s="2307"/>
      <c r="BA23" s="2307"/>
      <c r="BB23" s="2307"/>
      <c r="BC23" s="2307"/>
      <c r="BD23" s="2307"/>
      <c r="BE23" s="2307"/>
      <c r="BF23" s="2307"/>
      <c r="BG23" s="2567"/>
      <c r="BH23" s="2567"/>
      <c r="BI23" s="3032"/>
      <c r="BJ23" s="2423"/>
      <c r="BK23" s="2423"/>
      <c r="BL23" s="2307"/>
      <c r="BM23" s="2307"/>
      <c r="BN23" s="2307"/>
      <c r="BO23" s="2307"/>
      <c r="BP23" s="2423"/>
    </row>
    <row r="24" spans="1:68" s="1" customFormat="1" ht="96" customHeight="1" x14ac:dyDescent="0.2">
      <c r="A24" s="4026"/>
      <c r="B24" s="4026"/>
      <c r="C24" s="4026"/>
      <c r="D24" s="2475"/>
      <c r="E24" s="2475"/>
      <c r="F24" s="2475"/>
      <c r="G24" s="2341"/>
      <c r="H24" s="4030"/>
      <c r="I24" s="2463"/>
      <c r="J24" s="2463"/>
      <c r="K24" s="3063"/>
      <c r="L24" s="3451"/>
      <c r="M24" s="2315"/>
      <c r="N24" s="3383"/>
      <c r="O24" s="2463"/>
      <c r="P24" s="3032"/>
      <c r="Q24" s="3383"/>
      <c r="R24" s="2463"/>
      <c r="S24" s="2440"/>
      <c r="T24" s="1908" t="s">
        <v>1835</v>
      </c>
      <c r="U24" s="2066">
        <v>20000000</v>
      </c>
      <c r="V24" s="2062">
        <v>2000000</v>
      </c>
      <c r="W24" s="2062">
        <v>0</v>
      </c>
      <c r="X24" s="1912">
        <v>61</v>
      </c>
      <c r="Y24" s="2067" t="s">
        <v>1824</v>
      </c>
      <c r="Z24" s="2496"/>
      <c r="AA24" s="2307"/>
      <c r="AB24" s="2307"/>
      <c r="AC24" s="2307"/>
      <c r="AD24" s="2307"/>
      <c r="AE24" s="2307"/>
      <c r="AF24" s="2307"/>
      <c r="AG24" s="2307"/>
      <c r="AH24" s="2307"/>
      <c r="AI24" s="2307"/>
      <c r="AJ24" s="2307"/>
      <c r="AK24" s="2307"/>
      <c r="AL24" s="2307"/>
      <c r="AM24" s="2307"/>
      <c r="AN24" s="2307"/>
      <c r="AO24" s="2307"/>
      <c r="AP24" s="2307"/>
      <c r="AQ24" s="2307"/>
      <c r="AR24" s="2307"/>
      <c r="AS24" s="2307"/>
      <c r="AT24" s="2307"/>
      <c r="AU24" s="2307"/>
      <c r="AV24" s="2307"/>
      <c r="AW24" s="2307"/>
      <c r="AX24" s="2307"/>
      <c r="AY24" s="2307"/>
      <c r="AZ24" s="2307"/>
      <c r="BA24" s="2307"/>
      <c r="BB24" s="2307"/>
      <c r="BC24" s="2307"/>
      <c r="BD24" s="2307"/>
      <c r="BE24" s="2307"/>
      <c r="BF24" s="2307"/>
      <c r="BG24" s="2567"/>
      <c r="BH24" s="2567"/>
      <c r="BI24" s="3032"/>
      <c r="BJ24" s="2423"/>
      <c r="BK24" s="2423"/>
      <c r="BL24" s="2307"/>
      <c r="BM24" s="2307"/>
      <c r="BN24" s="2307"/>
      <c r="BO24" s="2307"/>
      <c r="BP24" s="2423"/>
    </row>
    <row r="25" spans="1:68" s="1" customFormat="1" ht="96" customHeight="1" x14ac:dyDescent="0.2">
      <c r="A25" s="4026"/>
      <c r="B25" s="4026"/>
      <c r="C25" s="4026"/>
      <c r="D25" s="2475"/>
      <c r="E25" s="2475"/>
      <c r="F25" s="2475"/>
      <c r="G25" s="2341"/>
      <c r="H25" s="4030"/>
      <c r="I25" s="2463"/>
      <c r="J25" s="2463"/>
      <c r="K25" s="3063"/>
      <c r="L25" s="3451"/>
      <c r="M25" s="2315"/>
      <c r="N25" s="3383"/>
      <c r="O25" s="2463"/>
      <c r="P25" s="3032"/>
      <c r="Q25" s="3383"/>
      <c r="R25" s="2463"/>
      <c r="S25" s="2440"/>
      <c r="T25" s="1908" t="s">
        <v>1836</v>
      </c>
      <c r="U25" s="2066">
        <v>10000000</v>
      </c>
      <c r="V25" s="2062">
        <v>5000000</v>
      </c>
      <c r="W25" s="2062">
        <v>0</v>
      </c>
      <c r="X25" s="1912">
        <v>61</v>
      </c>
      <c r="Y25" s="2067" t="s">
        <v>1824</v>
      </c>
      <c r="Z25" s="2496"/>
      <c r="AA25" s="2307"/>
      <c r="AB25" s="2307"/>
      <c r="AC25" s="2307"/>
      <c r="AD25" s="2307"/>
      <c r="AE25" s="2307"/>
      <c r="AF25" s="2307"/>
      <c r="AG25" s="2307"/>
      <c r="AH25" s="2307"/>
      <c r="AI25" s="2307"/>
      <c r="AJ25" s="2307"/>
      <c r="AK25" s="2307"/>
      <c r="AL25" s="2307"/>
      <c r="AM25" s="2307"/>
      <c r="AN25" s="2307"/>
      <c r="AO25" s="2307"/>
      <c r="AP25" s="2307"/>
      <c r="AQ25" s="2307"/>
      <c r="AR25" s="2307"/>
      <c r="AS25" s="2307"/>
      <c r="AT25" s="2307"/>
      <c r="AU25" s="2307"/>
      <c r="AV25" s="2307"/>
      <c r="AW25" s="2307"/>
      <c r="AX25" s="2307"/>
      <c r="AY25" s="2307"/>
      <c r="AZ25" s="2307"/>
      <c r="BA25" s="2307"/>
      <c r="BB25" s="2307"/>
      <c r="BC25" s="2307"/>
      <c r="BD25" s="2307"/>
      <c r="BE25" s="2307"/>
      <c r="BF25" s="2307"/>
      <c r="BG25" s="2567"/>
      <c r="BH25" s="2567"/>
      <c r="BI25" s="3032"/>
      <c r="BJ25" s="2423"/>
      <c r="BK25" s="2423"/>
      <c r="BL25" s="2307"/>
      <c r="BM25" s="2307"/>
      <c r="BN25" s="2307"/>
      <c r="BO25" s="2307"/>
      <c r="BP25" s="2423"/>
    </row>
    <row r="26" spans="1:68" s="1" customFormat="1" ht="96" customHeight="1" x14ac:dyDescent="0.2">
      <c r="A26" s="4026"/>
      <c r="B26" s="4026"/>
      <c r="C26" s="4026"/>
      <c r="D26" s="2475"/>
      <c r="E26" s="2475"/>
      <c r="F26" s="2475"/>
      <c r="G26" s="2341"/>
      <c r="H26" s="4030"/>
      <c r="I26" s="2463"/>
      <c r="J26" s="2463"/>
      <c r="K26" s="3063"/>
      <c r="L26" s="3451"/>
      <c r="M26" s="2315"/>
      <c r="N26" s="3383"/>
      <c r="O26" s="2463"/>
      <c r="P26" s="3033"/>
      <c r="Q26" s="3383"/>
      <c r="R26" s="2463"/>
      <c r="S26" s="2440"/>
      <c r="T26" s="1908" t="s">
        <v>1837</v>
      </c>
      <c r="U26" s="2066">
        <f>10000000-1700000</f>
        <v>8300000</v>
      </c>
      <c r="V26" s="2062">
        <v>4306666</v>
      </c>
      <c r="W26" s="2062">
        <v>0</v>
      </c>
      <c r="X26" s="1912">
        <v>61</v>
      </c>
      <c r="Y26" s="2067" t="s">
        <v>1824</v>
      </c>
      <c r="Z26" s="2496"/>
      <c r="AA26" s="2307"/>
      <c r="AB26" s="2307"/>
      <c r="AC26" s="2307"/>
      <c r="AD26" s="2307"/>
      <c r="AE26" s="2307"/>
      <c r="AF26" s="2307"/>
      <c r="AG26" s="2307"/>
      <c r="AH26" s="2307"/>
      <c r="AI26" s="2307"/>
      <c r="AJ26" s="2307"/>
      <c r="AK26" s="2307"/>
      <c r="AL26" s="2307"/>
      <c r="AM26" s="2307"/>
      <c r="AN26" s="2307"/>
      <c r="AO26" s="2307"/>
      <c r="AP26" s="2307"/>
      <c r="AQ26" s="2307"/>
      <c r="AR26" s="2307"/>
      <c r="AS26" s="2307"/>
      <c r="AT26" s="2307"/>
      <c r="AU26" s="2307"/>
      <c r="AV26" s="2307"/>
      <c r="AW26" s="2307"/>
      <c r="AX26" s="2307"/>
      <c r="AY26" s="2307"/>
      <c r="AZ26" s="2307"/>
      <c r="BA26" s="2307"/>
      <c r="BB26" s="2307"/>
      <c r="BC26" s="2307"/>
      <c r="BD26" s="2307"/>
      <c r="BE26" s="2307"/>
      <c r="BF26" s="2307"/>
      <c r="BG26" s="2567"/>
      <c r="BH26" s="2567"/>
      <c r="BI26" s="3032"/>
      <c r="BJ26" s="2423"/>
      <c r="BK26" s="2423"/>
      <c r="BL26" s="2307"/>
      <c r="BM26" s="2307"/>
      <c r="BN26" s="2307"/>
      <c r="BO26" s="2307"/>
      <c r="BP26" s="2423"/>
    </row>
    <row r="27" spans="1:68" s="1" customFormat="1" ht="68.25" customHeight="1" x14ac:dyDescent="0.2">
      <c r="A27" s="4026"/>
      <c r="B27" s="4026"/>
      <c r="C27" s="4026"/>
      <c r="D27" s="2475"/>
      <c r="E27" s="2475"/>
      <c r="F27" s="2475"/>
      <c r="G27" s="2496" t="s">
        <v>208</v>
      </c>
      <c r="H27" s="4040">
        <v>11.19</v>
      </c>
      <c r="I27" s="2919" t="s">
        <v>1799</v>
      </c>
      <c r="J27" s="2463" t="s">
        <v>1800</v>
      </c>
      <c r="K27" s="3063">
        <v>1</v>
      </c>
      <c r="L27" s="3451">
        <v>0.5</v>
      </c>
      <c r="M27" s="2315"/>
      <c r="N27" s="3383"/>
      <c r="O27" s="2463"/>
      <c r="P27" s="3031">
        <f>SUM(U27:U33)/Q17</f>
        <v>0.8795857277595176</v>
      </c>
      <c r="Q27" s="3383"/>
      <c r="R27" s="2463"/>
      <c r="S27" s="2440"/>
      <c r="T27" s="1908" t="s">
        <v>1838</v>
      </c>
      <c r="U27" s="2066">
        <v>40000000</v>
      </c>
      <c r="V27" s="2062">
        <v>9100000</v>
      </c>
      <c r="W27" s="2062">
        <v>9100000</v>
      </c>
      <c r="X27" s="1912">
        <v>63</v>
      </c>
      <c r="Y27" s="2067" t="s">
        <v>1839</v>
      </c>
      <c r="Z27" s="2496"/>
      <c r="AA27" s="2307"/>
      <c r="AB27" s="2307"/>
      <c r="AC27" s="2307"/>
      <c r="AD27" s="2307"/>
      <c r="AE27" s="2307"/>
      <c r="AF27" s="2307"/>
      <c r="AG27" s="2307"/>
      <c r="AH27" s="2307"/>
      <c r="AI27" s="2307"/>
      <c r="AJ27" s="2307"/>
      <c r="AK27" s="2307"/>
      <c r="AL27" s="2307"/>
      <c r="AM27" s="2307"/>
      <c r="AN27" s="2307"/>
      <c r="AO27" s="2307"/>
      <c r="AP27" s="2307"/>
      <c r="AQ27" s="2307"/>
      <c r="AR27" s="2307"/>
      <c r="AS27" s="2307"/>
      <c r="AT27" s="2307"/>
      <c r="AU27" s="2307"/>
      <c r="AV27" s="2307"/>
      <c r="AW27" s="2307"/>
      <c r="AX27" s="2307"/>
      <c r="AY27" s="2307"/>
      <c r="AZ27" s="2307"/>
      <c r="BA27" s="2307"/>
      <c r="BB27" s="2307"/>
      <c r="BC27" s="2307"/>
      <c r="BD27" s="2307"/>
      <c r="BE27" s="2307"/>
      <c r="BF27" s="2307"/>
      <c r="BG27" s="2567"/>
      <c r="BH27" s="2567"/>
      <c r="BI27" s="3032"/>
      <c r="BJ27" s="2423"/>
      <c r="BK27" s="2423"/>
      <c r="BL27" s="2307"/>
      <c r="BM27" s="2307"/>
      <c r="BN27" s="2307"/>
      <c r="BO27" s="2307"/>
      <c r="BP27" s="2423"/>
    </row>
    <row r="28" spans="1:68" s="1" customFormat="1" ht="68.25" customHeight="1" x14ac:dyDescent="0.2">
      <c r="A28" s="4026"/>
      <c r="B28" s="4026"/>
      <c r="C28" s="4026"/>
      <c r="D28" s="2475"/>
      <c r="E28" s="2475"/>
      <c r="F28" s="2475"/>
      <c r="G28" s="2496"/>
      <c r="H28" s="4040"/>
      <c r="I28" s="2919"/>
      <c r="J28" s="2463"/>
      <c r="K28" s="3063"/>
      <c r="L28" s="3451"/>
      <c r="M28" s="2315"/>
      <c r="N28" s="3383"/>
      <c r="O28" s="2463"/>
      <c r="P28" s="3032"/>
      <c r="Q28" s="3383"/>
      <c r="R28" s="2463"/>
      <c r="S28" s="2440"/>
      <c r="T28" s="1908" t="s">
        <v>1840</v>
      </c>
      <c r="U28" s="2066">
        <v>60000000</v>
      </c>
      <c r="V28" s="2062">
        <v>37342562</v>
      </c>
      <c r="W28" s="2062">
        <v>37342562</v>
      </c>
      <c r="X28" s="1912">
        <v>63</v>
      </c>
      <c r="Y28" s="2067" t="s">
        <v>1839</v>
      </c>
      <c r="Z28" s="2496"/>
      <c r="AA28" s="2307"/>
      <c r="AB28" s="2307"/>
      <c r="AC28" s="2307"/>
      <c r="AD28" s="2307"/>
      <c r="AE28" s="2307"/>
      <c r="AF28" s="2307"/>
      <c r="AG28" s="2307"/>
      <c r="AH28" s="2307"/>
      <c r="AI28" s="2307"/>
      <c r="AJ28" s="2307"/>
      <c r="AK28" s="2307"/>
      <c r="AL28" s="2307"/>
      <c r="AM28" s="2307"/>
      <c r="AN28" s="2307"/>
      <c r="AO28" s="2307"/>
      <c r="AP28" s="2307"/>
      <c r="AQ28" s="2307"/>
      <c r="AR28" s="2307"/>
      <c r="AS28" s="2307"/>
      <c r="AT28" s="2307"/>
      <c r="AU28" s="2307"/>
      <c r="AV28" s="2307"/>
      <c r="AW28" s="2307"/>
      <c r="AX28" s="2307"/>
      <c r="AY28" s="2307"/>
      <c r="AZ28" s="2307"/>
      <c r="BA28" s="2307"/>
      <c r="BB28" s="2307"/>
      <c r="BC28" s="2307"/>
      <c r="BD28" s="2307"/>
      <c r="BE28" s="2307"/>
      <c r="BF28" s="2307"/>
      <c r="BG28" s="2567"/>
      <c r="BH28" s="2567"/>
      <c r="BI28" s="3032"/>
      <c r="BJ28" s="2423"/>
      <c r="BK28" s="2423"/>
      <c r="BL28" s="2307"/>
      <c r="BM28" s="2307"/>
      <c r="BN28" s="2307"/>
      <c r="BO28" s="2307"/>
      <c r="BP28" s="2423"/>
    </row>
    <row r="29" spans="1:68" s="1" customFormat="1" ht="68.25" customHeight="1" x14ac:dyDescent="0.2">
      <c r="A29" s="4026"/>
      <c r="B29" s="4026"/>
      <c r="C29" s="4026"/>
      <c r="D29" s="2475"/>
      <c r="E29" s="2475"/>
      <c r="F29" s="2475"/>
      <c r="G29" s="2496"/>
      <c r="H29" s="4040"/>
      <c r="I29" s="2919"/>
      <c r="J29" s="2463"/>
      <c r="K29" s="3063"/>
      <c r="L29" s="3451"/>
      <c r="M29" s="2315"/>
      <c r="N29" s="3383"/>
      <c r="O29" s="2463"/>
      <c r="P29" s="3032"/>
      <c r="Q29" s="3383"/>
      <c r="R29" s="2463"/>
      <c r="S29" s="2440"/>
      <c r="T29" s="1908" t="s">
        <v>1841</v>
      </c>
      <c r="U29" s="2066">
        <v>21000000</v>
      </c>
      <c r="V29" s="2062">
        <v>21000000</v>
      </c>
      <c r="W29" s="2062">
        <v>21000000</v>
      </c>
      <c r="X29" s="1912">
        <v>63</v>
      </c>
      <c r="Y29" s="2067" t="s">
        <v>1839</v>
      </c>
      <c r="Z29" s="2496"/>
      <c r="AA29" s="2307"/>
      <c r="AB29" s="2307"/>
      <c r="AC29" s="2307"/>
      <c r="AD29" s="2307"/>
      <c r="AE29" s="2307"/>
      <c r="AF29" s="2307"/>
      <c r="AG29" s="2307"/>
      <c r="AH29" s="2307"/>
      <c r="AI29" s="2307"/>
      <c r="AJ29" s="2307"/>
      <c r="AK29" s="2307"/>
      <c r="AL29" s="2307"/>
      <c r="AM29" s="2307"/>
      <c r="AN29" s="2307"/>
      <c r="AO29" s="2307"/>
      <c r="AP29" s="2307"/>
      <c r="AQ29" s="2307"/>
      <c r="AR29" s="2307"/>
      <c r="AS29" s="2307"/>
      <c r="AT29" s="2307"/>
      <c r="AU29" s="2307"/>
      <c r="AV29" s="2307"/>
      <c r="AW29" s="2307"/>
      <c r="AX29" s="2307"/>
      <c r="AY29" s="2307"/>
      <c r="AZ29" s="2307"/>
      <c r="BA29" s="2307"/>
      <c r="BB29" s="2307"/>
      <c r="BC29" s="2307"/>
      <c r="BD29" s="2307"/>
      <c r="BE29" s="2307"/>
      <c r="BF29" s="2307"/>
      <c r="BG29" s="2567"/>
      <c r="BH29" s="2567"/>
      <c r="BI29" s="3032"/>
      <c r="BJ29" s="2423"/>
      <c r="BK29" s="2423"/>
      <c r="BL29" s="2307"/>
      <c r="BM29" s="2307"/>
      <c r="BN29" s="2307"/>
      <c r="BO29" s="2307"/>
      <c r="BP29" s="2423"/>
    </row>
    <row r="30" spans="1:68" s="1" customFormat="1" ht="68.25" customHeight="1" x14ac:dyDescent="0.2">
      <c r="A30" s="4026"/>
      <c r="B30" s="4026"/>
      <c r="C30" s="4026"/>
      <c r="D30" s="2475"/>
      <c r="E30" s="2475"/>
      <c r="F30" s="2475"/>
      <c r="G30" s="2496"/>
      <c r="H30" s="4040"/>
      <c r="I30" s="2919"/>
      <c r="J30" s="2463"/>
      <c r="K30" s="3063"/>
      <c r="L30" s="3451"/>
      <c r="M30" s="2315"/>
      <c r="N30" s="3383"/>
      <c r="O30" s="2463"/>
      <c r="P30" s="3032"/>
      <c r="Q30" s="3383"/>
      <c r="R30" s="2463"/>
      <c r="S30" s="2440"/>
      <c r="T30" s="1908" t="s">
        <v>1842</v>
      </c>
      <c r="U30" s="2066">
        <v>24000000</v>
      </c>
      <c r="V30" s="2062">
        <v>0</v>
      </c>
      <c r="W30" s="2062">
        <v>0</v>
      </c>
      <c r="X30" s="1912">
        <v>63</v>
      </c>
      <c r="Y30" s="2067" t="s">
        <v>1839</v>
      </c>
      <c r="Z30" s="2496"/>
      <c r="AA30" s="2307"/>
      <c r="AB30" s="2307"/>
      <c r="AC30" s="2307"/>
      <c r="AD30" s="2307"/>
      <c r="AE30" s="2307"/>
      <c r="AF30" s="2307"/>
      <c r="AG30" s="2307"/>
      <c r="AH30" s="2307"/>
      <c r="AI30" s="2307"/>
      <c r="AJ30" s="2307"/>
      <c r="AK30" s="2307"/>
      <c r="AL30" s="2307"/>
      <c r="AM30" s="2307"/>
      <c r="AN30" s="2307"/>
      <c r="AO30" s="2307"/>
      <c r="AP30" s="2307"/>
      <c r="AQ30" s="2307"/>
      <c r="AR30" s="2307"/>
      <c r="AS30" s="2307"/>
      <c r="AT30" s="2307"/>
      <c r="AU30" s="2307"/>
      <c r="AV30" s="2307"/>
      <c r="AW30" s="2307"/>
      <c r="AX30" s="2307"/>
      <c r="AY30" s="2307"/>
      <c r="AZ30" s="2307"/>
      <c r="BA30" s="2307"/>
      <c r="BB30" s="2307"/>
      <c r="BC30" s="2307"/>
      <c r="BD30" s="2307"/>
      <c r="BE30" s="2307"/>
      <c r="BF30" s="2307"/>
      <c r="BG30" s="2567"/>
      <c r="BH30" s="2567"/>
      <c r="BI30" s="3032"/>
      <c r="BJ30" s="2423"/>
      <c r="BK30" s="2423"/>
      <c r="BL30" s="2307"/>
      <c r="BM30" s="2307"/>
      <c r="BN30" s="2307"/>
      <c r="BO30" s="2307"/>
      <c r="BP30" s="2423"/>
    </row>
    <row r="31" spans="1:68" s="1" customFormat="1" ht="68.25" customHeight="1" x14ac:dyDescent="0.2">
      <c r="A31" s="4026"/>
      <c r="B31" s="4026"/>
      <c r="C31" s="4026"/>
      <c r="D31" s="2475"/>
      <c r="E31" s="2475"/>
      <c r="F31" s="2475"/>
      <c r="G31" s="2496"/>
      <c r="H31" s="4040"/>
      <c r="I31" s="2919"/>
      <c r="J31" s="2463"/>
      <c r="K31" s="3063"/>
      <c r="L31" s="3451"/>
      <c r="M31" s="2315"/>
      <c r="N31" s="3383"/>
      <c r="O31" s="2463"/>
      <c r="P31" s="3032"/>
      <c r="Q31" s="3383"/>
      <c r="R31" s="2463"/>
      <c r="S31" s="2440"/>
      <c r="T31" s="4034" t="s">
        <v>1843</v>
      </c>
      <c r="U31" s="2066">
        <v>682300528</v>
      </c>
      <c r="V31" s="2062">
        <v>537476652</v>
      </c>
      <c r="W31" s="2062">
        <v>526674252</v>
      </c>
      <c r="X31" s="1912">
        <v>63</v>
      </c>
      <c r="Y31" s="2067" t="s">
        <v>1839</v>
      </c>
      <c r="Z31" s="2496"/>
      <c r="AA31" s="2307"/>
      <c r="AB31" s="2307"/>
      <c r="AC31" s="2307"/>
      <c r="AD31" s="2307"/>
      <c r="AE31" s="2307"/>
      <c r="AF31" s="2307"/>
      <c r="AG31" s="2307"/>
      <c r="AH31" s="2307"/>
      <c r="AI31" s="2307"/>
      <c r="AJ31" s="2307"/>
      <c r="AK31" s="2307"/>
      <c r="AL31" s="2307"/>
      <c r="AM31" s="2307"/>
      <c r="AN31" s="2307"/>
      <c r="AO31" s="2307"/>
      <c r="AP31" s="2307"/>
      <c r="AQ31" s="2307"/>
      <c r="AR31" s="2307"/>
      <c r="AS31" s="2307"/>
      <c r="AT31" s="2307"/>
      <c r="AU31" s="2307"/>
      <c r="AV31" s="2307"/>
      <c r="AW31" s="2307"/>
      <c r="AX31" s="2307"/>
      <c r="AY31" s="2307"/>
      <c r="AZ31" s="2307"/>
      <c r="BA31" s="2307"/>
      <c r="BB31" s="2307"/>
      <c r="BC31" s="2307"/>
      <c r="BD31" s="2307"/>
      <c r="BE31" s="2307"/>
      <c r="BF31" s="2307"/>
      <c r="BG31" s="2567"/>
      <c r="BH31" s="2567"/>
      <c r="BI31" s="3032"/>
      <c r="BJ31" s="2423"/>
      <c r="BK31" s="2423"/>
      <c r="BL31" s="2307"/>
      <c r="BM31" s="2307"/>
      <c r="BN31" s="2307"/>
      <c r="BO31" s="2307"/>
      <c r="BP31" s="2423"/>
    </row>
    <row r="32" spans="1:68" s="1" customFormat="1" ht="68.25" customHeight="1" x14ac:dyDescent="0.2">
      <c r="A32" s="4026"/>
      <c r="B32" s="4026"/>
      <c r="C32" s="4026"/>
      <c r="D32" s="2475"/>
      <c r="E32" s="2475"/>
      <c r="F32" s="2475"/>
      <c r="G32" s="2496"/>
      <c r="H32" s="4040"/>
      <c r="I32" s="2919"/>
      <c r="J32" s="2463"/>
      <c r="K32" s="3063"/>
      <c r="L32" s="3451"/>
      <c r="M32" s="2315"/>
      <c r="N32" s="3383"/>
      <c r="O32" s="2463"/>
      <c r="P32" s="3032"/>
      <c r="Q32" s="3383"/>
      <c r="R32" s="2463"/>
      <c r="S32" s="2440"/>
      <c r="T32" s="4035"/>
      <c r="U32" s="2068">
        <f>0+269027688.86</f>
        <v>269027688.86000001</v>
      </c>
      <c r="V32" s="2062">
        <v>0</v>
      </c>
      <c r="W32" s="2062">
        <v>0</v>
      </c>
      <c r="X32" s="1912">
        <v>99</v>
      </c>
      <c r="Y32" s="2069" t="s">
        <v>1844</v>
      </c>
      <c r="Z32" s="2496"/>
      <c r="AA32" s="2307"/>
      <c r="AB32" s="2307"/>
      <c r="AC32" s="2307"/>
      <c r="AD32" s="2307"/>
      <c r="AE32" s="2307"/>
      <c r="AF32" s="2307"/>
      <c r="AG32" s="2307"/>
      <c r="AH32" s="2307"/>
      <c r="AI32" s="2307"/>
      <c r="AJ32" s="2307"/>
      <c r="AK32" s="2307"/>
      <c r="AL32" s="2307"/>
      <c r="AM32" s="2307"/>
      <c r="AN32" s="2307"/>
      <c r="AO32" s="2307"/>
      <c r="AP32" s="2307"/>
      <c r="AQ32" s="2307"/>
      <c r="AR32" s="2307"/>
      <c r="AS32" s="2307"/>
      <c r="AT32" s="2307"/>
      <c r="AU32" s="2307"/>
      <c r="AV32" s="2307"/>
      <c r="AW32" s="2307"/>
      <c r="AX32" s="2307"/>
      <c r="AY32" s="2307"/>
      <c r="AZ32" s="2307"/>
      <c r="BA32" s="2307"/>
      <c r="BB32" s="2307"/>
      <c r="BC32" s="2307"/>
      <c r="BD32" s="2307"/>
      <c r="BE32" s="2307"/>
      <c r="BF32" s="2307"/>
      <c r="BG32" s="2567"/>
      <c r="BH32" s="2567"/>
      <c r="BI32" s="3032"/>
      <c r="BJ32" s="2423"/>
      <c r="BK32" s="2423"/>
      <c r="BL32" s="2307"/>
      <c r="BM32" s="2307"/>
      <c r="BN32" s="2307"/>
      <c r="BO32" s="2307"/>
      <c r="BP32" s="2423"/>
    </row>
    <row r="33" spans="1:68" s="1" customFormat="1" ht="68.25" customHeight="1" x14ac:dyDescent="0.2">
      <c r="A33" s="4026"/>
      <c r="B33" s="4026"/>
      <c r="C33" s="4026"/>
      <c r="D33" s="2475"/>
      <c r="E33" s="2475"/>
      <c r="F33" s="2475"/>
      <c r="G33" s="2497"/>
      <c r="H33" s="4041"/>
      <c r="I33" s="2919"/>
      <c r="J33" s="2463"/>
      <c r="K33" s="3063"/>
      <c r="L33" s="3451"/>
      <c r="M33" s="2315"/>
      <c r="N33" s="3383"/>
      <c r="O33" s="2463"/>
      <c r="P33" s="3033"/>
      <c r="Q33" s="3383"/>
      <c r="R33" s="2463"/>
      <c r="S33" s="2470"/>
      <c r="T33" s="1915" t="s">
        <v>1845</v>
      </c>
      <c r="U33" s="2070">
        <f>0+60000000</f>
        <v>60000000</v>
      </c>
      <c r="V33" s="2062">
        <v>4511495</v>
      </c>
      <c r="W33" s="2062">
        <v>4511495</v>
      </c>
      <c r="X33" s="2005">
        <v>99</v>
      </c>
      <c r="Y33" s="2069" t="s">
        <v>1844</v>
      </c>
      <c r="Z33" s="2496"/>
      <c r="AA33" s="2307"/>
      <c r="AB33" s="2307"/>
      <c r="AC33" s="2307"/>
      <c r="AD33" s="2307"/>
      <c r="AE33" s="2307"/>
      <c r="AF33" s="2307"/>
      <c r="AG33" s="2307"/>
      <c r="AH33" s="2307"/>
      <c r="AI33" s="2307"/>
      <c r="AJ33" s="2307"/>
      <c r="AK33" s="2307"/>
      <c r="AL33" s="2307"/>
      <c r="AM33" s="2307"/>
      <c r="AN33" s="2307"/>
      <c r="AO33" s="2307"/>
      <c r="AP33" s="2307"/>
      <c r="AQ33" s="2307"/>
      <c r="AR33" s="2307"/>
      <c r="AS33" s="2307"/>
      <c r="AT33" s="2307"/>
      <c r="AU33" s="2307"/>
      <c r="AV33" s="2307"/>
      <c r="AW33" s="2307"/>
      <c r="AX33" s="2307"/>
      <c r="AY33" s="2307"/>
      <c r="AZ33" s="2307"/>
      <c r="BA33" s="2307"/>
      <c r="BB33" s="2307"/>
      <c r="BC33" s="2307"/>
      <c r="BD33" s="2307"/>
      <c r="BE33" s="2307"/>
      <c r="BF33" s="2307"/>
      <c r="BG33" s="2567"/>
      <c r="BH33" s="2567"/>
      <c r="BI33" s="3032"/>
      <c r="BJ33" s="2423"/>
      <c r="BK33" s="2423"/>
      <c r="BL33" s="2307"/>
      <c r="BM33" s="2307"/>
      <c r="BN33" s="2307"/>
      <c r="BO33" s="2307"/>
      <c r="BP33" s="2423"/>
    </row>
    <row r="34" spans="1:68" s="1" customFormat="1" ht="122.25" customHeight="1" x14ac:dyDescent="0.2">
      <c r="A34" s="4026"/>
      <c r="B34" s="4026"/>
      <c r="C34" s="4026"/>
      <c r="D34" s="2475"/>
      <c r="E34" s="2475"/>
      <c r="F34" s="2475"/>
      <c r="G34" s="1880">
        <v>1903038</v>
      </c>
      <c r="H34" s="2071">
        <v>11.15</v>
      </c>
      <c r="I34" s="1898" t="s">
        <v>1846</v>
      </c>
      <c r="J34" s="1888" t="s">
        <v>1847</v>
      </c>
      <c r="K34" s="2005">
        <v>11</v>
      </c>
      <c r="L34" s="1903">
        <v>5</v>
      </c>
      <c r="M34" s="2315"/>
      <c r="N34" s="3383"/>
      <c r="O34" s="2463"/>
      <c r="P34" s="2072">
        <f>SUM(U34)/Q17</f>
        <v>8.5195189456310997E-3</v>
      </c>
      <c r="Q34" s="3383"/>
      <c r="R34" s="2463"/>
      <c r="S34" s="2440"/>
      <c r="T34" s="1910" t="s">
        <v>1848</v>
      </c>
      <c r="U34" s="2073">
        <f>50000000-38800000</f>
        <v>11200000</v>
      </c>
      <c r="V34" s="2062">
        <v>0</v>
      </c>
      <c r="W34" s="2062">
        <v>0</v>
      </c>
      <c r="X34" s="1912">
        <v>61</v>
      </c>
      <c r="Y34" s="2067" t="s">
        <v>1824</v>
      </c>
      <c r="Z34" s="2496"/>
      <c r="AA34" s="2307"/>
      <c r="AB34" s="2307"/>
      <c r="AC34" s="2307"/>
      <c r="AD34" s="2307"/>
      <c r="AE34" s="2307"/>
      <c r="AF34" s="2307"/>
      <c r="AG34" s="2307"/>
      <c r="AH34" s="2307"/>
      <c r="AI34" s="2307"/>
      <c r="AJ34" s="2307"/>
      <c r="AK34" s="2307"/>
      <c r="AL34" s="2307"/>
      <c r="AM34" s="2307"/>
      <c r="AN34" s="2307"/>
      <c r="AO34" s="2307"/>
      <c r="AP34" s="2307"/>
      <c r="AQ34" s="2307"/>
      <c r="AR34" s="2307"/>
      <c r="AS34" s="2307"/>
      <c r="AT34" s="2307"/>
      <c r="AU34" s="2307"/>
      <c r="AV34" s="2307"/>
      <c r="AW34" s="2307"/>
      <c r="AX34" s="2307"/>
      <c r="AY34" s="2307"/>
      <c r="AZ34" s="2307"/>
      <c r="BA34" s="2307"/>
      <c r="BB34" s="2307"/>
      <c r="BC34" s="2307"/>
      <c r="BD34" s="2307"/>
      <c r="BE34" s="2307"/>
      <c r="BF34" s="2307"/>
      <c r="BG34" s="2567"/>
      <c r="BH34" s="2567"/>
      <c r="BI34" s="3032"/>
      <c r="BJ34" s="2423"/>
      <c r="BK34" s="2423"/>
      <c r="BL34" s="2307"/>
      <c r="BM34" s="2307"/>
      <c r="BN34" s="2307"/>
      <c r="BO34" s="2307"/>
      <c r="BP34" s="2423"/>
    </row>
    <row r="35" spans="1:68" s="1" customFormat="1" ht="80.25" customHeight="1" x14ac:dyDescent="0.2">
      <c r="A35" s="4026"/>
      <c r="B35" s="4026"/>
      <c r="C35" s="4026"/>
      <c r="D35" s="2475"/>
      <c r="E35" s="2475"/>
      <c r="F35" s="2475"/>
      <c r="G35" s="2495">
        <v>1903027</v>
      </c>
      <c r="H35" s="4050">
        <v>11.11</v>
      </c>
      <c r="I35" s="2919" t="s">
        <v>1849</v>
      </c>
      <c r="J35" s="2316" t="s">
        <v>1850</v>
      </c>
      <c r="K35" s="3095">
        <v>5</v>
      </c>
      <c r="L35" s="2324">
        <v>1</v>
      </c>
      <c r="M35" s="2315"/>
      <c r="N35" s="3383"/>
      <c r="O35" s="2463"/>
      <c r="P35" s="3031">
        <f>SUM(U35:U38)/Q17</f>
        <v>8.5195189456310997E-3</v>
      </c>
      <c r="Q35" s="3383"/>
      <c r="R35" s="2463"/>
      <c r="S35" s="2440"/>
      <c r="T35" s="1908" t="s">
        <v>1851</v>
      </c>
      <c r="U35" s="2066">
        <f>50000000-47000000</f>
        <v>3000000</v>
      </c>
      <c r="V35" s="2062">
        <v>3000000</v>
      </c>
      <c r="W35" s="2062">
        <v>0</v>
      </c>
      <c r="X35" s="1912">
        <v>61</v>
      </c>
      <c r="Y35" s="2067" t="s">
        <v>1824</v>
      </c>
      <c r="Z35" s="2496"/>
      <c r="AA35" s="2307"/>
      <c r="AB35" s="2307"/>
      <c r="AC35" s="2307"/>
      <c r="AD35" s="2307"/>
      <c r="AE35" s="2307"/>
      <c r="AF35" s="2307"/>
      <c r="AG35" s="2307"/>
      <c r="AH35" s="2307"/>
      <c r="AI35" s="2307"/>
      <c r="AJ35" s="2307"/>
      <c r="AK35" s="2307"/>
      <c r="AL35" s="2307"/>
      <c r="AM35" s="2307"/>
      <c r="AN35" s="2307"/>
      <c r="AO35" s="2307"/>
      <c r="AP35" s="2307"/>
      <c r="AQ35" s="2307"/>
      <c r="AR35" s="2307"/>
      <c r="AS35" s="2307"/>
      <c r="AT35" s="2307"/>
      <c r="AU35" s="2307"/>
      <c r="AV35" s="2307"/>
      <c r="AW35" s="2307"/>
      <c r="AX35" s="2307"/>
      <c r="AY35" s="2307"/>
      <c r="AZ35" s="2307"/>
      <c r="BA35" s="2307"/>
      <c r="BB35" s="2307"/>
      <c r="BC35" s="2307"/>
      <c r="BD35" s="2307"/>
      <c r="BE35" s="2307"/>
      <c r="BF35" s="2307"/>
      <c r="BG35" s="2567"/>
      <c r="BH35" s="2567"/>
      <c r="BI35" s="3032"/>
      <c r="BJ35" s="2423"/>
      <c r="BK35" s="2423"/>
      <c r="BL35" s="2307"/>
      <c r="BM35" s="2307"/>
      <c r="BN35" s="2307"/>
      <c r="BO35" s="2307"/>
      <c r="BP35" s="2423"/>
    </row>
    <row r="36" spans="1:68" s="1" customFormat="1" ht="80.25" customHeight="1" x14ac:dyDescent="0.2">
      <c r="A36" s="4026"/>
      <c r="B36" s="4026"/>
      <c r="C36" s="4026"/>
      <c r="D36" s="2475"/>
      <c r="E36" s="2475"/>
      <c r="F36" s="2475"/>
      <c r="G36" s="2496"/>
      <c r="H36" s="4040"/>
      <c r="I36" s="2919"/>
      <c r="J36" s="2316"/>
      <c r="K36" s="3096"/>
      <c r="L36" s="2321"/>
      <c r="M36" s="2315"/>
      <c r="N36" s="3383"/>
      <c r="O36" s="2463"/>
      <c r="P36" s="3032"/>
      <c r="Q36" s="3383"/>
      <c r="R36" s="2463"/>
      <c r="S36" s="2440"/>
      <c r="T36" s="1908" t="s">
        <v>1852</v>
      </c>
      <c r="U36" s="2066">
        <f>50000000-47000000</f>
        <v>3000000</v>
      </c>
      <c r="V36" s="2062">
        <v>3000000</v>
      </c>
      <c r="W36" s="2062">
        <v>0</v>
      </c>
      <c r="X36" s="1912">
        <v>61</v>
      </c>
      <c r="Y36" s="2067" t="s">
        <v>1824</v>
      </c>
      <c r="Z36" s="2496"/>
      <c r="AA36" s="2307"/>
      <c r="AB36" s="2307"/>
      <c r="AC36" s="2307"/>
      <c r="AD36" s="2307"/>
      <c r="AE36" s="2307"/>
      <c r="AF36" s="2307"/>
      <c r="AG36" s="2307"/>
      <c r="AH36" s="2307"/>
      <c r="AI36" s="2307"/>
      <c r="AJ36" s="2307"/>
      <c r="AK36" s="2307"/>
      <c r="AL36" s="2307"/>
      <c r="AM36" s="2307"/>
      <c r="AN36" s="2307"/>
      <c r="AO36" s="2307"/>
      <c r="AP36" s="2307"/>
      <c r="AQ36" s="2307"/>
      <c r="AR36" s="2307"/>
      <c r="AS36" s="2307"/>
      <c r="AT36" s="2307"/>
      <c r="AU36" s="2307"/>
      <c r="AV36" s="2307"/>
      <c r="AW36" s="2307"/>
      <c r="AX36" s="2307"/>
      <c r="AY36" s="2307"/>
      <c r="AZ36" s="2307"/>
      <c r="BA36" s="2307"/>
      <c r="BB36" s="2307"/>
      <c r="BC36" s="2307"/>
      <c r="BD36" s="2307"/>
      <c r="BE36" s="2307"/>
      <c r="BF36" s="2307"/>
      <c r="BG36" s="2567"/>
      <c r="BH36" s="2567"/>
      <c r="BI36" s="3032"/>
      <c r="BJ36" s="2423"/>
      <c r="BK36" s="2423"/>
      <c r="BL36" s="2307"/>
      <c r="BM36" s="2307"/>
      <c r="BN36" s="2307"/>
      <c r="BO36" s="2307"/>
      <c r="BP36" s="2423"/>
    </row>
    <row r="37" spans="1:68" s="1" customFormat="1" ht="80.25" customHeight="1" x14ac:dyDescent="0.2">
      <c r="A37" s="4026"/>
      <c r="B37" s="4026"/>
      <c r="C37" s="4026"/>
      <c r="D37" s="2475"/>
      <c r="E37" s="2475"/>
      <c r="F37" s="2475"/>
      <c r="G37" s="2496"/>
      <c r="H37" s="4040"/>
      <c r="I37" s="2919"/>
      <c r="J37" s="2316"/>
      <c r="K37" s="3096"/>
      <c r="L37" s="2321"/>
      <c r="M37" s="2315"/>
      <c r="N37" s="3383"/>
      <c r="O37" s="2463"/>
      <c r="P37" s="3032"/>
      <c r="Q37" s="3383"/>
      <c r="R37" s="2463"/>
      <c r="S37" s="2440"/>
      <c r="T37" s="1908" t="s">
        <v>1853</v>
      </c>
      <c r="U37" s="2066">
        <f>50000000-47000000</f>
        <v>3000000</v>
      </c>
      <c r="V37" s="2062">
        <v>3000000</v>
      </c>
      <c r="W37" s="2062">
        <v>0</v>
      </c>
      <c r="X37" s="1912">
        <v>61</v>
      </c>
      <c r="Y37" s="2067" t="s">
        <v>1824</v>
      </c>
      <c r="Z37" s="2496"/>
      <c r="AA37" s="2307"/>
      <c r="AB37" s="2307"/>
      <c r="AC37" s="2307"/>
      <c r="AD37" s="2307"/>
      <c r="AE37" s="2307"/>
      <c r="AF37" s="2307"/>
      <c r="AG37" s="2307"/>
      <c r="AH37" s="2307"/>
      <c r="AI37" s="2307"/>
      <c r="AJ37" s="2307"/>
      <c r="AK37" s="2307"/>
      <c r="AL37" s="2307"/>
      <c r="AM37" s="2307"/>
      <c r="AN37" s="2307"/>
      <c r="AO37" s="2307"/>
      <c r="AP37" s="2307"/>
      <c r="AQ37" s="2307"/>
      <c r="AR37" s="2307"/>
      <c r="AS37" s="2307"/>
      <c r="AT37" s="2307"/>
      <c r="AU37" s="2307"/>
      <c r="AV37" s="2307"/>
      <c r="AW37" s="2307"/>
      <c r="AX37" s="2307"/>
      <c r="AY37" s="2307"/>
      <c r="AZ37" s="2307"/>
      <c r="BA37" s="2307"/>
      <c r="BB37" s="2307"/>
      <c r="BC37" s="2307"/>
      <c r="BD37" s="2307"/>
      <c r="BE37" s="2307"/>
      <c r="BF37" s="2307"/>
      <c r="BG37" s="2567"/>
      <c r="BH37" s="2567"/>
      <c r="BI37" s="3032"/>
      <c r="BJ37" s="2423"/>
      <c r="BK37" s="2423"/>
      <c r="BL37" s="2307"/>
      <c r="BM37" s="2307"/>
      <c r="BN37" s="2307"/>
      <c r="BO37" s="2307"/>
      <c r="BP37" s="2423"/>
    </row>
    <row r="38" spans="1:68" s="1" customFormat="1" ht="80.25" customHeight="1" x14ac:dyDescent="0.2">
      <c r="A38" s="4026"/>
      <c r="B38" s="4026"/>
      <c r="C38" s="4026"/>
      <c r="D38" s="2475"/>
      <c r="E38" s="2475"/>
      <c r="F38" s="2475"/>
      <c r="G38" s="3610"/>
      <c r="H38" s="4051"/>
      <c r="I38" s="2919"/>
      <c r="J38" s="2316"/>
      <c r="K38" s="3097"/>
      <c r="L38" s="2736"/>
      <c r="M38" s="2315"/>
      <c r="N38" s="3383"/>
      <c r="O38" s="2463"/>
      <c r="P38" s="3033"/>
      <c r="Q38" s="3383"/>
      <c r="R38" s="2463"/>
      <c r="S38" s="2440"/>
      <c r="T38" s="1909" t="s">
        <v>1854</v>
      </c>
      <c r="U38" s="2068">
        <f>50000000-47800000</f>
        <v>2200000</v>
      </c>
      <c r="V38" s="2062">
        <v>333333</v>
      </c>
      <c r="W38" s="2062">
        <v>0</v>
      </c>
      <c r="X38" s="1912">
        <v>61</v>
      </c>
      <c r="Y38" s="2067" t="s">
        <v>1824</v>
      </c>
      <c r="Z38" s="2496"/>
      <c r="AA38" s="2307"/>
      <c r="AB38" s="2307"/>
      <c r="AC38" s="2307"/>
      <c r="AD38" s="2307"/>
      <c r="AE38" s="2307"/>
      <c r="AF38" s="2307"/>
      <c r="AG38" s="2307"/>
      <c r="AH38" s="2307"/>
      <c r="AI38" s="2307"/>
      <c r="AJ38" s="2307"/>
      <c r="AK38" s="2307"/>
      <c r="AL38" s="2307"/>
      <c r="AM38" s="2307"/>
      <c r="AN38" s="2307"/>
      <c r="AO38" s="2307"/>
      <c r="AP38" s="2307"/>
      <c r="AQ38" s="2307"/>
      <c r="AR38" s="2307"/>
      <c r="AS38" s="2307"/>
      <c r="AT38" s="2307"/>
      <c r="AU38" s="2307"/>
      <c r="AV38" s="2307"/>
      <c r="AW38" s="2307"/>
      <c r="AX38" s="2307"/>
      <c r="AY38" s="2307"/>
      <c r="AZ38" s="2307"/>
      <c r="BA38" s="2307"/>
      <c r="BB38" s="2307"/>
      <c r="BC38" s="2307"/>
      <c r="BD38" s="2307"/>
      <c r="BE38" s="2307"/>
      <c r="BF38" s="2307"/>
      <c r="BG38" s="2567"/>
      <c r="BH38" s="2567"/>
      <c r="BI38" s="3032"/>
      <c r="BJ38" s="2423"/>
      <c r="BK38" s="2423"/>
      <c r="BL38" s="2307"/>
      <c r="BM38" s="2307"/>
      <c r="BN38" s="2307"/>
      <c r="BO38" s="2307"/>
      <c r="BP38" s="2423"/>
    </row>
    <row r="39" spans="1:68" s="1" customFormat="1" ht="80.25" customHeight="1" x14ac:dyDescent="0.2">
      <c r="A39" s="4026"/>
      <c r="B39" s="4026"/>
      <c r="C39" s="4026"/>
      <c r="D39" s="2475"/>
      <c r="E39" s="2475"/>
      <c r="F39" s="2475"/>
      <c r="G39" s="2341">
        <v>1903011</v>
      </c>
      <c r="H39" s="4030">
        <v>11.4</v>
      </c>
      <c r="I39" s="2919" t="s">
        <v>1855</v>
      </c>
      <c r="J39" s="2316" t="s">
        <v>1856</v>
      </c>
      <c r="K39" s="3095">
        <v>140</v>
      </c>
      <c r="L39" s="2324">
        <v>54</v>
      </c>
      <c r="M39" s="2315"/>
      <c r="N39" s="3383"/>
      <c r="O39" s="2463"/>
      <c r="P39" s="3031">
        <f>SUM(U39:U41)/Q17</f>
        <v>1.5213426688626963E-2</v>
      </c>
      <c r="Q39" s="3383"/>
      <c r="R39" s="2463"/>
      <c r="S39" s="2470"/>
      <c r="T39" s="1920" t="s">
        <v>1857</v>
      </c>
      <c r="U39" s="2074">
        <v>5000000</v>
      </c>
      <c r="V39" s="2062">
        <v>0</v>
      </c>
      <c r="W39" s="2062">
        <v>0</v>
      </c>
      <c r="X39" s="1912">
        <v>61</v>
      </c>
      <c r="Y39" s="2067" t="s">
        <v>1824</v>
      </c>
      <c r="Z39" s="2496"/>
      <c r="AA39" s="2307"/>
      <c r="AB39" s="2307"/>
      <c r="AC39" s="2307"/>
      <c r="AD39" s="2307"/>
      <c r="AE39" s="2307"/>
      <c r="AF39" s="2307"/>
      <c r="AG39" s="2307"/>
      <c r="AH39" s="2307"/>
      <c r="AI39" s="2307"/>
      <c r="AJ39" s="2307"/>
      <c r="AK39" s="2307"/>
      <c r="AL39" s="2307"/>
      <c r="AM39" s="2307"/>
      <c r="AN39" s="2307"/>
      <c r="AO39" s="2307"/>
      <c r="AP39" s="2307"/>
      <c r="AQ39" s="2307"/>
      <c r="AR39" s="2307"/>
      <c r="AS39" s="2307"/>
      <c r="AT39" s="2307"/>
      <c r="AU39" s="2307"/>
      <c r="AV39" s="2307"/>
      <c r="AW39" s="2307"/>
      <c r="AX39" s="2307"/>
      <c r="AY39" s="2307"/>
      <c r="AZ39" s="2307"/>
      <c r="BA39" s="2307"/>
      <c r="BB39" s="2307"/>
      <c r="BC39" s="2307"/>
      <c r="BD39" s="2307"/>
      <c r="BE39" s="2307"/>
      <c r="BF39" s="2307"/>
      <c r="BG39" s="2567"/>
      <c r="BH39" s="2567"/>
      <c r="BI39" s="3032"/>
      <c r="BJ39" s="2423"/>
      <c r="BK39" s="2423"/>
      <c r="BL39" s="2307"/>
      <c r="BM39" s="2307"/>
      <c r="BN39" s="2307"/>
      <c r="BO39" s="2307"/>
      <c r="BP39" s="2423"/>
    </row>
    <row r="40" spans="1:68" s="1" customFormat="1" ht="80.25" customHeight="1" x14ac:dyDescent="0.2">
      <c r="A40" s="4026"/>
      <c r="B40" s="4026"/>
      <c r="C40" s="4026"/>
      <c r="D40" s="2475"/>
      <c r="E40" s="2475"/>
      <c r="F40" s="2475"/>
      <c r="G40" s="2341"/>
      <c r="H40" s="4030"/>
      <c r="I40" s="2919"/>
      <c r="J40" s="2316"/>
      <c r="K40" s="3096"/>
      <c r="L40" s="2321"/>
      <c r="M40" s="2315"/>
      <c r="N40" s="3383"/>
      <c r="O40" s="2463"/>
      <c r="P40" s="3032"/>
      <c r="Q40" s="3383"/>
      <c r="R40" s="2463"/>
      <c r="S40" s="2470"/>
      <c r="T40" s="1968" t="s">
        <v>1858</v>
      </c>
      <c r="U40" s="2075">
        <v>5000000</v>
      </c>
      <c r="V40" s="2062">
        <v>0</v>
      </c>
      <c r="W40" s="2062">
        <v>0</v>
      </c>
      <c r="X40" s="1912">
        <v>61</v>
      </c>
      <c r="Y40" s="2067" t="s">
        <v>1824</v>
      </c>
      <c r="Z40" s="2496"/>
      <c r="AA40" s="2307"/>
      <c r="AB40" s="2307"/>
      <c r="AC40" s="2307"/>
      <c r="AD40" s="2307"/>
      <c r="AE40" s="2307"/>
      <c r="AF40" s="2307"/>
      <c r="AG40" s="2307"/>
      <c r="AH40" s="2307"/>
      <c r="AI40" s="2307"/>
      <c r="AJ40" s="2307"/>
      <c r="AK40" s="2307"/>
      <c r="AL40" s="2307"/>
      <c r="AM40" s="2307"/>
      <c r="AN40" s="2307"/>
      <c r="AO40" s="2307"/>
      <c r="AP40" s="2307"/>
      <c r="AQ40" s="2307"/>
      <c r="AR40" s="2307"/>
      <c r="AS40" s="2307"/>
      <c r="AT40" s="2307"/>
      <c r="AU40" s="2307"/>
      <c r="AV40" s="2307"/>
      <c r="AW40" s="2307"/>
      <c r="AX40" s="2307"/>
      <c r="AY40" s="2307"/>
      <c r="AZ40" s="2307"/>
      <c r="BA40" s="2307"/>
      <c r="BB40" s="2307"/>
      <c r="BC40" s="2307"/>
      <c r="BD40" s="2307"/>
      <c r="BE40" s="2307"/>
      <c r="BF40" s="2307"/>
      <c r="BG40" s="2567"/>
      <c r="BH40" s="2567"/>
      <c r="BI40" s="3032"/>
      <c r="BJ40" s="2423"/>
      <c r="BK40" s="2423"/>
      <c r="BL40" s="2307"/>
      <c r="BM40" s="2307"/>
      <c r="BN40" s="2307"/>
      <c r="BO40" s="2307"/>
      <c r="BP40" s="2423"/>
    </row>
    <row r="41" spans="1:68" s="1" customFormat="1" ht="80.25" customHeight="1" x14ac:dyDescent="0.2">
      <c r="A41" s="4026"/>
      <c r="B41" s="4026"/>
      <c r="C41" s="4026"/>
      <c r="D41" s="2475"/>
      <c r="E41" s="2475"/>
      <c r="F41" s="2475"/>
      <c r="G41" s="2341"/>
      <c r="H41" s="4030"/>
      <c r="I41" s="2919"/>
      <c r="J41" s="2316"/>
      <c r="K41" s="3097"/>
      <c r="L41" s="2736"/>
      <c r="M41" s="2315"/>
      <c r="N41" s="3383"/>
      <c r="O41" s="2463"/>
      <c r="P41" s="3033"/>
      <c r="Q41" s="3383"/>
      <c r="R41" s="2463"/>
      <c r="S41" s="2725"/>
      <c r="T41" s="1920" t="s">
        <v>1859</v>
      </c>
      <c r="U41" s="2074">
        <v>10000000</v>
      </c>
      <c r="V41" s="2062">
        <v>0</v>
      </c>
      <c r="W41" s="2062">
        <v>0</v>
      </c>
      <c r="X41" s="1912">
        <v>61</v>
      </c>
      <c r="Y41" s="2067" t="s">
        <v>1824</v>
      </c>
      <c r="Z41" s="2497"/>
      <c r="AA41" s="2467"/>
      <c r="AB41" s="2467"/>
      <c r="AC41" s="2467"/>
      <c r="AD41" s="2467"/>
      <c r="AE41" s="2467"/>
      <c r="AF41" s="2467"/>
      <c r="AG41" s="2467"/>
      <c r="AH41" s="2467"/>
      <c r="AI41" s="2467"/>
      <c r="AJ41" s="2467"/>
      <c r="AK41" s="2467"/>
      <c r="AL41" s="2467"/>
      <c r="AM41" s="2467"/>
      <c r="AN41" s="2467"/>
      <c r="AO41" s="2467"/>
      <c r="AP41" s="2467"/>
      <c r="AQ41" s="2467"/>
      <c r="AR41" s="2467"/>
      <c r="AS41" s="2467"/>
      <c r="AT41" s="2467"/>
      <c r="AU41" s="2467"/>
      <c r="AV41" s="2467"/>
      <c r="AW41" s="2467"/>
      <c r="AX41" s="2467"/>
      <c r="AY41" s="2467"/>
      <c r="AZ41" s="2467"/>
      <c r="BA41" s="2467"/>
      <c r="BB41" s="2467"/>
      <c r="BC41" s="2467"/>
      <c r="BD41" s="2467"/>
      <c r="BE41" s="2467"/>
      <c r="BF41" s="2467"/>
      <c r="BG41" s="2969"/>
      <c r="BH41" s="2969"/>
      <c r="BI41" s="3033"/>
      <c r="BJ41" s="2424"/>
      <c r="BK41" s="2424"/>
      <c r="BL41" s="2467"/>
      <c r="BM41" s="2467"/>
      <c r="BN41" s="2467"/>
      <c r="BO41" s="2467"/>
      <c r="BP41" s="2424"/>
    </row>
    <row r="42" spans="1:68" ht="95.25" customHeight="1" x14ac:dyDescent="0.2">
      <c r="A42" s="4026"/>
      <c r="B42" s="4026"/>
      <c r="C42" s="4026"/>
      <c r="D42" s="2475"/>
      <c r="E42" s="2475"/>
      <c r="F42" s="2475"/>
      <c r="G42" s="2495">
        <v>1903001</v>
      </c>
      <c r="H42" s="3670">
        <v>11.1</v>
      </c>
      <c r="I42" s="2884" t="s">
        <v>433</v>
      </c>
      <c r="J42" s="2423" t="s">
        <v>1860</v>
      </c>
      <c r="K42" s="4048">
        <v>1</v>
      </c>
      <c r="L42" s="4049">
        <v>1</v>
      </c>
      <c r="M42" s="2820" t="s">
        <v>1861</v>
      </c>
      <c r="N42" s="2342" t="s">
        <v>1862</v>
      </c>
      <c r="O42" s="2751" t="s">
        <v>1863</v>
      </c>
      <c r="P42" s="4044">
        <f>SUM(U42:U48)/Q42</f>
        <v>0.25824959584112595</v>
      </c>
      <c r="Q42" s="4047">
        <f>SUM(U42:U62)</f>
        <v>315470000</v>
      </c>
      <c r="R42" s="2463" t="s">
        <v>1864</v>
      </c>
      <c r="S42" s="2439" t="s">
        <v>1865</v>
      </c>
      <c r="T42" s="1910" t="s">
        <v>1866</v>
      </c>
      <c r="U42" s="2073">
        <v>1160000</v>
      </c>
      <c r="V42" s="2062">
        <v>1160000</v>
      </c>
      <c r="W42" s="2062">
        <v>1160000</v>
      </c>
      <c r="X42" s="2063" t="s">
        <v>1867</v>
      </c>
      <c r="Y42" s="2076" t="s">
        <v>1868</v>
      </c>
      <c r="Z42" s="4052">
        <v>289394</v>
      </c>
      <c r="AA42" s="4052">
        <f>Z42*0.43</f>
        <v>124439.42</v>
      </c>
      <c r="AB42" s="4052">
        <v>279112</v>
      </c>
      <c r="AC42" s="4052">
        <f>AB42*0.43</f>
        <v>120018.16</v>
      </c>
      <c r="AD42" s="4052">
        <v>63164</v>
      </c>
      <c r="AE42" s="4052">
        <f>AD42*0.43</f>
        <v>27160.52</v>
      </c>
      <c r="AF42" s="4052">
        <v>45607</v>
      </c>
      <c r="AG42" s="4052">
        <f>AF42*0.43</f>
        <v>19611.009999999998</v>
      </c>
      <c r="AH42" s="4052">
        <v>365607</v>
      </c>
      <c r="AI42" s="4052">
        <f>AH42*0.43</f>
        <v>157211.01</v>
      </c>
      <c r="AJ42" s="4052">
        <v>75612</v>
      </c>
      <c r="AK42" s="4052">
        <f>AJ42*0.43</f>
        <v>32513.16</v>
      </c>
      <c r="AL42" s="4052">
        <v>2145</v>
      </c>
      <c r="AM42" s="4052">
        <f>AL42*0.43</f>
        <v>922.35</v>
      </c>
      <c r="AN42" s="4052">
        <v>12718</v>
      </c>
      <c r="AO42" s="4052">
        <f>AN42*0.43</f>
        <v>5468.74</v>
      </c>
      <c r="AP42" s="4052">
        <v>26</v>
      </c>
      <c r="AQ42" s="4052">
        <f>AP42*0.43</f>
        <v>11.18</v>
      </c>
      <c r="AR42" s="4052">
        <v>37</v>
      </c>
      <c r="AS42" s="4052">
        <f>AR42*0.43</f>
        <v>15.91</v>
      </c>
      <c r="AT42" s="4052">
        <v>0</v>
      </c>
      <c r="AU42" s="4052">
        <f>AT42*0.43</f>
        <v>0</v>
      </c>
      <c r="AV42" s="4052">
        <v>0</v>
      </c>
      <c r="AW42" s="4052">
        <f>AV42*0.43</f>
        <v>0</v>
      </c>
      <c r="AX42" s="4052">
        <v>78</v>
      </c>
      <c r="AY42" s="4052">
        <f>AX42*0.43</f>
        <v>33.54</v>
      </c>
      <c r="AZ42" s="4052">
        <v>16897</v>
      </c>
      <c r="BA42" s="4052">
        <f>AZ42*0.43</f>
        <v>7265.71</v>
      </c>
      <c r="BB42" s="4052">
        <v>852</v>
      </c>
      <c r="BC42" s="4052">
        <f>BB42*0.43</f>
        <v>366.36</v>
      </c>
      <c r="BD42" s="4052">
        <v>568506</v>
      </c>
      <c r="BE42" s="4052">
        <f>BD42*0.43</f>
        <v>244457.58</v>
      </c>
      <c r="BF42" s="4052">
        <v>17</v>
      </c>
      <c r="BG42" s="4063">
        <f>SUM(V42:V62)</f>
        <v>135439998</v>
      </c>
      <c r="BH42" s="4063">
        <f>SUM(W42:W62)</f>
        <v>57613333</v>
      </c>
      <c r="BI42" s="4059">
        <f>SUM(BG42/Q42)</f>
        <v>0.42932766348622692</v>
      </c>
      <c r="BJ42" s="2513" t="s">
        <v>1809</v>
      </c>
      <c r="BK42" s="2513" t="s">
        <v>1810</v>
      </c>
      <c r="BL42" s="4055">
        <v>43832</v>
      </c>
      <c r="BM42" s="4055">
        <v>43832</v>
      </c>
      <c r="BN42" s="4055">
        <v>44196</v>
      </c>
      <c r="BO42" s="4055">
        <v>44196</v>
      </c>
      <c r="BP42" s="4056" t="s">
        <v>1811</v>
      </c>
    </row>
    <row r="43" spans="1:68" ht="95.25" customHeight="1" x14ac:dyDescent="0.2">
      <c r="A43" s="4026"/>
      <c r="B43" s="4026"/>
      <c r="C43" s="4026"/>
      <c r="D43" s="2475"/>
      <c r="E43" s="2475"/>
      <c r="F43" s="2475"/>
      <c r="G43" s="2496"/>
      <c r="H43" s="3670"/>
      <c r="I43" s="2884"/>
      <c r="J43" s="2423"/>
      <c r="K43" s="4048"/>
      <c r="L43" s="4049"/>
      <c r="M43" s="2820"/>
      <c r="N43" s="2343"/>
      <c r="O43" s="3251"/>
      <c r="P43" s="4045"/>
      <c r="Q43" s="4047"/>
      <c r="R43" s="2463"/>
      <c r="S43" s="2440"/>
      <c r="T43" s="1908" t="s">
        <v>1869</v>
      </c>
      <c r="U43" s="2066">
        <v>1240000</v>
      </c>
      <c r="V43" s="2062">
        <v>1240000</v>
      </c>
      <c r="W43" s="2062">
        <v>1240000</v>
      </c>
      <c r="X43" s="2063" t="s">
        <v>1867</v>
      </c>
      <c r="Y43" s="2064" t="s">
        <v>1868</v>
      </c>
      <c r="Z43" s="4053"/>
      <c r="AA43" s="4053"/>
      <c r="AB43" s="4053"/>
      <c r="AC43" s="4053"/>
      <c r="AD43" s="4053"/>
      <c r="AE43" s="4053"/>
      <c r="AF43" s="4053"/>
      <c r="AG43" s="4053"/>
      <c r="AH43" s="4053"/>
      <c r="AI43" s="4053"/>
      <c r="AJ43" s="4053"/>
      <c r="AK43" s="4053"/>
      <c r="AL43" s="4053"/>
      <c r="AM43" s="4053"/>
      <c r="AN43" s="4053"/>
      <c r="AO43" s="4053"/>
      <c r="AP43" s="4053"/>
      <c r="AQ43" s="4053"/>
      <c r="AR43" s="4053"/>
      <c r="AS43" s="4053"/>
      <c r="AT43" s="4053"/>
      <c r="AU43" s="4053"/>
      <c r="AV43" s="4053"/>
      <c r="AW43" s="4053"/>
      <c r="AX43" s="4053"/>
      <c r="AY43" s="4053"/>
      <c r="AZ43" s="4053"/>
      <c r="BA43" s="4053"/>
      <c r="BB43" s="4053"/>
      <c r="BC43" s="4053"/>
      <c r="BD43" s="4053"/>
      <c r="BE43" s="4053"/>
      <c r="BF43" s="4053"/>
      <c r="BG43" s="4064"/>
      <c r="BH43" s="4064"/>
      <c r="BI43" s="4060"/>
      <c r="BJ43" s="2514"/>
      <c r="BK43" s="2514"/>
      <c r="BL43" s="4053"/>
      <c r="BM43" s="4053"/>
      <c r="BN43" s="4053"/>
      <c r="BO43" s="4053"/>
      <c r="BP43" s="4057"/>
    </row>
    <row r="44" spans="1:68" ht="95.25" customHeight="1" x14ac:dyDescent="0.2">
      <c r="A44" s="4026"/>
      <c r="B44" s="4026"/>
      <c r="C44" s="4026"/>
      <c r="D44" s="2475"/>
      <c r="E44" s="2475"/>
      <c r="F44" s="2475"/>
      <c r="G44" s="2496"/>
      <c r="H44" s="3670"/>
      <c r="I44" s="2884"/>
      <c r="J44" s="2423"/>
      <c r="K44" s="4048"/>
      <c r="L44" s="4049"/>
      <c r="M44" s="2820"/>
      <c r="N44" s="2343"/>
      <c r="O44" s="3251"/>
      <c r="P44" s="4045"/>
      <c r="Q44" s="4047"/>
      <c r="R44" s="2463"/>
      <c r="S44" s="2440"/>
      <c r="T44" s="1908" t="s">
        <v>1870</v>
      </c>
      <c r="U44" s="2066">
        <v>3240000</v>
      </c>
      <c r="V44" s="2062">
        <v>3240000</v>
      </c>
      <c r="W44" s="2062">
        <v>3240000</v>
      </c>
      <c r="X44" s="2063" t="s">
        <v>1867</v>
      </c>
      <c r="Y44" s="2064" t="s">
        <v>1868</v>
      </c>
      <c r="Z44" s="4053"/>
      <c r="AA44" s="4053"/>
      <c r="AB44" s="4053"/>
      <c r="AC44" s="4053"/>
      <c r="AD44" s="4053"/>
      <c r="AE44" s="4053"/>
      <c r="AF44" s="4053"/>
      <c r="AG44" s="4053"/>
      <c r="AH44" s="4053"/>
      <c r="AI44" s="4053"/>
      <c r="AJ44" s="4053"/>
      <c r="AK44" s="4053"/>
      <c r="AL44" s="4053"/>
      <c r="AM44" s="4053"/>
      <c r="AN44" s="4053"/>
      <c r="AO44" s="4053"/>
      <c r="AP44" s="4053"/>
      <c r="AQ44" s="4053"/>
      <c r="AR44" s="4053"/>
      <c r="AS44" s="4053"/>
      <c r="AT44" s="4053"/>
      <c r="AU44" s="4053"/>
      <c r="AV44" s="4053"/>
      <c r="AW44" s="4053"/>
      <c r="AX44" s="4053"/>
      <c r="AY44" s="4053"/>
      <c r="AZ44" s="4053"/>
      <c r="BA44" s="4053"/>
      <c r="BB44" s="4053"/>
      <c r="BC44" s="4053"/>
      <c r="BD44" s="4053"/>
      <c r="BE44" s="4053"/>
      <c r="BF44" s="4053"/>
      <c r="BG44" s="4064"/>
      <c r="BH44" s="4064"/>
      <c r="BI44" s="4060"/>
      <c r="BJ44" s="2514"/>
      <c r="BK44" s="2514"/>
      <c r="BL44" s="4053"/>
      <c r="BM44" s="4053"/>
      <c r="BN44" s="4053"/>
      <c r="BO44" s="4053"/>
      <c r="BP44" s="4057"/>
    </row>
    <row r="45" spans="1:68" ht="95.25" customHeight="1" x14ac:dyDescent="0.2">
      <c r="A45" s="4026"/>
      <c r="B45" s="4026"/>
      <c r="C45" s="4026"/>
      <c r="D45" s="2475"/>
      <c r="E45" s="2475"/>
      <c r="F45" s="2475"/>
      <c r="G45" s="2496"/>
      <c r="H45" s="3670"/>
      <c r="I45" s="2884"/>
      <c r="J45" s="2423"/>
      <c r="K45" s="4048"/>
      <c r="L45" s="4049"/>
      <c r="M45" s="2820"/>
      <c r="N45" s="2343"/>
      <c r="O45" s="3251"/>
      <c r="P45" s="4045"/>
      <c r="Q45" s="4047"/>
      <c r="R45" s="2463"/>
      <c r="S45" s="2440"/>
      <c r="T45" s="1908" t="s">
        <v>1871</v>
      </c>
      <c r="U45" s="2066">
        <v>3400000</v>
      </c>
      <c r="V45" s="2062">
        <v>3400000</v>
      </c>
      <c r="W45" s="2062">
        <v>3400000</v>
      </c>
      <c r="X45" s="2063" t="s">
        <v>1867</v>
      </c>
      <c r="Y45" s="2064" t="s">
        <v>1868</v>
      </c>
      <c r="Z45" s="4053"/>
      <c r="AA45" s="4053"/>
      <c r="AB45" s="4053"/>
      <c r="AC45" s="4053"/>
      <c r="AD45" s="4053"/>
      <c r="AE45" s="4053"/>
      <c r="AF45" s="4053"/>
      <c r="AG45" s="4053"/>
      <c r="AH45" s="4053"/>
      <c r="AI45" s="4053"/>
      <c r="AJ45" s="4053"/>
      <c r="AK45" s="4053"/>
      <c r="AL45" s="4053"/>
      <c r="AM45" s="4053"/>
      <c r="AN45" s="4053"/>
      <c r="AO45" s="4053"/>
      <c r="AP45" s="4053"/>
      <c r="AQ45" s="4053"/>
      <c r="AR45" s="4053"/>
      <c r="AS45" s="4053"/>
      <c r="AT45" s="4053"/>
      <c r="AU45" s="4053"/>
      <c r="AV45" s="4053"/>
      <c r="AW45" s="4053"/>
      <c r="AX45" s="4053"/>
      <c r="AY45" s="4053"/>
      <c r="AZ45" s="4053"/>
      <c r="BA45" s="4053"/>
      <c r="BB45" s="4053"/>
      <c r="BC45" s="4053"/>
      <c r="BD45" s="4053"/>
      <c r="BE45" s="4053"/>
      <c r="BF45" s="4053"/>
      <c r="BG45" s="4064"/>
      <c r="BH45" s="4064"/>
      <c r="BI45" s="4060"/>
      <c r="BJ45" s="2514"/>
      <c r="BK45" s="2514"/>
      <c r="BL45" s="4053"/>
      <c r="BM45" s="4053"/>
      <c r="BN45" s="4053"/>
      <c r="BO45" s="4053"/>
      <c r="BP45" s="4057"/>
    </row>
    <row r="46" spans="1:68" ht="95.25" customHeight="1" x14ac:dyDescent="0.2">
      <c r="A46" s="4026"/>
      <c r="B46" s="4026"/>
      <c r="C46" s="4026"/>
      <c r="D46" s="2475"/>
      <c r="E46" s="2475"/>
      <c r="F46" s="2475"/>
      <c r="G46" s="2496"/>
      <c r="H46" s="3670"/>
      <c r="I46" s="2884"/>
      <c r="J46" s="2423"/>
      <c r="K46" s="4048"/>
      <c r="L46" s="4049"/>
      <c r="M46" s="2820"/>
      <c r="N46" s="2343"/>
      <c r="O46" s="3251"/>
      <c r="P46" s="4045"/>
      <c r="Q46" s="4047"/>
      <c r="R46" s="2463"/>
      <c r="S46" s="2440"/>
      <c r="T46" s="1908" t="s">
        <v>1872</v>
      </c>
      <c r="U46" s="2066">
        <v>32000000</v>
      </c>
      <c r="V46" s="2062">
        <v>14093334</v>
      </c>
      <c r="W46" s="2062">
        <v>680001</v>
      </c>
      <c r="X46" s="2063" t="s">
        <v>1867</v>
      </c>
      <c r="Y46" s="2064" t="s">
        <v>1868</v>
      </c>
      <c r="Z46" s="4053"/>
      <c r="AA46" s="4053"/>
      <c r="AB46" s="4053"/>
      <c r="AC46" s="4053"/>
      <c r="AD46" s="4053"/>
      <c r="AE46" s="4053"/>
      <c r="AF46" s="4053"/>
      <c r="AG46" s="4053"/>
      <c r="AH46" s="4053"/>
      <c r="AI46" s="4053"/>
      <c r="AJ46" s="4053"/>
      <c r="AK46" s="4053"/>
      <c r="AL46" s="4053"/>
      <c r="AM46" s="4053"/>
      <c r="AN46" s="4053"/>
      <c r="AO46" s="4053"/>
      <c r="AP46" s="4053"/>
      <c r="AQ46" s="4053"/>
      <c r="AR46" s="4053"/>
      <c r="AS46" s="4053"/>
      <c r="AT46" s="4053"/>
      <c r="AU46" s="4053"/>
      <c r="AV46" s="4053"/>
      <c r="AW46" s="4053"/>
      <c r="AX46" s="4053"/>
      <c r="AY46" s="4053"/>
      <c r="AZ46" s="4053"/>
      <c r="BA46" s="4053"/>
      <c r="BB46" s="4053"/>
      <c r="BC46" s="4053"/>
      <c r="BD46" s="4053"/>
      <c r="BE46" s="4053"/>
      <c r="BF46" s="4053"/>
      <c r="BG46" s="4064"/>
      <c r="BH46" s="4064"/>
      <c r="BI46" s="4060"/>
      <c r="BJ46" s="2514"/>
      <c r="BK46" s="2514"/>
      <c r="BL46" s="4053"/>
      <c r="BM46" s="4053"/>
      <c r="BN46" s="4053"/>
      <c r="BO46" s="4053"/>
      <c r="BP46" s="4057"/>
    </row>
    <row r="47" spans="1:68" ht="95.25" customHeight="1" x14ac:dyDescent="0.2">
      <c r="A47" s="4026"/>
      <c r="B47" s="4026"/>
      <c r="C47" s="4026"/>
      <c r="D47" s="2475"/>
      <c r="E47" s="2475"/>
      <c r="F47" s="2475"/>
      <c r="G47" s="2496"/>
      <c r="H47" s="3670"/>
      <c r="I47" s="2884"/>
      <c r="J47" s="2423"/>
      <c r="K47" s="4048"/>
      <c r="L47" s="4049"/>
      <c r="M47" s="2820"/>
      <c r="N47" s="2343"/>
      <c r="O47" s="3251"/>
      <c r="P47" s="4045"/>
      <c r="Q47" s="4047"/>
      <c r="R47" s="2463"/>
      <c r="S47" s="2440"/>
      <c r="T47" s="1908" t="s">
        <v>1873</v>
      </c>
      <c r="U47" s="2066">
        <v>32376667</v>
      </c>
      <c r="V47" s="2062">
        <v>15119999</v>
      </c>
      <c r="W47" s="2062">
        <v>2119999</v>
      </c>
      <c r="X47" s="2063" t="s">
        <v>1867</v>
      </c>
      <c r="Y47" s="2064" t="s">
        <v>1868</v>
      </c>
      <c r="Z47" s="4053"/>
      <c r="AA47" s="4053"/>
      <c r="AB47" s="4053"/>
      <c r="AC47" s="4053"/>
      <c r="AD47" s="4053"/>
      <c r="AE47" s="4053"/>
      <c r="AF47" s="4053"/>
      <c r="AG47" s="4053"/>
      <c r="AH47" s="4053"/>
      <c r="AI47" s="4053"/>
      <c r="AJ47" s="4053"/>
      <c r="AK47" s="4053"/>
      <c r="AL47" s="4053"/>
      <c r="AM47" s="4053"/>
      <c r="AN47" s="4053"/>
      <c r="AO47" s="4053"/>
      <c r="AP47" s="4053"/>
      <c r="AQ47" s="4053"/>
      <c r="AR47" s="4053"/>
      <c r="AS47" s="4053"/>
      <c r="AT47" s="4053"/>
      <c r="AU47" s="4053"/>
      <c r="AV47" s="4053"/>
      <c r="AW47" s="4053"/>
      <c r="AX47" s="4053"/>
      <c r="AY47" s="4053"/>
      <c r="AZ47" s="4053"/>
      <c r="BA47" s="4053"/>
      <c r="BB47" s="4053"/>
      <c r="BC47" s="4053"/>
      <c r="BD47" s="4053"/>
      <c r="BE47" s="4053"/>
      <c r="BF47" s="4053"/>
      <c r="BG47" s="4064"/>
      <c r="BH47" s="4064"/>
      <c r="BI47" s="4060"/>
      <c r="BJ47" s="2514"/>
      <c r="BK47" s="2514"/>
      <c r="BL47" s="4053"/>
      <c r="BM47" s="4053"/>
      <c r="BN47" s="4053"/>
      <c r="BO47" s="4053"/>
      <c r="BP47" s="4057"/>
    </row>
    <row r="48" spans="1:68" ht="95.25" customHeight="1" x14ac:dyDescent="0.2">
      <c r="A48" s="4026"/>
      <c r="B48" s="4026"/>
      <c r="C48" s="4026"/>
      <c r="D48" s="2475"/>
      <c r="E48" s="2475"/>
      <c r="F48" s="2475"/>
      <c r="G48" s="2497"/>
      <c r="H48" s="3670"/>
      <c r="I48" s="2895"/>
      <c r="J48" s="2424"/>
      <c r="K48" s="4048"/>
      <c r="L48" s="4049"/>
      <c r="M48" s="2820"/>
      <c r="N48" s="2343"/>
      <c r="O48" s="3251"/>
      <c r="P48" s="4046"/>
      <c r="Q48" s="4047"/>
      <c r="R48" s="2463"/>
      <c r="S48" s="2440"/>
      <c r="T48" s="1908" t="s">
        <v>1874</v>
      </c>
      <c r="U48" s="2066">
        <f>5893333+2160000</f>
        <v>8053333</v>
      </c>
      <c r="V48" s="2062">
        <v>5893333</v>
      </c>
      <c r="W48" s="2062">
        <v>5893333</v>
      </c>
      <c r="X48" s="2063" t="s">
        <v>1867</v>
      </c>
      <c r="Y48" s="2064" t="s">
        <v>1868</v>
      </c>
      <c r="Z48" s="4053"/>
      <c r="AA48" s="4053"/>
      <c r="AB48" s="4053"/>
      <c r="AC48" s="4053"/>
      <c r="AD48" s="4053"/>
      <c r="AE48" s="4053"/>
      <c r="AF48" s="4053"/>
      <c r="AG48" s="4053"/>
      <c r="AH48" s="4053"/>
      <c r="AI48" s="4053"/>
      <c r="AJ48" s="4053"/>
      <c r="AK48" s="4053"/>
      <c r="AL48" s="4053"/>
      <c r="AM48" s="4053"/>
      <c r="AN48" s="4053"/>
      <c r="AO48" s="4053"/>
      <c r="AP48" s="4053"/>
      <c r="AQ48" s="4053"/>
      <c r="AR48" s="4053"/>
      <c r="AS48" s="4053"/>
      <c r="AT48" s="4053"/>
      <c r="AU48" s="4053"/>
      <c r="AV48" s="4053"/>
      <c r="AW48" s="4053"/>
      <c r="AX48" s="4053"/>
      <c r="AY48" s="4053"/>
      <c r="AZ48" s="4053"/>
      <c r="BA48" s="4053"/>
      <c r="BB48" s="4053"/>
      <c r="BC48" s="4053"/>
      <c r="BD48" s="4053"/>
      <c r="BE48" s="4053"/>
      <c r="BF48" s="4053"/>
      <c r="BG48" s="4064"/>
      <c r="BH48" s="4064"/>
      <c r="BI48" s="4060"/>
      <c r="BJ48" s="2514"/>
      <c r="BK48" s="2514"/>
      <c r="BL48" s="4053"/>
      <c r="BM48" s="4053"/>
      <c r="BN48" s="4053"/>
      <c r="BO48" s="4053"/>
      <c r="BP48" s="4057"/>
    </row>
    <row r="49" spans="1:68" ht="95.25" customHeight="1" x14ac:dyDescent="0.2">
      <c r="A49" s="4026"/>
      <c r="B49" s="4026"/>
      <c r="C49" s="4026"/>
      <c r="D49" s="2475"/>
      <c r="E49" s="2475"/>
      <c r="F49" s="2475"/>
      <c r="G49" s="2495">
        <v>1903015</v>
      </c>
      <c r="H49" s="3109">
        <v>11.6</v>
      </c>
      <c r="I49" s="2894" t="s">
        <v>1875</v>
      </c>
      <c r="J49" s="2422" t="s">
        <v>1876</v>
      </c>
      <c r="K49" s="4048">
        <v>12</v>
      </c>
      <c r="L49" s="4049">
        <v>3</v>
      </c>
      <c r="M49" s="2820"/>
      <c r="N49" s="2343"/>
      <c r="O49" s="3251"/>
      <c r="P49" s="4044">
        <f>SUM(U49:U62)/Q42</f>
        <v>0.74175040415887405</v>
      </c>
      <c r="Q49" s="4047"/>
      <c r="R49" s="2463"/>
      <c r="S49" s="2440"/>
      <c r="T49" s="1908" t="s">
        <v>1877</v>
      </c>
      <c r="U49" s="2066">
        <f>14246667+933333</f>
        <v>15180000</v>
      </c>
      <c r="V49" s="2062">
        <v>14246667</v>
      </c>
      <c r="W49" s="2062">
        <v>14246667</v>
      </c>
      <c r="X49" s="2063" t="s">
        <v>1867</v>
      </c>
      <c r="Y49" s="2064" t="s">
        <v>1868</v>
      </c>
      <c r="Z49" s="4053"/>
      <c r="AA49" s="4053"/>
      <c r="AB49" s="4053"/>
      <c r="AC49" s="4053"/>
      <c r="AD49" s="4053"/>
      <c r="AE49" s="4053"/>
      <c r="AF49" s="4053"/>
      <c r="AG49" s="4053"/>
      <c r="AH49" s="4053"/>
      <c r="AI49" s="4053"/>
      <c r="AJ49" s="4053"/>
      <c r="AK49" s="4053"/>
      <c r="AL49" s="4053"/>
      <c r="AM49" s="4053"/>
      <c r="AN49" s="4053"/>
      <c r="AO49" s="4053"/>
      <c r="AP49" s="4053"/>
      <c r="AQ49" s="4053"/>
      <c r="AR49" s="4053"/>
      <c r="AS49" s="4053"/>
      <c r="AT49" s="4053"/>
      <c r="AU49" s="4053"/>
      <c r="AV49" s="4053"/>
      <c r="AW49" s="4053"/>
      <c r="AX49" s="4053"/>
      <c r="AY49" s="4053"/>
      <c r="AZ49" s="4053"/>
      <c r="BA49" s="4053"/>
      <c r="BB49" s="4053"/>
      <c r="BC49" s="4053"/>
      <c r="BD49" s="4053"/>
      <c r="BE49" s="4053"/>
      <c r="BF49" s="4053"/>
      <c r="BG49" s="4064"/>
      <c r="BH49" s="4064"/>
      <c r="BI49" s="4060"/>
      <c r="BJ49" s="2514"/>
      <c r="BK49" s="2514"/>
      <c r="BL49" s="4053"/>
      <c r="BM49" s="4053"/>
      <c r="BN49" s="4053"/>
      <c r="BO49" s="4053"/>
      <c r="BP49" s="4057"/>
    </row>
    <row r="50" spans="1:68" ht="95.25" customHeight="1" x14ac:dyDescent="0.2">
      <c r="A50" s="4026"/>
      <c r="B50" s="4026"/>
      <c r="C50" s="4026"/>
      <c r="D50" s="2475"/>
      <c r="E50" s="2475"/>
      <c r="F50" s="2475"/>
      <c r="G50" s="2496"/>
      <c r="H50" s="3767"/>
      <c r="I50" s="2884"/>
      <c r="J50" s="2423"/>
      <c r="K50" s="4048"/>
      <c r="L50" s="4049"/>
      <c r="M50" s="2820"/>
      <c r="N50" s="2343"/>
      <c r="O50" s="3251"/>
      <c r="P50" s="4045"/>
      <c r="Q50" s="4047"/>
      <c r="R50" s="2463"/>
      <c r="S50" s="2440"/>
      <c r="T50" s="1908" t="s">
        <v>1878</v>
      </c>
      <c r="U50" s="2066">
        <v>1866667</v>
      </c>
      <c r="V50" s="2062">
        <v>1866667</v>
      </c>
      <c r="W50" s="2062">
        <v>1866667</v>
      </c>
      <c r="X50" s="2063" t="s">
        <v>1867</v>
      </c>
      <c r="Y50" s="2064" t="s">
        <v>1868</v>
      </c>
      <c r="Z50" s="4053"/>
      <c r="AA50" s="4053"/>
      <c r="AB50" s="4053"/>
      <c r="AC50" s="4053"/>
      <c r="AD50" s="4053"/>
      <c r="AE50" s="4053"/>
      <c r="AF50" s="4053"/>
      <c r="AG50" s="4053"/>
      <c r="AH50" s="4053"/>
      <c r="AI50" s="4053"/>
      <c r="AJ50" s="4053"/>
      <c r="AK50" s="4053"/>
      <c r="AL50" s="4053"/>
      <c r="AM50" s="4053"/>
      <c r="AN50" s="4053"/>
      <c r="AO50" s="4053"/>
      <c r="AP50" s="4053"/>
      <c r="AQ50" s="4053"/>
      <c r="AR50" s="4053"/>
      <c r="AS50" s="4053"/>
      <c r="AT50" s="4053"/>
      <c r="AU50" s="4053"/>
      <c r="AV50" s="4053"/>
      <c r="AW50" s="4053"/>
      <c r="AX50" s="4053"/>
      <c r="AY50" s="4053"/>
      <c r="AZ50" s="4053"/>
      <c r="BA50" s="4053"/>
      <c r="BB50" s="4053"/>
      <c r="BC50" s="4053"/>
      <c r="BD50" s="4053"/>
      <c r="BE50" s="4053"/>
      <c r="BF50" s="4053"/>
      <c r="BG50" s="4064"/>
      <c r="BH50" s="4064"/>
      <c r="BI50" s="4060"/>
      <c r="BJ50" s="2514"/>
      <c r="BK50" s="2514"/>
      <c r="BL50" s="4053"/>
      <c r="BM50" s="4053"/>
      <c r="BN50" s="4053"/>
      <c r="BO50" s="4053"/>
      <c r="BP50" s="4057"/>
    </row>
    <row r="51" spans="1:68" ht="95.25" customHeight="1" x14ac:dyDescent="0.2">
      <c r="A51" s="4026"/>
      <c r="B51" s="4026"/>
      <c r="C51" s="4026"/>
      <c r="D51" s="2475"/>
      <c r="E51" s="2475"/>
      <c r="F51" s="2475"/>
      <c r="G51" s="2496"/>
      <c r="H51" s="3767"/>
      <c r="I51" s="2884"/>
      <c r="J51" s="2423"/>
      <c r="K51" s="4048"/>
      <c r="L51" s="4049"/>
      <c r="M51" s="2820"/>
      <c r="N51" s="2343"/>
      <c r="O51" s="3251"/>
      <c r="P51" s="4045"/>
      <c r="Q51" s="4047"/>
      <c r="R51" s="2463"/>
      <c r="S51" s="2440"/>
      <c r="T51" s="1908" t="s">
        <v>1879</v>
      </c>
      <c r="U51" s="2066">
        <v>3300000</v>
      </c>
      <c r="V51" s="2062">
        <v>3300000</v>
      </c>
      <c r="W51" s="2062">
        <v>3300000</v>
      </c>
      <c r="X51" s="2063" t="s">
        <v>1867</v>
      </c>
      <c r="Y51" s="2064" t="s">
        <v>1868</v>
      </c>
      <c r="Z51" s="4053"/>
      <c r="AA51" s="4053"/>
      <c r="AB51" s="4053"/>
      <c r="AC51" s="4053"/>
      <c r="AD51" s="4053"/>
      <c r="AE51" s="4053"/>
      <c r="AF51" s="4053"/>
      <c r="AG51" s="4053"/>
      <c r="AH51" s="4053"/>
      <c r="AI51" s="4053"/>
      <c r="AJ51" s="4053"/>
      <c r="AK51" s="4053"/>
      <c r="AL51" s="4053"/>
      <c r="AM51" s="4053"/>
      <c r="AN51" s="4053"/>
      <c r="AO51" s="4053"/>
      <c r="AP51" s="4053"/>
      <c r="AQ51" s="4053"/>
      <c r="AR51" s="4053"/>
      <c r="AS51" s="4053"/>
      <c r="AT51" s="4053"/>
      <c r="AU51" s="4053"/>
      <c r="AV51" s="4053"/>
      <c r="AW51" s="4053"/>
      <c r="AX51" s="4053"/>
      <c r="AY51" s="4053"/>
      <c r="AZ51" s="4053"/>
      <c r="BA51" s="4053"/>
      <c r="BB51" s="4053"/>
      <c r="BC51" s="4053"/>
      <c r="BD51" s="4053"/>
      <c r="BE51" s="4053"/>
      <c r="BF51" s="4053"/>
      <c r="BG51" s="4064"/>
      <c r="BH51" s="4064"/>
      <c r="BI51" s="4060"/>
      <c r="BJ51" s="2514"/>
      <c r="BK51" s="2514"/>
      <c r="BL51" s="4053"/>
      <c r="BM51" s="4053"/>
      <c r="BN51" s="4053"/>
      <c r="BO51" s="4053"/>
      <c r="BP51" s="4057"/>
    </row>
    <row r="52" spans="1:68" ht="95.25" customHeight="1" x14ac:dyDescent="0.2">
      <c r="A52" s="4026"/>
      <c r="B52" s="4026"/>
      <c r="C52" s="4026"/>
      <c r="D52" s="2475"/>
      <c r="E52" s="2475"/>
      <c r="F52" s="2475"/>
      <c r="G52" s="2496"/>
      <c r="H52" s="3767"/>
      <c r="I52" s="2884"/>
      <c r="J52" s="2423"/>
      <c r="K52" s="4048"/>
      <c r="L52" s="4049"/>
      <c r="M52" s="2820"/>
      <c r="N52" s="2343"/>
      <c r="O52" s="3251"/>
      <c r="P52" s="4045"/>
      <c r="Q52" s="4047"/>
      <c r="R52" s="2463"/>
      <c r="S52" s="2440"/>
      <c r="T52" s="1908" t="s">
        <v>1880</v>
      </c>
      <c r="U52" s="2066">
        <f>1074666+10925334</f>
        <v>12000000</v>
      </c>
      <c r="V52" s="2062">
        <v>6000000</v>
      </c>
      <c r="W52" s="2062">
        <v>1074666</v>
      </c>
      <c r="X52" s="2063" t="s">
        <v>1867</v>
      </c>
      <c r="Y52" s="2064" t="s">
        <v>1868</v>
      </c>
      <c r="Z52" s="4053"/>
      <c r="AA52" s="4053"/>
      <c r="AB52" s="4053"/>
      <c r="AC52" s="4053"/>
      <c r="AD52" s="4053"/>
      <c r="AE52" s="4053"/>
      <c r="AF52" s="4053"/>
      <c r="AG52" s="4053"/>
      <c r="AH52" s="4053"/>
      <c r="AI52" s="4053"/>
      <c r="AJ52" s="4053"/>
      <c r="AK52" s="4053"/>
      <c r="AL52" s="4053"/>
      <c r="AM52" s="4053"/>
      <c r="AN52" s="4053"/>
      <c r="AO52" s="4053"/>
      <c r="AP52" s="4053"/>
      <c r="AQ52" s="4053"/>
      <c r="AR52" s="4053"/>
      <c r="AS52" s="4053"/>
      <c r="AT52" s="4053"/>
      <c r="AU52" s="4053"/>
      <c r="AV52" s="4053"/>
      <c r="AW52" s="4053"/>
      <c r="AX52" s="4053"/>
      <c r="AY52" s="4053"/>
      <c r="AZ52" s="4053"/>
      <c r="BA52" s="4053"/>
      <c r="BB52" s="4053"/>
      <c r="BC52" s="4053"/>
      <c r="BD52" s="4053"/>
      <c r="BE52" s="4053"/>
      <c r="BF52" s="4053"/>
      <c r="BG52" s="4064"/>
      <c r="BH52" s="4064"/>
      <c r="BI52" s="4060"/>
      <c r="BJ52" s="2514"/>
      <c r="BK52" s="2514"/>
      <c r="BL52" s="4053"/>
      <c r="BM52" s="4053"/>
      <c r="BN52" s="4053"/>
      <c r="BO52" s="4053"/>
      <c r="BP52" s="4057"/>
    </row>
    <row r="53" spans="1:68" ht="95.25" customHeight="1" x14ac:dyDescent="0.2">
      <c r="A53" s="4026"/>
      <c r="B53" s="4026"/>
      <c r="C53" s="4026"/>
      <c r="D53" s="2475"/>
      <c r="E53" s="2475"/>
      <c r="F53" s="2475"/>
      <c r="G53" s="2496"/>
      <c r="H53" s="3767"/>
      <c r="I53" s="2884"/>
      <c r="J53" s="2423"/>
      <c r="K53" s="4048"/>
      <c r="L53" s="4049"/>
      <c r="M53" s="2820"/>
      <c r="N53" s="2343"/>
      <c r="O53" s="3251"/>
      <c r="P53" s="4045"/>
      <c r="Q53" s="4047"/>
      <c r="R53" s="2463"/>
      <c r="S53" s="2440"/>
      <c r="T53" s="1908" t="s">
        <v>1881</v>
      </c>
      <c r="U53" s="2066">
        <f>4316000+7684000</f>
        <v>12000000</v>
      </c>
      <c r="V53" s="2062">
        <v>7000000</v>
      </c>
      <c r="W53" s="2062">
        <v>4316000</v>
      </c>
      <c r="X53" s="2063" t="s">
        <v>1867</v>
      </c>
      <c r="Y53" s="2064" t="s">
        <v>1868</v>
      </c>
      <c r="Z53" s="4053"/>
      <c r="AA53" s="4053"/>
      <c r="AB53" s="4053"/>
      <c r="AC53" s="4053"/>
      <c r="AD53" s="4053"/>
      <c r="AE53" s="4053"/>
      <c r="AF53" s="4053"/>
      <c r="AG53" s="4053"/>
      <c r="AH53" s="4053"/>
      <c r="AI53" s="4053"/>
      <c r="AJ53" s="4053"/>
      <c r="AK53" s="4053"/>
      <c r="AL53" s="4053"/>
      <c r="AM53" s="4053"/>
      <c r="AN53" s="4053"/>
      <c r="AO53" s="4053"/>
      <c r="AP53" s="4053"/>
      <c r="AQ53" s="4053"/>
      <c r="AR53" s="4053"/>
      <c r="AS53" s="4053"/>
      <c r="AT53" s="4053"/>
      <c r="AU53" s="4053"/>
      <c r="AV53" s="4053"/>
      <c r="AW53" s="4053"/>
      <c r="AX53" s="4053"/>
      <c r="AY53" s="4053"/>
      <c r="AZ53" s="4053"/>
      <c r="BA53" s="4053"/>
      <c r="BB53" s="4053"/>
      <c r="BC53" s="4053"/>
      <c r="BD53" s="4053"/>
      <c r="BE53" s="4053"/>
      <c r="BF53" s="4053"/>
      <c r="BG53" s="4064"/>
      <c r="BH53" s="4064"/>
      <c r="BI53" s="4060"/>
      <c r="BJ53" s="2514"/>
      <c r="BK53" s="2514"/>
      <c r="BL53" s="4053"/>
      <c r="BM53" s="4053"/>
      <c r="BN53" s="4053"/>
      <c r="BO53" s="4053"/>
      <c r="BP53" s="4057"/>
    </row>
    <row r="54" spans="1:68" ht="95.25" customHeight="1" x14ac:dyDescent="0.2">
      <c r="A54" s="4026"/>
      <c r="B54" s="4026"/>
      <c r="C54" s="4026"/>
      <c r="D54" s="2475"/>
      <c r="E54" s="2475"/>
      <c r="F54" s="2475"/>
      <c r="G54" s="2496"/>
      <c r="H54" s="3767"/>
      <c r="I54" s="2884"/>
      <c r="J54" s="2423"/>
      <c r="K54" s="4048"/>
      <c r="L54" s="4049"/>
      <c r="M54" s="2820"/>
      <c r="N54" s="2343"/>
      <c r="O54" s="3251"/>
      <c r="P54" s="4045"/>
      <c r="Q54" s="4047"/>
      <c r="R54" s="2463"/>
      <c r="S54" s="2440"/>
      <c r="T54" s="1908" t="s">
        <v>1882</v>
      </c>
      <c r="U54" s="2066">
        <f>4480000+7520000</f>
        <v>12000000</v>
      </c>
      <c r="V54" s="2062">
        <v>8000000</v>
      </c>
      <c r="W54" s="2062">
        <v>4480000</v>
      </c>
      <c r="X54" s="2063" t="s">
        <v>1867</v>
      </c>
      <c r="Y54" s="2064" t="s">
        <v>1868</v>
      </c>
      <c r="Z54" s="4053"/>
      <c r="AA54" s="4053"/>
      <c r="AB54" s="4053"/>
      <c r="AC54" s="4053"/>
      <c r="AD54" s="4053"/>
      <c r="AE54" s="4053"/>
      <c r="AF54" s="4053"/>
      <c r="AG54" s="4053"/>
      <c r="AH54" s="4053"/>
      <c r="AI54" s="4053"/>
      <c r="AJ54" s="4053"/>
      <c r="AK54" s="4053"/>
      <c r="AL54" s="4053"/>
      <c r="AM54" s="4053"/>
      <c r="AN54" s="4053"/>
      <c r="AO54" s="4053"/>
      <c r="AP54" s="4053"/>
      <c r="AQ54" s="4053"/>
      <c r="AR54" s="4053"/>
      <c r="AS54" s="4053"/>
      <c r="AT54" s="4053"/>
      <c r="AU54" s="4053"/>
      <c r="AV54" s="4053"/>
      <c r="AW54" s="4053"/>
      <c r="AX54" s="4053"/>
      <c r="AY54" s="4053"/>
      <c r="AZ54" s="4053"/>
      <c r="BA54" s="4053"/>
      <c r="BB54" s="4053"/>
      <c r="BC54" s="4053"/>
      <c r="BD54" s="4053"/>
      <c r="BE54" s="4053"/>
      <c r="BF54" s="4053"/>
      <c r="BG54" s="4064"/>
      <c r="BH54" s="4064"/>
      <c r="BI54" s="4060"/>
      <c r="BJ54" s="2514"/>
      <c r="BK54" s="2514"/>
      <c r="BL54" s="4053"/>
      <c r="BM54" s="4053"/>
      <c r="BN54" s="4053"/>
      <c r="BO54" s="4053"/>
      <c r="BP54" s="4057"/>
    </row>
    <row r="55" spans="1:68" ht="95.25" customHeight="1" x14ac:dyDescent="0.2">
      <c r="A55" s="4026"/>
      <c r="B55" s="4026"/>
      <c r="C55" s="4026"/>
      <c r="D55" s="2475"/>
      <c r="E55" s="2475"/>
      <c r="F55" s="2475"/>
      <c r="G55" s="2496"/>
      <c r="H55" s="3767"/>
      <c r="I55" s="2884"/>
      <c r="J55" s="2423"/>
      <c r="K55" s="4048"/>
      <c r="L55" s="4049"/>
      <c r="M55" s="2820"/>
      <c r="N55" s="2343"/>
      <c r="O55" s="3251"/>
      <c r="P55" s="4045"/>
      <c r="Q55" s="4047"/>
      <c r="R55" s="2463"/>
      <c r="S55" s="2440"/>
      <c r="T55" s="1908" t="s">
        <v>1883</v>
      </c>
      <c r="U55" s="2066">
        <f>3756000+8244000</f>
        <v>12000000</v>
      </c>
      <c r="V55" s="2062">
        <v>6000000</v>
      </c>
      <c r="W55" s="2077">
        <v>3756000</v>
      </c>
      <c r="X55" s="2063" t="s">
        <v>1867</v>
      </c>
      <c r="Y55" s="2064" t="s">
        <v>1868</v>
      </c>
      <c r="Z55" s="4053"/>
      <c r="AA55" s="4053"/>
      <c r="AB55" s="4053"/>
      <c r="AC55" s="4053"/>
      <c r="AD55" s="4053"/>
      <c r="AE55" s="4053"/>
      <c r="AF55" s="4053"/>
      <c r="AG55" s="4053"/>
      <c r="AH55" s="4053"/>
      <c r="AI55" s="4053"/>
      <c r="AJ55" s="4053"/>
      <c r="AK55" s="4053"/>
      <c r="AL55" s="4053"/>
      <c r="AM55" s="4053"/>
      <c r="AN55" s="4053"/>
      <c r="AO55" s="4053"/>
      <c r="AP55" s="4053"/>
      <c r="AQ55" s="4053"/>
      <c r="AR55" s="4053"/>
      <c r="AS55" s="4053"/>
      <c r="AT55" s="4053"/>
      <c r="AU55" s="4053"/>
      <c r="AV55" s="4053"/>
      <c r="AW55" s="4053"/>
      <c r="AX55" s="4053"/>
      <c r="AY55" s="4053"/>
      <c r="AZ55" s="4053"/>
      <c r="BA55" s="4053"/>
      <c r="BB55" s="4053"/>
      <c r="BC55" s="4053"/>
      <c r="BD55" s="4053"/>
      <c r="BE55" s="4053"/>
      <c r="BF55" s="4053"/>
      <c r="BG55" s="4064"/>
      <c r="BH55" s="4064"/>
      <c r="BI55" s="4060"/>
      <c r="BJ55" s="2514"/>
      <c r="BK55" s="2514"/>
      <c r="BL55" s="4053"/>
      <c r="BM55" s="4053"/>
      <c r="BN55" s="4053"/>
      <c r="BO55" s="4053"/>
      <c r="BP55" s="4057"/>
    </row>
    <row r="56" spans="1:68" ht="95.25" customHeight="1" x14ac:dyDescent="0.2">
      <c r="A56" s="4026"/>
      <c r="B56" s="4026"/>
      <c r="C56" s="4026"/>
      <c r="D56" s="2475"/>
      <c r="E56" s="2475"/>
      <c r="F56" s="2475"/>
      <c r="G56" s="2496"/>
      <c r="H56" s="3767"/>
      <c r="I56" s="2884"/>
      <c r="J56" s="2423"/>
      <c r="K56" s="4048"/>
      <c r="L56" s="4049"/>
      <c r="M56" s="2820"/>
      <c r="N56" s="2343"/>
      <c r="O56" s="3251"/>
      <c r="P56" s="4045"/>
      <c r="Q56" s="4047"/>
      <c r="R56" s="2463"/>
      <c r="S56" s="2440"/>
      <c r="T56" s="1908" t="s">
        <v>1884</v>
      </c>
      <c r="U56" s="2066">
        <f>2240000+9760000</f>
        <v>12000000</v>
      </c>
      <c r="V56" s="2062">
        <v>4399997</v>
      </c>
      <c r="W56" s="2062">
        <v>2240000</v>
      </c>
      <c r="X56" s="2063" t="s">
        <v>1867</v>
      </c>
      <c r="Y56" s="2064" t="s">
        <v>1868</v>
      </c>
      <c r="Z56" s="4053"/>
      <c r="AA56" s="4053"/>
      <c r="AB56" s="4053"/>
      <c r="AC56" s="4053"/>
      <c r="AD56" s="4053"/>
      <c r="AE56" s="4053"/>
      <c r="AF56" s="4053"/>
      <c r="AG56" s="4053"/>
      <c r="AH56" s="4053"/>
      <c r="AI56" s="4053"/>
      <c r="AJ56" s="4053"/>
      <c r="AK56" s="4053"/>
      <c r="AL56" s="4053"/>
      <c r="AM56" s="4053"/>
      <c r="AN56" s="4053"/>
      <c r="AO56" s="4053"/>
      <c r="AP56" s="4053"/>
      <c r="AQ56" s="4053"/>
      <c r="AR56" s="4053"/>
      <c r="AS56" s="4053"/>
      <c r="AT56" s="4053"/>
      <c r="AU56" s="4053"/>
      <c r="AV56" s="4053"/>
      <c r="AW56" s="4053"/>
      <c r="AX56" s="4053"/>
      <c r="AY56" s="4053"/>
      <c r="AZ56" s="4053"/>
      <c r="BA56" s="4053"/>
      <c r="BB56" s="4053"/>
      <c r="BC56" s="4053"/>
      <c r="BD56" s="4053"/>
      <c r="BE56" s="4053"/>
      <c r="BF56" s="4053"/>
      <c r="BG56" s="4064"/>
      <c r="BH56" s="4064"/>
      <c r="BI56" s="4060"/>
      <c r="BJ56" s="2514"/>
      <c r="BK56" s="2514"/>
      <c r="BL56" s="4053"/>
      <c r="BM56" s="4053"/>
      <c r="BN56" s="4053"/>
      <c r="BO56" s="4053"/>
      <c r="BP56" s="4057"/>
    </row>
    <row r="57" spans="1:68" ht="95.25" customHeight="1" x14ac:dyDescent="0.2">
      <c r="A57" s="4026"/>
      <c r="B57" s="4026"/>
      <c r="C57" s="4026"/>
      <c r="D57" s="2475"/>
      <c r="E57" s="2475"/>
      <c r="F57" s="2475"/>
      <c r="G57" s="2496"/>
      <c r="H57" s="3767"/>
      <c r="I57" s="2884"/>
      <c r="J57" s="2423"/>
      <c r="K57" s="4048"/>
      <c r="L57" s="4049"/>
      <c r="M57" s="2820"/>
      <c r="N57" s="2343"/>
      <c r="O57" s="3251"/>
      <c r="P57" s="4045"/>
      <c r="Q57" s="4047"/>
      <c r="R57" s="2463"/>
      <c r="S57" s="2440"/>
      <c r="T57" s="1908" t="s">
        <v>1885</v>
      </c>
      <c r="U57" s="2066">
        <v>20000000</v>
      </c>
      <c r="V57" s="2062">
        <v>8000000</v>
      </c>
      <c r="W57" s="2062">
        <v>1000000</v>
      </c>
      <c r="X57" s="2063" t="s">
        <v>1867</v>
      </c>
      <c r="Y57" s="2064" t="s">
        <v>1868</v>
      </c>
      <c r="Z57" s="4053"/>
      <c r="AA57" s="4053"/>
      <c r="AB57" s="4053"/>
      <c r="AC57" s="4053"/>
      <c r="AD57" s="4053"/>
      <c r="AE57" s="4053"/>
      <c r="AF57" s="4053"/>
      <c r="AG57" s="4053"/>
      <c r="AH57" s="4053"/>
      <c r="AI57" s="4053"/>
      <c r="AJ57" s="4053"/>
      <c r="AK57" s="4053"/>
      <c r="AL57" s="4053"/>
      <c r="AM57" s="4053"/>
      <c r="AN57" s="4053"/>
      <c r="AO57" s="4053"/>
      <c r="AP57" s="4053"/>
      <c r="AQ57" s="4053"/>
      <c r="AR57" s="4053"/>
      <c r="AS57" s="4053"/>
      <c r="AT57" s="4053"/>
      <c r="AU57" s="4053"/>
      <c r="AV57" s="4053"/>
      <c r="AW57" s="4053"/>
      <c r="AX57" s="4053"/>
      <c r="AY57" s="4053"/>
      <c r="AZ57" s="4053"/>
      <c r="BA57" s="4053"/>
      <c r="BB57" s="4053"/>
      <c r="BC57" s="4053"/>
      <c r="BD57" s="4053"/>
      <c r="BE57" s="4053"/>
      <c r="BF57" s="4053"/>
      <c r="BG57" s="4064"/>
      <c r="BH57" s="4064"/>
      <c r="BI57" s="4060"/>
      <c r="BJ57" s="2514"/>
      <c r="BK57" s="2514"/>
      <c r="BL57" s="4053"/>
      <c r="BM57" s="4053"/>
      <c r="BN57" s="4053"/>
      <c r="BO57" s="4053"/>
      <c r="BP57" s="4057"/>
    </row>
    <row r="58" spans="1:68" ht="120" customHeight="1" x14ac:dyDescent="0.2">
      <c r="A58" s="4026"/>
      <c r="B58" s="4026"/>
      <c r="C58" s="4026"/>
      <c r="D58" s="2475"/>
      <c r="E58" s="2475"/>
      <c r="F58" s="2475"/>
      <c r="G58" s="2496"/>
      <c r="H58" s="3767"/>
      <c r="I58" s="2884"/>
      <c r="J58" s="2423"/>
      <c r="K58" s="4048"/>
      <c r="L58" s="4049"/>
      <c r="M58" s="2820"/>
      <c r="N58" s="2343"/>
      <c r="O58" s="3251"/>
      <c r="P58" s="4045"/>
      <c r="Q58" s="4047"/>
      <c r="R58" s="2463"/>
      <c r="S58" s="2440"/>
      <c r="T58" s="1908" t="s">
        <v>1886</v>
      </c>
      <c r="U58" s="2066">
        <v>21000000</v>
      </c>
      <c r="V58" s="2062">
        <v>7000000</v>
      </c>
      <c r="W58" s="2062">
        <v>1000000</v>
      </c>
      <c r="X58" s="2063" t="s">
        <v>1867</v>
      </c>
      <c r="Y58" s="2064" t="s">
        <v>1868</v>
      </c>
      <c r="Z58" s="4053"/>
      <c r="AA58" s="4053"/>
      <c r="AB58" s="4053"/>
      <c r="AC58" s="4053"/>
      <c r="AD58" s="4053"/>
      <c r="AE58" s="4053"/>
      <c r="AF58" s="4053"/>
      <c r="AG58" s="4053"/>
      <c r="AH58" s="4053"/>
      <c r="AI58" s="4053"/>
      <c r="AJ58" s="4053"/>
      <c r="AK58" s="4053"/>
      <c r="AL58" s="4053"/>
      <c r="AM58" s="4053"/>
      <c r="AN58" s="4053"/>
      <c r="AO58" s="4053"/>
      <c r="AP58" s="4053"/>
      <c r="AQ58" s="4053"/>
      <c r="AR58" s="4053"/>
      <c r="AS58" s="4053"/>
      <c r="AT58" s="4053"/>
      <c r="AU58" s="4053"/>
      <c r="AV58" s="4053"/>
      <c r="AW58" s="4053"/>
      <c r="AX58" s="4053"/>
      <c r="AY58" s="4053"/>
      <c r="AZ58" s="4053"/>
      <c r="BA58" s="4053"/>
      <c r="BB58" s="4053"/>
      <c r="BC58" s="4053"/>
      <c r="BD58" s="4053"/>
      <c r="BE58" s="4053"/>
      <c r="BF58" s="4053"/>
      <c r="BG58" s="4064"/>
      <c r="BH58" s="4064"/>
      <c r="BI58" s="4060"/>
      <c r="BJ58" s="2514"/>
      <c r="BK58" s="2514"/>
      <c r="BL58" s="4053"/>
      <c r="BM58" s="4053"/>
      <c r="BN58" s="4053"/>
      <c r="BO58" s="4053"/>
      <c r="BP58" s="4057"/>
    </row>
    <row r="59" spans="1:68" ht="95.25" customHeight="1" x14ac:dyDescent="0.2">
      <c r="A59" s="4026"/>
      <c r="B59" s="4026"/>
      <c r="C59" s="4026"/>
      <c r="D59" s="2475"/>
      <c r="E59" s="2475"/>
      <c r="F59" s="2475"/>
      <c r="G59" s="2496"/>
      <c r="H59" s="3767"/>
      <c r="I59" s="2884"/>
      <c r="J59" s="2423"/>
      <c r="K59" s="4048"/>
      <c r="L59" s="4049"/>
      <c r="M59" s="2820"/>
      <c r="N59" s="2343"/>
      <c r="O59" s="3251"/>
      <c r="P59" s="4045"/>
      <c r="Q59" s="4047"/>
      <c r="R59" s="2463"/>
      <c r="S59" s="2440"/>
      <c r="T59" s="1908" t="s">
        <v>1887</v>
      </c>
      <c r="U59" s="2066">
        <f>59653333-2000000</f>
        <v>57653333</v>
      </c>
      <c r="V59" s="2062">
        <v>6000000</v>
      </c>
      <c r="W59" s="2062"/>
      <c r="X59" s="2063" t="s">
        <v>1867</v>
      </c>
      <c r="Y59" s="2064" t="s">
        <v>1868</v>
      </c>
      <c r="Z59" s="4053"/>
      <c r="AA59" s="4053"/>
      <c r="AB59" s="4053"/>
      <c r="AC59" s="4053"/>
      <c r="AD59" s="4053"/>
      <c r="AE59" s="4053"/>
      <c r="AF59" s="4053"/>
      <c r="AG59" s="4053"/>
      <c r="AH59" s="4053"/>
      <c r="AI59" s="4053"/>
      <c r="AJ59" s="4053"/>
      <c r="AK59" s="4053"/>
      <c r="AL59" s="4053"/>
      <c r="AM59" s="4053"/>
      <c r="AN59" s="4053"/>
      <c r="AO59" s="4053"/>
      <c r="AP59" s="4053"/>
      <c r="AQ59" s="4053"/>
      <c r="AR59" s="4053"/>
      <c r="AS59" s="4053"/>
      <c r="AT59" s="4053"/>
      <c r="AU59" s="4053"/>
      <c r="AV59" s="4053"/>
      <c r="AW59" s="4053"/>
      <c r="AX59" s="4053"/>
      <c r="AY59" s="4053"/>
      <c r="AZ59" s="4053"/>
      <c r="BA59" s="4053"/>
      <c r="BB59" s="4053"/>
      <c r="BC59" s="4053"/>
      <c r="BD59" s="4053"/>
      <c r="BE59" s="4053"/>
      <c r="BF59" s="4053"/>
      <c r="BG59" s="4064"/>
      <c r="BH59" s="4064"/>
      <c r="BI59" s="4060"/>
      <c r="BJ59" s="2514"/>
      <c r="BK59" s="2514"/>
      <c r="BL59" s="4053"/>
      <c r="BM59" s="4053"/>
      <c r="BN59" s="4053"/>
      <c r="BO59" s="4053"/>
      <c r="BP59" s="4057"/>
    </row>
    <row r="60" spans="1:68" ht="95.25" customHeight="1" x14ac:dyDescent="0.2">
      <c r="A60" s="4026"/>
      <c r="B60" s="4026"/>
      <c r="C60" s="4026"/>
      <c r="D60" s="2475"/>
      <c r="E60" s="2475"/>
      <c r="F60" s="2475"/>
      <c r="G60" s="2496"/>
      <c r="H60" s="3767"/>
      <c r="I60" s="2884"/>
      <c r="J60" s="2423"/>
      <c r="K60" s="4048"/>
      <c r="L60" s="4049"/>
      <c r="M60" s="2820"/>
      <c r="N60" s="2343"/>
      <c r="O60" s="3251"/>
      <c r="P60" s="4045"/>
      <c r="Q60" s="4047"/>
      <c r="R60" s="2463"/>
      <c r="S60" s="2440"/>
      <c r="T60" s="1908" t="s">
        <v>1888</v>
      </c>
      <c r="U60" s="2066">
        <v>25000000</v>
      </c>
      <c r="V60" s="2062">
        <v>8480001</v>
      </c>
      <c r="W60" s="2062">
        <v>1000000</v>
      </c>
      <c r="X60" s="2063" t="s">
        <v>1867</v>
      </c>
      <c r="Y60" s="2064" t="s">
        <v>1868</v>
      </c>
      <c r="Z60" s="4053"/>
      <c r="AA60" s="4053"/>
      <c r="AB60" s="4053"/>
      <c r="AC60" s="4053"/>
      <c r="AD60" s="4053"/>
      <c r="AE60" s="4053"/>
      <c r="AF60" s="4053"/>
      <c r="AG60" s="4053"/>
      <c r="AH60" s="4053"/>
      <c r="AI60" s="4053"/>
      <c r="AJ60" s="4053"/>
      <c r="AK60" s="4053"/>
      <c r="AL60" s="4053"/>
      <c r="AM60" s="4053"/>
      <c r="AN60" s="4053"/>
      <c r="AO60" s="4053"/>
      <c r="AP60" s="4053"/>
      <c r="AQ60" s="4053"/>
      <c r="AR60" s="4053"/>
      <c r="AS60" s="4053"/>
      <c r="AT60" s="4053"/>
      <c r="AU60" s="4053"/>
      <c r="AV60" s="4053"/>
      <c r="AW60" s="4053"/>
      <c r="AX60" s="4053"/>
      <c r="AY60" s="4053"/>
      <c r="AZ60" s="4053"/>
      <c r="BA60" s="4053"/>
      <c r="BB60" s="4053"/>
      <c r="BC60" s="4053"/>
      <c r="BD60" s="4053"/>
      <c r="BE60" s="4053"/>
      <c r="BF60" s="4053"/>
      <c r="BG60" s="4064"/>
      <c r="BH60" s="4064"/>
      <c r="BI60" s="4060"/>
      <c r="BJ60" s="2514"/>
      <c r="BK60" s="2514"/>
      <c r="BL60" s="4053"/>
      <c r="BM60" s="4053"/>
      <c r="BN60" s="4053"/>
      <c r="BO60" s="4053"/>
      <c r="BP60" s="4057"/>
    </row>
    <row r="61" spans="1:68" ht="95.25" customHeight="1" x14ac:dyDescent="0.2">
      <c r="A61" s="4026"/>
      <c r="B61" s="4026"/>
      <c r="C61" s="4026"/>
      <c r="D61" s="2475"/>
      <c r="E61" s="2475"/>
      <c r="F61" s="2475"/>
      <c r="G61" s="2496"/>
      <c r="H61" s="3767"/>
      <c r="I61" s="2884"/>
      <c r="J61" s="2423"/>
      <c r="K61" s="4048"/>
      <c r="L61" s="4049"/>
      <c r="M61" s="2820"/>
      <c r="N61" s="2343"/>
      <c r="O61" s="3251"/>
      <c r="P61" s="4045"/>
      <c r="Q61" s="4047"/>
      <c r="R61" s="2463"/>
      <c r="S61" s="2440"/>
      <c r="T61" s="1908" t="s">
        <v>1889</v>
      </c>
      <c r="U61" s="2066">
        <v>15000000</v>
      </c>
      <c r="V61" s="2062">
        <v>6000000</v>
      </c>
      <c r="W61" s="2062">
        <v>1000000</v>
      </c>
      <c r="X61" s="2063" t="s">
        <v>1867</v>
      </c>
      <c r="Y61" s="2064" t="s">
        <v>1868</v>
      </c>
      <c r="Z61" s="4053"/>
      <c r="AA61" s="4053"/>
      <c r="AB61" s="4053"/>
      <c r="AC61" s="4053"/>
      <c r="AD61" s="4053"/>
      <c r="AE61" s="4053"/>
      <c r="AF61" s="4053"/>
      <c r="AG61" s="4053"/>
      <c r="AH61" s="4053"/>
      <c r="AI61" s="4053"/>
      <c r="AJ61" s="4053"/>
      <c r="AK61" s="4053"/>
      <c r="AL61" s="4053"/>
      <c r="AM61" s="4053"/>
      <c r="AN61" s="4053"/>
      <c r="AO61" s="4053"/>
      <c r="AP61" s="4053"/>
      <c r="AQ61" s="4053"/>
      <c r="AR61" s="4053"/>
      <c r="AS61" s="4053"/>
      <c r="AT61" s="4053"/>
      <c r="AU61" s="4053"/>
      <c r="AV61" s="4053"/>
      <c r="AW61" s="4053"/>
      <c r="AX61" s="4053"/>
      <c r="AY61" s="4053"/>
      <c r="AZ61" s="4053"/>
      <c r="BA61" s="4053"/>
      <c r="BB61" s="4053"/>
      <c r="BC61" s="4053"/>
      <c r="BD61" s="4053"/>
      <c r="BE61" s="4053"/>
      <c r="BF61" s="4053"/>
      <c r="BG61" s="4064"/>
      <c r="BH61" s="4064"/>
      <c r="BI61" s="4060"/>
      <c r="BJ61" s="2514"/>
      <c r="BK61" s="2514"/>
      <c r="BL61" s="4053"/>
      <c r="BM61" s="4053"/>
      <c r="BN61" s="4053"/>
      <c r="BO61" s="4053"/>
      <c r="BP61" s="4057"/>
    </row>
    <row r="62" spans="1:68" ht="95.25" customHeight="1" x14ac:dyDescent="0.2">
      <c r="A62" s="4026"/>
      <c r="B62" s="4026"/>
      <c r="C62" s="4026"/>
      <c r="D62" s="2475"/>
      <c r="E62" s="2475"/>
      <c r="F62" s="2475"/>
      <c r="G62" s="2497"/>
      <c r="H62" s="3110"/>
      <c r="I62" s="2895"/>
      <c r="J62" s="2424"/>
      <c r="K62" s="4048"/>
      <c r="L62" s="4049"/>
      <c r="M62" s="2820"/>
      <c r="N62" s="2491"/>
      <c r="O62" s="2750"/>
      <c r="P62" s="4046"/>
      <c r="Q62" s="3383"/>
      <c r="R62" s="2463"/>
      <c r="S62" s="2441"/>
      <c r="T62" s="1908" t="s">
        <v>1890</v>
      </c>
      <c r="U62" s="2066">
        <v>15000000</v>
      </c>
      <c r="V62" s="2062">
        <v>5000000</v>
      </c>
      <c r="W62" s="2062">
        <v>600000</v>
      </c>
      <c r="X62" s="2063" t="s">
        <v>1867</v>
      </c>
      <c r="Y62" s="2064" t="s">
        <v>1868</v>
      </c>
      <c r="Z62" s="4054"/>
      <c r="AA62" s="4054"/>
      <c r="AB62" s="4054"/>
      <c r="AC62" s="4054"/>
      <c r="AD62" s="4054"/>
      <c r="AE62" s="4054"/>
      <c r="AF62" s="4054"/>
      <c r="AG62" s="4054"/>
      <c r="AH62" s="4054"/>
      <c r="AI62" s="4054"/>
      <c r="AJ62" s="4054"/>
      <c r="AK62" s="4054"/>
      <c r="AL62" s="4054"/>
      <c r="AM62" s="4054"/>
      <c r="AN62" s="4054"/>
      <c r="AO62" s="4054"/>
      <c r="AP62" s="4054"/>
      <c r="AQ62" s="4054"/>
      <c r="AR62" s="4054"/>
      <c r="AS62" s="4054"/>
      <c r="AT62" s="4054"/>
      <c r="AU62" s="4054"/>
      <c r="AV62" s="4054"/>
      <c r="AW62" s="4054"/>
      <c r="AX62" s="4054"/>
      <c r="AY62" s="4054"/>
      <c r="AZ62" s="4054"/>
      <c r="BA62" s="4054"/>
      <c r="BB62" s="4054"/>
      <c r="BC62" s="4054"/>
      <c r="BD62" s="4054"/>
      <c r="BE62" s="4054"/>
      <c r="BF62" s="4054"/>
      <c r="BG62" s="4065"/>
      <c r="BH62" s="4065"/>
      <c r="BI62" s="4061"/>
      <c r="BJ62" s="4062"/>
      <c r="BK62" s="4062"/>
      <c r="BL62" s="4054"/>
      <c r="BM62" s="4054"/>
      <c r="BN62" s="4054"/>
      <c r="BO62" s="4054"/>
      <c r="BP62" s="4058"/>
    </row>
    <row r="63" spans="1:68" ht="60.75" customHeight="1" x14ac:dyDescent="0.2">
      <c r="A63" s="4026"/>
      <c r="B63" s="4026"/>
      <c r="C63" s="4026"/>
      <c r="D63" s="2475"/>
      <c r="E63" s="2475"/>
      <c r="F63" s="2475"/>
      <c r="G63" s="2314">
        <v>1903012</v>
      </c>
      <c r="H63" s="4068">
        <v>11.5</v>
      </c>
      <c r="I63" s="2919" t="s">
        <v>1891</v>
      </c>
      <c r="J63" s="2919" t="s">
        <v>1892</v>
      </c>
      <c r="K63" s="4048">
        <v>4000</v>
      </c>
      <c r="L63" s="4048">
        <v>11056</v>
      </c>
      <c r="M63" s="4066" t="s">
        <v>1893</v>
      </c>
      <c r="N63" s="2343" t="s">
        <v>1894</v>
      </c>
      <c r="O63" s="2413" t="s">
        <v>1895</v>
      </c>
      <c r="P63" s="4067">
        <f>SUM(U63:U70)/Q63</f>
        <v>0.80416416030797766</v>
      </c>
      <c r="Q63" s="4047">
        <f>SUM(U63:U76)</f>
        <v>1079211718</v>
      </c>
      <c r="R63" s="2463" t="s">
        <v>1896</v>
      </c>
      <c r="S63" s="4071" t="s">
        <v>1897</v>
      </c>
      <c r="T63" s="1970" t="s">
        <v>1898</v>
      </c>
      <c r="U63" s="2078">
        <f>47511412+294488588+54700000-19489759</f>
        <v>377210241</v>
      </c>
      <c r="V63" s="2079">
        <v>85772367</v>
      </c>
      <c r="W63" s="2079">
        <v>54700000</v>
      </c>
      <c r="X63" s="1912">
        <v>61</v>
      </c>
      <c r="Y63" s="2080" t="s">
        <v>1868</v>
      </c>
      <c r="Z63" s="2306">
        <v>289394</v>
      </c>
      <c r="AA63" s="2306">
        <f>Z63*0.27</f>
        <v>78136.38</v>
      </c>
      <c r="AB63" s="2306">
        <v>279112</v>
      </c>
      <c r="AC63" s="2306">
        <f>AB63*0.27</f>
        <v>75360.240000000005</v>
      </c>
      <c r="AD63" s="2306">
        <v>63164</v>
      </c>
      <c r="AE63" s="2306">
        <f>AD63*0.27</f>
        <v>17054.280000000002</v>
      </c>
      <c r="AF63" s="2306">
        <v>45607</v>
      </c>
      <c r="AG63" s="2306">
        <f>AF63*0.27</f>
        <v>12313.890000000001</v>
      </c>
      <c r="AH63" s="2306">
        <v>365607</v>
      </c>
      <c r="AI63" s="2306">
        <f>AH63*0.27</f>
        <v>98713.89</v>
      </c>
      <c r="AJ63" s="2306">
        <v>75612</v>
      </c>
      <c r="AK63" s="2306">
        <f>AJ63*0.27</f>
        <v>20415.240000000002</v>
      </c>
      <c r="AL63" s="2306">
        <v>2145</v>
      </c>
      <c r="AM63" s="2306">
        <f>AL63*0.27</f>
        <v>579.15000000000009</v>
      </c>
      <c r="AN63" s="2306">
        <v>12718</v>
      </c>
      <c r="AO63" s="2306">
        <f>AN63*0.27</f>
        <v>3433.86</v>
      </c>
      <c r="AP63" s="2306">
        <v>26</v>
      </c>
      <c r="AQ63" s="2306">
        <f>AP63*0.27</f>
        <v>7.0200000000000005</v>
      </c>
      <c r="AR63" s="2306">
        <v>37</v>
      </c>
      <c r="AS63" s="2306">
        <f>AR63*0.27</f>
        <v>9.99</v>
      </c>
      <c r="AT63" s="2306">
        <v>0</v>
      </c>
      <c r="AU63" s="2306">
        <f>AT63*0.27</f>
        <v>0</v>
      </c>
      <c r="AV63" s="2306">
        <v>0</v>
      </c>
      <c r="AW63" s="2306">
        <f>AV63*0.27</f>
        <v>0</v>
      </c>
      <c r="AX63" s="2306">
        <v>78</v>
      </c>
      <c r="AY63" s="2306">
        <f>AX63*0.27</f>
        <v>21.060000000000002</v>
      </c>
      <c r="AZ63" s="2306">
        <v>16897</v>
      </c>
      <c r="BA63" s="2306">
        <f>AZ63*0.27</f>
        <v>4562.1900000000005</v>
      </c>
      <c r="BB63" s="2306">
        <v>852</v>
      </c>
      <c r="BC63" s="2306">
        <f>BB63*0.27</f>
        <v>230.04000000000002</v>
      </c>
      <c r="BD63" s="2306">
        <v>568506</v>
      </c>
      <c r="BE63" s="2306">
        <f>BD63*0.27</f>
        <v>153496.62000000002</v>
      </c>
      <c r="BF63" s="2306">
        <v>28</v>
      </c>
      <c r="BG63" s="4039">
        <f>SUM(V63:V76)</f>
        <v>288151033</v>
      </c>
      <c r="BH63" s="4039">
        <f>SUM(W63:W76)</f>
        <v>132936679</v>
      </c>
      <c r="BI63" s="3031">
        <f>SUM(BG63/Q63)</f>
        <v>0.26700139388219651</v>
      </c>
      <c r="BJ63" s="2422" t="s">
        <v>1809</v>
      </c>
      <c r="BK63" s="2422" t="s">
        <v>1810</v>
      </c>
      <c r="BL63" s="3719">
        <v>43832</v>
      </c>
      <c r="BM63" s="3719">
        <v>43832</v>
      </c>
      <c r="BN63" s="3719">
        <v>44196</v>
      </c>
      <c r="BO63" s="3719">
        <v>44196</v>
      </c>
      <c r="BP63" s="2422" t="s">
        <v>1811</v>
      </c>
    </row>
    <row r="64" spans="1:68" ht="60.75" customHeight="1" x14ac:dyDescent="0.2">
      <c r="A64" s="4026"/>
      <c r="B64" s="4026"/>
      <c r="C64" s="4026"/>
      <c r="D64" s="2475"/>
      <c r="E64" s="2475"/>
      <c r="F64" s="2475"/>
      <c r="G64" s="2314"/>
      <c r="H64" s="4068"/>
      <c r="I64" s="2919"/>
      <c r="J64" s="2919"/>
      <c r="K64" s="4048"/>
      <c r="L64" s="4048"/>
      <c r="M64" s="4066"/>
      <c r="N64" s="2343"/>
      <c r="O64" s="2413"/>
      <c r="P64" s="4067"/>
      <c r="Q64" s="4047"/>
      <c r="R64" s="2463"/>
      <c r="S64" s="4071"/>
      <c r="T64" s="3139" t="s">
        <v>1899</v>
      </c>
      <c r="U64" s="2078">
        <v>38301477</v>
      </c>
      <c r="V64" s="2079">
        <v>0</v>
      </c>
      <c r="W64" s="2079">
        <v>0</v>
      </c>
      <c r="X64" s="1912">
        <v>61</v>
      </c>
      <c r="Y64" s="2080" t="s">
        <v>1868</v>
      </c>
      <c r="Z64" s="2307"/>
      <c r="AA64" s="2307"/>
      <c r="AB64" s="2307"/>
      <c r="AC64" s="2307"/>
      <c r="AD64" s="2307"/>
      <c r="AE64" s="2307"/>
      <c r="AF64" s="2307"/>
      <c r="AG64" s="2307"/>
      <c r="AH64" s="2307"/>
      <c r="AI64" s="2307"/>
      <c r="AJ64" s="2307"/>
      <c r="AK64" s="2307"/>
      <c r="AL64" s="2307"/>
      <c r="AM64" s="2307"/>
      <c r="AN64" s="2307"/>
      <c r="AO64" s="2307"/>
      <c r="AP64" s="2307"/>
      <c r="AQ64" s="2307"/>
      <c r="AR64" s="2307"/>
      <c r="AS64" s="2307"/>
      <c r="AT64" s="2307"/>
      <c r="AU64" s="2307"/>
      <c r="AV64" s="2307"/>
      <c r="AW64" s="2307"/>
      <c r="AX64" s="2307"/>
      <c r="AY64" s="2307"/>
      <c r="AZ64" s="2307"/>
      <c r="BA64" s="2307"/>
      <c r="BB64" s="2307"/>
      <c r="BC64" s="2307"/>
      <c r="BD64" s="2307"/>
      <c r="BE64" s="2307"/>
      <c r="BF64" s="2307"/>
      <c r="BG64" s="2567"/>
      <c r="BH64" s="2567"/>
      <c r="BI64" s="3032"/>
      <c r="BJ64" s="2423"/>
      <c r="BK64" s="2423"/>
      <c r="BL64" s="2307"/>
      <c r="BM64" s="2307"/>
      <c r="BN64" s="2307"/>
      <c r="BO64" s="2307"/>
      <c r="BP64" s="2423"/>
    </row>
    <row r="65" spans="1:68" ht="60.75" customHeight="1" x14ac:dyDescent="0.2">
      <c r="A65" s="4026"/>
      <c r="B65" s="4026"/>
      <c r="C65" s="4026"/>
      <c r="D65" s="2475"/>
      <c r="E65" s="2475"/>
      <c r="F65" s="2475"/>
      <c r="G65" s="2314"/>
      <c r="H65" s="4068"/>
      <c r="I65" s="2919"/>
      <c r="J65" s="2919"/>
      <c r="K65" s="4048"/>
      <c r="L65" s="4048"/>
      <c r="M65" s="4066"/>
      <c r="N65" s="2343"/>
      <c r="O65" s="2413"/>
      <c r="P65" s="4067"/>
      <c r="Q65" s="4047"/>
      <c r="R65" s="2463"/>
      <c r="S65" s="4071"/>
      <c r="T65" s="4072"/>
      <c r="U65" s="2078">
        <v>54700000</v>
      </c>
      <c r="V65" s="2079">
        <v>0</v>
      </c>
      <c r="W65" s="2079">
        <v>0</v>
      </c>
      <c r="X65" s="1912">
        <v>170</v>
      </c>
      <c r="Y65" s="2080" t="s">
        <v>1900</v>
      </c>
      <c r="Z65" s="2307"/>
      <c r="AA65" s="2307"/>
      <c r="AB65" s="2307"/>
      <c r="AC65" s="2307"/>
      <c r="AD65" s="2307"/>
      <c r="AE65" s="2307"/>
      <c r="AF65" s="2307"/>
      <c r="AG65" s="2307"/>
      <c r="AH65" s="2307"/>
      <c r="AI65" s="2307"/>
      <c r="AJ65" s="2307"/>
      <c r="AK65" s="2307"/>
      <c r="AL65" s="2307"/>
      <c r="AM65" s="2307"/>
      <c r="AN65" s="2307"/>
      <c r="AO65" s="2307"/>
      <c r="AP65" s="2307"/>
      <c r="AQ65" s="2307"/>
      <c r="AR65" s="2307"/>
      <c r="AS65" s="2307"/>
      <c r="AT65" s="2307"/>
      <c r="AU65" s="2307"/>
      <c r="AV65" s="2307"/>
      <c r="AW65" s="2307"/>
      <c r="AX65" s="2307"/>
      <c r="AY65" s="2307"/>
      <c r="AZ65" s="2307"/>
      <c r="BA65" s="2307"/>
      <c r="BB65" s="2307"/>
      <c r="BC65" s="2307"/>
      <c r="BD65" s="2307"/>
      <c r="BE65" s="2307"/>
      <c r="BF65" s="2307"/>
      <c r="BG65" s="2567"/>
      <c r="BH65" s="2567"/>
      <c r="BI65" s="3032"/>
      <c r="BJ65" s="2423"/>
      <c r="BK65" s="2423"/>
      <c r="BL65" s="2307"/>
      <c r="BM65" s="2307"/>
      <c r="BN65" s="2307"/>
      <c r="BO65" s="2307"/>
      <c r="BP65" s="2423"/>
    </row>
    <row r="66" spans="1:68" ht="84.75" customHeight="1" x14ac:dyDescent="0.2">
      <c r="A66" s="4026"/>
      <c r="B66" s="4026"/>
      <c r="C66" s="4026"/>
      <c r="D66" s="2475"/>
      <c r="E66" s="2475"/>
      <c r="F66" s="2475"/>
      <c r="G66" s="2314"/>
      <c r="H66" s="4068"/>
      <c r="I66" s="2919"/>
      <c r="J66" s="2919"/>
      <c r="K66" s="4048"/>
      <c r="L66" s="4048"/>
      <c r="M66" s="4066"/>
      <c r="N66" s="2343"/>
      <c r="O66" s="2413"/>
      <c r="P66" s="4067"/>
      <c r="Q66" s="4047"/>
      <c r="R66" s="2463"/>
      <c r="S66" s="4071"/>
      <c r="T66" s="2081" t="s">
        <v>1901</v>
      </c>
      <c r="U66" s="2078">
        <f>10343001+170008666</f>
        <v>180351667</v>
      </c>
      <c r="V66" s="2079">
        <v>70738077</v>
      </c>
      <c r="W66" s="2079">
        <v>19264079</v>
      </c>
      <c r="X66" s="1912">
        <v>61</v>
      </c>
      <c r="Y66" s="2080" t="s">
        <v>1868</v>
      </c>
      <c r="Z66" s="2307"/>
      <c r="AA66" s="2307"/>
      <c r="AB66" s="2307"/>
      <c r="AC66" s="2307"/>
      <c r="AD66" s="2307"/>
      <c r="AE66" s="2307"/>
      <c r="AF66" s="2307"/>
      <c r="AG66" s="2307"/>
      <c r="AH66" s="2307"/>
      <c r="AI66" s="2307"/>
      <c r="AJ66" s="2307"/>
      <c r="AK66" s="2307"/>
      <c r="AL66" s="2307"/>
      <c r="AM66" s="2307"/>
      <c r="AN66" s="2307"/>
      <c r="AO66" s="2307"/>
      <c r="AP66" s="2307"/>
      <c r="AQ66" s="2307"/>
      <c r="AR66" s="2307"/>
      <c r="AS66" s="2307"/>
      <c r="AT66" s="2307"/>
      <c r="AU66" s="2307"/>
      <c r="AV66" s="2307"/>
      <c r="AW66" s="2307"/>
      <c r="AX66" s="2307"/>
      <c r="AY66" s="2307"/>
      <c r="AZ66" s="2307"/>
      <c r="BA66" s="2307"/>
      <c r="BB66" s="2307"/>
      <c r="BC66" s="2307"/>
      <c r="BD66" s="2307"/>
      <c r="BE66" s="2307"/>
      <c r="BF66" s="2307"/>
      <c r="BG66" s="2567"/>
      <c r="BH66" s="2567"/>
      <c r="BI66" s="3032"/>
      <c r="BJ66" s="2423"/>
      <c r="BK66" s="2423"/>
      <c r="BL66" s="2307"/>
      <c r="BM66" s="2307"/>
      <c r="BN66" s="2307"/>
      <c r="BO66" s="2307"/>
      <c r="BP66" s="2423"/>
    </row>
    <row r="67" spans="1:68" ht="68.25" customHeight="1" x14ac:dyDescent="0.2">
      <c r="A67" s="4026"/>
      <c r="B67" s="4026"/>
      <c r="C67" s="4026"/>
      <c r="D67" s="2475"/>
      <c r="E67" s="2475"/>
      <c r="F67" s="2475"/>
      <c r="G67" s="2314"/>
      <c r="H67" s="4068"/>
      <c r="I67" s="2919"/>
      <c r="J67" s="2919"/>
      <c r="K67" s="4048"/>
      <c r="L67" s="4048"/>
      <c r="M67" s="4066"/>
      <c r="N67" s="2343"/>
      <c r="O67" s="2413"/>
      <c r="P67" s="4067"/>
      <c r="Q67" s="4047"/>
      <c r="R67" s="2463"/>
      <c r="S67" s="4071"/>
      <c r="T67" s="3139" t="s">
        <v>1902</v>
      </c>
      <c r="U67" s="2078">
        <f>3897333+136102667</f>
        <v>140000000</v>
      </c>
      <c r="V67" s="2079">
        <v>27979667</v>
      </c>
      <c r="W67" s="2079">
        <v>18979667</v>
      </c>
      <c r="X67" s="1912">
        <v>61</v>
      </c>
      <c r="Y67" s="2080" t="s">
        <v>1868</v>
      </c>
      <c r="Z67" s="2307"/>
      <c r="AA67" s="2307"/>
      <c r="AB67" s="2307"/>
      <c r="AC67" s="2307"/>
      <c r="AD67" s="2307"/>
      <c r="AE67" s="2307"/>
      <c r="AF67" s="2307"/>
      <c r="AG67" s="2307"/>
      <c r="AH67" s="2307"/>
      <c r="AI67" s="2307"/>
      <c r="AJ67" s="2307"/>
      <c r="AK67" s="2307"/>
      <c r="AL67" s="2307"/>
      <c r="AM67" s="2307"/>
      <c r="AN67" s="2307"/>
      <c r="AO67" s="2307"/>
      <c r="AP67" s="2307"/>
      <c r="AQ67" s="2307"/>
      <c r="AR67" s="2307"/>
      <c r="AS67" s="2307"/>
      <c r="AT67" s="2307"/>
      <c r="AU67" s="2307"/>
      <c r="AV67" s="2307"/>
      <c r="AW67" s="2307"/>
      <c r="AX67" s="2307"/>
      <c r="AY67" s="2307"/>
      <c r="AZ67" s="2307"/>
      <c r="BA67" s="2307"/>
      <c r="BB67" s="2307"/>
      <c r="BC67" s="2307"/>
      <c r="BD67" s="2307"/>
      <c r="BE67" s="2307"/>
      <c r="BF67" s="2307"/>
      <c r="BG67" s="2567"/>
      <c r="BH67" s="2567"/>
      <c r="BI67" s="3032"/>
      <c r="BJ67" s="2423"/>
      <c r="BK67" s="2423"/>
      <c r="BL67" s="2307"/>
      <c r="BM67" s="2307"/>
      <c r="BN67" s="2307"/>
      <c r="BO67" s="2307"/>
      <c r="BP67" s="2423"/>
    </row>
    <row r="68" spans="1:68" ht="60.75" customHeight="1" x14ac:dyDescent="0.2">
      <c r="A68" s="4026"/>
      <c r="B68" s="4026"/>
      <c r="C68" s="4026"/>
      <c r="D68" s="2475"/>
      <c r="E68" s="2475"/>
      <c r="F68" s="2475"/>
      <c r="G68" s="2314"/>
      <c r="H68" s="4068"/>
      <c r="I68" s="2919"/>
      <c r="J68" s="2919"/>
      <c r="K68" s="4048"/>
      <c r="L68" s="4048"/>
      <c r="M68" s="4066"/>
      <c r="N68" s="2343"/>
      <c r="O68" s="2413"/>
      <c r="P68" s="4067"/>
      <c r="Q68" s="4047"/>
      <c r="R68" s="2463"/>
      <c r="S68" s="4071"/>
      <c r="T68" s="4072"/>
      <c r="U68" s="2078">
        <v>40500000</v>
      </c>
      <c r="V68" s="2079">
        <v>38586656</v>
      </c>
      <c r="W68" s="2079">
        <v>5300000</v>
      </c>
      <c r="X68" s="1912">
        <v>170</v>
      </c>
      <c r="Y68" s="2080" t="s">
        <v>1903</v>
      </c>
      <c r="Z68" s="2307"/>
      <c r="AA68" s="2307"/>
      <c r="AB68" s="2307"/>
      <c r="AC68" s="2307"/>
      <c r="AD68" s="2307"/>
      <c r="AE68" s="2307"/>
      <c r="AF68" s="2307"/>
      <c r="AG68" s="2307"/>
      <c r="AH68" s="2307"/>
      <c r="AI68" s="2307"/>
      <c r="AJ68" s="2307"/>
      <c r="AK68" s="2307"/>
      <c r="AL68" s="2307"/>
      <c r="AM68" s="2307"/>
      <c r="AN68" s="2307"/>
      <c r="AO68" s="2307"/>
      <c r="AP68" s="2307"/>
      <c r="AQ68" s="2307"/>
      <c r="AR68" s="2307"/>
      <c r="AS68" s="2307"/>
      <c r="AT68" s="2307"/>
      <c r="AU68" s="2307"/>
      <c r="AV68" s="2307"/>
      <c r="AW68" s="2307"/>
      <c r="AX68" s="2307"/>
      <c r="AY68" s="2307"/>
      <c r="AZ68" s="2307"/>
      <c r="BA68" s="2307"/>
      <c r="BB68" s="2307"/>
      <c r="BC68" s="2307"/>
      <c r="BD68" s="2307"/>
      <c r="BE68" s="2307"/>
      <c r="BF68" s="2307"/>
      <c r="BG68" s="2567"/>
      <c r="BH68" s="2567"/>
      <c r="BI68" s="3032"/>
      <c r="BJ68" s="2423"/>
      <c r="BK68" s="2423"/>
      <c r="BL68" s="2307"/>
      <c r="BM68" s="2307"/>
      <c r="BN68" s="2307"/>
      <c r="BO68" s="2307"/>
      <c r="BP68" s="2423"/>
    </row>
    <row r="69" spans="1:68" ht="60.75" customHeight="1" x14ac:dyDescent="0.2">
      <c r="A69" s="4026"/>
      <c r="B69" s="4026"/>
      <c r="C69" s="4026"/>
      <c r="D69" s="2475"/>
      <c r="E69" s="2475"/>
      <c r="F69" s="2475"/>
      <c r="G69" s="2314"/>
      <c r="H69" s="4068"/>
      <c r="I69" s="2919"/>
      <c r="J69" s="2919"/>
      <c r="K69" s="4048"/>
      <c r="L69" s="4048"/>
      <c r="M69" s="4066"/>
      <c r="N69" s="2343"/>
      <c r="O69" s="2413"/>
      <c r="P69" s="4067"/>
      <c r="Q69" s="4047"/>
      <c r="R69" s="2463"/>
      <c r="S69" s="4071"/>
      <c r="T69" s="2081" t="s">
        <v>1904</v>
      </c>
      <c r="U69" s="2078">
        <f>4500000+15500000</f>
        <v>20000000</v>
      </c>
      <c r="V69" s="2079">
        <v>4500000</v>
      </c>
      <c r="W69" s="2079">
        <v>4500000</v>
      </c>
      <c r="X69" s="1912">
        <v>61</v>
      </c>
      <c r="Y69" s="2080" t="s">
        <v>1868</v>
      </c>
      <c r="Z69" s="2307"/>
      <c r="AA69" s="2307"/>
      <c r="AB69" s="2307"/>
      <c r="AC69" s="2307"/>
      <c r="AD69" s="2307"/>
      <c r="AE69" s="2307"/>
      <c r="AF69" s="2307"/>
      <c r="AG69" s="2307"/>
      <c r="AH69" s="2307"/>
      <c r="AI69" s="2307"/>
      <c r="AJ69" s="2307"/>
      <c r="AK69" s="2307"/>
      <c r="AL69" s="2307"/>
      <c r="AM69" s="2307"/>
      <c r="AN69" s="2307"/>
      <c r="AO69" s="2307"/>
      <c r="AP69" s="2307"/>
      <c r="AQ69" s="2307"/>
      <c r="AR69" s="2307"/>
      <c r="AS69" s="2307"/>
      <c r="AT69" s="2307"/>
      <c r="AU69" s="2307"/>
      <c r="AV69" s="2307"/>
      <c r="AW69" s="2307"/>
      <c r="AX69" s="2307"/>
      <c r="AY69" s="2307"/>
      <c r="AZ69" s="2307"/>
      <c r="BA69" s="2307"/>
      <c r="BB69" s="2307"/>
      <c r="BC69" s="2307"/>
      <c r="BD69" s="2307"/>
      <c r="BE69" s="2307"/>
      <c r="BF69" s="2307"/>
      <c r="BG69" s="2567"/>
      <c r="BH69" s="2567"/>
      <c r="BI69" s="3032"/>
      <c r="BJ69" s="2423"/>
      <c r="BK69" s="2423"/>
      <c r="BL69" s="2307"/>
      <c r="BM69" s="2307"/>
      <c r="BN69" s="2307"/>
      <c r="BO69" s="2307"/>
      <c r="BP69" s="2423"/>
    </row>
    <row r="70" spans="1:68" ht="60.75" customHeight="1" x14ac:dyDescent="0.2">
      <c r="A70" s="4026"/>
      <c r="B70" s="4026"/>
      <c r="C70" s="4026"/>
      <c r="D70" s="2475"/>
      <c r="E70" s="2475"/>
      <c r="F70" s="2475"/>
      <c r="G70" s="2314"/>
      <c r="H70" s="4068"/>
      <c r="I70" s="2919"/>
      <c r="J70" s="2919"/>
      <c r="K70" s="4048"/>
      <c r="L70" s="4048"/>
      <c r="M70" s="4066"/>
      <c r="N70" s="2343"/>
      <c r="O70" s="2413"/>
      <c r="P70" s="4067"/>
      <c r="Q70" s="4047"/>
      <c r="R70" s="2463"/>
      <c r="S70" s="4071"/>
      <c r="T70" s="2081" t="s">
        <v>1905</v>
      </c>
      <c r="U70" s="2066">
        <v>16800000</v>
      </c>
      <c r="V70" s="2079">
        <v>9333333</v>
      </c>
      <c r="W70" s="2079">
        <v>0</v>
      </c>
      <c r="X70" s="1912">
        <v>61</v>
      </c>
      <c r="Y70" s="2080" t="s">
        <v>1868</v>
      </c>
      <c r="Z70" s="2307"/>
      <c r="AA70" s="2307"/>
      <c r="AB70" s="2307"/>
      <c r="AC70" s="2307"/>
      <c r="AD70" s="2307"/>
      <c r="AE70" s="2307"/>
      <c r="AF70" s="2307"/>
      <c r="AG70" s="2307"/>
      <c r="AH70" s="2307"/>
      <c r="AI70" s="2307"/>
      <c r="AJ70" s="2307"/>
      <c r="AK70" s="2307"/>
      <c r="AL70" s="2307"/>
      <c r="AM70" s="2307"/>
      <c r="AN70" s="2307"/>
      <c r="AO70" s="2307"/>
      <c r="AP70" s="2307"/>
      <c r="AQ70" s="2307"/>
      <c r="AR70" s="2307"/>
      <c r="AS70" s="2307"/>
      <c r="AT70" s="2307"/>
      <c r="AU70" s="2307"/>
      <c r="AV70" s="2307"/>
      <c r="AW70" s="2307"/>
      <c r="AX70" s="2307"/>
      <c r="AY70" s="2307"/>
      <c r="AZ70" s="2307"/>
      <c r="BA70" s="2307"/>
      <c r="BB70" s="2307"/>
      <c r="BC70" s="2307"/>
      <c r="BD70" s="2307"/>
      <c r="BE70" s="2307"/>
      <c r="BF70" s="2307"/>
      <c r="BG70" s="2567"/>
      <c r="BH70" s="2567"/>
      <c r="BI70" s="3032"/>
      <c r="BJ70" s="2423"/>
      <c r="BK70" s="2423"/>
      <c r="BL70" s="2307"/>
      <c r="BM70" s="2307"/>
      <c r="BN70" s="2307"/>
      <c r="BO70" s="2307"/>
      <c r="BP70" s="2423"/>
    </row>
    <row r="71" spans="1:68" ht="60.75" customHeight="1" x14ac:dyDescent="0.2">
      <c r="A71" s="4026"/>
      <c r="B71" s="4026"/>
      <c r="C71" s="4026"/>
      <c r="D71" s="2475"/>
      <c r="E71" s="2475"/>
      <c r="F71" s="2475"/>
      <c r="G71" s="2340">
        <v>1903016</v>
      </c>
      <c r="H71" s="3670">
        <v>11.7</v>
      </c>
      <c r="I71" s="2453" t="s">
        <v>1906</v>
      </c>
      <c r="J71" s="3019" t="s">
        <v>1907</v>
      </c>
      <c r="K71" s="4048">
        <v>240</v>
      </c>
      <c r="L71" s="4049">
        <v>48</v>
      </c>
      <c r="M71" s="4066"/>
      <c r="N71" s="2343"/>
      <c r="O71" s="2413"/>
      <c r="P71" s="4044">
        <f>SUM(U71:U74)/Q63</f>
        <v>0.10317561525958154</v>
      </c>
      <c r="Q71" s="3383"/>
      <c r="R71" s="2463"/>
      <c r="S71" s="4071"/>
      <c r="T71" s="3139" t="s">
        <v>1908</v>
      </c>
      <c r="U71" s="2066">
        <f>40000000</f>
        <v>40000000</v>
      </c>
      <c r="V71" s="2062">
        <v>15744267</v>
      </c>
      <c r="W71" s="2062">
        <v>7016000</v>
      </c>
      <c r="X71" s="1912">
        <v>98</v>
      </c>
      <c r="Y71" s="2080" t="s">
        <v>1909</v>
      </c>
      <c r="Z71" s="2307"/>
      <c r="AA71" s="2307"/>
      <c r="AB71" s="2307"/>
      <c r="AC71" s="2307"/>
      <c r="AD71" s="2307"/>
      <c r="AE71" s="2307"/>
      <c r="AF71" s="2307"/>
      <c r="AG71" s="2307"/>
      <c r="AH71" s="2307"/>
      <c r="AI71" s="2307"/>
      <c r="AJ71" s="2307"/>
      <c r="AK71" s="2307"/>
      <c r="AL71" s="2307"/>
      <c r="AM71" s="2307"/>
      <c r="AN71" s="2307"/>
      <c r="AO71" s="2307"/>
      <c r="AP71" s="2307"/>
      <c r="AQ71" s="2307"/>
      <c r="AR71" s="2307"/>
      <c r="AS71" s="2307"/>
      <c r="AT71" s="2307"/>
      <c r="AU71" s="2307"/>
      <c r="AV71" s="2307"/>
      <c r="AW71" s="2307"/>
      <c r="AX71" s="2307"/>
      <c r="AY71" s="2307"/>
      <c r="AZ71" s="2307"/>
      <c r="BA71" s="2307"/>
      <c r="BB71" s="2307"/>
      <c r="BC71" s="2307"/>
      <c r="BD71" s="2307"/>
      <c r="BE71" s="2307"/>
      <c r="BF71" s="2307"/>
      <c r="BG71" s="2567"/>
      <c r="BH71" s="2567"/>
      <c r="BI71" s="3032"/>
      <c r="BJ71" s="2423"/>
      <c r="BK71" s="2423"/>
      <c r="BL71" s="2307"/>
      <c r="BM71" s="2307"/>
      <c r="BN71" s="2307"/>
      <c r="BO71" s="2307"/>
      <c r="BP71" s="2423"/>
    </row>
    <row r="72" spans="1:68" ht="60.75" customHeight="1" x14ac:dyDescent="0.2">
      <c r="A72" s="4026"/>
      <c r="B72" s="4026"/>
      <c r="C72" s="4026"/>
      <c r="D72" s="2475"/>
      <c r="E72" s="2475"/>
      <c r="F72" s="2475"/>
      <c r="G72" s="2341"/>
      <c r="H72" s="3670"/>
      <c r="I72" s="2453"/>
      <c r="J72" s="3020"/>
      <c r="K72" s="4048"/>
      <c r="L72" s="4049"/>
      <c r="M72" s="4066"/>
      <c r="N72" s="2343"/>
      <c r="O72" s="2413"/>
      <c r="P72" s="4045"/>
      <c r="Q72" s="3383"/>
      <c r="R72" s="2463"/>
      <c r="S72" s="4071"/>
      <c r="T72" s="4072"/>
      <c r="U72" s="2066">
        <v>11348333</v>
      </c>
      <c r="V72" s="2062">
        <v>11348333</v>
      </c>
      <c r="W72" s="2062">
        <v>11348333</v>
      </c>
      <c r="X72" s="1912">
        <v>61</v>
      </c>
      <c r="Y72" s="2080" t="s">
        <v>1868</v>
      </c>
      <c r="Z72" s="2307"/>
      <c r="AA72" s="2307"/>
      <c r="AB72" s="2307"/>
      <c r="AC72" s="2307"/>
      <c r="AD72" s="2307"/>
      <c r="AE72" s="2307"/>
      <c r="AF72" s="2307"/>
      <c r="AG72" s="2307"/>
      <c r="AH72" s="2307"/>
      <c r="AI72" s="2307"/>
      <c r="AJ72" s="2307"/>
      <c r="AK72" s="2307"/>
      <c r="AL72" s="2307"/>
      <c r="AM72" s="2307"/>
      <c r="AN72" s="2307"/>
      <c r="AO72" s="2307"/>
      <c r="AP72" s="2307"/>
      <c r="AQ72" s="2307"/>
      <c r="AR72" s="2307"/>
      <c r="AS72" s="2307"/>
      <c r="AT72" s="2307"/>
      <c r="AU72" s="2307"/>
      <c r="AV72" s="2307"/>
      <c r="AW72" s="2307"/>
      <c r="AX72" s="2307"/>
      <c r="AY72" s="2307"/>
      <c r="AZ72" s="2307"/>
      <c r="BA72" s="2307"/>
      <c r="BB72" s="2307"/>
      <c r="BC72" s="2307"/>
      <c r="BD72" s="2307"/>
      <c r="BE72" s="2307"/>
      <c r="BF72" s="2307"/>
      <c r="BG72" s="2567"/>
      <c r="BH72" s="2567"/>
      <c r="BI72" s="3032"/>
      <c r="BJ72" s="2423"/>
      <c r="BK72" s="2423"/>
      <c r="BL72" s="2307"/>
      <c r="BM72" s="2307"/>
      <c r="BN72" s="2307"/>
      <c r="BO72" s="2307"/>
      <c r="BP72" s="2423"/>
    </row>
    <row r="73" spans="1:68" ht="94.5" customHeight="1" x14ac:dyDescent="0.2">
      <c r="A73" s="4026"/>
      <c r="B73" s="4026"/>
      <c r="C73" s="4026"/>
      <c r="D73" s="2475"/>
      <c r="E73" s="2475"/>
      <c r="F73" s="2475"/>
      <c r="G73" s="2341"/>
      <c r="H73" s="3670"/>
      <c r="I73" s="2453"/>
      <c r="J73" s="3020"/>
      <c r="K73" s="4048"/>
      <c r="L73" s="4049"/>
      <c r="M73" s="4066"/>
      <c r="N73" s="2343"/>
      <c r="O73" s="2413"/>
      <c r="P73" s="4045"/>
      <c r="Q73" s="3383"/>
      <c r="R73" s="2463"/>
      <c r="S73" s="4071"/>
      <c r="T73" s="2081" t="s">
        <v>1910</v>
      </c>
      <c r="U73" s="2066">
        <v>35000000</v>
      </c>
      <c r="V73" s="2062">
        <v>12319733</v>
      </c>
      <c r="W73" s="2062">
        <v>0</v>
      </c>
      <c r="X73" s="1912">
        <v>98</v>
      </c>
      <c r="Y73" s="2080" t="s">
        <v>1909</v>
      </c>
      <c r="Z73" s="2307"/>
      <c r="AA73" s="2307"/>
      <c r="AB73" s="2307"/>
      <c r="AC73" s="2307"/>
      <c r="AD73" s="2307"/>
      <c r="AE73" s="2307"/>
      <c r="AF73" s="2307"/>
      <c r="AG73" s="2307"/>
      <c r="AH73" s="2307"/>
      <c r="AI73" s="2307"/>
      <c r="AJ73" s="2307"/>
      <c r="AK73" s="2307"/>
      <c r="AL73" s="2307"/>
      <c r="AM73" s="2307"/>
      <c r="AN73" s="2307"/>
      <c r="AO73" s="2307"/>
      <c r="AP73" s="2307"/>
      <c r="AQ73" s="2307"/>
      <c r="AR73" s="2307"/>
      <c r="AS73" s="2307"/>
      <c r="AT73" s="2307"/>
      <c r="AU73" s="2307"/>
      <c r="AV73" s="2307"/>
      <c r="AW73" s="2307"/>
      <c r="AX73" s="2307"/>
      <c r="AY73" s="2307"/>
      <c r="AZ73" s="2307"/>
      <c r="BA73" s="2307"/>
      <c r="BB73" s="2307"/>
      <c r="BC73" s="2307"/>
      <c r="BD73" s="2307"/>
      <c r="BE73" s="2307"/>
      <c r="BF73" s="2307"/>
      <c r="BG73" s="2567"/>
      <c r="BH73" s="2567"/>
      <c r="BI73" s="3032"/>
      <c r="BJ73" s="2423"/>
      <c r="BK73" s="2423"/>
      <c r="BL73" s="2307"/>
      <c r="BM73" s="2307"/>
      <c r="BN73" s="2307"/>
      <c r="BO73" s="2307"/>
      <c r="BP73" s="2423"/>
    </row>
    <row r="74" spans="1:68" ht="60.75" customHeight="1" x14ac:dyDescent="0.2">
      <c r="A74" s="4026"/>
      <c r="B74" s="4026"/>
      <c r="C74" s="4026"/>
      <c r="D74" s="2475"/>
      <c r="E74" s="2475"/>
      <c r="F74" s="2475"/>
      <c r="G74" s="2341"/>
      <c r="H74" s="3670"/>
      <c r="I74" s="2453"/>
      <c r="J74" s="3021"/>
      <c r="K74" s="4048"/>
      <c r="L74" s="4049"/>
      <c r="M74" s="4066"/>
      <c r="N74" s="2343"/>
      <c r="O74" s="2413"/>
      <c r="P74" s="4046"/>
      <c r="Q74" s="3383"/>
      <c r="R74" s="2463"/>
      <c r="S74" s="4071"/>
      <c r="T74" s="2081" t="s">
        <v>1911</v>
      </c>
      <c r="U74" s="2082">
        <v>25000000</v>
      </c>
      <c r="V74" s="2083">
        <v>0</v>
      </c>
      <c r="W74" s="2083">
        <v>0</v>
      </c>
      <c r="X74" s="1916">
        <v>98</v>
      </c>
      <c r="Y74" s="2080" t="s">
        <v>1909</v>
      </c>
      <c r="Z74" s="2307"/>
      <c r="AA74" s="2307"/>
      <c r="AB74" s="2307"/>
      <c r="AC74" s="2307"/>
      <c r="AD74" s="2307"/>
      <c r="AE74" s="2307"/>
      <c r="AF74" s="2307"/>
      <c r="AG74" s="2307"/>
      <c r="AH74" s="2307"/>
      <c r="AI74" s="2307"/>
      <c r="AJ74" s="2307"/>
      <c r="AK74" s="2307"/>
      <c r="AL74" s="2307"/>
      <c r="AM74" s="2307"/>
      <c r="AN74" s="2307"/>
      <c r="AO74" s="2307"/>
      <c r="AP74" s="2307"/>
      <c r="AQ74" s="2307"/>
      <c r="AR74" s="2307"/>
      <c r="AS74" s="2307"/>
      <c r="AT74" s="2307"/>
      <c r="AU74" s="2307"/>
      <c r="AV74" s="2307"/>
      <c r="AW74" s="2307"/>
      <c r="AX74" s="2307"/>
      <c r="AY74" s="2307"/>
      <c r="AZ74" s="2307"/>
      <c r="BA74" s="2307"/>
      <c r="BB74" s="2307"/>
      <c r="BC74" s="2307"/>
      <c r="BD74" s="2307"/>
      <c r="BE74" s="2307"/>
      <c r="BF74" s="2307"/>
      <c r="BG74" s="2567"/>
      <c r="BH74" s="2567"/>
      <c r="BI74" s="3032"/>
      <c r="BJ74" s="2423"/>
      <c r="BK74" s="2423"/>
      <c r="BL74" s="2307"/>
      <c r="BM74" s="2307"/>
      <c r="BN74" s="2307"/>
      <c r="BO74" s="2307"/>
      <c r="BP74" s="2423"/>
    </row>
    <row r="75" spans="1:68" ht="60.75" customHeight="1" x14ac:dyDescent="0.2">
      <c r="A75" s="4026"/>
      <c r="B75" s="4026"/>
      <c r="C75" s="4026"/>
      <c r="D75" s="2475"/>
      <c r="E75" s="2475"/>
      <c r="F75" s="2475"/>
      <c r="G75" s="2341">
        <v>1903011</v>
      </c>
      <c r="H75" s="3670">
        <v>11.4</v>
      </c>
      <c r="I75" s="2453" t="s">
        <v>1855</v>
      </c>
      <c r="J75" s="4069" t="s">
        <v>1912</v>
      </c>
      <c r="K75" s="4048">
        <v>12</v>
      </c>
      <c r="L75" s="4049">
        <v>5</v>
      </c>
      <c r="M75" s="4066"/>
      <c r="N75" s="2343"/>
      <c r="O75" s="2413"/>
      <c r="P75" s="4067">
        <f>SUM(U75:U76)/Q63</f>
        <v>9.2660224432440791E-2</v>
      </c>
      <c r="Q75" s="3383"/>
      <c r="R75" s="2463"/>
      <c r="S75" s="4071"/>
      <c r="T75" s="2084" t="s">
        <v>1913</v>
      </c>
      <c r="U75" s="2085">
        <v>33501477</v>
      </c>
      <c r="V75" s="2062"/>
      <c r="W75" s="2062"/>
      <c r="X75" s="1912">
        <v>98</v>
      </c>
      <c r="Y75" s="2080" t="s">
        <v>1909</v>
      </c>
      <c r="Z75" s="2307"/>
      <c r="AA75" s="2307"/>
      <c r="AB75" s="2307"/>
      <c r="AC75" s="2307"/>
      <c r="AD75" s="2307"/>
      <c r="AE75" s="2307"/>
      <c r="AF75" s="2307"/>
      <c r="AG75" s="2307"/>
      <c r="AH75" s="2307"/>
      <c r="AI75" s="2307"/>
      <c r="AJ75" s="2307"/>
      <c r="AK75" s="2307"/>
      <c r="AL75" s="2307"/>
      <c r="AM75" s="2307"/>
      <c r="AN75" s="2307"/>
      <c r="AO75" s="2307"/>
      <c r="AP75" s="2307"/>
      <c r="AQ75" s="2307"/>
      <c r="AR75" s="2307"/>
      <c r="AS75" s="2307"/>
      <c r="AT75" s="2307"/>
      <c r="AU75" s="2307"/>
      <c r="AV75" s="2307"/>
      <c r="AW75" s="2307"/>
      <c r="AX75" s="2307"/>
      <c r="AY75" s="2307"/>
      <c r="AZ75" s="2307"/>
      <c r="BA75" s="2307"/>
      <c r="BB75" s="2307"/>
      <c r="BC75" s="2307"/>
      <c r="BD75" s="2307"/>
      <c r="BE75" s="2307"/>
      <c r="BF75" s="2307"/>
      <c r="BG75" s="2567"/>
      <c r="BH75" s="2567"/>
      <c r="BI75" s="3032"/>
      <c r="BJ75" s="2423"/>
      <c r="BK75" s="2423"/>
      <c r="BL75" s="2307"/>
      <c r="BM75" s="2307"/>
      <c r="BN75" s="2307"/>
      <c r="BO75" s="2307"/>
      <c r="BP75" s="2423"/>
    </row>
    <row r="76" spans="1:68" ht="60.75" customHeight="1" x14ac:dyDescent="0.2">
      <c r="A76" s="4026"/>
      <c r="B76" s="4026"/>
      <c r="C76" s="4026"/>
      <c r="D76" s="2475"/>
      <c r="E76" s="2475"/>
      <c r="F76" s="2475"/>
      <c r="G76" s="2341"/>
      <c r="H76" s="3670"/>
      <c r="I76" s="2453"/>
      <c r="J76" s="4070"/>
      <c r="K76" s="4048"/>
      <c r="L76" s="4049"/>
      <c r="M76" s="4066"/>
      <c r="N76" s="2491"/>
      <c r="O76" s="2413"/>
      <c r="P76" s="4067"/>
      <c r="Q76" s="3383"/>
      <c r="R76" s="2463"/>
      <c r="S76" s="4071"/>
      <c r="T76" s="2081" t="s">
        <v>1914</v>
      </c>
      <c r="U76" s="2086">
        <v>66498523</v>
      </c>
      <c r="V76" s="2087">
        <v>11828600</v>
      </c>
      <c r="W76" s="2087">
        <v>11828600</v>
      </c>
      <c r="X76" s="1923">
        <v>61</v>
      </c>
      <c r="Y76" s="2088" t="s">
        <v>1868</v>
      </c>
      <c r="Z76" s="2467"/>
      <c r="AA76" s="2467"/>
      <c r="AB76" s="2467"/>
      <c r="AC76" s="2467"/>
      <c r="AD76" s="2467"/>
      <c r="AE76" s="2467"/>
      <c r="AF76" s="2467"/>
      <c r="AG76" s="2467"/>
      <c r="AH76" s="2467"/>
      <c r="AI76" s="2467"/>
      <c r="AJ76" s="2467"/>
      <c r="AK76" s="2467"/>
      <c r="AL76" s="2467"/>
      <c r="AM76" s="2467"/>
      <c r="AN76" s="2467"/>
      <c r="AO76" s="2467"/>
      <c r="AP76" s="2467"/>
      <c r="AQ76" s="2467"/>
      <c r="AR76" s="2467"/>
      <c r="AS76" s="2467"/>
      <c r="AT76" s="2467"/>
      <c r="AU76" s="2467"/>
      <c r="AV76" s="2467"/>
      <c r="AW76" s="2467"/>
      <c r="AX76" s="2467"/>
      <c r="AY76" s="2467"/>
      <c r="AZ76" s="2467"/>
      <c r="BA76" s="2467"/>
      <c r="BB76" s="2467"/>
      <c r="BC76" s="2467"/>
      <c r="BD76" s="2467"/>
      <c r="BE76" s="2467"/>
      <c r="BF76" s="2467"/>
      <c r="BG76" s="2969"/>
      <c r="BH76" s="2969"/>
      <c r="BI76" s="3033"/>
      <c r="BJ76" s="2424"/>
      <c r="BK76" s="2424"/>
      <c r="BL76" s="2467"/>
      <c r="BM76" s="2467"/>
      <c r="BN76" s="2467"/>
      <c r="BO76" s="2467"/>
      <c r="BP76" s="2424"/>
    </row>
    <row r="77" spans="1:68" ht="89.25" customHeight="1" x14ac:dyDescent="0.2">
      <c r="A77" s="4026"/>
      <c r="B77" s="4026"/>
      <c r="C77" s="4026"/>
      <c r="D77" s="2475"/>
      <c r="E77" s="2475"/>
      <c r="F77" s="2475"/>
      <c r="G77" s="2341">
        <v>1903031</v>
      </c>
      <c r="H77" s="3639">
        <v>11.13</v>
      </c>
      <c r="I77" s="2453" t="s">
        <v>1915</v>
      </c>
      <c r="J77" s="2919" t="s">
        <v>1916</v>
      </c>
      <c r="K77" s="4048">
        <v>12</v>
      </c>
      <c r="L77" s="4049">
        <v>12</v>
      </c>
      <c r="M77" s="2820" t="s">
        <v>1917</v>
      </c>
      <c r="N77" s="2867" t="s">
        <v>1918</v>
      </c>
      <c r="O77" s="3329" t="s">
        <v>1919</v>
      </c>
      <c r="P77" s="4067">
        <f>SUM(U77:U88)/(Q77+Q276)</f>
        <v>0.86398239898186691</v>
      </c>
      <c r="Q77" s="4047">
        <f>SUM(U77:U88)</f>
        <v>636000000</v>
      </c>
      <c r="R77" s="4076" t="s">
        <v>1920</v>
      </c>
      <c r="S77" s="4073" t="s">
        <v>1921</v>
      </c>
      <c r="T77" s="1908" t="s">
        <v>1922</v>
      </c>
      <c r="U77" s="2089">
        <f>4733334+3981670</f>
        <v>8715004</v>
      </c>
      <c r="V77" s="2062">
        <v>4733334</v>
      </c>
      <c r="W77" s="2062">
        <v>4733334</v>
      </c>
      <c r="X77" s="2063" t="s">
        <v>1867</v>
      </c>
      <c r="Y77" s="2080" t="s">
        <v>1868</v>
      </c>
      <c r="Z77" s="4074">
        <v>292684</v>
      </c>
      <c r="AA77" s="4074">
        <f>Z77*0.57</f>
        <v>166829.87999999998</v>
      </c>
      <c r="AB77" s="4074">
        <v>282326</v>
      </c>
      <c r="AC77" s="4074">
        <f>AB77*0.57</f>
        <v>160925.81999999998</v>
      </c>
      <c r="AD77" s="4074">
        <v>135912</v>
      </c>
      <c r="AE77" s="4074">
        <f>AD77*0.57</f>
        <v>77469.84</v>
      </c>
      <c r="AF77" s="4074">
        <v>45122</v>
      </c>
      <c r="AG77" s="4074">
        <f>AF77*0.57</f>
        <v>25719.539999999997</v>
      </c>
      <c r="AH77" s="4074">
        <v>365607</v>
      </c>
      <c r="AI77" s="4074">
        <f>AH77*0.57</f>
        <v>208395.99</v>
      </c>
      <c r="AJ77" s="4074">
        <v>75612</v>
      </c>
      <c r="AK77" s="4074">
        <f>AJ77*0.57</f>
        <v>43098.84</v>
      </c>
      <c r="AL77" s="4074">
        <v>2145</v>
      </c>
      <c r="AM77" s="4074">
        <f>AL77*0.57</f>
        <v>1222.6499999999999</v>
      </c>
      <c r="AN77" s="4074">
        <v>12718</v>
      </c>
      <c r="AO77" s="4074">
        <f>AN77*0.57</f>
        <v>7249.2599999999993</v>
      </c>
      <c r="AP77" s="4074">
        <v>26</v>
      </c>
      <c r="AQ77" s="4074">
        <f>AP77*0.57</f>
        <v>14.819999999999999</v>
      </c>
      <c r="AR77" s="4074">
        <v>37</v>
      </c>
      <c r="AS77" s="4074">
        <f>AR77*0.57</f>
        <v>21.09</v>
      </c>
      <c r="AT77" s="4074" t="s">
        <v>1808</v>
      </c>
      <c r="AU77" s="4074" t="s">
        <v>1808</v>
      </c>
      <c r="AV77" s="4074" t="s">
        <v>1808</v>
      </c>
      <c r="AW77" s="4074" t="s">
        <v>1808</v>
      </c>
      <c r="AX77" s="4074">
        <v>53164</v>
      </c>
      <c r="AY77" s="4074">
        <f>AX77*0.57</f>
        <v>30303.479999999996</v>
      </c>
      <c r="AZ77" s="4074">
        <v>16982</v>
      </c>
      <c r="BA77" s="4074">
        <f>AZ77*0.57</f>
        <v>9679.74</v>
      </c>
      <c r="BB77" s="4074">
        <v>60013</v>
      </c>
      <c r="BC77" s="4074">
        <f>BB77*0.57</f>
        <v>34207.409999999996</v>
      </c>
      <c r="BD77" s="4074">
        <v>575010</v>
      </c>
      <c r="BE77" s="4074">
        <f>BD77*0.57</f>
        <v>327755.69999999995</v>
      </c>
      <c r="BF77" s="4074">
        <v>30</v>
      </c>
      <c r="BG77" s="4086">
        <f>SUM(V77:V88)</f>
        <v>364211658</v>
      </c>
      <c r="BH77" s="4086">
        <f>SUM(W77:W88)</f>
        <v>113333331</v>
      </c>
      <c r="BI77" s="2551">
        <f>SUM(BG77/Q77)</f>
        <v>0.57265983962264155</v>
      </c>
      <c r="BJ77" s="4083" t="s">
        <v>1809</v>
      </c>
      <c r="BK77" s="4083" t="s">
        <v>1810</v>
      </c>
      <c r="BL77" s="4082">
        <v>43832</v>
      </c>
      <c r="BM77" s="4082">
        <v>43832</v>
      </c>
      <c r="BN77" s="4082">
        <v>44196</v>
      </c>
      <c r="BO77" s="4082">
        <v>44196</v>
      </c>
      <c r="BP77" s="4083" t="s">
        <v>1811</v>
      </c>
    </row>
    <row r="78" spans="1:68" ht="89.25" customHeight="1" x14ac:dyDescent="0.2">
      <c r="A78" s="4026"/>
      <c r="B78" s="4026"/>
      <c r="C78" s="4026"/>
      <c r="D78" s="2475"/>
      <c r="E78" s="2475"/>
      <c r="F78" s="2475"/>
      <c r="G78" s="2341"/>
      <c r="H78" s="3640"/>
      <c r="I78" s="2453"/>
      <c r="J78" s="2919"/>
      <c r="K78" s="4048"/>
      <c r="L78" s="4049"/>
      <c r="M78" s="2820"/>
      <c r="N78" s="2867"/>
      <c r="O78" s="3329"/>
      <c r="P78" s="4067"/>
      <c r="Q78" s="4047"/>
      <c r="R78" s="4076"/>
      <c r="S78" s="4073"/>
      <c r="T78" s="1908" t="s">
        <v>1923</v>
      </c>
      <c r="U78" s="2089">
        <f>4066666+30000000</f>
        <v>34066666</v>
      </c>
      <c r="V78" s="2062">
        <v>4066666</v>
      </c>
      <c r="W78" s="2062">
        <v>4066666</v>
      </c>
      <c r="X78" s="2063" t="s">
        <v>1867</v>
      </c>
      <c r="Y78" s="2080" t="s">
        <v>1868</v>
      </c>
      <c r="Z78" s="4075"/>
      <c r="AA78" s="4075"/>
      <c r="AB78" s="4075"/>
      <c r="AC78" s="4075"/>
      <c r="AD78" s="4075"/>
      <c r="AE78" s="4075"/>
      <c r="AF78" s="4075"/>
      <c r="AG78" s="4075"/>
      <c r="AH78" s="4075"/>
      <c r="AI78" s="4075"/>
      <c r="AJ78" s="4075"/>
      <c r="AK78" s="4075"/>
      <c r="AL78" s="4075"/>
      <c r="AM78" s="4075"/>
      <c r="AN78" s="4075"/>
      <c r="AO78" s="4075"/>
      <c r="AP78" s="4075"/>
      <c r="AQ78" s="4075"/>
      <c r="AR78" s="4075"/>
      <c r="AS78" s="4075"/>
      <c r="AT78" s="4075"/>
      <c r="AU78" s="4075"/>
      <c r="AV78" s="4075"/>
      <c r="AW78" s="4075"/>
      <c r="AX78" s="4075"/>
      <c r="AY78" s="4075"/>
      <c r="AZ78" s="4075"/>
      <c r="BA78" s="4075"/>
      <c r="BB78" s="4075"/>
      <c r="BC78" s="4075"/>
      <c r="BD78" s="4075"/>
      <c r="BE78" s="4075"/>
      <c r="BF78" s="4075"/>
      <c r="BG78" s="4075"/>
      <c r="BH78" s="4075"/>
      <c r="BI78" s="2552"/>
      <c r="BJ78" s="4084"/>
      <c r="BK78" s="4084"/>
      <c r="BL78" s="4075"/>
      <c r="BM78" s="4075"/>
      <c r="BN78" s="4075"/>
      <c r="BO78" s="4075"/>
      <c r="BP78" s="4084"/>
    </row>
    <row r="79" spans="1:68" ht="89.25" customHeight="1" x14ac:dyDescent="0.2">
      <c r="A79" s="4026"/>
      <c r="B79" s="4026"/>
      <c r="C79" s="4026"/>
      <c r="D79" s="2475"/>
      <c r="E79" s="2475"/>
      <c r="F79" s="2475"/>
      <c r="G79" s="2341"/>
      <c r="H79" s="3640"/>
      <c r="I79" s="2453"/>
      <c r="J79" s="2919"/>
      <c r="K79" s="4048"/>
      <c r="L79" s="4049"/>
      <c r="M79" s="2820"/>
      <c r="N79" s="2867"/>
      <c r="O79" s="3329"/>
      <c r="P79" s="4067"/>
      <c r="Q79" s="4047"/>
      <c r="R79" s="4076"/>
      <c r="S79" s="4073"/>
      <c r="T79" s="1908" t="s">
        <v>1924</v>
      </c>
      <c r="U79" s="2089">
        <v>54733333</v>
      </c>
      <c r="V79" s="2062">
        <v>19766667</v>
      </c>
      <c r="W79" s="2062"/>
      <c r="X79" s="2063" t="s">
        <v>1867</v>
      </c>
      <c r="Y79" s="2080" t="s">
        <v>1868</v>
      </c>
      <c r="Z79" s="4075"/>
      <c r="AA79" s="4075"/>
      <c r="AB79" s="4075"/>
      <c r="AC79" s="4075"/>
      <c r="AD79" s="4075"/>
      <c r="AE79" s="4075"/>
      <c r="AF79" s="4075"/>
      <c r="AG79" s="4075"/>
      <c r="AH79" s="4075"/>
      <c r="AI79" s="4075"/>
      <c r="AJ79" s="4075"/>
      <c r="AK79" s="4075"/>
      <c r="AL79" s="4075"/>
      <c r="AM79" s="4075"/>
      <c r="AN79" s="4075"/>
      <c r="AO79" s="4075"/>
      <c r="AP79" s="4075"/>
      <c r="AQ79" s="4075"/>
      <c r="AR79" s="4075"/>
      <c r="AS79" s="4075"/>
      <c r="AT79" s="4075"/>
      <c r="AU79" s="4075"/>
      <c r="AV79" s="4075"/>
      <c r="AW79" s="4075"/>
      <c r="AX79" s="4075"/>
      <c r="AY79" s="4075"/>
      <c r="AZ79" s="4075"/>
      <c r="BA79" s="4075"/>
      <c r="BB79" s="4075"/>
      <c r="BC79" s="4075"/>
      <c r="BD79" s="4075"/>
      <c r="BE79" s="4075"/>
      <c r="BF79" s="4075"/>
      <c r="BG79" s="4075"/>
      <c r="BH79" s="4075"/>
      <c r="BI79" s="2552"/>
      <c r="BJ79" s="4084"/>
      <c r="BK79" s="4084"/>
      <c r="BL79" s="4075"/>
      <c r="BM79" s="4075"/>
      <c r="BN79" s="4075"/>
      <c r="BO79" s="4075"/>
      <c r="BP79" s="4084"/>
    </row>
    <row r="80" spans="1:68" ht="89.25" customHeight="1" x14ac:dyDescent="0.2">
      <c r="A80" s="4026"/>
      <c r="B80" s="4026"/>
      <c r="C80" s="4026"/>
      <c r="D80" s="2475"/>
      <c r="E80" s="2475"/>
      <c r="F80" s="2475"/>
      <c r="G80" s="2341"/>
      <c r="H80" s="3640"/>
      <c r="I80" s="2453"/>
      <c r="J80" s="2919"/>
      <c r="K80" s="4048"/>
      <c r="L80" s="4049"/>
      <c r="M80" s="2820"/>
      <c r="N80" s="2867"/>
      <c r="O80" s="3329"/>
      <c r="P80" s="4067"/>
      <c r="Q80" s="4047"/>
      <c r="R80" s="4076"/>
      <c r="S80" s="4073"/>
      <c r="T80" s="1908" t="s">
        <v>1925</v>
      </c>
      <c r="U80" s="2089">
        <f>25047998+75000000</f>
        <v>100047998</v>
      </c>
      <c r="V80" s="2062">
        <v>28761328</v>
      </c>
      <c r="W80" s="2062">
        <v>32596332</v>
      </c>
      <c r="X80" s="2063" t="s">
        <v>1867</v>
      </c>
      <c r="Y80" s="2080" t="s">
        <v>1868</v>
      </c>
      <c r="Z80" s="4075"/>
      <c r="AA80" s="4075"/>
      <c r="AB80" s="4075"/>
      <c r="AC80" s="4075"/>
      <c r="AD80" s="4075"/>
      <c r="AE80" s="4075"/>
      <c r="AF80" s="4075"/>
      <c r="AG80" s="4075"/>
      <c r="AH80" s="4075"/>
      <c r="AI80" s="4075"/>
      <c r="AJ80" s="4075"/>
      <c r="AK80" s="4075"/>
      <c r="AL80" s="4075"/>
      <c r="AM80" s="4075"/>
      <c r="AN80" s="4075"/>
      <c r="AO80" s="4075"/>
      <c r="AP80" s="4075"/>
      <c r="AQ80" s="4075"/>
      <c r="AR80" s="4075"/>
      <c r="AS80" s="4075"/>
      <c r="AT80" s="4075"/>
      <c r="AU80" s="4075"/>
      <c r="AV80" s="4075"/>
      <c r="AW80" s="4075"/>
      <c r="AX80" s="4075"/>
      <c r="AY80" s="4075"/>
      <c r="AZ80" s="4075"/>
      <c r="BA80" s="4075"/>
      <c r="BB80" s="4075"/>
      <c r="BC80" s="4075"/>
      <c r="BD80" s="4075"/>
      <c r="BE80" s="4075"/>
      <c r="BF80" s="4075"/>
      <c r="BG80" s="4075"/>
      <c r="BH80" s="4075"/>
      <c r="BI80" s="2552"/>
      <c r="BJ80" s="4084"/>
      <c r="BK80" s="4084"/>
      <c r="BL80" s="4075"/>
      <c r="BM80" s="4075"/>
      <c r="BN80" s="4075"/>
      <c r="BO80" s="4075"/>
      <c r="BP80" s="4084"/>
    </row>
    <row r="81" spans="1:68" ht="89.25" customHeight="1" x14ac:dyDescent="0.2">
      <c r="A81" s="4026"/>
      <c r="B81" s="4026"/>
      <c r="C81" s="4026"/>
      <c r="D81" s="2475"/>
      <c r="E81" s="2475"/>
      <c r="F81" s="2475"/>
      <c r="G81" s="2341"/>
      <c r="H81" s="3640"/>
      <c r="I81" s="2453"/>
      <c r="J81" s="2919"/>
      <c r="K81" s="4048"/>
      <c r="L81" s="4049"/>
      <c r="M81" s="2820"/>
      <c r="N81" s="2867"/>
      <c r="O81" s="3329"/>
      <c r="P81" s="4067"/>
      <c r="Q81" s="4047"/>
      <c r="R81" s="4076"/>
      <c r="S81" s="4073"/>
      <c r="T81" s="1908" t="s">
        <v>1926</v>
      </c>
      <c r="U81" s="2089">
        <f>4600000+4000000</f>
        <v>8600000</v>
      </c>
      <c r="V81" s="2062">
        <v>4600000</v>
      </c>
      <c r="W81" s="2062">
        <v>4600000</v>
      </c>
      <c r="X81" s="2063" t="s">
        <v>1867</v>
      </c>
      <c r="Y81" s="2080" t="s">
        <v>1868</v>
      </c>
      <c r="Z81" s="4075"/>
      <c r="AA81" s="4075"/>
      <c r="AB81" s="4075"/>
      <c r="AC81" s="4075"/>
      <c r="AD81" s="4075"/>
      <c r="AE81" s="4075"/>
      <c r="AF81" s="4075"/>
      <c r="AG81" s="4075"/>
      <c r="AH81" s="4075"/>
      <c r="AI81" s="4075"/>
      <c r="AJ81" s="4075"/>
      <c r="AK81" s="4075"/>
      <c r="AL81" s="4075"/>
      <c r="AM81" s="4075"/>
      <c r="AN81" s="4075"/>
      <c r="AO81" s="4075"/>
      <c r="AP81" s="4075"/>
      <c r="AQ81" s="4075"/>
      <c r="AR81" s="4075"/>
      <c r="AS81" s="4075"/>
      <c r="AT81" s="4075"/>
      <c r="AU81" s="4075"/>
      <c r="AV81" s="4075"/>
      <c r="AW81" s="4075"/>
      <c r="AX81" s="4075"/>
      <c r="AY81" s="4075"/>
      <c r="AZ81" s="4075"/>
      <c r="BA81" s="4075"/>
      <c r="BB81" s="4075"/>
      <c r="BC81" s="4075"/>
      <c r="BD81" s="4075"/>
      <c r="BE81" s="4075"/>
      <c r="BF81" s="4075"/>
      <c r="BG81" s="4075"/>
      <c r="BH81" s="4075"/>
      <c r="BI81" s="2552"/>
      <c r="BJ81" s="4084"/>
      <c r="BK81" s="4084"/>
      <c r="BL81" s="4075"/>
      <c r="BM81" s="4075"/>
      <c r="BN81" s="4075"/>
      <c r="BO81" s="4075"/>
      <c r="BP81" s="4084"/>
    </row>
    <row r="82" spans="1:68" ht="89.25" customHeight="1" x14ac:dyDescent="0.2">
      <c r="A82" s="4026"/>
      <c r="B82" s="4026"/>
      <c r="C82" s="4026"/>
      <c r="D82" s="2475"/>
      <c r="E82" s="2475"/>
      <c r="F82" s="2475"/>
      <c r="G82" s="2341"/>
      <c r="H82" s="3640"/>
      <c r="I82" s="2453"/>
      <c r="J82" s="2919"/>
      <c r="K82" s="4048"/>
      <c r="L82" s="4049"/>
      <c r="M82" s="2820"/>
      <c r="N82" s="2867"/>
      <c r="O82" s="3329"/>
      <c r="P82" s="4067"/>
      <c r="Q82" s="4047"/>
      <c r="R82" s="4076"/>
      <c r="S82" s="4073"/>
      <c r="T82" s="1908" t="s">
        <v>1927</v>
      </c>
      <c r="U82" s="2089">
        <f>16636999+20000000</f>
        <v>36636999</v>
      </c>
      <c r="V82" s="2062">
        <v>16636999</v>
      </c>
      <c r="W82" s="2062">
        <v>16636999</v>
      </c>
      <c r="X82" s="2063" t="s">
        <v>1867</v>
      </c>
      <c r="Y82" s="2080" t="s">
        <v>1868</v>
      </c>
      <c r="Z82" s="4075"/>
      <c r="AA82" s="4075"/>
      <c r="AB82" s="4075"/>
      <c r="AC82" s="4075"/>
      <c r="AD82" s="4075"/>
      <c r="AE82" s="4075"/>
      <c r="AF82" s="4075"/>
      <c r="AG82" s="4075"/>
      <c r="AH82" s="4075"/>
      <c r="AI82" s="4075"/>
      <c r="AJ82" s="4075"/>
      <c r="AK82" s="4075"/>
      <c r="AL82" s="4075"/>
      <c r="AM82" s="4075"/>
      <c r="AN82" s="4075"/>
      <c r="AO82" s="4075"/>
      <c r="AP82" s="4075"/>
      <c r="AQ82" s="4075"/>
      <c r="AR82" s="4075"/>
      <c r="AS82" s="4075"/>
      <c r="AT82" s="4075"/>
      <c r="AU82" s="4075"/>
      <c r="AV82" s="4075"/>
      <c r="AW82" s="4075"/>
      <c r="AX82" s="4075"/>
      <c r="AY82" s="4075"/>
      <c r="AZ82" s="4075"/>
      <c r="BA82" s="4075"/>
      <c r="BB82" s="4075"/>
      <c r="BC82" s="4075"/>
      <c r="BD82" s="4075"/>
      <c r="BE82" s="4075"/>
      <c r="BF82" s="4075"/>
      <c r="BG82" s="4075"/>
      <c r="BH82" s="4075"/>
      <c r="BI82" s="2552"/>
      <c r="BJ82" s="4084"/>
      <c r="BK82" s="4084"/>
      <c r="BL82" s="4075"/>
      <c r="BM82" s="4075"/>
      <c r="BN82" s="4075"/>
      <c r="BO82" s="4075"/>
      <c r="BP82" s="4084"/>
    </row>
    <row r="83" spans="1:68" ht="89.25" customHeight="1" x14ac:dyDescent="0.2">
      <c r="A83" s="4026"/>
      <c r="B83" s="4026"/>
      <c r="C83" s="4026"/>
      <c r="D83" s="2475"/>
      <c r="E83" s="2475"/>
      <c r="F83" s="2475"/>
      <c r="G83" s="2341"/>
      <c r="H83" s="3640"/>
      <c r="I83" s="2453"/>
      <c r="J83" s="2919"/>
      <c r="K83" s="4048"/>
      <c r="L83" s="4049"/>
      <c r="M83" s="2820"/>
      <c r="N83" s="2867"/>
      <c r="O83" s="3329"/>
      <c r="P83" s="4067"/>
      <c r="Q83" s="4047"/>
      <c r="R83" s="4076"/>
      <c r="S83" s="4073"/>
      <c r="T83" s="1908" t="s">
        <v>1928</v>
      </c>
      <c r="U83" s="2089">
        <f>15200000+12000000</f>
        <v>27200000</v>
      </c>
      <c r="V83" s="2062">
        <v>15200000</v>
      </c>
      <c r="W83" s="2062">
        <v>15200000</v>
      </c>
      <c r="X83" s="2063" t="s">
        <v>1867</v>
      </c>
      <c r="Y83" s="2080" t="s">
        <v>1868</v>
      </c>
      <c r="Z83" s="4075"/>
      <c r="AA83" s="4075"/>
      <c r="AB83" s="4075"/>
      <c r="AC83" s="4075"/>
      <c r="AD83" s="4075"/>
      <c r="AE83" s="4075"/>
      <c r="AF83" s="4075"/>
      <c r="AG83" s="4075"/>
      <c r="AH83" s="4075"/>
      <c r="AI83" s="4075"/>
      <c r="AJ83" s="4075"/>
      <c r="AK83" s="4075"/>
      <c r="AL83" s="4075"/>
      <c r="AM83" s="4075"/>
      <c r="AN83" s="4075"/>
      <c r="AO83" s="4075"/>
      <c r="AP83" s="4075"/>
      <c r="AQ83" s="4075"/>
      <c r="AR83" s="4075"/>
      <c r="AS83" s="4075"/>
      <c r="AT83" s="4075"/>
      <c r="AU83" s="4075"/>
      <c r="AV83" s="4075"/>
      <c r="AW83" s="4075"/>
      <c r="AX83" s="4075"/>
      <c r="AY83" s="4075"/>
      <c r="AZ83" s="4075"/>
      <c r="BA83" s="4075"/>
      <c r="BB83" s="4075"/>
      <c r="BC83" s="4075"/>
      <c r="BD83" s="4075"/>
      <c r="BE83" s="4075"/>
      <c r="BF83" s="4075"/>
      <c r="BG83" s="4075"/>
      <c r="BH83" s="4075"/>
      <c r="BI83" s="2552"/>
      <c r="BJ83" s="4084"/>
      <c r="BK83" s="4084"/>
      <c r="BL83" s="4075"/>
      <c r="BM83" s="4075"/>
      <c r="BN83" s="4075"/>
      <c r="BO83" s="4075"/>
      <c r="BP83" s="4084"/>
    </row>
    <row r="84" spans="1:68" ht="89.25" customHeight="1" x14ac:dyDescent="0.2">
      <c r="A84" s="4026"/>
      <c r="B84" s="4026"/>
      <c r="C84" s="4026"/>
      <c r="D84" s="2475"/>
      <c r="E84" s="2475"/>
      <c r="F84" s="2475"/>
      <c r="G84" s="2341"/>
      <c r="H84" s="3640"/>
      <c r="I84" s="2453"/>
      <c r="J84" s="2919"/>
      <c r="K84" s="4048"/>
      <c r="L84" s="4049"/>
      <c r="M84" s="2820"/>
      <c r="N84" s="2867"/>
      <c r="O84" s="3329"/>
      <c r="P84" s="4067"/>
      <c r="Q84" s="4047"/>
      <c r="R84" s="4076"/>
      <c r="S84" s="4073"/>
      <c r="T84" s="1908" t="s">
        <v>1929</v>
      </c>
      <c r="U84" s="2089">
        <v>70000000</v>
      </c>
      <c r="V84" s="2062">
        <v>39600000</v>
      </c>
      <c r="W84" s="2062">
        <v>0</v>
      </c>
      <c r="X84" s="2063" t="s">
        <v>1867</v>
      </c>
      <c r="Y84" s="2080" t="s">
        <v>1868</v>
      </c>
      <c r="Z84" s="4075"/>
      <c r="AA84" s="4075"/>
      <c r="AB84" s="4075"/>
      <c r="AC84" s="4075"/>
      <c r="AD84" s="4075"/>
      <c r="AE84" s="4075"/>
      <c r="AF84" s="4075"/>
      <c r="AG84" s="4075"/>
      <c r="AH84" s="4075"/>
      <c r="AI84" s="4075"/>
      <c r="AJ84" s="4075"/>
      <c r="AK84" s="4075"/>
      <c r="AL84" s="4075"/>
      <c r="AM84" s="4075"/>
      <c r="AN84" s="4075"/>
      <c r="AO84" s="4075"/>
      <c r="AP84" s="4075"/>
      <c r="AQ84" s="4075"/>
      <c r="AR84" s="4075"/>
      <c r="AS84" s="4075"/>
      <c r="AT84" s="4075"/>
      <c r="AU84" s="4075"/>
      <c r="AV84" s="4075"/>
      <c r="AW84" s="4075"/>
      <c r="AX84" s="4075"/>
      <c r="AY84" s="4075"/>
      <c r="AZ84" s="4075"/>
      <c r="BA84" s="4075"/>
      <c r="BB84" s="4075"/>
      <c r="BC84" s="4075"/>
      <c r="BD84" s="4075"/>
      <c r="BE84" s="4075"/>
      <c r="BF84" s="4075"/>
      <c r="BG84" s="4075"/>
      <c r="BH84" s="4075"/>
      <c r="BI84" s="2552"/>
      <c r="BJ84" s="4084"/>
      <c r="BK84" s="4084"/>
      <c r="BL84" s="4075"/>
      <c r="BM84" s="4075"/>
      <c r="BN84" s="4075"/>
      <c r="BO84" s="4075"/>
      <c r="BP84" s="4084"/>
    </row>
    <row r="85" spans="1:68" ht="89.25" customHeight="1" x14ac:dyDescent="0.2">
      <c r="A85" s="4026"/>
      <c r="B85" s="4026"/>
      <c r="C85" s="4026"/>
      <c r="D85" s="2475"/>
      <c r="E85" s="2475"/>
      <c r="F85" s="2475"/>
      <c r="G85" s="2341"/>
      <c r="H85" s="3640"/>
      <c r="I85" s="2453"/>
      <c r="J85" s="2919"/>
      <c r="K85" s="4048"/>
      <c r="L85" s="4049"/>
      <c r="M85" s="2820"/>
      <c r="N85" s="2867"/>
      <c r="O85" s="3329"/>
      <c r="P85" s="4067"/>
      <c r="Q85" s="4047"/>
      <c r="R85" s="4076"/>
      <c r="S85" s="4073"/>
      <c r="T85" s="1908" t="s">
        <v>1930</v>
      </c>
      <c r="U85" s="2089">
        <f>60000000-20000000</f>
        <v>40000000</v>
      </c>
      <c r="V85" s="2062">
        <v>19600000</v>
      </c>
      <c r="W85" s="2062">
        <v>0</v>
      </c>
      <c r="X85" s="2063" t="s">
        <v>1867</v>
      </c>
      <c r="Y85" s="2080" t="s">
        <v>1868</v>
      </c>
      <c r="Z85" s="4075"/>
      <c r="AA85" s="4075"/>
      <c r="AB85" s="4075"/>
      <c r="AC85" s="4075"/>
      <c r="AD85" s="4075"/>
      <c r="AE85" s="4075"/>
      <c r="AF85" s="4075"/>
      <c r="AG85" s="4075"/>
      <c r="AH85" s="4075"/>
      <c r="AI85" s="4075"/>
      <c r="AJ85" s="4075"/>
      <c r="AK85" s="4075"/>
      <c r="AL85" s="4075"/>
      <c r="AM85" s="4075"/>
      <c r="AN85" s="4075"/>
      <c r="AO85" s="4075"/>
      <c r="AP85" s="4075"/>
      <c r="AQ85" s="4075"/>
      <c r="AR85" s="4075"/>
      <c r="AS85" s="4075"/>
      <c r="AT85" s="4075"/>
      <c r="AU85" s="4075"/>
      <c r="AV85" s="4075"/>
      <c r="AW85" s="4075"/>
      <c r="AX85" s="4075"/>
      <c r="AY85" s="4075"/>
      <c r="AZ85" s="4075"/>
      <c r="BA85" s="4075"/>
      <c r="BB85" s="4075"/>
      <c r="BC85" s="4075"/>
      <c r="BD85" s="4075"/>
      <c r="BE85" s="4075"/>
      <c r="BF85" s="4075"/>
      <c r="BG85" s="4075"/>
      <c r="BH85" s="4075"/>
      <c r="BI85" s="2552"/>
      <c r="BJ85" s="4084"/>
      <c r="BK85" s="4084"/>
      <c r="BL85" s="4075"/>
      <c r="BM85" s="4075"/>
      <c r="BN85" s="4075"/>
      <c r="BO85" s="4075"/>
      <c r="BP85" s="4084"/>
    </row>
    <row r="86" spans="1:68" ht="89.25" customHeight="1" x14ac:dyDescent="0.2">
      <c r="A86" s="4026"/>
      <c r="B86" s="4026"/>
      <c r="C86" s="4026"/>
      <c r="D86" s="2475"/>
      <c r="E86" s="2475"/>
      <c r="F86" s="2475"/>
      <c r="G86" s="2341"/>
      <c r="H86" s="3640"/>
      <c r="I86" s="2453"/>
      <c r="J86" s="2919"/>
      <c r="K86" s="4048"/>
      <c r="L86" s="4049"/>
      <c r="M86" s="2820"/>
      <c r="N86" s="2867"/>
      <c r="O86" s="3329"/>
      <c r="P86" s="4067"/>
      <c r="Q86" s="4047"/>
      <c r="R86" s="4076"/>
      <c r="S86" s="4073"/>
      <c r="T86" s="1908" t="s">
        <v>1931</v>
      </c>
      <c r="U86" s="2089">
        <v>126000000</v>
      </c>
      <c r="V86" s="2062">
        <v>100513331</v>
      </c>
      <c r="W86" s="2062">
        <v>20000000</v>
      </c>
      <c r="X86" s="2063" t="s">
        <v>1932</v>
      </c>
      <c r="Y86" s="2080" t="s">
        <v>1903</v>
      </c>
      <c r="Z86" s="4075"/>
      <c r="AA86" s="4075"/>
      <c r="AB86" s="4075"/>
      <c r="AC86" s="4075"/>
      <c r="AD86" s="4075"/>
      <c r="AE86" s="4075"/>
      <c r="AF86" s="4075"/>
      <c r="AG86" s="4075"/>
      <c r="AH86" s="4075"/>
      <c r="AI86" s="4075"/>
      <c r="AJ86" s="4075"/>
      <c r="AK86" s="4075"/>
      <c r="AL86" s="4075"/>
      <c r="AM86" s="4075"/>
      <c r="AN86" s="4075"/>
      <c r="AO86" s="4075"/>
      <c r="AP86" s="4075"/>
      <c r="AQ86" s="4075"/>
      <c r="AR86" s="4075"/>
      <c r="AS86" s="4075"/>
      <c r="AT86" s="4075"/>
      <c r="AU86" s="4075"/>
      <c r="AV86" s="4075"/>
      <c r="AW86" s="4075"/>
      <c r="AX86" s="4075"/>
      <c r="AY86" s="4075"/>
      <c r="AZ86" s="4075"/>
      <c r="BA86" s="4075"/>
      <c r="BB86" s="4075"/>
      <c r="BC86" s="4075"/>
      <c r="BD86" s="4075"/>
      <c r="BE86" s="4075"/>
      <c r="BF86" s="4075"/>
      <c r="BG86" s="4075"/>
      <c r="BH86" s="4075"/>
      <c r="BI86" s="2552"/>
      <c r="BJ86" s="4084"/>
      <c r="BK86" s="4084"/>
      <c r="BL86" s="4075"/>
      <c r="BM86" s="4075"/>
      <c r="BN86" s="4075"/>
      <c r="BO86" s="4075"/>
      <c r="BP86" s="4084"/>
    </row>
    <row r="87" spans="1:68" ht="89.25" customHeight="1" x14ac:dyDescent="0.2">
      <c r="A87" s="4026"/>
      <c r="B87" s="4026"/>
      <c r="C87" s="4026"/>
      <c r="D87" s="2475"/>
      <c r="E87" s="2475"/>
      <c r="F87" s="2475"/>
      <c r="G87" s="2341"/>
      <c r="H87" s="3640"/>
      <c r="I87" s="2453"/>
      <c r="J87" s="2919"/>
      <c r="K87" s="4048"/>
      <c r="L87" s="4049"/>
      <c r="M87" s="2820"/>
      <c r="N87" s="2867"/>
      <c r="O87" s="3329"/>
      <c r="P87" s="4067"/>
      <c r="Q87" s="4047"/>
      <c r="R87" s="4076"/>
      <c r="S87" s="4073"/>
      <c r="T87" s="1908" t="s">
        <v>1933</v>
      </c>
      <c r="U87" s="2089">
        <v>85000000</v>
      </c>
      <c r="V87" s="2062">
        <v>74733333</v>
      </c>
      <c r="W87" s="2062">
        <v>10000000</v>
      </c>
      <c r="X87" s="2063" t="s">
        <v>1932</v>
      </c>
      <c r="Y87" s="2080" t="s">
        <v>1903</v>
      </c>
      <c r="Z87" s="4075"/>
      <c r="AA87" s="4075"/>
      <c r="AB87" s="4075"/>
      <c r="AC87" s="4075"/>
      <c r="AD87" s="4075"/>
      <c r="AE87" s="4075"/>
      <c r="AF87" s="4075"/>
      <c r="AG87" s="4075"/>
      <c r="AH87" s="4075"/>
      <c r="AI87" s="4075"/>
      <c r="AJ87" s="4075"/>
      <c r="AK87" s="4075"/>
      <c r="AL87" s="4075"/>
      <c r="AM87" s="4075"/>
      <c r="AN87" s="4075"/>
      <c r="AO87" s="4075"/>
      <c r="AP87" s="4075"/>
      <c r="AQ87" s="4075"/>
      <c r="AR87" s="4075"/>
      <c r="AS87" s="4075"/>
      <c r="AT87" s="4075"/>
      <c r="AU87" s="4075"/>
      <c r="AV87" s="4075"/>
      <c r="AW87" s="4075"/>
      <c r="AX87" s="4075"/>
      <c r="AY87" s="4075"/>
      <c r="AZ87" s="4075"/>
      <c r="BA87" s="4075"/>
      <c r="BB87" s="4075"/>
      <c r="BC87" s="4075"/>
      <c r="BD87" s="4075"/>
      <c r="BE87" s="4075"/>
      <c r="BF87" s="4075"/>
      <c r="BG87" s="4075"/>
      <c r="BH87" s="4075"/>
      <c r="BI87" s="2552"/>
      <c r="BJ87" s="4084"/>
      <c r="BK87" s="4084"/>
      <c r="BL87" s="4075"/>
      <c r="BM87" s="4075"/>
      <c r="BN87" s="4075"/>
      <c r="BO87" s="4075"/>
      <c r="BP87" s="4084"/>
    </row>
    <row r="88" spans="1:68" ht="89.25" customHeight="1" x14ac:dyDescent="0.2">
      <c r="A88" s="4026"/>
      <c r="B88" s="4026"/>
      <c r="C88" s="4026"/>
      <c r="D88" s="2475"/>
      <c r="E88" s="2475"/>
      <c r="F88" s="2475"/>
      <c r="G88" s="2341"/>
      <c r="H88" s="3640"/>
      <c r="I88" s="2453"/>
      <c r="J88" s="2919"/>
      <c r="K88" s="4048"/>
      <c r="L88" s="4049"/>
      <c r="M88" s="2820"/>
      <c r="N88" s="2867"/>
      <c r="O88" s="3329"/>
      <c r="P88" s="4067"/>
      <c r="Q88" s="4047"/>
      <c r="R88" s="4076"/>
      <c r="S88" s="4073"/>
      <c r="T88" s="1908" t="s">
        <v>1934</v>
      </c>
      <c r="U88" s="2089">
        <v>45000000</v>
      </c>
      <c r="V88" s="2062">
        <v>36000000</v>
      </c>
      <c r="W88" s="2062">
        <v>5500000</v>
      </c>
      <c r="X88" s="2063" t="s">
        <v>1932</v>
      </c>
      <c r="Y88" s="2080" t="s">
        <v>1903</v>
      </c>
      <c r="Z88" s="4075"/>
      <c r="AA88" s="4075"/>
      <c r="AB88" s="4075"/>
      <c r="AC88" s="4075"/>
      <c r="AD88" s="4075"/>
      <c r="AE88" s="4075"/>
      <c r="AF88" s="4075"/>
      <c r="AG88" s="4075"/>
      <c r="AH88" s="4075"/>
      <c r="AI88" s="4075"/>
      <c r="AJ88" s="4075"/>
      <c r="AK88" s="4075"/>
      <c r="AL88" s="4075"/>
      <c r="AM88" s="4075"/>
      <c r="AN88" s="4075"/>
      <c r="AO88" s="4075"/>
      <c r="AP88" s="4075"/>
      <c r="AQ88" s="4075"/>
      <c r="AR88" s="4075"/>
      <c r="AS88" s="4075"/>
      <c r="AT88" s="4075"/>
      <c r="AU88" s="4075"/>
      <c r="AV88" s="4075"/>
      <c r="AW88" s="4075"/>
      <c r="AX88" s="4075"/>
      <c r="AY88" s="4075"/>
      <c r="AZ88" s="4075"/>
      <c r="BA88" s="4075"/>
      <c r="BB88" s="4075"/>
      <c r="BC88" s="4075"/>
      <c r="BD88" s="4075"/>
      <c r="BE88" s="4075"/>
      <c r="BF88" s="4075"/>
      <c r="BG88" s="4075"/>
      <c r="BH88" s="4075"/>
      <c r="BI88" s="2552"/>
      <c r="BJ88" s="4084"/>
      <c r="BK88" s="4084"/>
      <c r="BL88" s="4075"/>
      <c r="BM88" s="4075"/>
      <c r="BN88" s="4075"/>
      <c r="BO88" s="4075"/>
      <c r="BP88" s="4084"/>
    </row>
    <row r="89" spans="1:68" ht="39.75" customHeight="1" x14ac:dyDescent="0.2">
      <c r="A89" s="4026"/>
      <c r="B89" s="4026"/>
      <c r="C89" s="4026"/>
      <c r="D89" s="2475"/>
      <c r="E89" s="2475"/>
      <c r="F89" s="2475"/>
      <c r="G89" s="4085">
        <v>1903034</v>
      </c>
      <c r="H89" s="3109">
        <v>11.14</v>
      </c>
      <c r="I89" s="3450" t="s">
        <v>1212</v>
      </c>
      <c r="J89" s="2308" t="s">
        <v>1935</v>
      </c>
      <c r="K89" s="4048">
        <v>12</v>
      </c>
      <c r="L89" s="4049">
        <v>12</v>
      </c>
      <c r="M89" s="3515" t="s">
        <v>1936</v>
      </c>
      <c r="N89" s="2343" t="s">
        <v>1937</v>
      </c>
      <c r="O89" s="2751" t="s">
        <v>1938</v>
      </c>
      <c r="P89" s="3748">
        <f>SUM(U89:U94)/Q89</f>
        <v>1</v>
      </c>
      <c r="Q89" s="4077">
        <f>SUM(U89:U94)</f>
        <v>96954000</v>
      </c>
      <c r="R89" s="2422" t="s">
        <v>1939</v>
      </c>
      <c r="S89" s="4079" t="s">
        <v>1940</v>
      </c>
      <c r="T89" s="4034" t="s">
        <v>1941</v>
      </c>
      <c r="U89" s="2090">
        <v>25000000</v>
      </c>
      <c r="V89" s="2062">
        <v>9800000</v>
      </c>
      <c r="W89" s="2062">
        <v>0</v>
      </c>
      <c r="X89" s="2063" t="s">
        <v>1942</v>
      </c>
      <c r="Y89" s="2067" t="s">
        <v>780</v>
      </c>
      <c r="Z89" s="3038">
        <v>292684</v>
      </c>
      <c r="AA89" s="3038">
        <f>Z89*0.56</f>
        <v>163903.04000000001</v>
      </c>
      <c r="AB89" s="3038">
        <v>282326</v>
      </c>
      <c r="AC89" s="3038">
        <f>AB89*0.56</f>
        <v>158102.56000000003</v>
      </c>
      <c r="AD89" s="3038">
        <v>135912</v>
      </c>
      <c r="AE89" s="3038">
        <f>AD89*0.56</f>
        <v>76110.720000000001</v>
      </c>
      <c r="AF89" s="3038">
        <v>45122</v>
      </c>
      <c r="AG89" s="3038">
        <f>AF89*0.56</f>
        <v>25268.320000000003</v>
      </c>
      <c r="AH89" s="3038">
        <v>365607</v>
      </c>
      <c r="AI89" s="3038">
        <f>AH89*0.56</f>
        <v>204739.92</v>
      </c>
      <c r="AJ89" s="3038">
        <v>86875</v>
      </c>
      <c r="AK89" s="3038">
        <f>AJ89*0.56</f>
        <v>48650.000000000007</v>
      </c>
      <c r="AL89" s="3038">
        <v>2145</v>
      </c>
      <c r="AM89" s="3038">
        <f>AL89*0.56</f>
        <v>1201.2</v>
      </c>
      <c r="AN89" s="3038">
        <v>12718</v>
      </c>
      <c r="AO89" s="3038">
        <f>AN89*0.56</f>
        <v>7122.0800000000008</v>
      </c>
      <c r="AP89" s="3038">
        <v>26</v>
      </c>
      <c r="AQ89" s="3038">
        <f>AP89*0.56</f>
        <v>14.560000000000002</v>
      </c>
      <c r="AR89" s="3038">
        <v>37</v>
      </c>
      <c r="AS89" s="3038">
        <f>AR89*0.56</f>
        <v>20.720000000000002</v>
      </c>
      <c r="AT89" s="2306" t="s">
        <v>1808</v>
      </c>
      <c r="AU89" s="2306" t="s">
        <v>1808</v>
      </c>
      <c r="AV89" s="2306" t="s">
        <v>1808</v>
      </c>
      <c r="AW89" s="2306" t="s">
        <v>1808</v>
      </c>
      <c r="AX89" s="3038">
        <v>53164</v>
      </c>
      <c r="AY89" s="3038">
        <f>AX89*0.56</f>
        <v>29771.840000000004</v>
      </c>
      <c r="AZ89" s="3038">
        <v>16982</v>
      </c>
      <c r="BA89" s="3038">
        <f>AZ89*0.56</f>
        <v>9509.92</v>
      </c>
      <c r="BB89" s="3038">
        <v>60013</v>
      </c>
      <c r="BC89" s="3038">
        <f>BB89*0.56</f>
        <v>33607.280000000006</v>
      </c>
      <c r="BD89" s="3038">
        <v>575010</v>
      </c>
      <c r="BE89" s="3038">
        <f>BD89*0.56</f>
        <v>322005.60000000003</v>
      </c>
      <c r="BF89" s="3038">
        <v>8</v>
      </c>
      <c r="BG89" s="4091">
        <f>SUM(V89:V94)</f>
        <v>54600000</v>
      </c>
      <c r="BH89" s="4091">
        <f>SUM(W89:W94)</f>
        <v>28000000</v>
      </c>
      <c r="BI89" s="4094">
        <f>SUM(BG89/Q89)</f>
        <v>0.56315366049879323</v>
      </c>
      <c r="BJ89" s="3019" t="s">
        <v>1074</v>
      </c>
      <c r="BK89" s="3019" t="s">
        <v>1943</v>
      </c>
      <c r="BL89" s="4090">
        <v>43832</v>
      </c>
      <c r="BM89" s="4090">
        <v>43832</v>
      </c>
      <c r="BN89" s="4090">
        <v>44196</v>
      </c>
      <c r="BO89" s="4090">
        <v>44196</v>
      </c>
      <c r="BP89" s="3019" t="s">
        <v>1811</v>
      </c>
    </row>
    <row r="90" spans="1:68" ht="39.75" customHeight="1" x14ac:dyDescent="0.2">
      <c r="A90" s="4026"/>
      <c r="B90" s="4026"/>
      <c r="C90" s="4026"/>
      <c r="D90" s="2475"/>
      <c r="E90" s="2475"/>
      <c r="F90" s="2475"/>
      <c r="G90" s="2496"/>
      <c r="H90" s="3767"/>
      <c r="I90" s="2423"/>
      <c r="J90" s="2309"/>
      <c r="K90" s="4048"/>
      <c r="L90" s="4049"/>
      <c r="M90" s="3515"/>
      <c r="N90" s="2343"/>
      <c r="O90" s="2751"/>
      <c r="P90" s="3748"/>
      <c r="Q90" s="4077"/>
      <c r="R90" s="2423"/>
      <c r="S90" s="4080"/>
      <c r="T90" s="4081"/>
      <c r="U90" s="2090">
        <v>854666</v>
      </c>
      <c r="V90" s="2062">
        <v>854666</v>
      </c>
      <c r="W90" s="2062">
        <v>854666</v>
      </c>
      <c r="X90" s="2063" t="s">
        <v>1944</v>
      </c>
      <c r="Y90" s="2091" t="s">
        <v>1074</v>
      </c>
      <c r="Z90" s="3039"/>
      <c r="AA90" s="3039"/>
      <c r="AB90" s="3039"/>
      <c r="AC90" s="3039"/>
      <c r="AD90" s="3039"/>
      <c r="AE90" s="3039"/>
      <c r="AF90" s="3039"/>
      <c r="AG90" s="3039"/>
      <c r="AH90" s="3039"/>
      <c r="AI90" s="3039"/>
      <c r="AJ90" s="3039"/>
      <c r="AK90" s="3039"/>
      <c r="AL90" s="3039"/>
      <c r="AM90" s="3039"/>
      <c r="AN90" s="3039"/>
      <c r="AO90" s="3039"/>
      <c r="AP90" s="3039"/>
      <c r="AQ90" s="3039"/>
      <c r="AR90" s="3039"/>
      <c r="AS90" s="3039"/>
      <c r="AT90" s="2307"/>
      <c r="AU90" s="2307"/>
      <c r="AV90" s="2307"/>
      <c r="AW90" s="2307"/>
      <c r="AX90" s="3039"/>
      <c r="AY90" s="3039"/>
      <c r="AZ90" s="3039"/>
      <c r="BA90" s="3039"/>
      <c r="BB90" s="3039"/>
      <c r="BC90" s="3039"/>
      <c r="BD90" s="3039"/>
      <c r="BE90" s="3039"/>
      <c r="BF90" s="3039"/>
      <c r="BG90" s="4092"/>
      <c r="BH90" s="4092"/>
      <c r="BI90" s="4095"/>
      <c r="BJ90" s="3020"/>
      <c r="BK90" s="3020"/>
      <c r="BL90" s="3039"/>
      <c r="BM90" s="3039"/>
      <c r="BN90" s="3039"/>
      <c r="BO90" s="3039"/>
      <c r="BP90" s="3020"/>
    </row>
    <row r="91" spans="1:68" ht="39.75" customHeight="1" x14ac:dyDescent="0.2">
      <c r="A91" s="4026"/>
      <c r="B91" s="4026"/>
      <c r="C91" s="4026"/>
      <c r="D91" s="2475"/>
      <c r="E91" s="2475"/>
      <c r="F91" s="2475"/>
      <c r="G91" s="2496"/>
      <c r="H91" s="3767"/>
      <c r="I91" s="2423"/>
      <c r="J91" s="2309"/>
      <c r="K91" s="4048"/>
      <c r="L91" s="4049"/>
      <c r="M91" s="3515"/>
      <c r="N91" s="2343"/>
      <c r="O91" s="3251"/>
      <c r="P91" s="3748"/>
      <c r="Q91" s="4077"/>
      <c r="R91" s="2423"/>
      <c r="S91" s="4080"/>
      <c r="T91" s="4087" t="s">
        <v>1945</v>
      </c>
      <c r="U91" s="2090">
        <v>25000000</v>
      </c>
      <c r="V91" s="2062">
        <v>11200000</v>
      </c>
      <c r="W91" s="2062">
        <v>2800000</v>
      </c>
      <c r="X91" s="2063" t="s">
        <v>1942</v>
      </c>
      <c r="Y91" s="2067" t="s">
        <v>780</v>
      </c>
      <c r="Z91" s="3039"/>
      <c r="AA91" s="3039"/>
      <c r="AB91" s="3039"/>
      <c r="AC91" s="3039"/>
      <c r="AD91" s="3039"/>
      <c r="AE91" s="3039"/>
      <c r="AF91" s="3039"/>
      <c r="AG91" s="3039"/>
      <c r="AH91" s="3039"/>
      <c r="AI91" s="3039"/>
      <c r="AJ91" s="3039"/>
      <c r="AK91" s="3039"/>
      <c r="AL91" s="3039"/>
      <c r="AM91" s="3039"/>
      <c r="AN91" s="3039"/>
      <c r="AO91" s="3039"/>
      <c r="AP91" s="3039"/>
      <c r="AQ91" s="3039"/>
      <c r="AR91" s="3039"/>
      <c r="AS91" s="3039"/>
      <c r="AT91" s="2307"/>
      <c r="AU91" s="2307"/>
      <c r="AV91" s="2307"/>
      <c r="AW91" s="2307"/>
      <c r="AX91" s="3039"/>
      <c r="AY91" s="3039"/>
      <c r="AZ91" s="3039"/>
      <c r="BA91" s="3039"/>
      <c r="BB91" s="3039"/>
      <c r="BC91" s="3039"/>
      <c r="BD91" s="3039"/>
      <c r="BE91" s="3039"/>
      <c r="BF91" s="3039"/>
      <c r="BG91" s="4092"/>
      <c r="BH91" s="4092"/>
      <c r="BI91" s="4095"/>
      <c r="BJ91" s="3020"/>
      <c r="BK91" s="3020"/>
      <c r="BL91" s="3039"/>
      <c r="BM91" s="3039"/>
      <c r="BN91" s="3039"/>
      <c r="BO91" s="3039"/>
      <c r="BP91" s="3020"/>
    </row>
    <row r="92" spans="1:68" ht="39.75" customHeight="1" x14ac:dyDescent="0.2">
      <c r="A92" s="4026"/>
      <c r="B92" s="4026"/>
      <c r="C92" s="4026"/>
      <c r="D92" s="2475"/>
      <c r="E92" s="2475"/>
      <c r="F92" s="2475"/>
      <c r="G92" s="2496"/>
      <c r="H92" s="3767"/>
      <c r="I92" s="2423"/>
      <c r="J92" s="2309"/>
      <c r="K92" s="4048"/>
      <c r="L92" s="4049"/>
      <c r="M92" s="3734"/>
      <c r="N92" s="2343"/>
      <c r="O92" s="2750"/>
      <c r="P92" s="3749"/>
      <c r="Q92" s="4078"/>
      <c r="R92" s="2423"/>
      <c r="S92" s="4080"/>
      <c r="T92" s="4081"/>
      <c r="U92" s="2090">
        <v>10772667</v>
      </c>
      <c r="V92" s="2062">
        <v>10772667</v>
      </c>
      <c r="W92" s="2062">
        <v>10772667</v>
      </c>
      <c r="X92" s="2063" t="s">
        <v>1944</v>
      </c>
      <c r="Y92" s="2091" t="s">
        <v>1074</v>
      </c>
      <c r="Z92" s="3039"/>
      <c r="AA92" s="3039"/>
      <c r="AB92" s="3039"/>
      <c r="AC92" s="3039"/>
      <c r="AD92" s="3039"/>
      <c r="AE92" s="3039"/>
      <c r="AF92" s="3039"/>
      <c r="AG92" s="3039"/>
      <c r="AH92" s="3039"/>
      <c r="AI92" s="3039"/>
      <c r="AJ92" s="3039"/>
      <c r="AK92" s="3039"/>
      <c r="AL92" s="3039"/>
      <c r="AM92" s="3039"/>
      <c r="AN92" s="3039"/>
      <c r="AO92" s="3039"/>
      <c r="AP92" s="3039"/>
      <c r="AQ92" s="3039"/>
      <c r="AR92" s="3039"/>
      <c r="AS92" s="3039"/>
      <c r="AT92" s="2307"/>
      <c r="AU92" s="2307"/>
      <c r="AV92" s="2307"/>
      <c r="AW92" s="2307"/>
      <c r="AX92" s="3039"/>
      <c r="AY92" s="3039"/>
      <c r="AZ92" s="3039"/>
      <c r="BA92" s="3039"/>
      <c r="BB92" s="3039"/>
      <c r="BC92" s="3039"/>
      <c r="BD92" s="3039"/>
      <c r="BE92" s="3039"/>
      <c r="BF92" s="3039"/>
      <c r="BG92" s="4092"/>
      <c r="BH92" s="4092"/>
      <c r="BI92" s="4095"/>
      <c r="BJ92" s="3020"/>
      <c r="BK92" s="3020"/>
      <c r="BL92" s="3039"/>
      <c r="BM92" s="3039"/>
      <c r="BN92" s="3039"/>
      <c r="BO92" s="3039"/>
      <c r="BP92" s="3020"/>
    </row>
    <row r="93" spans="1:68" ht="39.75" customHeight="1" x14ac:dyDescent="0.2">
      <c r="A93" s="4026"/>
      <c r="B93" s="4026"/>
      <c r="C93" s="4026"/>
      <c r="D93" s="2475"/>
      <c r="E93" s="2475"/>
      <c r="F93" s="2475"/>
      <c r="G93" s="2496"/>
      <c r="H93" s="3767"/>
      <c r="I93" s="2423"/>
      <c r="J93" s="2309"/>
      <c r="K93" s="4048"/>
      <c r="L93" s="4049"/>
      <c r="M93" s="3734"/>
      <c r="N93" s="2343"/>
      <c r="O93" s="2750"/>
      <c r="P93" s="3749"/>
      <c r="Q93" s="4078"/>
      <c r="R93" s="2423"/>
      <c r="S93" s="4080"/>
      <c r="T93" s="4087" t="s">
        <v>1946</v>
      </c>
      <c r="U93" s="2090">
        <v>24554000</v>
      </c>
      <c r="V93" s="2062">
        <v>11200000</v>
      </c>
      <c r="W93" s="2062">
        <v>2800000</v>
      </c>
      <c r="X93" s="2063" t="s">
        <v>1942</v>
      </c>
      <c r="Y93" s="2067" t="s">
        <v>780</v>
      </c>
      <c r="Z93" s="3039"/>
      <c r="AA93" s="3039"/>
      <c r="AB93" s="3039"/>
      <c r="AC93" s="3039"/>
      <c r="AD93" s="3039"/>
      <c r="AE93" s="3039"/>
      <c r="AF93" s="3039"/>
      <c r="AG93" s="3039"/>
      <c r="AH93" s="3039"/>
      <c r="AI93" s="3039"/>
      <c r="AJ93" s="3039"/>
      <c r="AK93" s="3039"/>
      <c r="AL93" s="3039"/>
      <c r="AM93" s="3039"/>
      <c r="AN93" s="3039"/>
      <c r="AO93" s="3039"/>
      <c r="AP93" s="3039"/>
      <c r="AQ93" s="3039"/>
      <c r="AR93" s="3039"/>
      <c r="AS93" s="3039"/>
      <c r="AT93" s="2307"/>
      <c r="AU93" s="2307"/>
      <c r="AV93" s="2307"/>
      <c r="AW93" s="2307"/>
      <c r="AX93" s="3039"/>
      <c r="AY93" s="3039"/>
      <c r="AZ93" s="3039"/>
      <c r="BA93" s="3039"/>
      <c r="BB93" s="3039"/>
      <c r="BC93" s="3039"/>
      <c r="BD93" s="3039"/>
      <c r="BE93" s="3039"/>
      <c r="BF93" s="3039"/>
      <c r="BG93" s="4092"/>
      <c r="BH93" s="4092"/>
      <c r="BI93" s="4095"/>
      <c r="BJ93" s="3020"/>
      <c r="BK93" s="3020"/>
      <c r="BL93" s="3039"/>
      <c r="BM93" s="3039"/>
      <c r="BN93" s="3039"/>
      <c r="BO93" s="3039"/>
      <c r="BP93" s="3020"/>
    </row>
    <row r="94" spans="1:68" ht="39.75" customHeight="1" x14ac:dyDescent="0.2">
      <c r="A94" s="4026"/>
      <c r="B94" s="4026"/>
      <c r="C94" s="4026"/>
      <c r="D94" s="2475"/>
      <c r="E94" s="2475"/>
      <c r="F94" s="2475"/>
      <c r="G94" s="2496"/>
      <c r="H94" s="3767"/>
      <c r="I94" s="2423"/>
      <c r="J94" s="2309"/>
      <c r="K94" s="4048"/>
      <c r="L94" s="4049"/>
      <c r="M94" s="3734"/>
      <c r="N94" s="2343"/>
      <c r="O94" s="2750"/>
      <c r="P94" s="3749"/>
      <c r="Q94" s="4078"/>
      <c r="R94" s="2423"/>
      <c r="S94" s="4080"/>
      <c r="T94" s="4081"/>
      <c r="U94" s="2090">
        <v>10772667</v>
      </c>
      <c r="V94" s="2062">
        <v>10772667</v>
      </c>
      <c r="W94" s="2062">
        <v>10772667</v>
      </c>
      <c r="X94" s="2063" t="s">
        <v>1944</v>
      </c>
      <c r="Y94" s="2091" t="s">
        <v>1074</v>
      </c>
      <c r="Z94" s="3631"/>
      <c r="AA94" s="3631"/>
      <c r="AB94" s="3631"/>
      <c r="AC94" s="3631"/>
      <c r="AD94" s="3631"/>
      <c r="AE94" s="3631"/>
      <c r="AF94" s="3631"/>
      <c r="AG94" s="3631"/>
      <c r="AH94" s="3631"/>
      <c r="AI94" s="3631"/>
      <c r="AJ94" s="3631"/>
      <c r="AK94" s="3631"/>
      <c r="AL94" s="3631"/>
      <c r="AM94" s="3631"/>
      <c r="AN94" s="3631"/>
      <c r="AO94" s="3631"/>
      <c r="AP94" s="3631"/>
      <c r="AQ94" s="3631"/>
      <c r="AR94" s="3631"/>
      <c r="AS94" s="3631"/>
      <c r="AT94" s="2467"/>
      <c r="AU94" s="2467"/>
      <c r="AV94" s="2467"/>
      <c r="AW94" s="2467"/>
      <c r="AX94" s="3631"/>
      <c r="AY94" s="3631"/>
      <c r="AZ94" s="3631"/>
      <c r="BA94" s="3631"/>
      <c r="BB94" s="3631"/>
      <c r="BC94" s="3631"/>
      <c r="BD94" s="3631"/>
      <c r="BE94" s="3631"/>
      <c r="BF94" s="3631"/>
      <c r="BG94" s="4093"/>
      <c r="BH94" s="4093"/>
      <c r="BI94" s="4096"/>
      <c r="BJ94" s="3021"/>
      <c r="BK94" s="3021"/>
      <c r="BL94" s="3631"/>
      <c r="BM94" s="3631"/>
      <c r="BN94" s="3631"/>
      <c r="BO94" s="3631"/>
      <c r="BP94" s="3021"/>
    </row>
    <row r="95" spans="1:68" ht="41.25" customHeight="1" x14ac:dyDescent="0.2">
      <c r="A95" s="4026"/>
      <c r="B95" s="4026"/>
      <c r="C95" s="4026"/>
      <c r="D95" s="2475"/>
      <c r="E95" s="2475"/>
      <c r="F95" s="2475"/>
      <c r="G95" s="4088">
        <v>1903045</v>
      </c>
      <c r="H95" s="3639">
        <v>11.16</v>
      </c>
      <c r="I95" s="2493" t="s">
        <v>1947</v>
      </c>
      <c r="J95" s="2641" t="s">
        <v>1948</v>
      </c>
      <c r="K95" s="4048">
        <v>60</v>
      </c>
      <c r="L95" s="4049">
        <v>21</v>
      </c>
      <c r="M95" s="2341" t="s">
        <v>1949</v>
      </c>
      <c r="N95" s="2342" t="s">
        <v>1950</v>
      </c>
      <c r="O95" s="2413" t="s">
        <v>1951</v>
      </c>
      <c r="P95" s="3749">
        <f>SUM(U95+U96)/Q95</f>
        <v>0.53586236772077478</v>
      </c>
      <c r="Q95" s="4097">
        <f>SUM(U95:U107)</f>
        <v>64636000</v>
      </c>
      <c r="R95" s="2413" t="s">
        <v>1952</v>
      </c>
      <c r="S95" s="2416" t="s">
        <v>1953</v>
      </c>
      <c r="T95" s="3141" t="s">
        <v>1954</v>
      </c>
      <c r="U95" s="2092">
        <v>12076000</v>
      </c>
      <c r="V95" s="2062">
        <v>11200000</v>
      </c>
      <c r="W95" s="2062">
        <v>2800000</v>
      </c>
      <c r="X95" s="2063" t="s">
        <v>1942</v>
      </c>
      <c r="Y95" s="2067" t="s">
        <v>780</v>
      </c>
      <c r="Z95" s="2495">
        <v>292684</v>
      </c>
      <c r="AA95" s="2495">
        <f>Z95*0.97</f>
        <v>283903.48</v>
      </c>
      <c r="AB95" s="2495">
        <v>282326</v>
      </c>
      <c r="AC95" s="2495">
        <f>AB95*0.97</f>
        <v>273856.21999999997</v>
      </c>
      <c r="AD95" s="2495">
        <v>135912</v>
      </c>
      <c r="AE95" s="2495">
        <f>AD95*0.97</f>
        <v>131834.63999999998</v>
      </c>
      <c r="AF95" s="2495">
        <v>45122</v>
      </c>
      <c r="AG95" s="2495">
        <f>AF95*0.97</f>
        <v>43768.34</v>
      </c>
      <c r="AH95" s="2495">
        <v>365607</v>
      </c>
      <c r="AI95" s="2495">
        <f>AH95*0.97</f>
        <v>354638.79</v>
      </c>
      <c r="AJ95" s="2495">
        <v>86875</v>
      </c>
      <c r="AK95" s="2495">
        <f>AJ95*0.97</f>
        <v>84268.75</v>
      </c>
      <c r="AL95" s="2495">
        <v>2145</v>
      </c>
      <c r="AM95" s="2495">
        <f>AL95*0.97</f>
        <v>2080.65</v>
      </c>
      <c r="AN95" s="2495">
        <v>12718</v>
      </c>
      <c r="AO95" s="2495">
        <f>AN95*0.97</f>
        <v>12336.46</v>
      </c>
      <c r="AP95" s="2495">
        <v>26</v>
      </c>
      <c r="AQ95" s="2495">
        <f>AP95*0.97</f>
        <v>25.22</v>
      </c>
      <c r="AR95" s="2495">
        <v>37</v>
      </c>
      <c r="AS95" s="2495">
        <f>AR95*0.97</f>
        <v>35.89</v>
      </c>
      <c r="AT95" s="2306" t="s">
        <v>1808</v>
      </c>
      <c r="AU95" s="2306" t="s">
        <v>1808</v>
      </c>
      <c r="AV95" s="2306" t="s">
        <v>1808</v>
      </c>
      <c r="AW95" s="2306" t="s">
        <v>1808</v>
      </c>
      <c r="AX95" s="2495">
        <v>53164</v>
      </c>
      <c r="AY95" s="2495">
        <f>AX95*0.97</f>
        <v>51569.08</v>
      </c>
      <c r="AZ95" s="2495">
        <v>16982</v>
      </c>
      <c r="BA95" s="2495">
        <f>AZ95*0.97</f>
        <v>16472.54</v>
      </c>
      <c r="BB95" s="2495">
        <v>60013</v>
      </c>
      <c r="BC95" s="2495">
        <f>BB95*0.97</f>
        <v>58212.61</v>
      </c>
      <c r="BD95" s="2495">
        <v>575010</v>
      </c>
      <c r="BE95" s="2495">
        <f>BD95*0.97</f>
        <v>557759.69999999995</v>
      </c>
      <c r="BF95" s="2495">
        <v>6</v>
      </c>
      <c r="BG95" s="4099">
        <f>SUM(V95:V107)</f>
        <v>62760000</v>
      </c>
      <c r="BH95" s="4099">
        <f>SUM(W95:W107)</f>
        <v>31114666</v>
      </c>
      <c r="BI95" s="4104">
        <f>SUM(BG95/Q95)</f>
        <v>0.97097592672813915</v>
      </c>
      <c r="BJ95" s="3007" t="s">
        <v>7</v>
      </c>
      <c r="BK95" s="3007" t="s">
        <v>1943</v>
      </c>
      <c r="BL95" s="3737">
        <v>43832</v>
      </c>
      <c r="BM95" s="3737">
        <v>43832</v>
      </c>
      <c r="BN95" s="3737">
        <v>44196</v>
      </c>
      <c r="BO95" s="3737">
        <v>44196</v>
      </c>
      <c r="BP95" s="3007" t="s">
        <v>1811</v>
      </c>
    </row>
    <row r="96" spans="1:68" ht="48.75" customHeight="1" x14ac:dyDescent="0.2">
      <c r="A96" s="4026"/>
      <c r="B96" s="4026"/>
      <c r="C96" s="4026"/>
      <c r="D96" s="2475"/>
      <c r="E96" s="2475"/>
      <c r="F96" s="2475"/>
      <c r="G96" s="4089"/>
      <c r="H96" s="3697"/>
      <c r="I96" s="2492"/>
      <c r="J96" s="2642"/>
      <c r="K96" s="4048"/>
      <c r="L96" s="4049"/>
      <c r="M96" s="2341"/>
      <c r="N96" s="2342"/>
      <c r="O96" s="2413"/>
      <c r="P96" s="3780"/>
      <c r="Q96" s="4097"/>
      <c r="R96" s="2413"/>
      <c r="S96" s="2416"/>
      <c r="T96" s="3857"/>
      <c r="U96" s="2093">
        <v>22560000</v>
      </c>
      <c r="V96" s="2062">
        <v>22560000</v>
      </c>
      <c r="W96" s="2062">
        <v>13514666</v>
      </c>
      <c r="X96" s="2063" t="s">
        <v>1944</v>
      </c>
      <c r="Y96" s="2091" t="s">
        <v>1074</v>
      </c>
      <c r="Z96" s="2496"/>
      <c r="AA96" s="2496"/>
      <c r="AB96" s="2496"/>
      <c r="AC96" s="2496"/>
      <c r="AD96" s="2496"/>
      <c r="AE96" s="2496"/>
      <c r="AF96" s="2496"/>
      <c r="AG96" s="2496"/>
      <c r="AH96" s="2496"/>
      <c r="AI96" s="2496"/>
      <c r="AJ96" s="2496"/>
      <c r="AK96" s="2496"/>
      <c r="AL96" s="2496"/>
      <c r="AM96" s="2496"/>
      <c r="AN96" s="2496"/>
      <c r="AO96" s="2496"/>
      <c r="AP96" s="2496"/>
      <c r="AQ96" s="2496"/>
      <c r="AR96" s="2496"/>
      <c r="AS96" s="2496"/>
      <c r="AT96" s="2307"/>
      <c r="AU96" s="2307"/>
      <c r="AV96" s="2307"/>
      <c r="AW96" s="2307"/>
      <c r="AX96" s="2496"/>
      <c r="AY96" s="2496"/>
      <c r="AZ96" s="2496"/>
      <c r="BA96" s="2496"/>
      <c r="BB96" s="2496"/>
      <c r="BC96" s="2496"/>
      <c r="BD96" s="2496"/>
      <c r="BE96" s="2496"/>
      <c r="BF96" s="2496"/>
      <c r="BG96" s="2879"/>
      <c r="BH96" s="2879"/>
      <c r="BI96" s="4105"/>
      <c r="BJ96" s="3008"/>
      <c r="BK96" s="3008"/>
      <c r="BL96" s="2496"/>
      <c r="BM96" s="2496"/>
      <c r="BN96" s="2496"/>
      <c r="BO96" s="2496"/>
      <c r="BP96" s="3008"/>
    </row>
    <row r="97" spans="1:68" ht="114.75" customHeight="1" x14ac:dyDescent="0.2">
      <c r="A97" s="4026"/>
      <c r="B97" s="4026"/>
      <c r="C97" s="4026"/>
      <c r="D97" s="2475"/>
      <c r="E97" s="2475"/>
      <c r="F97" s="2475"/>
      <c r="G97" s="1879">
        <v>1903001</v>
      </c>
      <c r="H97" s="1918">
        <v>11.1</v>
      </c>
      <c r="I97" s="1904" t="s">
        <v>433</v>
      </c>
      <c r="J97" s="1884" t="s">
        <v>1860</v>
      </c>
      <c r="K97" s="2094">
        <v>1</v>
      </c>
      <c r="L97" s="2095">
        <v>0.5</v>
      </c>
      <c r="M97" s="2341"/>
      <c r="N97" s="2343"/>
      <c r="O97" s="2413"/>
      <c r="P97" s="1924">
        <f>SUM(U97)/Q95</f>
        <v>0</v>
      </c>
      <c r="Q97" s="2867"/>
      <c r="R97" s="2413"/>
      <c r="S97" s="2416"/>
      <c r="T97" s="1921" t="s">
        <v>1955</v>
      </c>
      <c r="U97" s="2096">
        <v>0</v>
      </c>
      <c r="V97" s="2062">
        <v>0</v>
      </c>
      <c r="W97" s="2062">
        <v>0</v>
      </c>
      <c r="X97" s="2005" t="s">
        <v>1808</v>
      </c>
      <c r="Y97" s="1907" t="s">
        <v>1808</v>
      </c>
      <c r="Z97" s="2496"/>
      <c r="AA97" s="2496"/>
      <c r="AB97" s="2496"/>
      <c r="AC97" s="2496"/>
      <c r="AD97" s="2496"/>
      <c r="AE97" s="2496"/>
      <c r="AF97" s="2496"/>
      <c r="AG97" s="2496"/>
      <c r="AH97" s="2496"/>
      <c r="AI97" s="2496"/>
      <c r="AJ97" s="2496"/>
      <c r="AK97" s="2496"/>
      <c r="AL97" s="2496"/>
      <c r="AM97" s="2496"/>
      <c r="AN97" s="2496"/>
      <c r="AO97" s="2496"/>
      <c r="AP97" s="2496"/>
      <c r="AQ97" s="2496"/>
      <c r="AR97" s="2496"/>
      <c r="AS97" s="2496"/>
      <c r="AT97" s="2307"/>
      <c r="AU97" s="2307"/>
      <c r="AV97" s="2307"/>
      <c r="AW97" s="2307"/>
      <c r="AX97" s="2496"/>
      <c r="AY97" s="2496"/>
      <c r="AZ97" s="2496"/>
      <c r="BA97" s="2496"/>
      <c r="BB97" s="2496"/>
      <c r="BC97" s="2496"/>
      <c r="BD97" s="2496"/>
      <c r="BE97" s="2496"/>
      <c r="BF97" s="2496"/>
      <c r="BG97" s="2879"/>
      <c r="BH97" s="2879"/>
      <c r="BI97" s="4105"/>
      <c r="BJ97" s="3008"/>
      <c r="BK97" s="3008"/>
      <c r="BL97" s="2496"/>
      <c r="BM97" s="2496"/>
      <c r="BN97" s="2496"/>
      <c r="BO97" s="2496"/>
      <c r="BP97" s="3008"/>
    </row>
    <row r="98" spans="1:68" ht="45" customHeight="1" x14ac:dyDescent="0.2">
      <c r="A98" s="4026"/>
      <c r="B98" s="4026"/>
      <c r="C98" s="4026"/>
      <c r="D98" s="2475"/>
      <c r="E98" s="2475"/>
      <c r="F98" s="2475"/>
      <c r="G98" s="2341">
        <v>1903010</v>
      </c>
      <c r="H98" s="4030">
        <v>11.3</v>
      </c>
      <c r="I98" s="2453" t="s">
        <v>1956</v>
      </c>
      <c r="J98" s="2508" t="s">
        <v>1957</v>
      </c>
      <c r="K98" s="4048">
        <v>12</v>
      </c>
      <c r="L98" s="4049">
        <v>10</v>
      </c>
      <c r="M98" s="2341"/>
      <c r="N98" s="2343"/>
      <c r="O98" s="2413"/>
      <c r="P98" s="3748">
        <f>SUM(U98:U104)/Q95</f>
        <v>0.23206881613961261</v>
      </c>
      <c r="Q98" s="2867"/>
      <c r="R98" s="2413"/>
      <c r="S98" s="2416"/>
      <c r="T98" s="3141" t="s">
        <v>1958</v>
      </c>
      <c r="U98" s="2097">
        <f>560667</f>
        <v>560667</v>
      </c>
      <c r="V98" s="2062">
        <v>560667</v>
      </c>
      <c r="W98" s="2062">
        <v>560667</v>
      </c>
      <c r="X98" s="2063" t="s">
        <v>1944</v>
      </c>
      <c r="Y98" s="2069" t="s">
        <v>1074</v>
      </c>
      <c r="Z98" s="2496"/>
      <c r="AA98" s="2496"/>
      <c r="AB98" s="2496"/>
      <c r="AC98" s="2496"/>
      <c r="AD98" s="2496"/>
      <c r="AE98" s="2496"/>
      <c r="AF98" s="2496"/>
      <c r="AG98" s="2496"/>
      <c r="AH98" s="2496"/>
      <c r="AI98" s="2496"/>
      <c r="AJ98" s="2496"/>
      <c r="AK98" s="2496"/>
      <c r="AL98" s="2496"/>
      <c r="AM98" s="2496"/>
      <c r="AN98" s="2496"/>
      <c r="AO98" s="2496"/>
      <c r="AP98" s="2496"/>
      <c r="AQ98" s="2496"/>
      <c r="AR98" s="2496"/>
      <c r="AS98" s="2496"/>
      <c r="AT98" s="2307"/>
      <c r="AU98" s="2307"/>
      <c r="AV98" s="2307"/>
      <c r="AW98" s="2307"/>
      <c r="AX98" s="2496"/>
      <c r="AY98" s="2496"/>
      <c r="AZ98" s="2496"/>
      <c r="BA98" s="2496"/>
      <c r="BB98" s="2496"/>
      <c r="BC98" s="2496"/>
      <c r="BD98" s="2496"/>
      <c r="BE98" s="2496"/>
      <c r="BF98" s="2496"/>
      <c r="BG98" s="2879"/>
      <c r="BH98" s="2879"/>
      <c r="BI98" s="4105"/>
      <c r="BJ98" s="3008"/>
      <c r="BK98" s="3008"/>
      <c r="BL98" s="2496"/>
      <c r="BM98" s="2496"/>
      <c r="BN98" s="2496"/>
      <c r="BO98" s="2496"/>
      <c r="BP98" s="3008"/>
    </row>
    <row r="99" spans="1:68" ht="45" customHeight="1" x14ac:dyDescent="0.2">
      <c r="A99" s="4026"/>
      <c r="B99" s="4026"/>
      <c r="C99" s="4026"/>
      <c r="D99" s="2475"/>
      <c r="E99" s="2475"/>
      <c r="F99" s="2475"/>
      <c r="G99" s="2341"/>
      <c r="H99" s="4030"/>
      <c r="I99" s="2453"/>
      <c r="J99" s="2509"/>
      <c r="K99" s="4048"/>
      <c r="L99" s="4049"/>
      <c r="M99" s="2341"/>
      <c r="N99" s="2343"/>
      <c r="O99" s="2413"/>
      <c r="P99" s="3748"/>
      <c r="Q99" s="2867"/>
      <c r="R99" s="2413"/>
      <c r="S99" s="2416"/>
      <c r="T99" s="3857"/>
      <c r="U99" s="2092">
        <v>2439333</v>
      </c>
      <c r="V99" s="2062">
        <v>2439333</v>
      </c>
      <c r="W99" s="2062">
        <v>0</v>
      </c>
      <c r="X99" s="2063" t="s">
        <v>1942</v>
      </c>
      <c r="Y99" s="2067" t="s">
        <v>780</v>
      </c>
      <c r="Z99" s="2496"/>
      <c r="AA99" s="2496"/>
      <c r="AB99" s="2496"/>
      <c r="AC99" s="2496"/>
      <c r="AD99" s="2496"/>
      <c r="AE99" s="2496"/>
      <c r="AF99" s="2496"/>
      <c r="AG99" s="2496"/>
      <c r="AH99" s="2496"/>
      <c r="AI99" s="2496"/>
      <c r="AJ99" s="2496"/>
      <c r="AK99" s="2496"/>
      <c r="AL99" s="2496"/>
      <c r="AM99" s="2496"/>
      <c r="AN99" s="2496"/>
      <c r="AO99" s="2496"/>
      <c r="AP99" s="2496"/>
      <c r="AQ99" s="2496"/>
      <c r="AR99" s="2496"/>
      <c r="AS99" s="2496"/>
      <c r="AT99" s="2307"/>
      <c r="AU99" s="2307"/>
      <c r="AV99" s="2307"/>
      <c r="AW99" s="2307"/>
      <c r="AX99" s="2496"/>
      <c r="AY99" s="2496"/>
      <c r="AZ99" s="2496"/>
      <c r="BA99" s="2496"/>
      <c r="BB99" s="2496"/>
      <c r="BC99" s="2496"/>
      <c r="BD99" s="2496"/>
      <c r="BE99" s="2496"/>
      <c r="BF99" s="2496"/>
      <c r="BG99" s="2879"/>
      <c r="BH99" s="2879"/>
      <c r="BI99" s="4105"/>
      <c r="BJ99" s="3008"/>
      <c r="BK99" s="3008"/>
      <c r="BL99" s="2496"/>
      <c r="BM99" s="2496"/>
      <c r="BN99" s="2496"/>
      <c r="BO99" s="2496"/>
      <c r="BP99" s="3008"/>
    </row>
    <row r="100" spans="1:68" ht="45" customHeight="1" x14ac:dyDescent="0.2">
      <c r="A100" s="4026"/>
      <c r="B100" s="4026"/>
      <c r="C100" s="4026"/>
      <c r="D100" s="2475"/>
      <c r="E100" s="2475"/>
      <c r="F100" s="2475"/>
      <c r="G100" s="2341"/>
      <c r="H100" s="4030"/>
      <c r="I100" s="2453"/>
      <c r="J100" s="2509"/>
      <c r="K100" s="4048"/>
      <c r="L100" s="4049"/>
      <c r="M100" s="2341"/>
      <c r="N100" s="2343"/>
      <c r="O100" s="2413"/>
      <c r="P100" s="3748"/>
      <c r="Q100" s="2867"/>
      <c r="R100" s="2413"/>
      <c r="S100" s="2416"/>
      <c r="T100" s="3141" t="s">
        <v>1959</v>
      </c>
      <c r="U100" s="2092">
        <f>4106000</f>
        <v>4106000</v>
      </c>
      <c r="V100" s="2062">
        <v>4106000</v>
      </c>
      <c r="W100" s="2062">
        <v>4106000</v>
      </c>
      <c r="X100" s="2063" t="s">
        <v>1944</v>
      </c>
      <c r="Y100" s="2067" t="s">
        <v>1074</v>
      </c>
      <c r="Z100" s="2496"/>
      <c r="AA100" s="2496"/>
      <c r="AB100" s="2496"/>
      <c r="AC100" s="2496"/>
      <c r="AD100" s="2496"/>
      <c r="AE100" s="2496"/>
      <c r="AF100" s="2496"/>
      <c r="AG100" s="2496"/>
      <c r="AH100" s="2496"/>
      <c r="AI100" s="2496"/>
      <c r="AJ100" s="2496"/>
      <c r="AK100" s="2496"/>
      <c r="AL100" s="2496"/>
      <c r="AM100" s="2496"/>
      <c r="AN100" s="2496"/>
      <c r="AO100" s="2496"/>
      <c r="AP100" s="2496"/>
      <c r="AQ100" s="2496"/>
      <c r="AR100" s="2496"/>
      <c r="AS100" s="2496"/>
      <c r="AT100" s="2307"/>
      <c r="AU100" s="2307"/>
      <c r="AV100" s="2307"/>
      <c r="AW100" s="2307"/>
      <c r="AX100" s="2496"/>
      <c r="AY100" s="2496"/>
      <c r="AZ100" s="2496"/>
      <c r="BA100" s="2496"/>
      <c r="BB100" s="2496"/>
      <c r="BC100" s="2496"/>
      <c r="BD100" s="2496"/>
      <c r="BE100" s="2496"/>
      <c r="BF100" s="2496"/>
      <c r="BG100" s="2879"/>
      <c r="BH100" s="2879"/>
      <c r="BI100" s="4105"/>
      <c r="BJ100" s="3008"/>
      <c r="BK100" s="3008"/>
      <c r="BL100" s="2496"/>
      <c r="BM100" s="2496"/>
      <c r="BN100" s="2496"/>
      <c r="BO100" s="2496"/>
      <c r="BP100" s="3008"/>
    </row>
    <row r="101" spans="1:68" ht="45" customHeight="1" x14ac:dyDescent="0.2">
      <c r="A101" s="4026"/>
      <c r="B101" s="4026"/>
      <c r="C101" s="4026"/>
      <c r="D101" s="2475"/>
      <c r="E101" s="2475"/>
      <c r="F101" s="2475"/>
      <c r="G101" s="2341"/>
      <c r="H101" s="4030"/>
      <c r="I101" s="2453"/>
      <c r="J101" s="2509"/>
      <c r="K101" s="4048"/>
      <c r="L101" s="4049"/>
      <c r="M101" s="2341"/>
      <c r="N101" s="2343"/>
      <c r="O101" s="2413"/>
      <c r="P101" s="3748"/>
      <c r="Q101" s="2867"/>
      <c r="R101" s="2413"/>
      <c r="S101" s="2416"/>
      <c r="T101" s="3857"/>
      <c r="U101" s="2092">
        <v>894000</v>
      </c>
      <c r="V101" s="2062">
        <v>894000</v>
      </c>
      <c r="W101" s="2062">
        <v>0</v>
      </c>
      <c r="X101" s="2063" t="s">
        <v>1942</v>
      </c>
      <c r="Y101" s="2067" t="s">
        <v>780</v>
      </c>
      <c r="Z101" s="2496"/>
      <c r="AA101" s="2496"/>
      <c r="AB101" s="2496"/>
      <c r="AC101" s="2496"/>
      <c r="AD101" s="2496"/>
      <c r="AE101" s="2496"/>
      <c r="AF101" s="2496"/>
      <c r="AG101" s="2496"/>
      <c r="AH101" s="2496"/>
      <c r="AI101" s="2496"/>
      <c r="AJ101" s="2496"/>
      <c r="AK101" s="2496"/>
      <c r="AL101" s="2496"/>
      <c r="AM101" s="2496"/>
      <c r="AN101" s="2496"/>
      <c r="AO101" s="2496"/>
      <c r="AP101" s="2496"/>
      <c r="AQ101" s="2496"/>
      <c r="AR101" s="2496"/>
      <c r="AS101" s="2496"/>
      <c r="AT101" s="2307"/>
      <c r="AU101" s="2307"/>
      <c r="AV101" s="2307"/>
      <c r="AW101" s="2307"/>
      <c r="AX101" s="2496"/>
      <c r="AY101" s="2496"/>
      <c r="AZ101" s="2496"/>
      <c r="BA101" s="2496"/>
      <c r="BB101" s="2496"/>
      <c r="BC101" s="2496"/>
      <c r="BD101" s="2496"/>
      <c r="BE101" s="2496"/>
      <c r="BF101" s="2496"/>
      <c r="BG101" s="2879"/>
      <c r="BH101" s="2879"/>
      <c r="BI101" s="4105"/>
      <c r="BJ101" s="3008"/>
      <c r="BK101" s="3008"/>
      <c r="BL101" s="2496"/>
      <c r="BM101" s="2496"/>
      <c r="BN101" s="2496"/>
      <c r="BO101" s="2496"/>
      <c r="BP101" s="3008"/>
    </row>
    <row r="102" spans="1:68" ht="45" customHeight="1" x14ac:dyDescent="0.2">
      <c r="A102" s="4026"/>
      <c r="B102" s="4026"/>
      <c r="C102" s="4026"/>
      <c r="D102" s="2475"/>
      <c r="E102" s="2475"/>
      <c r="F102" s="2475"/>
      <c r="G102" s="2341"/>
      <c r="H102" s="4030"/>
      <c r="I102" s="2453"/>
      <c r="J102" s="2509"/>
      <c r="K102" s="4048"/>
      <c r="L102" s="4049"/>
      <c r="M102" s="2341"/>
      <c r="N102" s="2343"/>
      <c r="O102" s="2413"/>
      <c r="P102" s="3748"/>
      <c r="Q102" s="2867"/>
      <c r="R102" s="2413"/>
      <c r="S102" s="2416"/>
      <c r="T102" s="3141" t="s">
        <v>1960</v>
      </c>
      <c r="U102" s="2092">
        <f>2533333</f>
        <v>2533333</v>
      </c>
      <c r="V102" s="2062">
        <v>2533333</v>
      </c>
      <c r="W102" s="2062">
        <v>2533333</v>
      </c>
      <c r="X102" s="2063" t="s">
        <v>1944</v>
      </c>
      <c r="Y102" s="2067" t="s">
        <v>1074</v>
      </c>
      <c r="Z102" s="2496"/>
      <c r="AA102" s="2496"/>
      <c r="AB102" s="2496"/>
      <c r="AC102" s="2496"/>
      <c r="AD102" s="2496"/>
      <c r="AE102" s="2496"/>
      <c r="AF102" s="2496"/>
      <c r="AG102" s="2496"/>
      <c r="AH102" s="2496"/>
      <c r="AI102" s="2496"/>
      <c r="AJ102" s="2496"/>
      <c r="AK102" s="2496"/>
      <c r="AL102" s="2496"/>
      <c r="AM102" s="2496"/>
      <c r="AN102" s="2496"/>
      <c r="AO102" s="2496"/>
      <c r="AP102" s="2496"/>
      <c r="AQ102" s="2496"/>
      <c r="AR102" s="2496"/>
      <c r="AS102" s="2496"/>
      <c r="AT102" s="2307"/>
      <c r="AU102" s="2307"/>
      <c r="AV102" s="2307"/>
      <c r="AW102" s="2307"/>
      <c r="AX102" s="2496"/>
      <c r="AY102" s="2496"/>
      <c r="AZ102" s="2496"/>
      <c r="BA102" s="2496"/>
      <c r="BB102" s="2496"/>
      <c r="BC102" s="2496"/>
      <c r="BD102" s="2496"/>
      <c r="BE102" s="2496"/>
      <c r="BF102" s="2496"/>
      <c r="BG102" s="2879"/>
      <c r="BH102" s="2879"/>
      <c r="BI102" s="4105"/>
      <c r="BJ102" s="3008"/>
      <c r="BK102" s="3008"/>
      <c r="BL102" s="2496"/>
      <c r="BM102" s="2496"/>
      <c r="BN102" s="2496"/>
      <c r="BO102" s="2496"/>
      <c r="BP102" s="3008"/>
    </row>
    <row r="103" spans="1:68" ht="45" customHeight="1" x14ac:dyDescent="0.2">
      <c r="A103" s="4026"/>
      <c r="B103" s="4026"/>
      <c r="C103" s="4026"/>
      <c r="D103" s="2475"/>
      <c r="E103" s="2475"/>
      <c r="F103" s="2475"/>
      <c r="G103" s="2341"/>
      <c r="H103" s="4030"/>
      <c r="I103" s="2453"/>
      <c r="J103" s="2509"/>
      <c r="K103" s="4048"/>
      <c r="L103" s="4049"/>
      <c r="M103" s="2341"/>
      <c r="N103" s="2343"/>
      <c r="O103" s="2413"/>
      <c r="P103" s="3748"/>
      <c r="Q103" s="2867"/>
      <c r="R103" s="2413"/>
      <c r="S103" s="2416"/>
      <c r="T103" s="3857"/>
      <c r="U103" s="2092">
        <v>466667</v>
      </c>
      <c r="V103" s="2062">
        <v>466667</v>
      </c>
      <c r="W103" s="2062">
        <v>0</v>
      </c>
      <c r="X103" s="2063" t="s">
        <v>1942</v>
      </c>
      <c r="Y103" s="2067" t="s">
        <v>780</v>
      </c>
      <c r="Z103" s="2496"/>
      <c r="AA103" s="2496"/>
      <c r="AB103" s="2496"/>
      <c r="AC103" s="2496"/>
      <c r="AD103" s="2496"/>
      <c r="AE103" s="2496"/>
      <c r="AF103" s="2496"/>
      <c r="AG103" s="2496"/>
      <c r="AH103" s="2496"/>
      <c r="AI103" s="2496"/>
      <c r="AJ103" s="2496"/>
      <c r="AK103" s="2496"/>
      <c r="AL103" s="2496"/>
      <c r="AM103" s="2496"/>
      <c r="AN103" s="2496"/>
      <c r="AO103" s="2496"/>
      <c r="AP103" s="2496"/>
      <c r="AQ103" s="2496"/>
      <c r="AR103" s="2496"/>
      <c r="AS103" s="2496"/>
      <c r="AT103" s="2307"/>
      <c r="AU103" s="2307"/>
      <c r="AV103" s="2307"/>
      <c r="AW103" s="2307"/>
      <c r="AX103" s="2496"/>
      <c r="AY103" s="2496"/>
      <c r="AZ103" s="2496"/>
      <c r="BA103" s="2496"/>
      <c r="BB103" s="2496"/>
      <c r="BC103" s="2496"/>
      <c r="BD103" s="2496"/>
      <c r="BE103" s="2496"/>
      <c r="BF103" s="2496"/>
      <c r="BG103" s="2879"/>
      <c r="BH103" s="2879"/>
      <c r="BI103" s="4105"/>
      <c r="BJ103" s="3008"/>
      <c r="BK103" s="3008"/>
      <c r="BL103" s="2496"/>
      <c r="BM103" s="2496"/>
      <c r="BN103" s="2496"/>
      <c r="BO103" s="2496"/>
      <c r="BP103" s="3008"/>
    </row>
    <row r="104" spans="1:68" ht="81" customHeight="1" x14ac:dyDescent="0.2">
      <c r="A104" s="4026"/>
      <c r="B104" s="4026"/>
      <c r="C104" s="4026"/>
      <c r="D104" s="2475"/>
      <c r="E104" s="2475"/>
      <c r="F104" s="2475"/>
      <c r="G104" s="2341"/>
      <c r="H104" s="4030"/>
      <c r="I104" s="2453"/>
      <c r="J104" s="2510"/>
      <c r="K104" s="4048"/>
      <c r="L104" s="4049"/>
      <c r="M104" s="2341"/>
      <c r="N104" s="2343"/>
      <c r="O104" s="2413"/>
      <c r="P104" s="3748"/>
      <c r="Q104" s="2867"/>
      <c r="R104" s="2413"/>
      <c r="S104" s="2416"/>
      <c r="T104" s="1920" t="s">
        <v>1961</v>
      </c>
      <c r="U104" s="2092">
        <v>4000000</v>
      </c>
      <c r="V104" s="2062">
        <v>3200000</v>
      </c>
      <c r="W104" s="2062">
        <v>0</v>
      </c>
      <c r="X104" s="2063" t="s">
        <v>1942</v>
      </c>
      <c r="Y104" s="2067" t="s">
        <v>780</v>
      </c>
      <c r="Z104" s="2496"/>
      <c r="AA104" s="2496"/>
      <c r="AB104" s="2496"/>
      <c r="AC104" s="2496"/>
      <c r="AD104" s="2496"/>
      <c r="AE104" s="2496"/>
      <c r="AF104" s="2496"/>
      <c r="AG104" s="2496"/>
      <c r="AH104" s="2496"/>
      <c r="AI104" s="2496"/>
      <c r="AJ104" s="2496"/>
      <c r="AK104" s="2496"/>
      <c r="AL104" s="2496"/>
      <c r="AM104" s="2496"/>
      <c r="AN104" s="2496"/>
      <c r="AO104" s="2496"/>
      <c r="AP104" s="2496"/>
      <c r="AQ104" s="2496"/>
      <c r="AR104" s="2496"/>
      <c r="AS104" s="2496"/>
      <c r="AT104" s="2307"/>
      <c r="AU104" s="2307"/>
      <c r="AV104" s="2307"/>
      <c r="AW104" s="2307"/>
      <c r="AX104" s="2496"/>
      <c r="AY104" s="2496"/>
      <c r="AZ104" s="2496"/>
      <c r="BA104" s="2496"/>
      <c r="BB104" s="2496"/>
      <c r="BC104" s="2496"/>
      <c r="BD104" s="2496"/>
      <c r="BE104" s="2496"/>
      <c r="BF104" s="2496"/>
      <c r="BG104" s="2879"/>
      <c r="BH104" s="2879"/>
      <c r="BI104" s="4105"/>
      <c r="BJ104" s="3008"/>
      <c r="BK104" s="3008"/>
      <c r="BL104" s="2496"/>
      <c r="BM104" s="2496"/>
      <c r="BN104" s="2496"/>
      <c r="BO104" s="2496"/>
      <c r="BP104" s="3008"/>
    </row>
    <row r="105" spans="1:68" ht="82.5" customHeight="1" x14ac:dyDescent="0.2">
      <c r="A105" s="4026"/>
      <c r="B105" s="4026"/>
      <c r="C105" s="4026"/>
      <c r="D105" s="2475"/>
      <c r="E105" s="2475"/>
      <c r="F105" s="2475"/>
      <c r="G105" s="2341">
        <v>1903011</v>
      </c>
      <c r="H105" s="4030">
        <v>11.4</v>
      </c>
      <c r="I105" s="2453" t="s">
        <v>1855</v>
      </c>
      <c r="J105" s="2508" t="s">
        <v>1912</v>
      </c>
      <c r="K105" s="4048">
        <v>12</v>
      </c>
      <c r="L105" s="4049">
        <v>6</v>
      </c>
      <c r="M105" s="2341"/>
      <c r="N105" s="2343"/>
      <c r="O105" s="2413"/>
      <c r="P105" s="2896">
        <f>SUM(U105+U107+U106)/Q95</f>
        <v>0.23206881613961261</v>
      </c>
      <c r="Q105" s="2867"/>
      <c r="R105" s="2413"/>
      <c r="S105" s="2416"/>
      <c r="T105" s="1920" t="s">
        <v>1962</v>
      </c>
      <c r="U105" s="2092">
        <v>7500000</v>
      </c>
      <c r="V105" s="2062">
        <v>7300000</v>
      </c>
      <c r="W105" s="2062">
        <v>2500000</v>
      </c>
      <c r="X105" s="2063" t="s">
        <v>1942</v>
      </c>
      <c r="Y105" s="2067" t="s">
        <v>780</v>
      </c>
      <c r="Z105" s="2496"/>
      <c r="AA105" s="2496"/>
      <c r="AB105" s="2496"/>
      <c r="AC105" s="2496"/>
      <c r="AD105" s="2496"/>
      <c r="AE105" s="2496"/>
      <c r="AF105" s="2496"/>
      <c r="AG105" s="2496"/>
      <c r="AH105" s="2496"/>
      <c r="AI105" s="2496"/>
      <c r="AJ105" s="2496"/>
      <c r="AK105" s="2496"/>
      <c r="AL105" s="2496"/>
      <c r="AM105" s="2496"/>
      <c r="AN105" s="2496"/>
      <c r="AO105" s="2496"/>
      <c r="AP105" s="2496"/>
      <c r="AQ105" s="2496"/>
      <c r="AR105" s="2496"/>
      <c r="AS105" s="2496"/>
      <c r="AT105" s="2307"/>
      <c r="AU105" s="2307"/>
      <c r="AV105" s="2307"/>
      <c r="AW105" s="2307"/>
      <c r="AX105" s="2496"/>
      <c r="AY105" s="2496"/>
      <c r="AZ105" s="2496"/>
      <c r="BA105" s="2496"/>
      <c r="BB105" s="2496"/>
      <c r="BC105" s="2496"/>
      <c r="BD105" s="2496"/>
      <c r="BE105" s="2496"/>
      <c r="BF105" s="2496"/>
      <c r="BG105" s="2879"/>
      <c r="BH105" s="2879"/>
      <c r="BI105" s="4105"/>
      <c r="BJ105" s="3008"/>
      <c r="BK105" s="3008"/>
      <c r="BL105" s="2496"/>
      <c r="BM105" s="2496"/>
      <c r="BN105" s="2496"/>
      <c r="BO105" s="2496"/>
      <c r="BP105" s="3008"/>
    </row>
    <row r="106" spans="1:68" ht="61.5" customHeight="1" x14ac:dyDescent="0.2">
      <c r="A106" s="4026"/>
      <c r="B106" s="4026"/>
      <c r="C106" s="4026"/>
      <c r="D106" s="2475"/>
      <c r="E106" s="2475"/>
      <c r="F106" s="2475"/>
      <c r="G106" s="2341"/>
      <c r="H106" s="4030"/>
      <c r="I106" s="2453"/>
      <c r="J106" s="2509"/>
      <c r="K106" s="4048"/>
      <c r="L106" s="4049"/>
      <c r="M106" s="2341"/>
      <c r="N106" s="2491"/>
      <c r="O106" s="2493"/>
      <c r="P106" s="2896"/>
      <c r="Q106" s="2867"/>
      <c r="R106" s="2413"/>
      <c r="S106" s="2416"/>
      <c r="T106" s="3141" t="s">
        <v>1963</v>
      </c>
      <c r="U106" s="2092">
        <f>4000000</f>
        <v>4000000</v>
      </c>
      <c r="V106" s="2062">
        <v>4000000</v>
      </c>
      <c r="W106" s="2062">
        <v>4000000</v>
      </c>
      <c r="X106" s="2063" t="s">
        <v>1944</v>
      </c>
      <c r="Y106" s="2067" t="s">
        <v>1074</v>
      </c>
      <c r="Z106" s="2496"/>
      <c r="AA106" s="2496"/>
      <c r="AB106" s="2496"/>
      <c r="AC106" s="2496"/>
      <c r="AD106" s="2496"/>
      <c r="AE106" s="2496"/>
      <c r="AF106" s="2496"/>
      <c r="AG106" s="2496"/>
      <c r="AH106" s="2496"/>
      <c r="AI106" s="2496"/>
      <c r="AJ106" s="2496"/>
      <c r="AK106" s="2496"/>
      <c r="AL106" s="2496"/>
      <c r="AM106" s="2496"/>
      <c r="AN106" s="2496"/>
      <c r="AO106" s="2496"/>
      <c r="AP106" s="2496"/>
      <c r="AQ106" s="2496"/>
      <c r="AR106" s="2496"/>
      <c r="AS106" s="2496"/>
      <c r="AT106" s="2307"/>
      <c r="AU106" s="2307"/>
      <c r="AV106" s="2307"/>
      <c r="AW106" s="2307"/>
      <c r="AX106" s="2496"/>
      <c r="AY106" s="2496"/>
      <c r="AZ106" s="2496"/>
      <c r="BA106" s="2496"/>
      <c r="BB106" s="2496"/>
      <c r="BC106" s="2496"/>
      <c r="BD106" s="2496"/>
      <c r="BE106" s="2496"/>
      <c r="BF106" s="2496"/>
      <c r="BG106" s="2879"/>
      <c r="BH106" s="2879"/>
      <c r="BI106" s="4105"/>
      <c r="BJ106" s="3008"/>
      <c r="BK106" s="3008"/>
      <c r="BL106" s="2496"/>
      <c r="BM106" s="2496"/>
      <c r="BN106" s="2496"/>
      <c r="BO106" s="2496"/>
      <c r="BP106" s="3008"/>
    </row>
    <row r="107" spans="1:68" ht="69.75" customHeight="1" x14ac:dyDescent="0.2">
      <c r="A107" s="4026"/>
      <c r="B107" s="4026"/>
      <c r="C107" s="4026"/>
      <c r="D107" s="2475"/>
      <c r="E107" s="2475"/>
      <c r="F107" s="2475"/>
      <c r="G107" s="2341"/>
      <c r="H107" s="4030"/>
      <c r="I107" s="2453"/>
      <c r="J107" s="2510"/>
      <c r="K107" s="4048"/>
      <c r="L107" s="4049"/>
      <c r="M107" s="2341"/>
      <c r="N107" s="2491"/>
      <c r="O107" s="2493"/>
      <c r="P107" s="4098" t="e">
        <f t="shared" ref="P107" si="0">+(U107)/$P$94</f>
        <v>#DIV/0!</v>
      </c>
      <c r="Q107" s="2867"/>
      <c r="R107" s="2413"/>
      <c r="S107" s="2416"/>
      <c r="T107" s="3857"/>
      <c r="U107" s="2092">
        <v>3500000</v>
      </c>
      <c r="V107" s="2062">
        <v>3500000</v>
      </c>
      <c r="W107" s="2062">
        <v>1100000</v>
      </c>
      <c r="X107" s="2063" t="s">
        <v>1942</v>
      </c>
      <c r="Y107" s="2067" t="s">
        <v>780</v>
      </c>
      <c r="Z107" s="2497"/>
      <c r="AA107" s="2497"/>
      <c r="AB107" s="2497"/>
      <c r="AC107" s="2497"/>
      <c r="AD107" s="2497"/>
      <c r="AE107" s="2497"/>
      <c r="AF107" s="2497"/>
      <c r="AG107" s="2497"/>
      <c r="AH107" s="2497"/>
      <c r="AI107" s="2497"/>
      <c r="AJ107" s="2497"/>
      <c r="AK107" s="2497"/>
      <c r="AL107" s="2497"/>
      <c r="AM107" s="2497"/>
      <c r="AN107" s="2497"/>
      <c r="AO107" s="2497"/>
      <c r="AP107" s="2497"/>
      <c r="AQ107" s="2497"/>
      <c r="AR107" s="2497"/>
      <c r="AS107" s="2497"/>
      <c r="AT107" s="2467"/>
      <c r="AU107" s="2467"/>
      <c r="AV107" s="2467"/>
      <c r="AW107" s="2467"/>
      <c r="AX107" s="2497"/>
      <c r="AY107" s="2497"/>
      <c r="AZ107" s="2497"/>
      <c r="BA107" s="2497"/>
      <c r="BB107" s="2497"/>
      <c r="BC107" s="2497"/>
      <c r="BD107" s="2497"/>
      <c r="BE107" s="2497"/>
      <c r="BF107" s="2497"/>
      <c r="BG107" s="2880"/>
      <c r="BH107" s="2880"/>
      <c r="BI107" s="4106"/>
      <c r="BJ107" s="3009"/>
      <c r="BK107" s="3009"/>
      <c r="BL107" s="2497"/>
      <c r="BM107" s="2497"/>
      <c r="BN107" s="2497"/>
      <c r="BO107" s="2497"/>
      <c r="BP107" s="3009"/>
    </row>
    <row r="108" spans="1:68" ht="72.75" customHeight="1" x14ac:dyDescent="0.2">
      <c r="A108" s="4026"/>
      <c r="B108" s="4026"/>
      <c r="C108" s="4026"/>
      <c r="D108" s="2475"/>
      <c r="E108" s="2475"/>
      <c r="F108" s="2475"/>
      <c r="G108" s="1887">
        <v>1903047</v>
      </c>
      <c r="H108" s="2098">
        <v>11.17</v>
      </c>
      <c r="I108" s="2099" t="s">
        <v>1964</v>
      </c>
      <c r="J108" s="1895" t="s">
        <v>1965</v>
      </c>
      <c r="K108" s="2094">
        <v>1</v>
      </c>
      <c r="L108" s="2100">
        <v>0.75</v>
      </c>
      <c r="M108" s="2820" t="s">
        <v>1966</v>
      </c>
      <c r="N108" s="2451" t="s">
        <v>1967</v>
      </c>
      <c r="O108" s="2453" t="s">
        <v>1968</v>
      </c>
      <c r="P108" s="2101">
        <f>SUM(U108)/Q108</f>
        <v>0.13333333333333333</v>
      </c>
      <c r="Q108" s="4100">
        <f>SUM(U108:U112)</f>
        <v>150000000</v>
      </c>
      <c r="R108" s="3009" t="s">
        <v>1969</v>
      </c>
      <c r="S108" s="4080" t="s">
        <v>1970</v>
      </c>
      <c r="T108" s="1910" t="s">
        <v>1971</v>
      </c>
      <c r="U108" s="2102">
        <f>3871334+16128666</f>
        <v>20000000</v>
      </c>
      <c r="V108" s="2062">
        <v>3871334</v>
      </c>
      <c r="W108" s="2062">
        <v>3871334</v>
      </c>
      <c r="X108" s="2063" t="s">
        <v>1972</v>
      </c>
      <c r="Y108" s="2069" t="s">
        <v>1973</v>
      </c>
      <c r="Z108" s="2306">
        <v>292684</v>
      </c>
      <c r="AA108" s="2306">
        <f>Z108*0.25</f>
        <v>73171</v>
      </c>
      <c r="AB108" s="2306">
        <v>282326</v>
      </c>
      <c r="AC108" s="2306">
        <f>AB108*0.25</f>
        <v>70581.5</v>
      </c>
      <c r="AD108" s="2306">
        <v>135912</v>
      </c>
      <c r="AE108" s="2306">
        <f>AD108*0.25</f>
        <v>33978</v>
      </c>
      <c r="AF108" s="2306">
        <v>45122</v>
      </c>
      <c r="AG108" s="2306">
        <f>AF108*0.25</f>
        <v>11280.5</v>
      </c>
      <c r="AH108" s="2306">
        <v>365607</v>
      </c>
      <c r="AI108" s="2306">
        <f>AH108*0.25</f>
        <v>91401.75</v>
      </c>
      <c r="AJ108" s="2306">
        <v>86875</v>
      </c>
      <c r="AK108" s="2306">
        <f>AJ108*0.25</f>
        <v>21718.75</v>
      </c>
      <c r="AL108" s="2306">
        <v>2145</v>
      </c>
      <c r="AM108" s="2306">
        <f>AL108*0.25</f>
        <v>536.25</v>
      </c>
      <c r="AN108" s="2306">
        <v>12718</v>
      </c>
      <c r="AO108" s="2306">
        <f>AN108*0.25</f>
        <v>3179.5</v>
      </c>
      <c r="AP108" s="2306">
        <v>26</v>
      </c>
      <c r="AQ108" s="2306">
        <f>AP108*0.25</f>
        <v>6.5</v>
      </c>
      <c r="AR108" s="2306">
        <v>37</v>
      </c>
      <c r="AS108" s="2306">
        <f>AR108*0.25</f>
        <v>9.25</v>
      </c>
      <c r="AT108" s="2306" t="s">
        <v>1808</v>
      </c>
      <c r="AU108" s="2306" t="s">
        <v>1808</v>
      </c>
      <c r="AV108" s="2306" t="s">
        <v>1808</v>
      </c>
      <c r="AW108" s="2306" t="s">
        <v>1808</v>
      </c>
      <c r="AX108" s="2306">
        <v>53164</v>
      </c>
      <c r="AY108" s="2306">
        <f>AX108*0.25</f>
        <v>13291</v>
      </c>
      <c r="AZ108" s="2306">
        <v>16982</v>
      </c>
      <c r="BA108" s="2306">
        <f>AZ108*0.25</f>
        <v>4245.5</v>
      </c>
      <c r="BB108" s="2306">
        <v>60013</v>
      </c>
      <c r="BC108" s="2306">
        <f>BB108*0.25</f>
        <v>15003.25</v>
      </c>
      <c r="BD108" s="2306">
        <v>575010</v>
      </c>
      <c r="BE108" s="2306">
        <f>BD108*0.25</f>
        <v>143752.5</v>
      </c>
      <c r="BF108" s="2306">
        <v>4</v>
      </c>
      <c r="BG108" s="4039">
        <f>SUM(V108:V112)</f>
        <v>37866667</v>
      </c>
      <c r="BH108" s="4039">
        <f>SUM(W108:W112)</f>
        <v>37586667</v>
      </c>
      <c r="BI108" s="3031">
        <f>SUM(BG108/Q108)</f>
        <v>0.25244444666666666</v>
      </c>
      <c r="BJ108" s="2422" t="s">
        <v>1973</v>
      </c>
      <c r="BK108" s="2422" t="s">
        <v>1974</v>
      </c>
      <c r="BL108" s="3719">
        <v>43832</v>
      </c>
      <c r="BM108" s="3719">
        <v>43832</v>
      </c>
      <c r="BN108" s="3719">
        <v>44196</v>
      </c>
      <c r="BO108" s="3719">
        <v>44196</v>
      </c>
      <c r="BP108" s="2422" t="s">
        <v>1811</v>
      </c>
    </row>
    <row r="109" spans="1:68" ht="61.5" customHeight="1" x14ac:dyDescent="0.2">
      <c r="A109" s="4026"/>
      <c r="B109" s="4026"/>
      <c r="C109" s="4026"/>
      <c r="D109" s="2475"/>
      <c r="E109" s="2475"/>
      <c r="F109" s="2475"/>
      <c r="G109" s="1897">
        <v>1903019</v>
      </c>
      <c r="H109" s="1918">
        <v>11.8</v>
      </c>
      <c r="I109" s="1886" t="s">
        <v>1975</v>
      </c>
      <c r="J109" s="1901" t="s">
        <v>1976</v>
      </c>
      <c r="K109" s="2094">
        <v>75</v>
      </c>
      <c r="L109" s="2095">
        <v>55</v>
      </c>
      <c r="M109" s="2820"/>
      <c r="N109" s="2451"/>
      <c r="O109" s="2453"/>
      <c r="P109" s="2103">
        <v>7.0000000000000007E-2</v>
      </c>
      <c r="Q109" s="4100"/>
      <c r="R109" s="3009"/>
      <c r="S109" s="4080"/>
      <c r="T109" s="1908" t="s">
        <v>1977</v>
      </c>
      <c r="U109" s="2102">
        <f>44400000-33200000</f>
        <v>11200000</v>
      </c>
      <c r="V109" s="2062">
        <v>0</v>
      </c>
      <c r="W109" s="2062">
        <v>0</v>
      </c>
      <c r="X109" s="2063" t="s">
        <v>1972</v>
      </c>
      <c r="Y109" s="2069" t="s">
        <v>1973</v>
      </c>
      <c r="Z109" s="2307"/>
      <c r="AA109" s="2307"/>
      <c r="AB109" s="2307"/>
      <c r="AC109" s="2307"/>
      <c r="AD109" s="2307"/>
      <c r="AE109" s="2307"/>
      <c r="AF109" s="2307"/>
      <c r="AG109" s="2307"/>
      <c r="AH109" s="2307"/>
      <c r="AI109" s="2307"/>
      <c r="AJ109" s="2307"/>
      <c r="AK109" s="2307"/>
      <c r="AL109" s="2307"/>
      <c r="AM109" s="2307"/>
      <c r="AN109" s="2307"/>
      <c r="AO109" s="2307"/>
      <c r="AP109" s="2307"/>
      <c r="AQ109" s="2307"/>
      <c r="AR109" s="2307"/>
      <c r="AS109" s="2307"/>
      <c r="AT109" s="2307"/>
      <c r="AU109" s="2307"/>
      <c r="AV109" s="2307"/>
      <c r="AW109" s="2307"/>
      <c r="AX109" s="2307"/>
      <c r="AY109" s="2307"/>
      <c r="AZ109" s="2307"/>
      <c r="BA109" s="2307"/>
      <c r="BB109" s="2307"/>
      <c r="BC109" s="2307"/>
      <c r="BD109" s="2307"/>
      <c r="BE109" s="2307"/>
      <c r="BF109" s="2307"/>
      <c r="BG109" s="2567"/>
      <c r="BH109" s="2567"/>
      <c r="BI109" s="3032"/>
      <c r="BJ109" s="2423"/>
      <c r="BK109" s="2423"/>
      <c r="BL109" s="2307"/>
      <c r="BM109" s="2307"/>
      <c r="BN109" s="2307"/>
      <c r="BO109" s="2307"/>
      <c r="BP109" s="2423"/>
    </row>
    <row r="110" spans="1:68" ht="66.75" customHeight="1" x14ac:dyDescent="0.2">
      <c r="A110" s="4026"/>
      <c r="B110" s="4026"/>
      <c r="C110" s="4026"/>
      <c r="D110" s="2475"/>
      <c r="E110" s="2475"/>
      <c r="F110" s="2475"/>
      <c r="G110" s="1880">
        <v>1903028</v>
      </c>
      <c r="H110" s="1922">
        <v>11.12</v>
      </c>
      <c r="I110" s="1885" t="s">
        <v>1978</v>
      </c>
      <c r="J110" s="1885" t="s">
        <v>1979</v>
      </c>
      <c r="K110" s="2094">
        <v>250</v>
      </c>
      <c r="L110" s="2095">
        <v>190</v>
      </c>
      <c r="M110" s="2820"/>
      <c r="N110" s="2451"/>
      <c r="O110" s="2453"/>
      <c r="P110" s="2104">
        <f>SUM(U110)/Q108</f>
        <v>9.3333333333333338E-2</v>
      </c>
      <c r="Q110" s="4101"/>
      <c r="R110" s="4102"/>
      <c r="S110" s="4080"/>
      <c r="T110" s="1908" t="s">
        <v>1980</v>
      </c>
      <c r="U110" s="2102">
        <f>20000000-6000000</f>
        <v>14000000</v>
      </c>
      <c r="V110" s="2062">
        <v>0</v>
      </c>
      <c r="W110" s="2062">
        <v>0</v>
      </c>
      <c r="X110" s="2063" t="s">
        <v>1972</v>
      </c>
      <c r="Y110" s="2067" t="s">
        <v>1973</v>
      </c>
      <c r="Z110" s="2307"/>
      <c r="AA110" s="2307"/>
      <c r="AB110" s="2307"/>
      <c r="AC110" s="2307"/>
      <c r="AD110" s="2307"/>
      <c r="AE110" s="2307"/>
      <c r="AF110" s="2307"/>
      <c r="AG110" s="2307"/>
      <c r="AH110" s="2307"/>
      <c r="AI110" s="2307"/>
      <c r="AJ110" s="2307"/>
      <c r="AK110" s="2307"/>
      <c r="AL110" s="2307"/>
      <c r="AM110" s="2307"/>
      <c r="AN110" s="2307"/>
      <c r="AO110" s="2307"/>
      <c r="AP110" s="2307"/>
      <c r="AQ110" s="2307"/>
      <c r="AR110" s="2307"/>
      <c r="AS110" s="2307"/>
      <c r="AT110" s="2307"/>
      <c r="AU110" s="2307"/>
      <c r="AV110" s="2307"/>
      <c r="AW110" s="2307"/>
      <c r="AX110" s="2307"/>
      <c r="AY110" s="2307"/>
      <c r="AZ110" s="2307"/>
      <c r="BA110" s="2307"/>
      <c r="BB110" s="2307"/>
      <c r="BC110" s="2307"/>
      <c r="BD110" s="2307"/>
      <c r="BE110" s="2307"/>
      <c r="BF110" s="2307"/>
      <c r="BG110" s="2567"/>
      <c r="BH110" s="2567"/>
      <c r="BI110" s="3032"/>
      <c r="BJ110" s="2423"/>
      <c r="BK110" s="2423"/>
      <c r="BL110" s="2307"/>
      <c r="BM110" s="2307"/>
      <c r="BN110" s="2307"/>
      <c r="BO110" s="2307"/>
      <c r="BP110" s="2423"/>
    </row>
    <row r="111" spans="1:68" ht="52.5" customHeight="1" x14ac:dyDescent="0.2">
      <c r="A111" s="4026"/>
      <c r="B111" s="4026"/>
      <c r="C111" s="4026"/>
      <c r="D111" s="2475"/>
      <c r="E111" s="2475"/>
      <c r="F111" s="2475"/>
      <c r="G111" s="2495">
        <v>1903025</v>
      </c>
      <c r="H111" s="4107">
        <v>11.1</v>
      </c>
      <c r="I111" s="2422" t="s">
        <v>1981</v>
      </c>
      <c r="J111" s="2422" t="s">
        <v>1982</v>
      </c>
      <c r="K111" s="4048">
        <v>12</v>
      </c>
      <c r="L111" s="4049">
        <v>10</v>
      </c>
      <c r="M111" s="2820"/>
      <c r="N111" s="2451"/>
      <c r="O111" s="2453"/>
      <c r="P111" s="4109">
        <f>SUM(U111:U112)/Q108</f>
        <v>0.69866666666666666</v>
      </c>
      <c r="Q111" s="4101"/>
      <c r="R111" s="4102"/>
      <c r="S111" s="4080"/>
      <c r="T111" s="1908" t="s">
        <v>1983</v>
      </c>
      <c r="U111" s="2102">
        <f>18395333+20000000</f>
        <v>38395333</v>
      </c>
      <c r="V111" s="2062">
        <v>18395333</v>
      </c>
      <c r="W111" s="2062">
        <v>18115333</v>
      </c>
      <c r="X111" s="2063" t="s">
        <v>1972</v>
      </c>
      <c r="Y111" s="2067" t="s">
        <v>1973</v>
      </c>
      <c r="Z111" s="2307"/>
      <c r="AA111" s="2307"/>
      <c r="AB111" s="2307"/>
      <c r="AC111" s="2307"/>
      <c r="AD111" s="2307"/>
      <c r="AE111" s="2307"/>
      <c r="AF111" s="2307"/>
      <c r="AG111" s="2307"/>
      <c r="AH111" s="2307"/>
      <c r="AI111" s="2307"/>
      <c r="AJ111" s="2307"/>
      <c r="AK111" s="2307"/>
      <c r="AL111" s="2307"/>
      <c r="AM111" s="2307"/>
      <c r="AN111" s="2307"/>
      <c r="AO111" s="2307"/>
      <c r="AP111" s="2307"/>
      <c r="AQ111" s="2307"/>
      <c r="AR111" s="2307"/>
      <c r="AS111" s="2307"/>
      <c r="AT111" s="2307"/>
      <c r="AU111" s="2307"/>
      <c r="AV111" s="2307"/>
      <c r="AW111" s="2307"/>
      <c r="AX111" s="2307"/>
      <c r="AY111" s="2307"/>
      <c r="AZ111" s="2307"/>
      <c r="BA111" s="2307"/>
      <c r="BB111" s="2307"/>
      <c r="BC111" s="2307"/>
      <c r="BD111" s="2307"/>
      <c r="BE111" s="2307"/>
      <c r="BF111" s="2307"/>
      <c r="BG111" s="2567"/>
      <c r="BH111" s="2567"/>
      <c r="BI111" s="3032"/>
      <c r="BJ111" s="2423"/>
      <c r="BK111" s="2423"/>
      <c r="BL111" s="2307"/>
      <c r="BM111" s="2307"/>
      <c r="BN111" s="2307"/>
      <c r="BO111" s="2307"/>
      <c r="BP111" s="2423"/>
    </row>
    <row r="112" spans="1:68" ht="60" customHeight="1" x14ac:dyDescent="0.2">
      <c r="A112" s="4026"/>
      <c r="B112" s="4026"/>
      <c r="C112" s="4026"/>
      <c r="D112" s="2475"/>
      <c r="E112" s="2475"/>
      <c r="F112" s="2475"/>
      <c r="G112" s="2497"/>
      <c r="H112" s="4108"/>
      <c r="I112" s="2424"/>
      <c r="J112" s="2424"/>
      <c r="K112" s="4048"/>
      <c r="L112" s="4049"/>
      <c r="M112" s="2821"/>
      <c r="N112" s="2451"/>
      <c r="O112" s="2453"/>
      <c r="P112" s="4110"/>
      <c r="Q112" s="4101"/>
      <c r="R112" s="4102"/>
      <c r="S112" s="4103"/>
      <c r="T112" s="1908" t="s">
        <v>1984</v>
      </c>
      <c r="U112" s="2102">
        <f>15600000+20000000+30804667</f>
        <v>66404667</v>
      </c>
      <c r="V112" s="2062">
        <v>15600000</v>
      </c>
      <c r="W112" s="2062">
        <v>15600000</v>
      </c>
      <c r="X112" s="2063" t="s">
        <v>1972</v>
      </c>
      <c r="Y112" s="2067" t="s">
        <v>1973</v>
      </c>
      <c r="Z112" s="2467"/>
      <c r="AA112" s="2467"/>
      <c r="AB112" s="2467"/>
      <c r="AC112" s="2467"/>
      <c r="AD112" s="2467"/>
      <c r="AE112" s="2467"/>
      <c r="AF112" s="2467"/>
      <c r="AG112" s="2467"/>
      <c r="AH112" s="2467"/>
      <c r="AI112" s="2467"/>
      <c r="AJ112" s="2467"/>
      <c r="AK112" s="2467"/>
      <c r="AL112" s="2467"/>
      <c r="AM112" s="2467"/>
      <c r="AN112" s="2467"/>
      <c r="AO112" s="2467"/>
      <c r="AP112" s="2467"/>
      <c r="AQ112" s="2467"/>
      <c r="AR112" s="2467"/>
      <c r="AS112" s="2467"/>
      <c r="AT112" s="2467"/>
      <c r="AU112" s="2467"/>
      <c r="AV112" s="2467"/>
      <c r="AW112" s="2467"/>
      <c r="AX112" s="2467"/>
      <c r="AY112" s="2467"/>
      <c r="AZ112" s="2467"/>
      <c r="BA112" s="2467"/>
      <c r="BB112" s="2467"/>
      <c r="BC112" s="2467"/>
      <c r="BD112" s="2467"/>
      <c r="BE112" s="2467"/>
      <c r="BF112" s="2467"/>
      <c r="BG112" s="2969"/>
      <c r="BH112" s="2969"/>
      <c r="BI112" s="3033"/>
      <c r="BJ112" s="2424"/>
      <c r="BK112" s="2424"/>
      <c r="BL112" s="2467"/>
      <c r="BM112" s="2467"/>
      <c r="BN112" s="2467"/>
      <c r="BO112" s="2467"/>
      <c r="BP112" s="2424"/>
    </row>
    <row r="113" spans="1:68" ht="18.75" customHeight="1" x14ac:dyDescent="0.2">
      <c r="A113" s="4026"/>
      <c r="B113" s="4026"/>
      <c r="C113" s="4026"/>
      <c r="D113" s="1200">
        <v>12</v>
      </c>
      <c r="E113" s="1196" t="s">
        <v>1985</v>
      </c>
      <c r="F113" s="112"/>
      <c r="G113" s="745"/>
      <c r="H113" s="745"/>
      <c r="I113" s="744"/>
      <c r="J113" s="744"/>
      <c r="K113" s="2105"/>
      <c r="L113" s="1043"/>
      <c r="M113" s="1043"/>
      <c r="N113" s="1084"/>
      <c r="O113" s="2106"/>
      <c r="P113" s="2107"/>
      <c r="Q113" s="1084"/>
      <c r="R113" s="2049"/>
      <c r="S113" s="2054"/>
      <c r="T113" s="744"/>
      <c r="U113" s="2108"/>
      <c r="V113" s="2109"/>
      <c r="W113" s="2109"/>
      <c r="X113" s="2110"/>
      <c r="Y113" s="2111"/>
      <c r="Z113" s="2112"/>
      <c r="AA113" s="2112"/>
      <c r="AB113" s="2112"/>
      <c r="AC113" s="2112"/>
      <c r="AD113" s="2112"/>
      <c r="AE113" s="2112"/>
      <c r="AF113" s="2112"/>
      <c r="AG113" s="2112"/>
      <c r="AH113" s="2112"/>
      <c r="AI113" s="2112"/>
      <c r="AJ113" s="2112"/>
      <c r="AK113" s="2112"/>
      <c r="AL113" s="2112"/>
      <c r="AM113" s="2112"/>
      <c r="AN113" s="2112"/>
      <c r="AO113" s="2112"/>
      <c r="AP113" s="2112"/>
      <c r="AQ113" s="2112"/>
      <c r="AR113" s="2112"/>
      <c r="AS113" s="2112"/>
      <c r="AT113" s="2112"/>
      <c r="AU113" s="2112"/>
      <c r="AV113" s="2112"/>
      <c r="AW113" s="2112"/>
      <c r="AX113" s="2112"/>
      <c r="AY113" s="2112"/>
      <c r="AZ113" s="2112"/>
      <c r="BA113" s="2112"/>
      <c r="BB113" s="2112"/>
      <c r="BC113" s="2112"/>
      <c r="BD113" s="2112"/>
      <c r="BE113" s="2112"/>
      <c r="BF113" s="2112"/>
      <c r="BG113" s="2112"/>
      <c r="BH113" s="2112"/>
      <c r="BI113" s="2113"/>
      <c r="BJ113" s="2049"/>
      <c r="BK113" s="2049"/>
      <c r="BL113" s="2112"/>
      <c r="BM113" s="2112"/>
      <c r="BN113" s="2112"/>
      <c r="BO113" s="2112"/>
      <c r="BP113" s="2114"/>
    </row>
    <row r="114" spans="1:68" ht="63" customHeight="1" x14ac:dyDescent="0.2">
      <c r="A114" s="4026"/>
      <c r="B114" s="4026"/>
      <c r="C114" s="4026"/>
      <c r="D114" s="4114"/>
      <c r="E114" s="4114"/>
      <c r="F114" s="4114"/>
      <c r="G114" s="2495">
        <v>1905028</v>
      </c>
      <c r="H114" s="3109">
        <v>12.12</v>
      </c>
      <c r="I114" s="2894" t="s">
        <v>1986</v>
      </c>
      <c r="J114" s="2422" t="s">
        <v>1987</v>
      </c>
      <c r="K114" s="4048">
        <v>12</v>
      </c>
      <c r="L114" s="4049">
        <v>8</v>
      </c>
      <c r="M114" s="2566" t="s">
        <v>1988</v>
      </c>
      <c r="N114" s="2306" t="s">
        <v>1802</v>
      </c>
      <c r="O114" s="2422" t="s">
        <v>1989</v>
      </c>
      <c r="P114" s="3031">
        <f>SUM(U114:U120)/(Q12+Q114)</f>
        <v>0.33898305084745761</v>
      </c>
      <c r="Q114" s="4111">
        <f>SUM(U114:U125)</f>
        <v>68000000</v>
      </c>
      <c r="R114" s="2422" t="s">
        <v>1990</v>
      </c>
      <c r="S114" s="2439" t="s">
        <v>1991</v>
      </c>
      <c r="T114" s="2115" t="s">
        <v>1992</v>
      </c>
      <c r="U114" s="2066">
        <v>5238268</v>
      </c>
      <c r="V114" s="2066">
        <v>5238268</v>
      </c>
      <c r="W114" s="2062">
        <v>2619134</v>
      </c>
      <c r="X114" s="2116" t="s">
        <v>1867</v>
      </c>
      <c r="Y114" s="2064" t="s">
        <v>1993</v>
      </c>
      <c r="Z114" s="3038" t="s">
        <v>1808</v>
      </c>
      <c r="AA114" s="3038" t="s">
        <v>1808</v>
      </c>
      <c r="AB114" s="3038" t="s">
        <v>1808</v>
      </c>
      <c r="AC114" s="3038" t="s">
        <v>1808</v>
      </c>
      <c r="AD114" s="3038">
        <v>64149</v>
      </c>
      <c r="AE114" s="3038">
        <f>SUM(AD114*0.64)</f>
        <v>41055.360000000001</v>
      </c>
      <c r="AF114" s="3038" t="s">
        <v>1808</v>
      </c>
      <c r="AG114" s="3038" t="s">
        <v>1808</v>
      </c>
      <c r="AH114" s="3038" t="s">
        <v>1808</v>
      </c>
      <c r="AI114" s="3038" t="s">
        <v>1808</v>
      </c>
      <c r="AJ114" s="3038" t="s">
        <v>1808</v>
      </c>
      <c r="AK114" s="3038" t="s">
        <v>1808</v>
      </c>
      <c r="AL114" s="3038" t="s">
        <v>1808</v>
      </c>
      <c r="AM114" s="3038" t="s">
        <v>1808</v>
      </c>
      <c r="AN114" s="3038" t="s">
        <v>1808</v>
      </c>
      <c r="AO114" s="3038" t="s">
        <v>1808</v>
      </c>
      <c r="AP114" s="3038" t="s">
        <v>1808</v>
      </c>
      <c r="AQ114" s="3038" t="s">
        <v>1808</v>
      </c>
      <c r="AR114" s="3038" t="s">
        <v>1808</v>
      </c>
      <c r="AS114" s="3038" t="s">
        <v>1808</v>
      </c>
      <c r="AT114" s="3038" t="s">
        <v>1808</v>
      </c>
      <c r="AU114" s="3038" t="s">
        <v>1808</v>
      </c>
      <c r="AV114" s="3038" t="s">
        <v>1808</v>
      </c>
      <c r="AW114" s="3038" t="s">
        <v>1808</v>
      </c>
      <c r="AX114" s="3038" t="s">
        <v>1808</v>
      </c>
      <c r="AY114" s="3038" t="s">
        <v>1808</v>
      </c>
      <c r="AZ114" s="3038" t="s">
        <v>1808</v>
      </c>
      <c r="BA114" s="3038" t="s">
        <v>1808</v>
      </c>
      <c r="BB114" s="3038" t="s">
        <v>1808</v>
      </c>
      <c r="BC114" s="3038" t="s">
        <v>1808</v>
      </c>
      <c r="BD114" s="3038" t="s">
        <v>1808</v>
      </c>
      <c r="BE114" s="3038" t="s">
        <v>1808</v>
      </c>
      <c r="BF114" s="3038">
        <v>6</v>
      </c>
      <c r="BG114" s="4118">
        <f>SUM(V114:V125)</f>
        <v>43473333</v>
      </c>
      <c r="BH114" s="4118">
        <f>SUM(W114:W125)</f>
        <v>11866667</v>
      </c>
      <c r="BI114" s="4094">
        <f>SUM(BG114/Q114)</f>
        <v>0.63931372058823532</v>
      </c>
      <c r="BJ114" s="3019" t="s">
        <v>1809</v>
      </c>
      <c r="BK114" s="3019" t="s">
        <v>1810</v>
      </c>
      <c r="BL114" s="4090">
        <v>43832</v>
      </c>
      <c r="BM114" s="4090">
        <v>43832</v>
      </c>
      <c r="BN114" s="4090">
        <v>44196</v>
      </c>
      <c r="BO114" s="4090">
        <v>44196</v>
      </c>
      <c r="BP114" s="3019" t="s">
        <v>1811</v>
      </c>
    </row>
    <row r="115" spans="1:68" ht="63" customHeight="1" x14ac:dyDescent="0.2">
      <c r="A115" s="4026"/>
      <c r="B115" s="4026"/>
      <c r="C115" s="4026"/>
      <c r="D115" s="4114"/>
      <c r="E115" s="4114"/>
      <c r="F115" s="4114"/>
      <c r="G115" s="2496"/>
      <c r="H115" s="3767"/>
      <c r="I115" s="2884"/>
      <c r="J115" s="2423"/>
      <c r="K115" s="4048"/>
      <c r="L115" s="4049"/>
      <c r="M115" s="2567"/>
      <c r="N115" s="2307"/>
      <c r="O115" s="2423"/>
      <c r="P115" s="3032"/>
      <c r="Q115" s="4112"/>
      <c r="R115" s="2423"/>
      <c r="S115" s="2440"/>
      <c r="T115" s="1908" t="s">
        <v>1994</v>
      </c>
      <c r="U115" s="2066">
        <v>6266666</v>
      </c>
      <c r="V115" s="2066">
        <v>2000000</v>
      </c>
      <c r="W115" s="2062">
        <v>0</v>
      </c>
      <c r="X115" s="2116" t="s">
        <v>1867</v>
      </c>
      <c r="Y115" s="2064" t="s">
        <v>1993</v>
      </c>
      <c r="Z115" s="3039"/>
      <c r="AA115" s="3039"/>
      <c r="AB115" s="3039"/>
      <c r="AC115" s="3039"/>
      <c r="AD115" s="3039"/>
      <c r="AE115" s="3039"/>
      <c r="AF115" s="3039"/>
      <c r="AG115" s="3039"/>
      <c r="AH115" s="3039"/>
      <c r="AI115" s="3039"/>
      <c r="AJ115" s="3039"/>
      <c r="AK115" s="3039"/>
      <c r="AL115" s="3039"/>
      <c r="AM115" s="3039"/>
      <c r="AN115" s="3039"/>
      <c r="AO115" s="3039"/>
      <c r="AP115" s="3039"/>
      <c r="AQ115" s="3039"/>
      <c r="AR115" s="3039"/>
      <c r="AS115" s="3039"/>
      <c r="AT115" s="3039"/>
      <c r="AU115" s="3039"/>
      <c r="AV115" s="3039"/>
      <c r="AW115" s="3039"/>
      <c r="AX115" s="3039"/>
      <c r="AY115" s="3039"/>
      <c r="AZ115" s="3039"/>
      <c r="BA115" s="3039"/>
      <c r="BB115" s="3039"/>
      <c r="BC115" s="3039"/>
      <c r="BD115" s="3039"/>
      <c r="BE115" s="3039"/>
      <c r="BF115" s="3039"/>
      <c r="BG115" s="4092"/>
      <c r="BH115" s="4092"/>
      <c r="BI115" s="4095"/>
      <c r="BJ115" s="3020"/>
      <c r="BK115" s="3020"/>
      <c r="BL115" s="3039"/>
      <c r="BM115" s="3039"/>
      <c r="BN115" s="3039"/>
      <c r="BO115" s="3039"/>
      <c r="BP115" s="3020"/>
    </row>
    <row r="116" spans="1:68" ht="63" customHeight="1" x14ac:dyDescent="0.2">
      <c r="A116" s="4026"/>
      <c r="B116" s="4026"/>
      <c r="C116" s="4026"/>
      <c r="D116" s="4114"/>
      <c r="E116" s="4114"/>
      <c r="F116" s="4114"/>
      <c r="G116" s="2496"/>
      <c r="H116" s="3767"/>
      <c r="I116" s="2884"/>
      <c r="J116" s="2423"/>
      <c r="K116" s="4048"/>
      <c r="L116" s="4049"/>
      <c r="M116" s="2567"/>
      <c r="N116" s="2307"/>
      <c r="O116" s="2423"/>
      <c r="P116" s="3032"/>
      <c r="Q116" s="4112"/>
      <c r="R116" s="2423"/>
      <c r="S116" s="2440"/>
      <c r="T116" s="1908" t="s">
        <v>1995</v>
      </c>
      <c r="U116" s="2066">
        <v>5000000</v>
      </c>
      <c r="V116" s="2066">
        <v>2000000</v>
      </c>
      <c r="W116" s="2062">
        <v>0</v>
      </c>
      <c r="X116" s="2116" t="s">
        <v>1867</v>
      </c>
      <c r="Y116" s="2064" t="s">
        <v>1993</v>
      </c>
      <c r="Z116" s="3039"/>
      <c r="AA116" s="3039"/>
      <c r="AB116" s="3039"/>
      <c r="AC116" s="3039"/>
      <c r="AD116" s="3039"/>
      <c r="AE116" s="3039"/>
      <c r="AF116" s="3039"/>
      <c r="AG116" s="3039"/>
      <c r="AH116" s="3039"/>
      <c r="AI116" s="3039"/>
      <c r="AJ116" s="3039"/>
      <c r="AK116" s="3039"/>
      <c r="AL116" s="3039"/>
      <c r="AM116" s="3039"/>
      <c r="AN116" s="3039"/>
      <c r="AO116" s="3039"/>
      <c r="AP116" s="3039"/>
      <c r="AQ116" s="3039"/>
      <c r="AR116" s="3039"/>
      <c r="AS116" s="3039"/>
      <c r="AT116" s="3039"/>
      <c r="AU116" s="3039"/>
      <c r="AV116" s="3039"/>
      <c r="AW116" s="3039"/>
      <c r="AX116" s="3039"/>
      <c r="AY116" s="3039"/>
      <c r="AZ116" s="3039"/>
      <c r="BA116" s="3039"/>
      <c r="BB116" s="3039"/>
      <c r="BC116" s="3039"/>
      <c r="BD116" s="3039"/>
      <c r="BE116" s="3039"/>
      <c r="BF116" s="3039"/>
      <c r="BG116" s="4092"/>
      <c r="BH116" s="4092"/>
      <c r="BI116" s="4095"/>
      <c r="BJ116" s="3020"/>
      <c r="BK116" s="3020"/>
      <c r="BL116" s="3039"/>
      <c r="BM116" s="3039"/>
      <c r="BN116" s="3039"/>
      <c r="BO116" s="3039"/>
      <c r="BP116" s="3020"/>
    </row>
    <row r="117" spans="1:68" ht="63" customHeight="1" x14ac:dyDescent="0.2">
      <c r="A117" s="4026"/>
      <c r="B117" s="4026"/>
      <c r="C117" s="4026"/>
      <c r="D117" s="4114"/>
      <c r="E117" s="4114"/>
      <c r="F117" s="4114"/>
      <c r="G117" s="2496"/>
      <c r="H117" s="3767"/>
      <c r="I117" s="2884"/>
      <c r="J117" s="2423"/>
      <c r="K117" s="4048"/>
      <c r="L117" s="4049"/>
      <c r="M117" s="2567"/>
      <c r="N117" s="2307"/>
      <c r="O117" s="2423"/>
      <c r="P117" s="3032"/>
      <c r="Q117" s="4112"/>
      <c r="R117" s="2423"/>
      <c r="S117" s="2440"/>
      <c r="T117" s="1908" t="s">
        <v>1996</v>
      </c>
      <c r="U117" s="2066">
        <v>5000000</v>
      </c>
      <c r="V117" s="2066">
        <v>2000000</v>
      </c>
      <c r="W117" s="2062">
        <v>0</v>
      </c>
      <c r="X117" s="2116" t="s">
        <v>1867</v>
      </c>
      <c r="Y117" s="2064" t="s">
        <v>1993</v>
      </c>
      <c r="Z117" s="3039"/>
      <c r="AA117" s="3039"/>
      <c r="AB117" s="3039"/>
      <c r="AC117" s="3039"/>
      <c r="AD117" s="3039"/>
      <c r="AE117" s="3039"/>
      <c r="AF117" s="3039"/>
      <c r="AG117" s="3039"/>
      <c r="AH117" s="3039"/>
      <c r="AI117" s="3039"/>
      <c r="AJ117" s="3039"/>
      <c r="AK117" s="3039"/>
      <c r="AL117" s="3039"/>
      <c r="AM117" s="3039"/>
      <c r="AN117" s="3039"/>
      <c r="AO117" s="3039"/>
      <c r="AP117" s="3039"/>
      <c r="AQ117" s="3039"/>
      <c r="AR117" s="3039"/>
      <c r="AS117" s="3039"/>
      <c r="AT117" s="3039"/>
      <c r="AU117" s="3039"/>
      <c r="AV117" s="3039"/>
      <c r="AW117" s="3039"/>
      <c r="AX117" s="3039"/>
      <c r="AY117" s="3039"/>
      <c r="AZ117" s="3039"/>
      <c r="BA117" s="3039"/>
      <c r="BB117" s="3039"/>
      <c r="BC117" s="3039"/>
      <c r="BD117" s="3039"/>
      <c r="BE117" s="3039"/>
      <c r="BF117" s="3039"/>
      <c r="BG117" s="4092"/>
      <c r="BH117" s="4092"/>
      <c r="BI117" s="4095"/>
      <c r="BJ117" s="3020"/>
      <c r="BK117" s="3020"/>
      <c r="BL117" s="3039"/>
      <c r="BM117" s="3039"/>
      <c r="BN117" s="3039"/>
      <c r="BO117" s="3039"/>
      <c r="BP117" s="3020"/>
    </row>
    <row r="118" spans="1:68" ht="63" customHeight="1" x14ac:dyDescent="0.2">
      <c r="A118" s="4026"/>
      <c r="B118" s="4026"/>
      <c r="C118" s="4026"/>
      <c r="D118" s="4114"/>
      <c r="E118" s="4114"/>
      <c r="F118" s="4114"/>
      <c r="G118" s="2496"/>
      <c r="H118" s="3767"/>
      <c r="I118" s="2884"/>
      <c r="J118" s="2423"/>
      <c r="K118" s="4048"/>
      <c r="L118" s="4049"/>
      <c r="M118" s="2567"/>
      <c r="N118" s="2307"/>
      <c r="O118" s="2423"/>
      <c r="P118" s="3032"/>
      <c r="Q118" s="4112"/>
      <c r="R118" s="2423"/>
      <c r="S118" s="2440"/>
      <c r="T118" s="1908" t="s">
        <v>1997</v>
      </c>
      <c r="U118" s="2066">
        <v>8571600</v>
      </c>
      <c r="V118" s="2066">
        <v>8571600</v>
      </c>
      <c r="W118" s="2062">
        <v>4285800</v>
      </c>
      <c r="X118" s="2116" t="s">
        <v>1867</v>
      </c>
      <c r="Y118" s="2064" t="s">
        <v>1993</v>
      </c>
      <c r="Z118" s="3039"/>
      <c r="AA118" s="3039"/>
      <c r="AB118" s="3039"/>
      <c r="AC118" s="3039"/>
      <c r="AD118" s="3039"/>
      <c r="AE118" s="3039"/>
      <c r="AF118" s="3039"/>
      <c r="AG118" s="3039"/>
      <c r="AH118" s="3039"/>
      <c r="AI118" s="3039"/>
      <c r="AJ118" s="3039"/>
      <c r="AK118" s="3039"/>
      <c r="AL118" s="3039"/>
      <c r="AM118" s="3039"/>
      <c r="AN118" s="3039"/>
      <c r="AO118" s="3039"/>
      <c r="AP118" s="3039"/>
      <c r="AQ118" s="3039"/>
      <c r="AR118" s="3039"/>
      <c r="AS118" s="3039"/>
      <c r="AT118" s="3039"/>
      <c r="AU118" s="3039"/>
      <c r="AV118" s="3039"/>
      <c r="AW118" s="3039"/>
      <c r="AX118" s="3039"/>
      <c r="AY118" s="3039"/>
      <c r="AZ118" s="3039"/>
      <c r="BA118" s="3039"/>
      <c r="BB118" s="3039"/>
      <c r="BC118" s="3039"/>
      <c r="BD118" s="3039"/>
      <c r="BE118" s="3039"/>
      <c r="BF118" s="3039"/>
      <c r="BG118" s="4092"/>
      <c r="BH118" s="4092"/>
      <c r="BI118" s="4095"/>
      <c r="BJ118" s="3020"/>
      <c r="BK118" s="3020"/>
      <c r="BL118" s="3039"/>
      <c r="BM118" s="3039"/>
      <c r="BN118" s="3039"/>
      <c r="BO118" s="3039"/>
      <c r="BP118" s="3020"/>
    </row>
    <row r="119" spans="1:68" ht="63" customHeight="1" x14ac:dyDescent="0.2">
      <c r="A119" s="4026"/>
      <c r="B119" s="4026"/>
      <c r="C119" s="4026"/>
      <c r="D119" s="4114"/>
      <c r="E119" s="4114"/>
      <c r="F119" s="4114"/>
      <c r="G119" s="2496"/>
      <c r="H119" s="3767"/>
      <c r="I119" s="2884"/>
      <c r="J119" s="2423"/>
      <c r="K119" s="4048"/>
      <c r="L119" s="4049"/>
      <c r="M119" s="2567"/>
      <c r="N119" s="2307"/>
      <c r="O119" s="2423"/>
      <c r="P119" s="3032"/>
      <c r="Q119" s="4112"/>
      <c r="R119" s="2423"/>
      <c r="S119" s="2440"/>
      <c r="T119" s="1908" t="s">
        <v>1998</v>
      </c>
      <c r="U119" s="2066">
        <v>4323466</v>
      </c>
      <c r="V119" s="2066">
        <v>2923465</v>
      </c>
      <c r="W119" s="2062">
        <v>2161733</v>
      </c>
      <c r="X119" s="2116" t="s">
        <v>1867</v>
      </c>
      <c r="Y119" s="2064" t="s">
        <v>1993</v>
      </c>
      <c r="Z119" s="3039"/>
      <c r="AA119" s="3039"/>
      <c r="AB119" s="3039"/>
      <c r="AC119" s="3039"/>
      <c r="AD119" s="3039"/>
      <c r="AE119" s="3039"/>
      <c r="AF119" s="3039"/>
      <c r="AG119" s="3039"/>
      <c r="AH119" s="3039"/>
      <c r="AI119" s="3039"/>
      <c r="AJ119" s="3039"/>
      <c r="AK119" s="3039"/>
      <c r="AL119" s="3039"/>
      <c r="AM119" s="3039"/>
      <c r="AN119" s="3039"/>
      <c r="AO119" s="3039"/>
      <c r="AP119" s="3039"/>
      <c r="AQ119" s="3039"/>
      <c r="AR119" s="3039"/>
      <c r="AS119" s="3039"/>
      <c r="AT119" s="3039"/>
      <c r="AU119" s="3039"/>
      <c r="AV119" s="3039"/>
      <c r="AW119" s="3039"/>
      <c r="AX119" s="3039"/>
      <c r="AY119" s="3039"/>
      <c r="AZ119" s="3039"/>
      <c r="BA119" s="3039"/>
      <c r="BB119" s="3039"/>
      <c r="BC119" s="3039"/>
      <c r="BD119" s="3039"/>
      <c r="BE119" s="3039"/>
      <c r="BF119" s="3039"/>
      <c r="BG119" s="4092"/>
      <c r="BH119" s="4092"/>
      <c r="BI119" s="4095"/>
      <c r="BJ119" s="3020"/>
      <c r="BK119" s="3020"/>
      <c r="BL119" s="3039"/>
      <c r="BM119" s="3039"/>
      <c r="BN119" s="3039"/>
      <c r="BO119" s="3039"/>
      <c r="BP119" s="3020"/>
    </row>
    <row r="120" spans="1:68" ht="63" customHeight="1" x14ac:dyDescent="0.2">
      <c r="A120" s="4026"/>
      <c r="B120" s="4026"/>
      <c r="C120" s="4026"/>
      <c r="D120" s="4114"/>
      <c r="E120" s="4114"/>
      <c r="F120" s="4114"/>
      <c r="G120" s="2496"/>
      <c r="H120" s="3767"/>
      <c r="I120" s="2884"/>
      <c r="J120" s="2423"/>
      <c r="K120" s="4048"/>
      <c r="L120" s="4049"/>
      <c r="M120" s="2567"/>
      <c r="N120" s="2307"/>
      <c r="O120" s="2423"/>
      <c r="P120" s="3032"/>
      <c r="Q120" s="4112"/>
      <c r="R120" s="2423"/>
      <c r="S120" s="2440"/>
      <c r="T120" s="1908" t="s">
        <v>1999</v>
      </c>
      <c r="U120" s="2066">
        <v>5600000</v>
      </c>
      <c r="V120" s="2066">
        <v>5600000</v>
      </c>
      <c r="W120" s="2062">
        <v>2800000</v>
      </c>
      <c r="X120" s="2116" t="s">
        <v>1867</v>
      </c>
      <c r="Y120" s="2065" t="s">
        <v>1993</v>
      </c>
      <c r="Z120" s="3039"/>
      <c r="AA120" s="3039"/>
      <c r="AB120" s="3039"/>
      <c r="AC120" s="3039"/>
      <c r="AD120" s="3039"/>
      <c r="AE120" s="3039"/>
      <c r="AF120" s="3039"/>
      <c r="AG120" s="3039"/>
      <c r="AH120" s="3039"/>
      <c r="AI120" s="3039"/>
      <c r="AJ120" s="3039"/>
      <c r="AK120" s="3039"/>
      <c r="AL120" s="3039"/>
      <c r="AM120" s="3039"/>
      <c r="AN120" s="3039"/>
      <c r="AO120" s="3039"/>
      <c r="AP120" s="3039"/>
      <c r="AQ120" s="3039"/>
      <c r="AR120" s="3039"/>
      <c r="AS120" s="3039"/>
      <c r="AT120" s="3039"/>
      <c r="AU120" s="3039"/>
      <c r="AV120" s="3039"/>
      <c r="AW120" s="3039"/>
      <c r="AX120" s="3039"/>
      <c r="AY120" s="3039"/>
      <c r="AZ120" s="3039"/>
      <c r="BA120" s="3039"/>
      <c r="BB120" s="3039"/>
      <c r="BC120" s="3039"/>
      <c r="BD120" s="3039"/>
      <c r="BE120" s="3039"/>
      <c r="BF120" s="3039"/>
      <c r="BG120" s="4092"/>
      <c r="BH120" s="4092"/>
      <c r="BI120" s="4095"/>
      <c r="BJ120" s="3020"/>
      <c r="BK120" s="3020"/>
      <c r="BL120" s="3039"/>
      <c r="BM120" s="3039"/>
      <c r="BN120" s="3039"/>
      <c r="BO120" s="3039"/>
      <c r="BP120" s="3020"/>
    </row>
    <row r="121" spans="1:68" ht="102.75" customHeight="1" x14ac:dyDescent="0.2">
      <c r="A121" s="4026"/>
      <c r="B121" s="4026"/>
      <c r="C121" s="4026"/>
      <c r="D121" s="4114"/>
      <c r="E121" s="4114"/>
      <c r="F121" s="4114"/>
      <c r="G121" s="2341">
        <v>1905031</v>
      </c>
      <c r="H121" s="3670">
        <v>12.14</v>
      </c>
      <c r="I121" s="2453" t="s">
        <v>2000</v>
      </c>
      <c r="J121" s="2512" t="s">
        <v>2001</v>
      </c>
      <c r="K121" s="4048">
        <v>12</v>
      </c>
      <c r="L121" s="4049">
        <v>4</v>
      </c>
      <c r="M121" s="2567"/>
      <c r="N121" s="2307"/>
      <c r="O121" s="2993"/>
      <c r="P121" s="3748">
        <f>SUM(U121:U125)/(Q12+Q114)</f>
        <v>0.23728813559322035</v>
      </c>
      <c r="Q121" s="4113"/>
      <c r="R121" s="2423"/>
      <c r="S121" s="2440"/>
      <c r="T121" s="1908" t="s">
        <v>2002</v>
      </c>
      <c r="U121" s="2066">
        <v>8000000</v>
      </c>
      <c r="V121" s="2066">
        <v>5000000</v>
      </c>
      <c r="W121" s="2062">
        <v>0</v>
      </c>
      <c r="X121" s="2116" t="s">
        <v>1867</v>
      </c>
      <c r="Y121" s="2064" t="s">
        <v>1993</v>
      </c>
      <c r="Z121" s="3039"/>
      <c r="AA121" s="3039"/>
      <c r="AB121" s="3039"/>
      <c r="AC121" s="3039"/>
      <c r="AD121" s="3039"/>
      <c r="AE121" s="3039"/>
      <c r="AF121" s="3039"/>
      <c r="AG121" s="3039"/>
      <c r="AH121" s="3039"/>
      <c r="AI121" s="3039"/>
      <c r="AJ121" s="3039"/>
      <c r="AK121" s="3039"/>
      <c r="AL121" s="3039"/>
      <c r="AM121" s="3039"/>
      <c r="AN121" s="3039"/>
      <c r="AO121" s="3039"/>
      <c r="AP121" s="3039"/>
      <c r="AQ121" s="3039"/>
      <c r="AR121" s="3039"/>
      <c r="AS121" s="3039"/>
      <c r="AT121" s="3039"/>
      <c r="AU121" s="3039"/>
      <c r="AV121" s="3039"/>
      <c r="AW121" s="3039"/>
      <c r="AX121" s="3039"/>
      <c r="AY121" s="3039"/>
      <c r="AZ121" s="3039"/>
      <c r="BA121" s="3039"/>
      <c r="BB121" s="3039"/>
      <c r="BC121" s="3039"/>
      <c r="BD121" s="3039"/>
      <c r="BE121" s="3039"/>
      <c r="BF121" s="3039"/>
      <c r="BG121" s="4092"/>
      <c r="BH121" s="4092"/>
      <c r="BI121" s="4095"/>
      <c r="BJ121" s="3020"/>
      <c r="BK121" s="3020"/>
      <c r="BL121" s="3039"/>
      <c r="BM121" s="3039"/>
      <c r="BN121" s="3039"/>
      <c r="BO121" s="3039"/>
      <c r="BP121" s="3020"/>
    </row>
    <row r="122" spans="1:68" ht="102.75" customHeight="1" x14ac:dyDescent="0.2">
      <c r="A122" s="4026"/>
      <c r="B122" s="4026"/>
      <c r="C122" s="4026"/>
      <c r="D122" s="4114"/>
      <c r="E122" s="4114"/>
      <c r="F122" s="4114"/>
      <c r="G122" s="2341"/>
      <c r="H122" s="3670"/>
      <c r="I122" s="2453"/>
      <c r="J122" s="2512"/>
      <c r="K122" s="4048"/>
      <c r="L122" s="4049"/>
      <c r="M122" s="2567"/>
      <c r="N122" s="2307"/>
      <c r="O122" s="2993"/>
      <c r="P122" s="3748"/>
      <c r="Q122" s="4113"/>
      <c r="R122" s="2423"/>
      <c r="S122" s="2440"/>
      <c r="T122" s="1908" t="s">
        <v>2003</v>
      </c>
      <c r="U122" s="2066">
        <v>4000000</v>
      </c>
      <c r="V122" s="2066">
        <v>3140000</v>
      </c>
      <c r="W122" s="2062">
        <v>0</v>
      </c>
      <c r="X122" s="2116" t="s">
        <v>1867</v>
      </c>
      <c r="Y122" s="2064" t="s">
        <v>1993</v>
      </c>
      <c r="Z122" s="3039"/>
      <c r="AA122" s="3039"/>
      <c r="AB122" s="3039"/>
      <c r="AC122" s="3039"/>
      <c r="AD122" s="3039"/>
      <c r="AE122" s="3039"/>
      <c r="AF122" s="3039"/>
      <c r="AG122" s="3039"/>
      <c r="AH122" s="3039"/>
      <c r="AI122" s="3039"/>
      <c r="AJ122" s="3039"/>
      <c r="AK122" s="3039"/>
      <c r="AL122" s="3039"/>
      <c r="AM122" s="3039"/>
      <c r="AN122" s="3039"/>
      <c r="AO122" s="3039"/>
      <c r="AP122" s="3039"/>
      <c r="AQ122" s="3039"/>
      <c r="AR122" s="3039"/>
      <c r="AS122" s="3039"/>
      <c r="AT122" s="3039"/>
      <c r="AU122" s="3039"/>
      <c r="AV122" s="3039"/>
      <c r="AW122" s="3039"/>
      <c r="AX122" s="3039"/>
      <c r="AY122" s="3039"/>
      <c r="AZ122" s="3039"/>
      <c r="BA122" s="3039"/>
      <c r="BB122" s="3039"/>
      <c r="BC122" s="3039"/>
      <c r="BD122" s="3039"/>
      <c r="BE122" s="3039"/>
      <c r="BF122" s="3039"/>
      <c r="BG122" s="4092"/>
      <c r="BH122" s="4092"/>
      <c r="BI122" s="4095"/>
      <c r="BJ122" s="3020"/>
      <c r="BK122" s="3020"/>
      <c r="BL122" s="3039"/>
      <c r="BM122" s="3039"/>
      <c r="BN122" s="3039"/>
      <c r="BO122" s="3039"/>
      <c r="BP122" s="3020"/>
    </row>
    <row r="123" spans="1:68" ht="102.75" customHeight="1" x14ac:dyDescent="0.2">
      <c r="A123" s="4026"/>
      <c r="B123" s="4026"/>
      <c r="C123" s="4026"/>
      <c r="D123" s="4114"/>
      <c r="E123" s="4114"/>
      <c r="F123" s="4114"/>
      <c r="G123" s="2341"/>
      <c r="H123" s="3670"/>
      <c r="I123" s="2453"/>
      <c r="J123" s="2512"/>
      <c r="K123" s="4048"/>
      <c r="L123" s="4049"/>
      <c r="M123" s="2567"/>
      <c r="N123" s="2307"/>
      <c r="O123" s="2993"/>
      <c r="P123" s="3748"/>
      <c r="Q123" s="4113"/>
      <c r="R123" s="2423"/>
      <c r="S123" s="2440"/>
      <c r="T123" s="1908" t="s">
        <v>2004</v>
      </c>
      <c r="U123" s="2066">
        <v>4000000</v>
      </c>
      <c r="V123" s="2066">
        <v>3000000</v>
      </c>
      <c r="W123" s="2062">
        <v>0</v>
      </c>
      <c r="X123" s="2116" t="s">
        <v>1867</v>
      </c>
      <c r="Y123" s="2064" t="s">
        <v>1993</v>
      </c>
      <c r="Z123" s="3039"/>
      <c r="AA123" s="3039"/>
      <c r="AB123" s="3039"/>
      <c r="AC123" s="3039"/>
      <c r="AD123" s="3039"/>
      <c r="AE123" s="3039"/>
      <c r="AF123" s="3039"/>
      <c r="AG123" s="3039"/>
      <c r="AH123" s="3039"/>
      <c r="AI123" s="3039"/>
      <c r="AJ123" s="3039"/>
      <c r="AK123" s="3039"/>
      <c r="AL123" s="3039"/>
      <c r="AM123" s="3039"/>
      <c r="AN123" s="3039"/>
      <c r="AO123" s="3039"/>
      <c r="AP123" s="3039"/>
      <c r="AQ123" s="3039"/>
      <c r="AR123" s="3039"/>
      <c r="AS123" s="3039"/>
      <c r="AT123" s="3039"/>
      <c r="AU123" s="3039"/>
      <c r="AV123" s="3039"/>
      <c r="AW123" s="3039"/>
      <c r="AX123" s="3039"/>
      <c r="AY123" s="3039"/>
      <c r="AZ123" s="3039"/>
      <c r="BA123" s="3039"/>
      <c r="BB123" s="3039"/>
      <c r="BC123" s="3039"/>
      <c r="BD123" s="3039"/>
      <c r="BE123" s="3039"/>
      <c r="BF123" s="3039"/>
      <c r="BG123" s="4092"/>
      <c r="BH123" s="4092"/>
      <c r="BI123" s="4095"/>
      <c r="BJ123" s="3020"/>
      <c r="BK123" s="3020"/>
      <c r="BL123" s="3039"/>
      <c r="BM123" s="3039"/>
      <c r="BN123" s="3039"/>
      <c r="BO123" s="3039"/>
      <c r="BP123" s="3020"/>
    </row>
    <row r="124" spans="1:68" ht="102.75" customHeight="1" x14ac:dyDescent="0.2">
      <c r="A124" s="4026"/>
      <c r="B124" s="4026"/>
      <c r="C124" s="4026"/>
      <c r="D124" s="4114"/>
      <c r="E124" s="4114"/>
      <c r="F124" s="4114"/>
      <c r="G124" s="2341"/>
      <c r="H124" s="3670"/>
      <c r="I124" s="2453"/>
      <c r="J124" s="2512"/>
      <c r="K124" s="4048"/>
      <c r="L124" s="4049"/>
      <c r="M124" s="2567"/>
      <c r="N124" s="2307"/>
      <c r="O124" s="2993"/>
      <c r="P124" s="3748"/>
      <c r="Q124" s="4113"/>
      <c r="R124" s="2423"/>
      <c r="S124" s="2440"/>
      <c r="T124" s="1908" t="s">
        <v>2005</v>
      </c>
      <c r="U124" s="2066">
        <v>4000000</v>
      </c>
      <c r="V124" s="2066">
        <v>0</v>
      </c>
      <c r="W124" s="2062">
        <v>0</v>
      </c>
      <c r="X124" s="2116" t="s">
        <v>1867</v>
      </c>
      <c r="Y124" s="2064" t="s">
        <v>1993</v>
      </c>
      <c r="Z124" s="3039"/>
      <c r="AA124" s="3039"/>
      <c r="AB124" s="3039"/>
      <c r="AC124" s="3039"/>
      <c r="AD124" s="3039"/>
      <c r="AE124" s="3039"/>
      <c r="AF124" s="3039"/>
      <c r="AG124" s="3039"/>
      <c r="AH124" s="3039"/>
      <c r="AI124" s="3039"/>
      <c r="AJ124" s="3039"/>
      <c r="AK124" s="3039"/>
      <c r="AL124" s="3039"/>
      <c r="AM124" s="3039"/>
      <c r="AN124" s="3039"/>
      <c r="AO124" s="3039"/>
      <c r="AP124" s="3039"/>
      <c r="AQ124" s="3039"/>
      <c r="AR124" s="3039"/>
      <c r="AS124" s="3039"/>
      <c r="AT124" s="3039"/>
      <c r="AU124" s="3039"/>
      <c r="AV124" s="3039"/>
      <c r="AW124" s="3039"/>
      <c r="AX124" s="3039"/>
      <c r="AY124" s="3039"/>
      <c r="AZ124" s="3039"/>
      <c r="BA124" s="3039"/>
      <c r="BB124" s="3039"/>
      <c r="BC124" s="3039"/>
      <c r="BD124" s="3039"/>
      <c r="BE124" s="3039"/>
      <c r="BF124" s="3039"/>
      <c r="BG124" s="4092"/>
      <c r="BH124" s="4092"/>
      <c r="BI124" s="4095"/>
      <c r="BJ124" s="3020"/>
      <c r="BK124" s="3020"/>
      <c r="BL124" s="3039"/>
      <c r="BM124" s="3039"/>
      <c r="BN124" s="3039"/>
      <c r="BO124" s="3039"/>
      <c r="BP124" s="3020"/>
    </row>
    <row r="125" spans="1:68" ht="102.75" customHeight="1" x14ac:dyDescent="0.2">
      <c r="A125" s="4026"/>
      <c r="B125" s="4026"/>
      <c r="C125" s="4026"/>
      <c r="D125" s="4114"/>
      <c r="E125" s="4114"/>
      <c r="F125" s="4114"/>
      <c r="G125" s="2341"/>
      <c r="H125" s="3670"/>
      <c r="I125" s="2453"/>
      <c r="J125" s="2512"/>
      <c r="K125" s="4048"/>
      <c r="L125" s="4049"/>
      <c r="M125" s="2969"/>
      <c r="N125" s="2467"/>
      <c r="O125" s="2930"/>
      <c r="P125" s="3748"/>
      <c r="Q125" s="4113"/>
      <c r="R125" s="2424"/>
      <c r="S125" s="2441"/>
      <c r="T125" s="1908" t="s">
        <v>2006</v>
      </c>
      <c r="U125" s="2066">
        <v>8000000</v>
      </c>
      <c r="V125" s="2066">
        <v>4000000</v>
      </c>
      <c r="W125" s="2062">
        <v>0</v>
      </c>
      <c r="X125" s="2116" t="s">
        <v>1867</v>
      </c>
      <c r="Y125" s="2064" t="s">
        <v>1993</v>
      </c>
      <c r="Z125" s="3631"/>
      <c r="AA125" s="3631"/>
      <c r="AB125" s="3631"/>
      <c r="AC125" s="3631"/>
      <c r="AD125" s="3631"/>
      <c r="AE125" s="3631"/>
      <c r="AF125" s="3631"/>
      <c r="AG125" s="3631"/>
      <c r="AH125" s="3631"/>
      <c r="AI125" s="3631"/>
      <c r="AJ125" s="3631"/>
      <c r="AK125" s="3631"/>
      <c r="AL125" s="3631"/>
      <c r="AM125" s="3631"/>
      <c r="AN125" s="3631"/>
      <c r="AO125" s="3631"/>
      <c r="AP125" s="3631"/>
      <c r="AQ125" s="3631"/>
      <c r="AR125" s="3631"/>
      <c r="AS125" s="3631"/>
      <c r="AT125" s="3631"/>
      <c r="AU125" s="3631"/>
      <c r="AV125" s="3631"/>
      <c r="AW125" s="3631"/>
      <c r="AX125" s="3631"/>
      <c r="AY125" s="3631"/>
      <c r="AZ125" s="3631"/>
      <c r="BA125" s="3631"/>
      <c r="BB125" s="3631"/>
      <c r="BC125" s="3631"/>
      <c r="BD125" s="3631"/>
      <c r="BE125" s="3631"/>
      <c r="BF125" s="3631"/>
      <c r="BG125" s="4093"/>
      <c r="BH125" s="4093"/>
      <c r="BI125" s="4096"/>
      <c r="BJ125" s="3021"/>
      <c r="BK125" s="3021"/>
      <c r="BL125" s="3631"/>
      <c r="BM125" s="3631"/>
      <c r="BN125" s="3631"/>
      <c r="BO125" s="3631"/>
      <c r="BP125" s="3021"/>
    </row>
    <row r="126" spans="1:68" ht="103.5" customHeight="1" x14ac:dyDescent="0.2">
      <c r="A126" s="4026"/>
      <c r="B126" s="4026"/>
      <c r="C126" s="4026"/>
      <c r="D126" s="4114"/>
      <c r="E126" s="4114"/>
      <c r="F126" s="4114"/>
      <c r="G126" s="1887">
        <v>1905019</v>
      </c>
      <c r="H126" s="1922">
        <v>12.4</v>
      </c>
      <c r="I126" s="1896" t="s">
        <v>2007</v>
      </c>
      <c r="J126" s="1885" t="s">
        <v>619</v>
      </c>
      <c r="K126" s="2094">
        <v>60</v>
      </c>
      <c r="L126" s="2095">
        <v>25</v>
      </c>
      <c r="M126" s="2566" t="s">
        <v>2008</v>
      </c>
      <c r="N126" s="3383" t="s">
        <v>2009</v>
      </c>
      <c r="O126" s="2463" t="s">
        <v>2010</v>
      </c>
      <c r="P126" s="2117">
        <f>SUM(U126)/Q126</f>
        <v>9.6774193548387094E-2</v>
      </c>
      <c r="Q126" s="4097">
        <f>SUM(U126:U143)</f>
        <v>155000000</v>
      </c>
      <c r="R126" s="4102" t="s">
        <v>2011</v>
      </c>
      <c r="S126" s="2439" t="s">
        <v>2012</v>
      </c>
      <c r="T126" s="1909" t="s">
        <v>2013</v>
      </c>
      <c r="U126" s="2066">
        <f>20000000-5000000</f>
        <v>15000000</v>
      </c>
      <c r="V126" s="2062">
        <v>10266666</v>
      </c>
      <c r="W126" s="2062">
        <v>0</v>
      </c>
      <c r="X126" s="2116" t="s">
        <v>1867</v>
      </c>
      <c r="Y126" s="2067" t="s">
        <v>1993</v>
      </c>
      <c r="Z126" s="2306">
        <v>292684</v>
      </c>
      <c r="AA126" s="2306">
        <f>SUM(Z126*0.36)</f>
        <v>105366.23999999999</v>
      </c>
      <c r="AB126" s="2306">
        <v>282326</v>
      </c>
      <c r="AC126" s="2306">
        <f>SUM(AB126*0.36)</f>
        <v>101637.36</v>
      </c>
      <c r="AD126" s="2306">
        <v>135912</v>
      </c>
      <c r="AE126" s="2306">
        <f>SUM(AD126*0.36)</f>
        <v>48928.32</v>
      </c>
      <c r="AF126" s="2306">
        <v>45122</v>
      </c>
      <c r="AG126" s="2306">
        <f>SUM(AF126*0.36)</f>
        <v>16243.92</v>
      </c>
      <c r="AH126" s="2306">
        <v>307101</v>
      </c>
      <c r="AI126" s="2306">
        <f>SUM(AH126*0.36)</f>
        <v>110556.36</v>
      </c>
      <c r="AJ126" s="2306">
        <v>86875</v>
      </c>
      <c r="AK126" s="2306">
        <f>SUM(AJ126*0.36)</f>
        <v>31275</v>
      </c>
      <c r="AL126" s="2306">
        <v>2145</v>
      </c>
      <c r="AM126" s="2306">
        <f>SUM(AL126*0.36)</f>
        <v>772.19999999999993</v>
      </c>
      <c r="AN126" s="2306">
        <v>12718</v>
      </c>
      <c r="AO126" s="2306">
        <f>SUM(AN126*0.36)</f>
        <v>4578.4799999999996</v>
      </c>
      <c r="AP126" s="2306">
        <v>26</v>
      </c>
      <c r="AQ126" s="2306">
        <f>SUM(AP126*0.36)</f>
        <v>9.36</v>
      </c>
      <c r="AR126" s="2306">
        <v>37</v>
      </c>
      <c r="AS126" s="2306">
        <f>SUM(AR126*0.36)</f>
        <v>13.32</v>
      </c>
      <c r="AT126" s="2306">
        <v>16897</v>
      </c>
      <c r="AU126" s="2306">
        <f>SUM(AT126*0.36)</f>
        <v>6082.92</v>
      </c>
      <c r="AV126" s="2306" t="s">
        <v>1808</v>
      </c>
      <c r="AW126" s="2306" t="s">
        <v>1808</v>
      </c>
      <c r="AX126" s="2306">
        <v>53164</v>
      </c>
      <c r="AY126" s="2306">
        <f>SUM(AX126*0.36)</f>
        <v>19139.04</v>
      </c>
      <c r="AZ126" s="2306">
        <v>16982</v>
      </c>
      <c r="BA126" s="2306">
        <f>SUM(AZ126*0.36)</f>
        <v>6113.5199999999995</v>
      </c>
      <c r="BB126" s="2306">
        <v>60013</v>
      </c>
      <c r="BC126" s="2306">
        <f>SUM(BB126*0.36)</f>
        <v>21604.68</v>
      </c>
      <c r="BD126" s="2306">
        <v>575010</v>
      </c>
      <c r="BE126" s="2306">
        <f>SUM(BD126*0.36)</f>
        <v>207003.6</v>
      </c>
      <c r="BF126" s="2306">
        <v>6</v>
      </c>
      <c r="BG126" s="4039">
        <f>SUM(V126:V143)</f>
        <v>55273332</v>
      </c>
      <c r="BH126" s="4039">
        <f>SUM(W126:W143)</f>
        <v>11200000</v>
      </c>
      <c r="BI126" s="3031">
        <f>SUM(BG126/Q126)</f>
        <v>0.3566021419354839</v>
      </c>
      <c r="BJ126" s="2422" t="s">
        <v>1809</v>
      </c>
      <c r="BK126" s="2422" t="s">
        <v>1810</v>
      </c>
      <c r="BL126" s="3719">
        <v>43832</v>
      </c>
      <c r="BM126" s="3719">
        <v>43832</v>
      </c>
      <c r="BN126" s="3719">
        <v>44196</v>
      </c>
      <c r="BO126" s="3719">
        <v>44196</v>
      </c>
      <c r="BP126" s="2422" t="s">
        <v>1811</v>
      </c>
    </row>
    <row r="127" spans="1:68" ht="78.75" customHeight="1" x14ac:dyDescent="0.2">
      <c r="A127" s="4026"/>
      <c r="B127" s="4026"/>
      <c r="C127" s="4026"/>
      <c r="D127" s="4114"/>
      <c r="E127" s="4114"/>
      <c r="F127" s="4114"/>
      <c r="G127" s="2495" t="s">
        <v>208</v>
      </c>
      <c r="H127" s="4050">
        <v>12.16</v>
      </c>
      <c r="I127" s="2453" t="s">
        <v>2014</v>
      </c>
      <c r="J127" s="2669" t="s">
        <v>2015</v>
      </c>
      <c r="K127" s="4048">
        <v>11</v>
      </c>
      <c r="L127" s="4049">
        <v>6</v>
      </c>
      <c r="M127" s="2879"/>
      <c r="N127" s="3383"/>
      <c r="O127" s="2463"/>
      <c r="P127" s="4115">
        <f>SUM(U127:U128)/Q126</f>
        <v>9.6774193548387094E-2</v>
      </c>
      <c r="Q127" s="4097"/>
      <c r="R127" s="4102"/>
      <c r="S127" s="2470"/>
      <c r="T127" s="1920" t="s">
        <v>2016</v>
      </c>
      <c r="U127" s="2066">
        <f>10000000-5000000</f>
        <v>5000000</v>
      </c>
      <c r="V127" s="2062">
        <v>0</v>
      </c>
      <c r="W127" s="2062">
        <v>0</v>
      </c>
      <c r="X127" s="2116" t="s">
        <v>1867</v>
      </c>
      <c r="Y127" s="2067" t="s">
        <v>1993</v>
      </c>
      <c r="Z127" s="2496"/>
      <c r="AA127" s="2496"/>
      <c r="AB127" s="2496"/>
      <c r="AC127" s="2496"/>
      <c r="AD127" s="2496"/>
      <c r="AE127" s="2496"/>
      <c r="AF127" s="2496"/>
      <c r="AG127" s="2496"/>
      <c r="AH127" s="2496"/>
      <c r="AI127" s="2496"/>
      <c r="AJ127" s="2496"/>
      <c r="AK127" s="2496"/>
      <c r="AL127" s="2496"/>
      <c r="AM127" s="2496"/>
      <c r="AN127" s="2496"/>
      <c r="AO127" s="2496"/>
      <c r="AP127" s="2496"/>
      <c r="AQ127" s="2496"/>
      <c r="AR127" s="2496"/>
      <c r="AS127" s="2496"/>
      <c r="AT127" s="2496"/>
      <c r="AU127" s="2496"/>
      <c r="AV127" s="2496"/>
      <c r="AW127" s="2496"/>
      <c r="AX127" s="2496"/>
      <c r="AY127" s="2496"/>
      <c r="AZ127" s="2496"/>
      <c r="BA127" s="2496"/>
      <c r="BB127" s="2496"/>
      <c r="BC127" s="2496"/>
      <c r="BD127" s="2496"/>
      <c r="BE127" s="2496"/>
      <c r="BF127" s="2496"/>
      <c r="BG127" s="2879"/>
      <c r="BH127" s="2879"/>
      <c r="BI127" s="4105"/>
      <c r="BJ127" s="3008"/>
      <c r="BK127" s="3008"/>
      <c r="BL127" s="2496"/>
      <c r="BM127" s="2496"/>
      <c r="BN127" s="2496"/>
      <c r="BO127" s="2496"/>
      <c r="BP127" s="3008"/>
    </row>
    <row r="128" spans="1:68" ht="91.5" customHeight="1" x14ac:dyDescent="0.2">
      <c r="A128" s="4026"/>
      <c r="B128" s="4026"/>
      <c r="C128" s="4026"/>
      <c r="D128" s="4114"/>
      <c r="E128" s="4114"/>
      <c r="F128" s="4114"/>
      <c r="G128" s="2496"/>
      <c r="H128" s="4040"/>
      <c r="I128" s="3149"/>
      <c r="J128" s="2670"/>
      <c r="K128" s="4048"/>
      <c r="L128" s="4049"/>
      <c r="M128" s="2879"/>
      <c r="N128" s="3383"/>
      <c r="O128" s="2463"/>
      <c r="P128" s="4117"/>
      <c r="Q128" s="2867"/>
      <c r="R128" s="4102"/>
      <c r="S128" s="2470"/>
      <c r="T128" s="1968" t="s">
        <v>2017</v>
      </c>
      <c r="U128" s="2066">
        <v>10000000</v>
      </c>
      <c r="V128" s="2062">
        <v>0</v>
      </c>
      <c r="W128" s="2062">
        <v>0</v>
      </c>
      <c r="X128" s="2116" t="s">
        <v>1867</v>
      </c>
      <c r="Y128" s="2091" t="s">
        <v>1993</v>
      </c>
      <c r="Z128" s="2496"/>
      <c r="AA128" s="2496"/>
      <c r="AB128" s="2496"/>
      <c r="AC128" s="2496"/>
      <c r="AD128" s="2496"/>
      <c r="AE128" s="2496"/>
      <c r="AF128" s="2496"/>
      <c r="AG128" s="2496"/>
      <c r="AH128" s="2496"/>
      <c r="AI128" s="2496"/>
      <c r="AJ128" s="2496"/>
      <c r="AK128" s="2496"/>
      <c r="AL128" s="2496"/>
      <c r="AM128" s="2496"/>
      <c r="AN128" s="2496"/>
      <c r="AO128" s="2496"/>
      <c r="AP128" s="2496"/>
      <c r="AQ128" s="2496"/>
      <c r="AR128" s="2496"/>
      <c r="AS128" s="2496"/>
      <c r="AT128" s="2496"/>
      <c r="AU128" s="2496"/>
      <c r="AV128" s="2496"/>
      <c r="AW128" s="2496"/>
      <c r="AX128" s="2496"/>
      <c r="AY128" s="2496"/>
      <c r="AZ128" s="2496"/>
      <c r="BA128" s="2496"/>
      <c r="BB128" s="2496"/>
      <c r="BC128" s="2496"/>
      <c r="BD128" s="2496"/>
      <c r="BE128" s="2496"/>
      <c r="BF128" s="2496"/>
      <c r="BG128" s="2879"/>
      <c r="BH128" s="2879"/>
      <c r="BI128" s="4105"/>
      <c r="BJ128" s="3008"/>
      <c r="BK128" s="3008"/>
      <c r="BL128" s="2496"/>
      <c r="BM128" s="2496"/>
      <c r="BN128" s="2496"/>
      <c r="BO128" s="2496"/>
      <c r="BP128" s="3008"/>
    </row>
    <row r="129" spans="1:68" ht="78.75" customHeight="1" x14ac:dyDescent="0.2">
      <c r="A129" s="4026"/>
      <c r="B129" s="4026"/>
      <c r="C129" s="4026"/>
      <c r="D129" s="4114"/>
      <c r="E129" s="4114"/>
      <c r="F129" s="4114"/>
      <c r="G129" s="2341" t="s">
        <v>208</v>
      </c>
      <c r="H129" s="4119">
        <v>12.2</v>
      </c>
      <c r="I129" s="2453" t="s">
        <v>2018</v>
      </c>
      <c r="J129" s="2512" t="s">
        <v>2019</v>
      </c>
      <c r="K129" s="4048">
        <v>1</v>
      </c>
      <c r="L129" s="4049">
        <v>0.3</v>
      </c>
      <c r="M129" s="2879"/>
      <c r="N129" s="3383"/>
      <c r="O129" s="2463"/>
      <c r="P129" s="4115">
        <f>SUM(U129:U130)/Q126</f>
        <v>9.6774193548387094E-2</v>
      </c>
      <c r="Q129" s="2867"/>
      <c r="R129" s="4102"/>
      <c r="S129" s="2470"/>
      <c r="T129" s="1920" t="s">
        <v>2020</v>
      </c>
      <c r="U129" s="2066">
        <f>10000000-5000000</f>
        <v>5000000</v>
      </c>
      <c r="V129" s="2062">
        <v>0</v>
      </c>
      <c r="W129" s="2062">
        <v>0</v>
      </c>
      <c r="X129" s="2116" t="s">
        <v>1867</v>
      </c>
      <c r="Y129" s="2067" t="s">
        <v>1993</v>
      </c>
      <c r="Z129" s="2496"/>
      <c r="AA129" s="2496"/>
      <c r="AB129" s="2496"/>
      <c r="AC129" s="2496"/>
      <c r="AD129" s="2496"/>
      <c r="AE129" s="2496"/>
      <c r="AF129" s="2496"/>
      <c r="AG129" s="2496"/>
      <c r="AH129" s="2496"/>
      <c r="AI129" s="2496"/>
      <c r="AJ129" s="2496"/>
      <c r="AK129" s="2496"/>
      <c r="AL129" s="2496"/>
      <c r="AM129" s="2496"/>
      <c r="AN129" s="2496"/>
      <c r="AO129" s="2496"/>
      <c r="AP129" s="2496"/>
      <c r="AQ129" s="2496"/>
      <c r="AR129" s="2496"/>
      <c r="AS129" s="2496"/>
      <c r="AT129" s="2496"/>
      <c r="AU129" s="2496"/>
      <c r="AV129" s="2496"/>
      <c r="AW129" s="2496"/>
      <c r="AX129" s="2496"/>
      <c r="AY129" s="2496"/>
      <c r="AZ129" s="2496"/>
      <c r="BA129" s="2496"/>
      <c r="BB129" s="2496"/>
      <c r="BC129" s="2496"/>
      <c r="BD129" s="2496"/>
      <c r="BE129" s="2496"/>
      <c r="BF129" s="2496"/>
      <c r="BG129" s="2879"/>
      <c r="BH129" s="2879"/>
      <c r="BI129" s="4105"/>
      <c r="BJ129" s="3008"/>
      <c r="BK129" s="3008"/>
      <c r="BL129" s="2496"/>
      <c r="BM129" s="2496"/>
      <c r="BN129" s="2496"/>
      <c r="BO129" s="2496"/>
      <c r="BP129" s="3008"/>
    </row>
    <row r="130" spans="1:68" ht="78.75" customHeight="1" x14ac:dyDescent="0.2">
      <c r="A130" s="4026"/>
      <c r="B130" s="4026"/>
      <c r="C130" s="4026"/>
      <c r="D130" s="4114"/>
      <c r="E130" s="4114"/>
      <c r="F130" s="4114"/>
      <c r="G130" s="2933"/>
      <c r="H130" s="4120"/>
      <c r="I130" s="3149"/>
      <c r="J130" s="2641"/>
      <c r="K130" s="4048"/>
      <c r="L130" s="4049"/>
      <c r="M130" s="2879"/>
      <c r="N130" s="3383"/>
      <c r="O130" s="2463"/>
      <c r="P130" s="4117"/>
      <c r="Q130" s="2867"/>
      <c r="R130" s="4102"/>
      <c r="S130" s="2470"/>
      <c r="T130" s="1968" t="s">
        <v>2021</v>
      </c>
      <c r="U130" s="2066">
        <v>10000000</v>
      </c>
      <c r="V130" s="2062">
        <v>0</v>
      </c>
      <c r="W130" s="2062">
        <v>0</v>
      </c>
      <c r="X130" s="2116" t="s">
        <v>1867</v>
      </c>
      <c r="Y130" s="2091" t="s">
        <v>1993</v>
      </c>
      <c r="Z130" s="2496"/>
      <c r="AA130" s="2496"/>
      <c r="AB130" s="2496"/>
      <c r="AC130" s="2496"/>
      <c r="AD130" s="2496"/>
      <c r="AE130" s="2496"/>
      <c r="AF130" s="2496"/>
      <c r="AG130" s="2496"/>
      <c r="AH130" s="2496"/>
      <c r="AI130" s="2496"/>
      <c r="AJ130" s="2496"/>
      <c r="AK130" s="2496"/>
      <c r="AL130" s="2496"/>
      <c r="AM130" s="2496"/>
      <c r="AN130" s="2496"/>
      <c r="AO130" s="2496"/>
      <c r="AP130" s="2496"/>
      <c r="AQ130" s="2496"/>
      <c r="AR130" s="2496"/>
      <c r="AS130" s="2496"/>
      <c r="AT130" s="2496"/>
      <c r="AU130" s="2496"/>
      <c r="AV130" s="2496"/>
      <c r="AW130" s="2496"/>
      <c r="AX130" s="2496"/>
      <c r="AY130" s="2496"/>
      <c r="AZ130" s="2496"/>
      <c r="BA130" s="2496"/>
      <c r="BB130" s="2496"/>
      <c r="BC130" s="2496"/>
      <c r="BD130" s="2496"/>
      <c r="BE130" s="2496"/>
      <c r="BF130" s="2496"/>
      <c r="BG130" s="2879"/>
      <c r="BH130" s="2879"/>
      <c r="BI130" s="4105"/>
      <c r="BJ130" s="3008"/>
      <c r="BK130" s="3008"/>
      <c r="BL130" s="2496"/>
      <c r="BM130" s="2496"/>
      <c r="BN130" s="2496"/>
      <c r="BO130" s="2496"/>
      <c r="BP130" s="3008"/>
    </row>
    <row r="131" spans="1:68" ht="78.75" customHeight="1" x14ac:dyDescent="0.2">
      <c r="A131" s="4026"/>
      <c r="B131" s="4026"/>
      <c r="C131" s="4026"/>
      <c r="D131" s="4114"/>
      <c r="E131" s="4114"/>
      <c r="F131" s="4114"/>
      <c r="G131" s="2341" t="s">
        <v>208</v>
      </c>
      <c r="H131" s="4068">
        <v>12.17</v>
      </c>
      <c r="I131" s="2758" t="s">
        <v>2022</v>
      </c>
      <c r="J131" s="4128" t="s">
        <v>2023</v>
      </c>
      <c r="K131" s="4048">
        <v>1</v>
      </c>
      <c r="L131" s="4049">
        <v>0.3</v>
      </c>
      <c r="M131" s="2879"/>
      <c r="N131" s="3383"/>
      <c r="O131" s="2463"/>
      <c r="P131" s="4115">
        <f>SUM(U131:U135)/Q126</f>
        <v>0.32258064516129031</v>
      </c>
      <c r="Q131" s="2867"/>
      <c r="R131" s="4102"/>
      <c r="S131" s="2470"/>
      <c r="T131" s="1920" t="s">
        <v>2024</v>
      </c>
      <c r="U131" s="2066">
        <v>5000000</v>
      </c>
      <c r="V131" s="2062">
        <v>5000000</v>
      </c>
      <c r="W131" s="2062">
        <v>0</v>
      </c>
      <c r="X131" s="2116" t="s">
        <v>1867</v>
      </c>
      <c r="Y131" s="2067" t="s">
        <v>1993</v>
      </c>
      <c r="Z131" s="2496"/>
      <c r="AA131" s="2496"/>
      <c r="AB131" s="2496"/>
      <c r="AC131" s="2496"/>
      <c r="AD131" s="2496"/>
      <c r="AE131" s="2496"/>
      <c r="AF131" s="2496"/>
      <c r="AG131" s="2496"/>
      <c r="AH131" s="2496"/>
      <c r="AI131" s="2496"/>
      <c r="AJ131" s="2496"/>
      <c r="AK131" s="2496"/>
      <c r="AL131" s="2496"/>
      <c r="AM131" s="2496"/>
      <c r="AN131" s="2496"/>
      <c r="AO131" s="2496"/>
      <c r="AP131" s="2496"/>
      <c r="AQ131" s="2496"/>
      <c r="AR131" s="2496"/>
      <c r="AS131" s="2496"/>
      <c r="AT131" s="2496"/>
      <c r="AU131" s="2496"/>
      <c r="AV131" s="2496"/>
      <c r="AW131" s="2496"/>
      <c r="AX131" s="2496"/>
      <c r="AY131" s="2496"/>
      <c r="AZ131" s="2496"/>
      <c r="BA131" s="2496"/>
      <c r="BB131" s="2496"/>
      <c r="BC131" s="2496"/>
      <c r="BD131" s="2496"/>
      <c r="BE131" s="2496"/>
      <c r="BF131" s="2496"/>
      <c r="BG131" s="2879"/>
      <c r="BH131" s="2879"/>
      <c r="BI131" s="4105"/>
      <c r="BJ131" s="3008"/>
      <c r="BK131" s="3008"/>
      <c r="BL131" s="2496"/>
      <c r="BM131" s="2496"/>
      <c r="BN131" s="2496"/>
      <c r="BO131" s="2496"/>
      <c r="BP131" s="3008"/>
    </row>
    <row r="132" spans="1:68" ht="78.75" customHeight="1" x14ac:dyDescent="0.2">
      <c r="A132" s="4026"/>
      <c r="B132" s="4026"/>
      <c r="C132" s="4026"/>
      <c r="D132" s="4114"/>
      <c r="E132" s="4114"/>
      <c r="F132" s="4114"/>
      <c r="G132" s="2341"/>
      <c r="H132" s="4068"/>
      <c r="I132" s="2758"/>
      <c r="J132" s="4128"/>
      <c r="K132" s="4048"/>
      <c r="L132" s="4049"/>
      <c r="M132" s="2879"/>
      <c r="N132" s="3383"/>
      <c r="O132" s="2463"/>
      <c r="P132" s="4116"/>
      <c r="Q132" s="2867"/>
      <c r="R132" s="4102"/>
      <c r="S132" s="2470"/>
      <c r="T132" s="1920" t="s">
        <v>2025</v>
      </c>
      <c r="U132" s="2066">
        <v>5000000</v>
      </c>
      <c r="V132" s="2062">
        <v>5000000</v>
      </c>
      <c r="W132" s="2062">
        <v>0</v>
      </c>
      <c r="X132" s="2116" t="s">
        <v>1867</v>
      </c>
      <c r="Y132" s="2067" t="s">
        <v>1993</v>
      </c>
      <c r="Z132" s="2496"/>
      <c r="AA132" s="2496"/>
      <c r="AB132" s="2496"/>
      <c r="AC132" s="2496"/>
      <c r="AD132" s="2496"/>
      <c r="AE132" s="2496"/>
      <c r="AF132" s="2496"/>
      <c r="AG132" s="2496"/>
      <c r="AH132" s="2496"/>
      <c r="AI132" s="2496"/>
      <c r="AJ132" s="2496"/>
      <c r="AK132" s="2496"/>
      <c r="AL132" s="2496"/>
      <c r="AM132" s="2496"/>
      <c r="AN132" s="2496"/>
      <c r="AO132" s="2496"/>
      <c r="AP132" s="2496"/>
      <c r="AQ132" s="2496"/>
      <c r="AR132" s="2496"/>
      <c r="AS132" s="2496"/>
      <c r="AT132" s="2496"/>
      <c r="AU132" s="2496"/>
      <c r="AV132" s="2496"/>
      <c r="AW132" s="2496"/>
      <c r="AX132" s="2496"/>
      <c r="AY132" s="2496"/>
      <c r="AZ132" s="2496"/>
      <c r="BA132" s="2496"/>
      <c r="BB132" s="2496"/>
      <c r="BC132" s="2496"/>
      <c r="BD132" s="2496"/>
      <c r="BE132" s="2496"/>
      <c r="BF132" s="2496"/>
      <c r="BG132" s="2879"/>
      <c r="BH132" s="2879"/>
      <c r="BI132" s="4105"/>
      <c r="BJ132" s="3008"/>
      <c r="BK132" s="3008"/>
      <c r="BL132" s="2496"/>
      <c r="BM132" s="2496"/>
      <c r="BN132" s="2496"/>
      <c r="BO132" s="2496"/>
      <c r="BP132" s="3008"/>
    </row>
    <row r="133" spans="1:68" ht="78.75" customHeight="1" x14ac:dyDescent="0.2">
      <c r="A133" s="4026"/>
      <c r="B133" s="4026"/>
      <c r="C133" s="4026"/>
      <c r="D133" s="4114"/>
      <c r="E133" s="4114"/>
      <c r="F133" s="4114"/>
      <c r="G133" s="2341"/>
      <c r="H133" s="4068"/>
      <c r="I133" s="2758"/>
      <c r="J133" s="4128"/>
      <c r="K133" s="4048"/>
      <c r="L133" s="4049"/>
      <c r="M133" s="2879"/>
      <c r="N133" s="3383"/>
      <c r="O133" s="2463"/>
      <c r="P133" s="4116"/>
      <c r="Q133" s="2867"/>
      <c r="R133" s="4102"/>
      <c r="S133" s="2470"/>
      <c r="T133" s="1920" t="s">
        <v>1852</v>
      </c>
      <c r="U133" s="2066">
        <f>1200000+28800000-10000000</f>
        <v>20000000</v>
      </c>
      <c r="V133" s="2062">
        <v>11360000</v>
      </c>
      <c r="W133" s="2062">
        <v>1200000</v>
      </c>
      <c r="X133" s="2116" t="s">
        <v>1867</v>
      </c>
      <c r="Y133" s="2067" t="s">
        <v>1993</v>
      </c>
      <c r="Z133" s="2496"/>
      <c r="AA133" s="2496"/>
      <c r="AB133" s="2496"/>
      <c r="AC133" s="2496"/>
      <c r="AD133" s="2496"/>
      <c r="AE133" s="2496"/>
      <c r="AF133" s="2496"/>
      <c r="AG133" s="2496"/>
      <c r="AH133" s="2496"/>
      <c r="AI133" s="2496"/>
      <c r="AJ133" s="2496"/>
      <c r="AK133" s="2496"/>
      <c r="AL133" s="2496"/>
      <c r="AM133" s="2496"/>
      <c r="AN133" s="2496"/>
      <c r="AO133" s="2496"/>
      <c r="AP133" s="2496"/>
      <c r="AQ133" s="2496"/>
      <c r="AR133" s="2496"/>
      <c r="AS133" s="2496"/>
      <c r="AT133" s="2496"/>
      <c r="AU133" s="2496"/>
      <c r="AV133" s="2496"/>
      <c r="AW133" s="2496"/>
      <c r="AX133" s="2496"/>
      <c r="AY133" s="2496"/>
      <c r="AZ133" s="2496"/>
      <c r="BA133" s="2496"/>
      <c r="BB133" s="2496"/>
      <c r="BC133" s="2496"/>
      <c r="BD133" s="2496"/>
      <c r="BE133" s="2496"/>
      <c r="BF133" s="2496"/>
      <c r="BG133" s="2879"/>
      <c r="BH133" s="2879"/>
      <c r="BI133" s="4105"/>
      <c r="BJ133" s="3008"/>
      <c r="BK133" s="3008"/>
      <c r="BL133" s="2496"/>
      <c r="BM133" s="2496"/>
      <c r="BN133" s="2496"/>
      <c r="BO133" s="2496"/>
      <c r="BP133" s="3008"/>
    </row>
    <row r="134" spans="1:68" ht="78.75" customHeight="1" x14ac:dyDescent="0.2">
      <c r="A134" s="4026"/>
      <c r="B134" s="4026"/>
      <c r="C134" s="4026"/>
      <c r="D134" s="4114"/>
      <c r="E134" s="4114"/>
      <c r="F134" s="4114"/>
      <c r="G134" s="2341"/>
      <c r="H134" s="4068"/>
      <c r="I134" s="2758"/>
      <c r="J134" s="4128"/>
      <c r="K134" s="4048"/>
      <c r="L134" s="4049"/>
      <c r="M134" s="2879"/>
      <c r="N134" s="3383"/>
      <c r="O134" s="2463"/>
      <c r="P134" s="4116"/>
      <c r="Q134" s="2867"/>
      <c r="R134" s="4102"/>
      <c r="S134" s="2470"/>
      <c r="T134" s="1920" t="s">
        <v>2026</v>
      </c>
      <c r="U134" s="2066">
        <f>5000000+10000000-5000000</f>
        <v>10000000</v>
      </c>
      <c r="V134" s="2062">
        <v>5000000</v>
      </c>
      <c r="W134" s="2062">
        <v>5000000</v>
      </c>
      <c r="X134" s="2116" t="s">
        <v>1867</v>
      </c>
      <c r="Y134" s="2067" t="s">
        <v>1993</v>
      </c>
      <c r="Z134" s="2496"/>
      <c r="AA134" s="2496"/>
      <c r="AB134" s="2496"/>
      <c r="AC134" s="2496"/>
      <c r="AD134" s="2496"/>
      <c r="AE134" s="2496"/>
      <c r="AF134" s="2496"/>
      <c r="AG134" s="2496"/>
      <c r="AH134" s="2496"/>
      <c r="AI134" s="2496"/>
      <c r="AJ134" s="2496"/>
      <c r="AK134" s="2496"/>
      <c r="AL134" s="2496"/>
      <c r="AM134" s="2496"/>
      <c r="AN134" s="2496"/>
      <c r="AO134" s="2496"/>
      <c r="AP134" s="2496"/>
      <c r="AQ134" s="2496"/>
      <c r="AR134" s="2496"/>
      <c r="AS134" s="2496"/>
      <c r="AT134" s="2496"/>
      <c r="AU134" s="2496"/>
      <c r="AV134" s="2496"/>
      <c r="AW134" s="2496"/>
      <c r="AX134" s="2496"/>
      <c r="AY134" s="2496"/>
      <c r="AZ134" s="2496"/>
      <c r="BA134" s="2496"/>
      <c r="BB134" s="2496"/>
      <c r="BC134" s="2496"/>
      <c r="BD134" s="2496"/>
      <c r="BE134" s="2496"/>
      <c r="BF134" s="2496"/>
      <c r="BG134" s="2879"/>
      <c r="BH134" s="2879"/>
      <c r="BI134" s="4105"/>
      <c r="BJ134" s="3008"/>
      <c r="BK134" s="3008"/>
      <c r="BL134" s="2496"/>
      <c r="BM134" s="2496"/>
      <c r="BN134" s="2496"/>
      <c r="BO134" s="2496"/>
      <c r="BP134" s="3008"/>
    </row>
    <row r="135" spans="1:68" ht="78.75" customHeight="1" x14ac:dyDescent="0.2">
      <c r="A135" s="4026"/>
      <c r="B135" s="4026"/>
      <c r="C135" s="4026"/>
      <c r="D135" s="4114"/>
      <c r="E135" s="4114"/>
      <c r="F135" s="4114"/>
      <c r="G135" s="2341"/>
      <c r="H135" s="4068"/>
      <c r="I135" s="4127"/>
      <c r="J135" s="4128"/>
      <c r="K135" s="4048"/>
      <c r="L135" s="4049"/>
      <c r="M135" s="2879"/>
      <c r="N135" s="3383"/>
      <c r="O135" s="2463"/>
      <c r="P135" s="4117"/>
      <c r="Q135" s="2867"/>
      <c r="R135" s="4102"/>
      <c r="S135" s="2470"/>
      <c r="T135" s="1968" t="s">
        <v>2027</v>
      </c>
      <c r="U135" s="2068">
        <f>5000000+10000000-5000000</f>
        <v>10000000</v>
      </c>
      <c r="V135" s="2062">
        <v>5000000</v>
      </c>
      <c r="W135" s="2062">
        <v>5000000</v>
      </c>
      <c r="X135" s="2116" t="s">
        <v>1867</v>
      </c>
      <c r="Y135" s="2091" t="s">
        <v>1993</v>
      </c>
      <c r="Z135" s="2496"/>
      <c r="AA135" s="2496"/>
      <c r="AB135" s="2496"/>
      <c r="AC135" s="2496"/>
      <c r="AD135" s="2496"/>
      <c r="AE135" s="2496"/>
      <c r="AF135" s="2496"/>
      <c r="AG135" s="2496"/>
      <c r="AH135" s="2496"/>
      <c r="AI135" s="2496"/>
      <c r="AJ135" s="2496"/>
      <c r="AK135" s="2496"/>
      <c r="AL135" s="2496"/>
      <c r="AM135" s="2496"/>
      <c r="AN135" s="2496"/>
      <c r="AO135" s="2496"/>
      <c r="AP135" s="2496"/>
      <c r="AQ135" s="2496"/>
      <c r="AR135" s="2496"/>
      <c r="AS135" s="2496"/>
      <c r="AT135" s="2496"/>
      <c r="AU135" s="2496"/>
      <c r="AV135" s="2496"/>
      <c r="AW135" s="2496"/>
      <c r="AX135" s="2496"/>
      <c r="AY135" s="2496"/>
      <c r="AZ135" s="2496"/>
      <c r="BA135" s="2496"/>
      <c r="BB135" s="2496"/>
      <c r="BC135" s="2496"/>
      <c r="BD135" s="2496"/>
      <c r="BE135" s="2496"/>
      <c r="BF135" s="2496"/>
      <c r="BG135" s="2879"/>
      <c r="BH135" s="2879"/>
      <c r="BI135" s="4105"/>
      <c r="BJ135" s="3008"/>
      <c r="BK135" s="3008"/>
      <c r="BL135" s="2496"/>
      <c r="BM135" s="2496"/>
      <c r="BN135" s="2496"/>
      <c r="BO135" s="2496"/>
      <c r="BP135" s="3008"/>
    </row>
    <row r="136" spans="1:68" ht="78.75" customHeight="1" x14ac:dyDescent="0.2">
      <c r="A136" s="4026"/>
      <c r="B136" s="4026"/>
      <c r="C136" s="4026"/>
      <c r="D136" s="4114"/>
      <c r="E136" s="4114"/>
      <c r="F136" s="4114"/>
      <c r="G136" s="2340" t="s">
        <v>208</v>
      </c>
      <c r="H136" s="4042">
        <v>12.19</v>
      </c>
      <c r="I136" s="2453" t="s">
        <v>2028</v>
      </c>
      <c r="J136" s="3577" t="s">
        <v>2029</v>
      </c>
      <c r="K136" s="4048">
        <v>2</v>
      </c>
      <c r="L136" s="4049">
        <v>1</v>
      </c>
      <c r="M136" s="2879"/>
      <c r="N136" s="3383"/>
      <c r="O136" s="2463"/>
      <c r="P136" s="4115">
        <f>SUM(U136:U138)/Q126</f>
        <v>0.12903225806451613</v>
      </c>
      <c r="Q136" s="2867"/>
      <c r="R136" s="4102"/>
      <c r="S136" s="2470"/>
      <c r="T136" s="1920" t="s">
        <v>2030</v>
      </c>
      <c r="U136" s="2066">
        <v>10000000</v>
      </c>
      <c r="V136" s="2062">
        <v>8306666</v>
      </c>
      <c r="W136" s="2062">
        <v>0</v>
      </c>
      <c r="X136" s="2116" t="s">
        <v>1867</v>
      </c>
      <c r="Y136" s="2067" t="s">
        <v>1993</v>
      </c>
      <c r="Z136" s="2496"/>
      <c r="AA136" s="2496"/>
      <c r="AB136" s="2496"/>
      <c r="AC136" s="2496"/>
      <c r="AD136" s="2496"/>
      <c r="AE136" s="2496"/>
      <c r="AF136" s="2496"/>
      <c r="AG136" s="2496"/>
      <c r="AH136" s="2496"/>
      <c r="AI136" s="2496"/>
      <c r="AJ136" s="2496"/>
      <c r="AK136" s="2496"/>
      <c r="AL136" s="2496"/>
      <c r="AM136" s="2496"/>
      <c r="AN136" s="2496"/>
      <c r="AO136" s="2496"/>
      <c r="AP136" s="2496"/>
      <c r="AQ136" s="2496"/>
      <c r="AR136" s="2496"/>
      <c r="AS136" s="2496"/>
      <c r="AT136" s="2496"/>
      <c r="AU136" s="2496"/>
      <c r="AV136" s="2496"/>
      <c r="AW136" s="2496"/>
      <c r="AX136" s="2496"/>
      <c r="AY136" s="2496"/>
      <c r="AZ136" s="2496"/>
      <c r="BA136" s="2496"/>
      <c r="BB136" s="2496"/>
      <c r="BC136" s="2496"/>
      <c r="BD136" s="2496"/>
      <c r="BE136" s="2496"/>
      <c r="BF136" s="2496"/>
      <c r="BG136" s="2879"/>
      <c r="BH136" s="2879"/>
      <c r="BI136" s="4105"/>
      <c r="BJ136" s="3008"/>
      <c r="BK136" s="3008"/>
      <c r="BL136" s="2496"/>
      <c r="BM136" s="2496"/>
      <c r="BN136" s="2496"/>
      <c r="BO136" s="2496"/>
      <c r="BP136" s="3008"/>
    </row>
    <row r="137" spans="1:68" ht="78.75" customHeight="1" x14ac:dyDescent="0.2">
      <c r="A137" s="4026"/>
      <c r="B137" s="4026"/>
      <c r="C137" s="4026"/>
      <c r="D137" s="4114"/>
      <c r="E137" s="4114"/>
      <c r="F137" s="4114"/>
      <c r="G137" s="2341"/>
      <c r="H137" s="4030"/>
      <c r="I137" s="2453"/>
      <c r="J137" s="3578"/>
      <c r="K137" s="4048"/>
      <c r="L137" s="4049"/>
      <c r="M137" s="2879"/>
      <c r="N137" s="3383"/>
      <c r="O137" s="2463"/>
      <c r="P137" s="4116"/>
      <c r="Q137" s="2867"/>
      <c r="R137" s="4102"/>
      <c r="S137" s="2470"/>
      <c r="T137" s="1920" t="s">
        <v>2031</v>
      </c>
      <c r="U137" s="2066">
        <v>5000000</v>
      </c>
      <c r="V137" s="2062">
        <v>0</v>
      </c>
      <c r="W137" s="2062">
        <v>0</v>
      </c>
      <c r="X137" s="2116" t="s">
        <v>1867</v>
      </c>
      <c r="Y137" s="2067" t="s">
        <v>1993</v>
      </c>
      <c r="Z137" s="2496"/>
      <c r="AA137" s="2496"/>
      <c r="AB137" s="2496"/>
      <c r="AC137" s="2496"/>
      <c r="AD137" s="2496"/>
      <c r="AE137" s="2496"/>
      <c r="AF137" s="2496"/>
      <c r="AG137" s="2496"/>
      <c r="AH137" s="2496"/>
      <c r="AI137" s="2496"/>
      <c r="AJ137" s="2496"/>
      <c r="AK137" s="2496"/>
      <c r="AL137" s="2496"/>
      <c r="AM137" s="2496"/>
      <c r="AN137" s="2496"/>
      <c r="AO137" s="2496"/>
      <c r="AP137" s="2496"/>
      <c r="AQ137" s="2496"/>
      <c r="AR137" s="2496"/>
      <c r="AS137" s="2496"/>
      <c r="AT137" s="2496"/>
      <c r="AU137" s="2496"/>
      <c r="AV137" s="2496"/>
      <c r="AW137" s="2496"/>
      <c r="AX137" s="2496"/>
      <c r="AY137" s="2496"/>
      <c r="AZ137" s="2496"/>
      <c r="BA137" s="2496"/>
      <c r="BB137" s="2496"/>
      <c r="BC137" s="2496"/>
      <c r="BD137" s="2496"/>
      <c r="BE137" s="2496"/>
      <c r="BF137" s="2496"/>
      <c r="BG137" s="2879"/>
      <c r="BH137" s="2879"/>
      <c r="BI137" s="4105"/>
      <c r="BJ137" s="3008"/>
      <c r="BK137" s="3008"/>
      <c r="BL137" s="2496"/>
      <c r="BM137" s="2496"/>
      <c r="BN137" s="2496"/>
      <c r="BO137" s="2496"/>
      <c r="BP137" s="3008"/>
    </row>
    <row r="138" spans="1:68" ht="78.75" customHeight="1" x14ac:dyDescent="0.2">
      <c r="A138" s="4026"/>
      <c r="B138" s="4026"/>
      <c r="C138" s="4026"/>
      <c r="D138" s="4114"/>
      <c r="E138" s="4114"/>
      <c r="F138" s="4114"/>
      <c r="G138" s="2341"/>
      <c r="H138" s="4030"/>
      <c r="I138" s="2453"/>
      <c r="J138" s="3578"/>
      <c r="K138" s="4048"/>
      <c r="L138" s="4049"/>
      <c r="M138" s="2879"/>
      <c r="N138" s="3383"/>
      <c r="O138" s="2463"/>
      <c r="P138" s="4117"/>
      <c r="Q138" s="2867"/>
      <c r="R138" s="4102"/>
      <c r="S138" s="2470"/>
      <c r="T138" s="1920" t="s">
        <v>2032</v>
      </c>
      <c r="U138" s="2066">
        <v>5000000</v>
      </c>
      <c r="V138" s="2062">
        <v>0</v>
      </c>
      <c r="W138" s="2062">
        <v>0</v>
      </c>
      <c r="X138" s="2116" t="s">
        <v>1867</v>
      </c>
      <c r="Y138" s="2091" t="s">
        <v>1993</v>
      </c>
      <c r="Z138" s="2496"/>
      <c r="AA138" s="2496"/>
      <c r="AB138" s="2496"/>
      <c r="AC138" s="2496"/>
      <c r="AD138" s="2496"/>
      <c r="AE138" s="2496"/>
      <c r="AF138" s="2496"/>
      <c r="AG138" s="2496"/>
      <c r="AH138" s="2496"/>
      <c r="AI138" s="2496"/>
      <c r="AJ138" s="2496"/>
      <c r="AK138" s="2496"/>
      <c r="AL138" s="2496"/>
      <c r="AM138" s="2496"/>
      <c r="AN138" s="2496"/>
      <c r="AO138" s="2496"/>
      <c r="AP138" s="2496"/>
      <c r="AQ138" s="2496"/>
      <c r="AR138" s="2496"/>
      <c r="AS138" s="2496"/>
      <c r="AT138" s="2496"/>
      <c r="AU138" s="2496"/>
      <c r="AV138" s="2496"/>
      <c r="AW138" s="2496"/>
      <c r="AX138" s="2496"/>
      <c r="AY138" s="2496"/>
      <c r="AZ138" s="2496"/>
      <c r="BA138" s="2496"/>
      <c r="BB138" s="2496"/>
      <c r="BC138" s="2496"/>
      <c r="BD138" s="2496"/>
      <c r="BE138" s="2496"/>
      <c r="BF138" s="2496"/>
      <c r="BG138" s="2879"/>
      <c r="BH138" s="2879"/>
      <c r="BI138" s="4105"/>
      <c r="BJ138" s="3008"/>
      <c r="BK138" s="3008"/>
      <c r="BL138" s="2496"/>
      <c r="BM138" s="2496"/>
      <c r="BN138" s="2496"/>
      <c r="BO138" s="2496"/>
      <c r="BP138" s="3008"/>
    </row>
    <row r="139" spans="1:68" ht="78.75" customHeight="1" x14ac:dyDescent="0.2">
      <c r="A139" s="4026"/>
      <c r="B139" s="4026"/>
      <c r="C139" s="4026"/>
      <c r="D139" s="4114"/>
      <c r="E139" s="4114"/>
      <c r="F139" s="4114"/>
      <c r="G139" s="4085" t="s">
        <v>208</v>
      </c>
      <c r="H139" s="3766">
        <v>12.18</v>
      </c>
      <c r="I139" s="2884" t="s">
        <v>2033</v>
      </c>
      <c r="J139" s="2423" t="s">
        <v>2034</v>
      </c>
      <c r="K139" s="4048">
        <v>12</v>
      </c>
      <c r="L139" s="4048">
        <v>5</v>
      </c>
      <c r="M139" s="2567"/>
      <c r="N139" s="3383"/>
      <c r="O139" s="2463"/>
      <c r="P139" s="4115">
        <f>SUM(U139:U141)/Q126</f>
        <v>0.12903225806451613</v>
      </c>
      <c r="Q139" s="2867"/>
      <c r="R139" s="4102"/>
      <c r="S139" s="2440"/>
      <c r="T139" s="1910" t="s">
        <v>2035</v>
      </c>
      <c r="U139" s="2066">
        <f>10000000-5000000</f>
        <v>5000000</v>
      </c>
      <c r="V139" s="2062">
        <v>0</v>
      </c>
      <c r="W139" s="2062">
        <v>0</v>
      </c>
      <c r="X139" s="2116" t="s">
        <v>1867</v>
      </c>
      <c r="Y139" s="2067" t="s">
        <v>1993</v>
      </c>
      <c r="Z139" s="2496"/>
      <c r="AA139" s="2496"/>
      <c r="AB139" s="2496"/>
      <c r="AC139" s="2496"/>
      <c r="AD139" s="2496"/>
      <c r="AE139" s="2496"/>
      <c r="AF139" s="2496"/>
      <c r="AG139" s="2496"/>
      <c r="AH139" s="2496"/>
      <c r="AI139" s="2496"/>
      <c r="AJ139" s="2496"/>
      <c r="AK139" s="2496"/>
      <c r="AL139" s="2496"/>
      <c r="AM139" s="2496"/>
      <c r="AN139" s="2496"/>
      <c r="AO139" s="2496"/>
      <c r="AP139" s="2496"/>
      <c r="AQ139" s="2496"/>
      <c r="AR139" s="2496"/>
      <c r="AS139" s="2496"/>
      <c r="AT139" s="2496"/>
      <c r="AU139" s="2496"/>
      <c r="AV139" s="2496"/>
      <c r="AW139" s="2496"/>
      <c r="AX139" s="2496"/>
      <c r="AY139" s="2496"/>
      <c r="AZ139" s="2496"/>
      <c r="BA139" s="2496"/>
      <c r="BB139" s="2496"/>
      <c r="BC139" s="2496"/>
      <c r="BD139" s="2496"/>
      <c r="BE139" s="2496"/>
      <c r="BF139" s="2496"/>
      <c r="BG139" s="2879"/>
      <c r="BH139" s="2879"/>
      <c r="BI139" s="4105"/>
      <c r="BJ139" s="3008"/>
      <c r="BK139" s="3008"/>
      <c r="BL139" s="2496"/>
      <c r="BM139" s="2496"/>
      <c r="BN139" s="2496"/>
      <c r="BO139" s="2496"/>
      <c r="BP139" s="3008"/>
    </row>
    <row r="140" spans="1:68" ht="78.75" customHeight="1" x14ac:dyDescent="0.2">
      <c r="A140" s="4026"/>
      <c r="B140" s="4026"/>
      <c r="C140" s="4026"/>
      <c r="D140" s="4114"/>
      <c r="E140" s="4114"/>
      <c r="F140" s="4114"/>
      <c r="G140" s="2496"/>
      <c r="H140" s="3767"/>
      <c r="I140" s="2884"/>
      <c r="J140" s="2423"/>
      <c r="K140" s="4048"/>
      <c r="L140" s="4048"/>
      <c r="M140" s="2567"/>
      <c r="N140" s="3383"/>
      <c r="O140" s="2463"/>
      <c r="P140" s="4116"/>
      <c r="Q140" s="2867"/>
      <c r="R140" s="4102"/>
      <c r="S140" s="2440"/>
      <c r="T140" s="1910" t="s">
        <v>2036</v>
      </c>
      <c r="U140" s="2066">
        <f>10000000-5000000</f>
        <v>5000000</v>
      </c>
      <c r="V140" s="2062">
        <v>0</v>
      </c>
      <c r="W140" s="2062">
        <v>0</v>
      </c>
      <c r="X140" s="2116" t="s">
        <v>1867</v>
      </c>
      <c r="Y140" s="2067" t="s">
        <v>1993</v>
      </c>
      <c r="Z140" s="2496"/>
      <c r="AA140" s="2496"/>
      <c r="AB140" s="2496"/>
      <c r="AC140" s="2496"/>
      <c r="AD140" s="2496"/>
      <c r="AE140" s="2496"/>
      <c r="AF140" s="2496"/>
      <c r="AG140" s="2496"/>
      <c r="AH140" s="2496"/>
      <c r="AI140" s="2496"/>
      <c r="AJ140" s="2496"/>
      <c r="AK140" s="2496"/>
      <c r="AL140" s="2496"/>
      <c r="AM140" s="2496"/>
      <c r="AN140" s="2496"/>
      <c r="AO140" s="2496"/>
      <c r="AP140" s="2496"/>
      <c r="AQ140" s="2496"/>
      <c r="AR140" s="2496"/>
      <c r="AS140" s="2496"/>
      <c r="AT140" s="2496"/>
      <c r="AU140" s="2496"/>
      <c r="AV140" s="2496"/>
      <c r="AW140" s="2496"/>
      <c r="AX140" s="2496"/>
      <c r="AY140" s="2496"/>
      <c r="AZ140" s="2496"/>
      <c r="BA140" s="2496"/>
      <c r="BB140" s="2496"/>
      <c r="BC140" s="2496"/>
      <c r="BD140" s="2496"/>
      <c r="BE140" s="2496"/>
      <c r="BF140" s="2496"/>
      <c r="BG140" s="2879"/>
      <c r="BH140" s="2879"/>
      <c r="BI140" s="4105"/>
      <c r="BJ140" s="3008"/>
      <c r="BK140" s="3008"/>
      <c r="BL140" s="2496"/>
      <c r="BM140" s="2496"/>
      <c r="BN140" s="2496"/>
      <c r="BO140" s="2496"/>
      <c r="BP140" s="3008"/>
    </row>
    <row r="141" spans="1:68" ht="78.75" customHeight="1" x14ac:dyDescent="0.2">
      <c r="A141" s="4026"/>
      <c r="B141" s="4026"/>
      <c r="C141" s="4026"/>
      <c r="D141" s="4114"/>
      <c r="E141" s="4114"/>
      <c r="F141" s="4114"/>
      <c r="G141" s="2497"/>
      <c r="H141" s="3110"/>
      <c r="I141" s="2895"/>
      <c r="J141" s="2424"/>
      <c r="K141" s="4048"/>
      <c r="L141" s="4048"/>
      <c r="M141" s="2567"/>
      <c r="N141" s="3383"/>
      <c r="O141" s="2463"/>
      <c r="P141" s="4117"/>
      <c r="Q141" s="2867"/>
      <c r="R141" s="4102"/>
      <c r="S141" s="2440"/>
      <c r="T141" s="1910" t="s">
        <v>2037</v>
      </c>
      <c r="U141" s="2066">
        <v>10000000</v>
      </c>
      <c r="V141" s="2062">
        <v>0</v>
      </c>
      <c r="W141" s="2062">
        <v>0</v>
      </c>
      <c r="X141" s="2116" t="s">
        <v>1867</v>
      </c>
      <c r="Y141" s="2091" t="s">
        <v>1993</v>
      </c>
      <c r="Z141" s="2496"/>
      <c r="AA141" s="2496"/>
      <c r="AB141" s="2496"/>
      <c r="AC141" s="2496"/>
      <c r="AD141" s="2496"/>
      <c r="AE141" s="2496"/>
      <c r="AF141" s="2496"/>
      <c r="AG141" s="2496"/>
      <c r="AH141" s="2496"/>
      <c r="AI141" s="2496"/>
      <c r="AJ141" s="2496"/>
      <c r="AK141" s="2496"/>
      <c r="AL141" s="2496"/>
      <c r="AM141" s="2496"/>
      <c r="AN141" s="2496"/>
      <c r="AO141" s="2496"/>
      <c r="AP141" s="2496"/>
      <c r="AQ141" s="2496"/>
      <c r="AR141" s="2496"/>
      <c r="AS141" s="2496"/>
      <c r="AT141" s="2496"/>
      <c r="AU141" s="2496"/>
      <c r="AV141" s="2496"/>
      <c r="AW141" s="2496"/>
      <c r="AX141" s="2496"/>
      <c r="AY141" s="2496"/>
      <c r="AZ141" s="2496"/>
      <c r="BA141" s="2496"/>
      <c r="BB141" s="2496"/>
      <c r="BC141" s="2496"/>
      <c r="BD141" s="2496"/>
      <c r="BE141" s="2496"/>
      <c r="BF141" s="2496"/>
      <c r="BG141" s="2879"/>
      <c r="BH141" s="2879"/>
      <c r="BI141" s="4105"/>
      <c r="BJ141" s="3008"/>
      <c r="BK141" s="3008"/>
      <c r="BL141" s="2496"/>
      <c r="BM141" s="2496"/>
      <c r="BN141" s="2496"/>
      <c r="BO141" s="2496"/>
      <c r="BP141" s="3008"/>
    </row>
    <row r="142" spans="1:68" ht="78.75" customHeight="1" x14ac:dyDescent="0.2">
      <c r="A142" s="4026"/>
      <c r="B142" s="4026"/>
      <c r="C142" s="4026"/>
      <c r="D142" s="4114"/>
      <c r="E142" s="4114"/>
      <c r="F142" s="4114"/>
      <c r="G142" s="2495" t="s">
        <v>208</v>
      </c>
      <c r="H142" s="3109">
        <v>12.21</v>
      </c>
      <c r="I142" s="2894" t="s">
        <v>2038</v>
      </c>
      <c r="J142" s="2422" t="s">
        <v>855</v>
      </c>
      <c r="K142" s="4048">
        <v>12</v>
      </c>
      <c r="L142" s="4049">
        <v>2</v>
      </c>
      <c r="M142" s="2567"/>
      <c r="N142" s="3383"/>
      <c r="O142" s="2463"/>
      <c r="P142" s="4115">
        <f>SUM(U142:U143)/Q126</f>
        <v>0.12903225806451613</v>
      </c>
      <c r="Q142" s="2867"/>
      <c r="R142" s="4102"/>
      <c r="S142" s="2440"/>
      <c r="T142" s="2118" t="s">
        <v>2039</v>
      </c>
      <c r="U142" s="2066">
        <f>15000000-5000000</f>
        <v>10000000</v>
      </c>
      <c r="V142" s="2062">
        <v>0</v>
      </c>
      <c r="W142" s="2062">
        <v>0</v>
      </c>
      <c r="X142" s="2116" t="s">
        <v>1867</v>
      </c>
      <c r="Y142" s="2119" t="s">
        <v>1993</v>
      </c>
      <c r="Z142" s="2496"/>
      <c r="AA142" s="2496"/>
      <c r="AB142" s="2496"/>
      <c r="AC142" s="2496"/>
      <c r="AD142" s="2496"/>
      <c r="AE142" s="2496"/>
      <c r="AF142" s="2496"/>
      <c r="AG142" s="2496"/>
      <c r="AH142" s="2496"/>
      <c r="AI142" s="2496"/>
      <c r="AJ142" s="2496"/>
      <c r="AK142" s="2496"/>
      <c r="AL142" s="2496"/>
      <c r="AM142" s="2496"/>
      <c r="AN142" s="2496"/>
      <c r="AO142" s="2496"/>
      <c r="AP142" s="2496"/>
      <c r="AQ142" s="2496"/>
      <c r="AR142" s="2496"/>
      <c r="AS142" s="2496"/>
      <c r="AT142" s="2496"/>
      <c r="AU142" s="2496"/>
      <c r="AV142" s="2496"/>
      <c r="AW142" s="2496"/>
      <c r="AX142" s="2496"/>
      <c r="AY142" s="2496"/>
      <c r="AZ142" s="2496"/>
      <c r="BA142" s="2496"/>
      <c r="BB142" s="2496"/>
      <c r="BC142" s="2496"/>
      <c r="BD142" s="2496"/>
      <c r="BE142" s="2496"/>
      <c r="BF142" s="2496"/>
      <c r="BG142" s="2879"/>
      <c r="BH142" s="2879"/>
      <c r="BI142" s="4105"/>
      <c r="BJ142" s="3008"/>
      <c r="BK142" s="3008"/>
      <c r="BL142" s="2496"/>
      <c r="BM142" s="2496"/>
      <c r="BN142" s="2496"/>
      <c r="BO142" s="2496"/>
      <c r="BP142" s="3008"/>
    </row>
    <row r="143" spans="1:68" ht="78.75" customHeight="1" x14ac:dyDescent="0.2">
      <c r="A143" s="4026"/>
      <c r="B143" s="4026"/>
      <c r="C143" s="4026"/>
      <c r="D143" s="4114"/>
      <c r="E143" s="4114"/>
      <c r="F143" s="4114"/>
      <c r="G143" s="2496"/>
      <c r="H143" s="3767"/>
      <c r="I143" s="2884"/>
      <c r="J143" s="2423"/>
      <c r="K143" s="4048"/>
      <c r="L143" s="4049"/>
      <c r="M143" s="2567"/>
      <c r="N143" s="2566"/>
      <c r="O143" s="2422"/>
      <c r="P143" s="4116"/>
      <c r="Q143" s="2868"/>
      <c r="R143" s="4102"/>
      <c r="S143" s="2441"/>
      <c r="T143" s="1908" t="s">
        <v>2040</v>
      </c>
      <c r="U143" s="2066">
        <f>15000000-5000000</f>
        <v>10000000</v>
      </c>
      <c r="V143" s="2062">
        <v>5340000</v>
      </c>
      <c r="W143" s="2062">
        <v>0</v>
      </c>
      <c r="X143" s="2116" t="s">
        <v>1867</v>
      </c>
      <c r="Y143" s="2119" t="s">
        <v>1993</v>
      </c>
      <c r="Z143" s="2497"/>
      <c r="AA143" s="2467"/>
      <c r="AB143" s="2467"/>
      <c r="AC143" s="2467"/>
      <c r="AD143" s="2467"/>
      <c r="AE143" s="2467"/>
      <c r="AF143" s="2467"/>
      <c r="AG143" s="2467"/>
      <c r="AH143" s="2467"/>
      <c r="AI143" s="2467"/>
      <c r="AJ143" s="2467"/>
      <c r="AK143" s="2467"/>
      <c r="AL143" s="2467"/>
      <c r="AM143" s="2467"/>
      <c r="AN143" s="2467"/>
      <c r="AO143" s="2467"/>
      <c r="AP143" s="2467"/>
      <c r="AQ143" s="2467"/>
      <c r="AR143" s="2467"/>
      <c r="AS143" s="2467"/>
      <c r="AT143" s="2467"/>
      <c r="AU143" s="2467"/>
      <c r="AV143" s="2467"/>
      <c r="AW143" s="2467"/>
      <c r="AX143" s="2467"/>
      <c r="AY143" s="2467"/>
      <c r="AZ143" s="2467"/>
      <c r="BA143" s="2467"/>
      <c r="BB143" s="2467"/>
      <c r="BC143" s="2467"/>
      <c r="BD143" s="2467"/>
      <c r="BE143" s="2467"/>
      <c r="BF143" s="2467"/>
      <c r="BG143" s="2969"/>
      <c r="BH143" s="2969"/>
      <c r="BI143" s="3033"/>
      <c r="BJ143" s="2424"/>
      <c r="BK143" s="2424"/>
      <c r="BL143" s="2467"/>
      <c r="BM143" s="2467"/>
      <c r="BN143" s="2467"/>
      <c r="BO143" s="2467"/>
      <c r="BP143" s="2424"/>
    </row>
    <row r="144" spans="1:68" ht="68.25" customHeight="1" x14ac:dyDescent="0.2">
      <c r="A144" s="4026"/>
      <c r="B144" s="4026"/>
      <c r="C144" s="4026"/>
      <c r="D144" s="4114"/>
      <c r="E144" s="4114"/>
      <c r="F144" s="4114"/>
      <c r="G144" s="2933">
        <v>1905021</v>
      </c>
      <c r="H144" s="3639">
        <v>12.6</v>
      </c>
      <c r="I144" s="3149" t="s">
        <v>1399</v>
      </c>
      <c r="J144" s="2641" t="s">
        <v>1400</v>
      </c>
      <c r="K144" s="4048">
        <v>12</v>
      </c>
      <c r="L144" s="4124">
        <v>5</v>
      </c>
      <c r="M144" s="4121" t="s">
        <v>2041</v>
      </c>
      <c r="N144" s="2867" t="s">
        <v>2042</v>
      </c>
      <c r="O144" s="3252" t="s">
        <v>2043</v>
      </c>
      <c r="P144" s="2896">
        <f>SUM(U144:U156)/Q144</f>
        <v>0.5423728813559322</v>
      </c>
      <c r="Q144" s="4097">
        <f>SUM(U144:U166)</f>
        <v>118000000</v>
      </c>
      <c r="R144" s="3019" t="s">
        <v>2044</v>
      </c>
      <c r="S144" s="2439" t="s">
        <v>2045</v>
      </c>
      <c r="T144" s="1908" t="s">
        <v>2046</v>
      </c>
      <c r="U144" s="2066">
        <v>5000000</v>
      </c>
      <c r="V144" s="2062">
        <v>0</v>
      </c>
      <c r="W144" s="2062">
        <v>0</v>
      </c>
      <c r="X144" s="2116" t="s">
        <v>1867</v>
      </c>
      <c r="Y144" s="2069" t="s">
        <v>1993</v>
      </c>
      <c r="Z144" s="3038">
        <v>289394</v>
      </c>
      <c r="AA144" s="3038">
        <f>Z144*0.24</f>
        <v>69454.559999999998</v>
      </c>
      <c r="AB144" s="3038">
        <v>279112</v>
      </c>
      <c r="AC144" s="3038">
        <f>AB144*0.24</f>
        <v>66986.880000000005</v>
      </c>
      <c r="AD144" s="3038">
        <v>63164</v>
      </c>
      <c r="AE144" s="3038">
        <f>AD144*0.24</f>
        <v>15159.359999999999</v>
      </c>
      <c r="AF144" s="3038">
        <v>45607</v>
      </c>
      <c r="AG144" s="3038">
        <f>AF144*0.24</f>
        <v>10945.68</v>
      </c>
      <c r="AH144" s="3038">
        <v>365607</v>
      </c>
      <c r="AI144" s="3038">
        <f>AH144*0.24</f>
        <v>87745.68</v>
      </c>
      <c r="AJ144" s="3038">
        <v>75612</v>
      </c>
      <c r="AK144" s="3038">
        <f>AJ144*0.24</f>
        <v>18146.88</v>
      </c>
      <c r="AL144" s="3038">
        <v>2145</v>
      </c>
      <c r="AM144" s="3038">
        <f>AL144*0.24</f>
        <v>514.79999999999995</v>
      </c>
      <c r="AN144" s="3038">
        <v>12718</v>
      </c>
      <c r="AO144" s="3038">
        <f>AN144*0.24</f>
        <v>3052.3199999999997</v>
      </c>
      <c r="AP144" s="3038">
        <v>26</v>
      </c>
      <c r="AQ144" s="3038">
        <f>AP144*0.24</f>
        <v>6.24</v>
      </c>
      <c r="AR144" s="3038">
        <v>37</v>
      </c>
      <c r="AS144" s="3038">
        <f>AR144*0.24</f>
        <v>8.879999999999999</v>
      </c>
      <c r="AT144" s="3038">
        <v>0</v>
      </c>
      <c r="AU144" s="3038">
        <f>AT144*0.24</f>
        <v>0</v>
      </c>
      <c r="AV144" s="3038">
        <v>0</v>
      </c>
      <c r="AW144" s="3038">
        <f>AV144*0.24</f>
        <v>0</v>
      </c>
      <c r="AX144" s="3038">
        <v>78</v>
      </c>
      <c r="AY144" s="3038">
        <f>AX144*0.24</f>
        <v>18.72</v>
      </c>
      <c r="AZ144" s="3038">
        <v>16897</v>
      </c>
      <c r="BA144" s="3038">
        <f>AZ144*0.24</f>
        <v>4055.2799999999997</v>
      </c>
      <c r="BB144" s="3038">
        <v>852</v>
      </c>
      <c r="BC144" s="3038">
        <f>BB144*0.24</f>
        <v>204.48</v>
      </c>
      <c r="BD144" s="3038">
        <v>568506</v>
      </c>
      <c r="BE144" s="3038">
        <f>BD144*0.24</f>
        <v>136441.44</v>
      </c>
      <c r="BF144" s="3038">
        <v>3</v>
      </c>
      <c r="BG144" s="4091">
        <f>SUM(V144:V166)</f>
        <v>27800000</v>
      </c>
      <c r="BH144" s="4091">
        <f>SUM(W144:W166)</f>
        <v>0</v>
      </c>
      <c r="BI144" s="4094">
        <f>SUM(BG144/Q144)</f>
        <v>0.23559322033898306</v>
      </c>
      <c r="BJ144" s="3019" t="s">
        <v>1809</v>
      </c>
      <c r="BK144" s="3019" t="s">
        <v>1810</v>
      </c>
      <c r="BL144" s="4090">
        <v>43832</v>
      </c>
      <c r="BM144" s="4090">
        <v>43832</v>
      </c>
      <c r="BN144" s="4090">
        <v>44196</v>
      </c>
      <c r="BO144" s="4090">
        <v>44196</v>
      </c>
      <c r="BP144" s="3019" t="s">
        <v>1811</v>
      </c>
    </row>
    <row r="145" spans="1:68" ht="68.25" customHeight="1" x14ac:dyDescent="0.2">
      <c r="A145" s="4026"/>
      <c r="B145" s="4026"/>
      <c r="C145" s="4026"/>
      <c r="D145" s="4114"/>
      <c r="E145" s="4114"/>
      <c r="F145" s="4114"/>
      <c r="G145" s="2411"/>
      <c r="H145" s="3640"/>
      <c r="I145" s="4123"/>
      <c r="J145" s="2764"/>
      <c r="K145" s="4048"/>
      <c r="L145" s="4125"/>
      <c r="M145" s="2823"/>
      <c r="N145" s="2867"/>
      <c r="O145" s="2670"/>
      <c r="P145" s="2896"/>
      <c r="Q145" s="4097"/>
      <c r="R145" s="3020"/>
      <c r="S145" s="2440"/>
      <c r="T145" s="1908" t="s">
        <v>2047</v>
      </c>
      <c r="U145" s="2066">
        <v>5000000</v>
      </c>
      <c r="V145" s="2062">
        <v>0</v>
      </c>
      <c r="W145" s="2062">
        <v>0</v>
      </c>
      <c r="X145" s="2116" t="s">
        <v>1867</v>
      </c>
      <c r="Y145" s="2067" t="s">
        <v>1993</v>
      </c>
      <c r="Z145" s="3039"/>
      <c r="AA145" s="3039"/>
      <c r="AB145" s="3039"/>
      <c r="AC145" s="3039"/>
      <c r="AD145" s="3039"/>
      <c r="AE145" s="3039"/>
      <c r="AF145" s="3039"/>
      <c r="AG145" s="3039"/>
      <c r="AH145" s="3039"/>
      <c r="AI145" s="3039"/>
      <c r="AJ145" s="3039"/>
      <c r="AK145" s="3039"/>
      <c r="AL145" s="3039"/>
      <c r="AM145" s="3039"/>
      <c r="AN145" s="3039"/>
      <c r="AO145" s="3039"/>
      <c r="AP145" s="3039"/>
      <c r="AQ145" s="3039"/>
      <c r="AR145" s="3039"/>
      <c r="AS145" s="3039"/>
      <c r="AT145" s="3039"/>
      <c r="AU145" s="3039"/>
      <c r="AV145" s="3039"/>
      <c r="AW145" s="3039"/>
      <c r="AX145" s="3039"/>
      <c r="AY145" s="3039"/>
      <c r="AZ145" s="3039"/>
      <c r="BA145" s="3039"/>
      <c r="BB145" s="3039"/>
      <c r="BC145" s="3039"/>
      <c r="BD145" s="3039"/>
      <c r="BE145" s="3039"/>
      <c r="BF145" s="3039"/>
      <c r="BG145" s="4092"/>
      <c r="BH145" s="4092"/>
      <c r="BI145" s="4095"/>
      <c r="BJ145" s="3020"/>
      <c r="BK145" s="3020"/>
      <c r="BL145" s="3039"/>
      <c r="BM145" s="3039"/>
      <c r="BN145" s="3039"/>
      <c r="BO145" s="3039"/>
      <c r="BP145" s="3020"/>
    </row>
    <row r="146" spans="1:68" ht="68.25" customHeight="1" x14ac:dyDescent="0.2">
      <c r="A146" s="4026"/>
      <c r="B146" s="4026"/>
      <c r="C146" s="4026"/>
      <c r="D146" s="4114"/>
      <c r="E146" s="4114"/>
      <c r="F146" s="4114"/>
      <c r="G146" s="2411"/>
      <c r="H146" s="3640"/>
      <c r="I146" s="4123"/>
      <c r="J146" s="2764"/>
      <c r="K146" s="4048"/>
      <c r="L146" s="4125"/>
      <c r="M146" s="2823"/>
      <c r="N146" s="2867"/>
      <c r="O146" s="2670"/>
      <c r="P146" s="2896"/>
      <c r="Q146" s="4097"/>
      <c r="R146" s="3020"/>
      <c r="S146" s="2440"/>
      <c r="T146" s="1908" t="s">
        <v>2048</v>
      </c>
      <c r="U146" s="2066">
        <f>6000000</f>
        <v>6000000</v>
      </c>
      <c r="V146" s="2062">
        <v>0</v>
      </c>
      <c r="W146" s="2062">
        <v>0</v>
      </c>
      <c r="X146" s="2116" t="s">
        <v>1867</v>
      </c>
      <c r="Y146" s="2067" t="s">
        <v>1993</v>
      </c>
      <c r="Z146" s="3039"/>
      <c r="AA146" s="3039"/>
      <c r="AB146" s="3039"/>
      <c r="AC146" s="3039"/>
      <c r="AD146" s="3039"/>
      <c r="AE146" s="3039"/>
      <c r="AF146" s="3039"/>
      <c r="AG146" s="3039"/>
      <c r="AH146" s="3039"/>
      <c r="AI146" s="3039"/>
      <c r="AJ146" s="3039"/>
      <c r="AK146" s="3039"/>
      <c r="AL146" s="3039"/>
      <c r="AM146" s="3039"/>
      <c r="AN146" s="3039"/>
      <c r="AO146" s="3039"/>
      <c r="AP146" s="3039"/>
      <c r="AQ146" s="3039"/>
      <c r="AR146" s="3039"/>
      <c r="AS146" s="3039"/>
      <c r="AT146" s="3039"/>
      <c r="AU146" s="3039"/>
      <c r="AV146" s="3039"/>
      <c r="AW146" s="3039"/>
      <c r="AX146" s="3039"/>
      <c r="AY146" s="3039"/>
      <c r="AZ146" s="3039"/>
      <c r="BA146" s="3039"/>
      <c r="BB146" s="3039"/>
      <c r="BC146" s="3039"/>
      <c r="BD146" s="3039"/>
      <c r="BE146" s="3039"/>
      <c r="BF146" s="3039"/>
      <c r="BG146" s="4092"/>
      <c r="BH146" s="4092"/>
      <c r="BI146" s="4095"/>
      <c r="BJ146" s="3020"/>
      <c r="BK146" s="3020"/>
      <c r="BL146" s="3039"/>
      <c r="BM146" s="3039"/>
      <c r="BN146" s="3039"/>
      <c r="BO146" s="3039"/>
      <c r="BP146" s="3020"/>
    </row>
    <row r="147" spans="1:68" ht="68.25" customHeight="1" x14ac:dyDescent="0.2">
      <c r="A147" s="4026"/>
      <c r="B147" s="4026"/>
      <c r="C147" s="4026"/>
      <c r="D147" s="4114"/>
      <c r="E147" s="4114"/>
      <c r="F147" s="4114"/>
      <c r="G147" s="2411"/>
      <c r="H147" s="3640"/>
      <c r="I147" s="4123"/>
      <c r="J147" s="2764"/>
      <c r="K147" s="4048"/>
      <c r="L147" s="4125"/>
      <c r="M147" s="2823"/>
      <c r="N147" s="2867"/>
      <c r="O147" s="2670"/>
      <c r="P147" s="2896"/>
      <c r="Q147" s="4097"/>
      <c r="R147" s="3020"/>
      <c r="S147" s="2440"/>
      <c r="T147" s="1909" t="s">
        <v>2049</v>
      </c>
      <c r="U147" s="2066">
        <f>6000000-2000000</f>
        <v>4000000</v>
      </c>
      <c r="V147" s="2062">
        <v>0</v>
      </c>
      <c r="W147" s="2062">
        <v>0</v>
      </c>
      <c r="X147" s="2116" t="s">
        <v>1867</v>
      </c>
      <c r="Y147" s="2067" t="s">
        <v>1993</v>
      </c>
      <c r="Z147" s="3039"/>
      <c r="AA147" s="3039"/>
      <c r="AB147" s="3039"/>
      <c r="AC147" s="3039"/>
      <c r="AD147" s="3039"/>
      <c r="AE147" s="3039"/>
      <c r="AF147" s="3039"/>
      <c r="AG147" s="3039"/>
      <c r="AH147" s="3039"/>
      <c r="AI147" s="3039"/>
      <c r="AJ147" s="3039"/>
      <c r="AK147" s="3039"/>
      <c r="AL147" s="3039"/>
      <c r="AM147" s="3039"/>
      <c r="AN147" s="3039"/>
      <c r="AO147" s="3039"/>
      <c r="AP147" s="3039"/>
      <c r="AQ147" s="3039"/>
      <c r="AR147" s="3039"/>
      <c r="AS147" s="3039"/>
      <c r="AT147" s="3039"/>
      <c r="AU147" s="3039"/>
      <c r="AV147" s="3039"/>
      <c r="AW147" s="3039"/>
      <c r="AX147" s="3039"/>
      <c r="AY147" s="3039"/>
      <c r="AZ147" s="3039"/>
      <c r="BA147" s="3039"/>
      <c r="BB147" s="3039"/>
      <c r="BC147" s="3039"/>
      <c r="BD147" s="3039"/>
      <c r="BE147" s="3039"/>
      <c r="BF147" s="3039"/>
      <c r="BG147" s="4092"/>
      <c r="BH147" s="4092"/>
      <c r="BI147" s="4095"/>
      <c r="BJ147" s="3020"/>
      <c r="BK147" s="3020"/>
      <c r="BL147" s="3039"/>
      <c r="BM147" s="3039"/>
      <c r="BN147" s="3039"/>
      <c r="BO147" s="3039"/>
      <c r="BP147" s="3020"/>
    </row>
    <row r="148" spans="1:68" ht="68.25" customHeight="1" x14ac:dyDescent="0.2">
      <c r="A148" s="4026"/>
      <c r="B148" s="4026"/>
      <c r="C148" s="4026"/>
      <c r="D148" s="4114"/>
      <c r="E148" s="4114"/>
      <c r="F148" s="4114"/>
      <c r="G148" s="2411"/>
      <c r="H148" s="3640"/>
      <c r="I148" s="4123"/>
      <c r="J148" s="2764"/>
      <c r="K148" s="4048"/>
      <c r="L148" s="4125"/>
      <c r="M148" s="2823"/>
      <c r="N148" s="2867"/>
      <c r="O148" s="2670"/>
      <c r="P148" s="2896"/>
      <c r="Q148" s="4097"/>
      <c r="R148" s="3020"/>
      <c r="S148" s="2470"/>
      <c r="T148" s="1920" t="s">
        <v>2050</v>
      </c>
      <c r="U148" s="2066">
        <f>6000000-2000000</f>
        <v>4000000</v>
      </c>
      <c r="V148" s="2062">
        <v>0</v>
      </c>
      <c r="W148" s="2062">
        <v>0</v>
      </c>
      <c r="X148" s="2116" t="s">
        <v>1867</v>
      </c>
      <c r="Y148" s="2091" t="s">
        <v>1993</v>
      </c>
      <c r="Z148" s="3039"/>
      <c r="AA148" s="3039"/>
      <c r="AB148" s="3039"/>
      <c r="AC148" s="3039"/>
      <c r="AD148" s="3039"/>
      <c r="AE148" s="3039"/>
      <c r="AF148" s="3039"/>
      <c r="AG148" s="3039"/>
      <c r="AH148" s="3039"/>
      <c r="AI148" s="3039"/>
      <c r="AJ148" s="3039"/>
      <c r="AK148" s="3039"/>
      <c r="AL148" s="3039"/>
      <c r="AM148" s="3039"/>
      <c r="AN148" s="3039"/>
      <c r="AO148" s="3039"/>
      <c r="AP148" s="3039"/>
      <c r="AQ148" s="3039"/>
      <c r="AR148" s="3039"/>
      <c r="AS148" s="3039"/>
      <c r="AT148" s="3039"/>
      <c r="AU148" s="3039"/>
      <c r="AV148" s="3039"/>
      <c r="AW148" s="3039"/>
      <c r="AX148" s="3039"/>
      <c r="AY148" s="3039"/>
      <c r="AZ148" s="3039"/>
      <c r="BA148" s="3039"/>
      <c r="BB148" s="3039"/>
      <c r="BC148" s="3039"/>
      <c r="BD148" s="3039"/>
      <c r="BE148" s="3039"/>
      <c r="BF148" s="3039"/>
      <c r="BG148" s="4092"/>
      <c r="BH148" s="4092"/>
      <c r="BI148" s="4095"/>
      <c r="BJ148" s="3020"/>
      <c r="BK148" s="3020"/>
      <c r="BL148" s="3039"/>
      <c r="BM148" s="3039"/>
      <c r="BN148" s="3039"/>
      <c r="BO148" s="3039"/>
      <c r="BP148" s="3020"/>
    </row>
    <row r="149" spans="1:68" ht="68.25" customHeight="1" x14ac:dyDescent="0.2">
      <c r="A149" s="4026"/>
      <c r="B149" s="4026"/>
      <c r="C149" s="4026"/>
      <c r="D149" s="4114"/>
      <c r="E149" s="4114"/>
      <c r="F149" s="4114"/>
      <c r="G149" s="2411"/>
      <c r="H149" s="3640"/>
      <c r="I149" s="4123"/>
      <c r="J149" s="2764"/>
      <c r="K149" s="4048"/>
      <c r="L149" s="4125"/>
      <c r="M149" s="2823"/>
      <c r="N149" s="2867"/>
      <c r="O149" s="2670"/>
      <c r="P149" s="2896"/>
      <c r="Q149" s="4097"/>
      <c r="R149" s="3020"/>
      <c r="S149" s="2470"/>
      <c r="T149" s="1920" t="s">
        <v>2051</v>
      </c>
      <c r="U149" s="2066">
        <f>7000000-3000000</f>
        <v>4000000</v>
      </c>
      <c r="V149" s="2062">
        <v>0</v>
      </c>
      <c r="W149" s="2062">
        <v>0</v>
      </c>
      <c r="X149" s="2116" t="s">
        <v>1867</v>
      </c>
      <c r="Y149" s="2091" t="s">
        <v>1993</v>
      </c>
      <c r="Z149" s="2496"/>
      <c r="AA149" s="2496"/>
      <c r="AB149" s="2496"/>
      <c r="AC149" s="2496"/>
      <c r="AD149" s="2496"/>
      <c r="AE149" s="2496"/>
      <c r="AF149" s="2496"/>
      <c r="AG149" s="2496"/>
      <c r="AH149" s="2496"/>
      <c r="AI149" s="2496"/>
      <c r="AJ149" s="2496"/>
      <c r="AK149" s="2496"/>
      <c r="AL149" s="2496"/>
      <c r="AM149" s="2496"/>
      <c r="AN149" s="2496"/>
      <c r="AO149" s="2496"/>
      <c r="AP149" s="2496"/>
      <c r="AQ149" s="2496"/>
      <c r="AR149" s="2496"/>
      <c r="AS149" s="2496"/>
      <c r="AT149" s="2496"/>
      <c r="AU149" s="2496"/>
      <c r="AV149" s="2496"/>
      <c r="AW149" s="2496"/>
      <c r="AX149" s="2496"/>
      <c r="AY149" s="2496"/>
      <c r="AZ149" s="2496"/>
      <c r="BA149" s="2496"/>
      <c r="BB149" s="2496"/>
      <c r="BC149" s="2496"/>
      <c r="BD149" s="2496"/>
      <c r="BE149" s="2496"/>
      <c r="BF149" s="2496"/>
      <c r="BG149" s="2879"/>
      <c r="BH149" s="2879"/>
      <c r="BI149" s="4105"/>
      <c r="BJ149" s="3008"/>
      <c r="BK149" s="3008"/>
      <c r="BL149" s="2496"/>
      <c r="BM149" s="2496"/>
      <c r="BN149" s="2496"/>
      <c r="BO149" s="2496"/>
      <c r="BP149" s="3008"/>
    </row>
    <row r="150" spans="1:68" ht="68.25" customHeight="1" x14ac:dyDescent="0.2">
      <c r="A150" s="4026"/>
      <c r="B150" s="4026"/>
      <c r="C150" s="4026"/>
      <c r="D150" s="4114"/>
      <c r="E150" s="4114"/>
      <c r="F150" s="4114"/>
      <c r="G150" s="2411"/>
      <c r="H150" s="3640"/>
      <c r="I150" s="4123"/>
      <c r="J150" s="2764"/>
      <c r="K150" s="4048"/>
      <c r="L150" s="4125"/>
      <c r="M150" s="2823"/>
      <c r="N150" s="2867"/>
      <c r="O150" s="2670"/>
      <c r="P150" s="2896"/>
      <c r="Q150" s="4097"/>
      <c r="R150" s="3020"/>
      <c r="S150" s="2470"/>
      <c r="T150" s="1920" t="s">
        <v>2052</v>
      </c>
      <c r="U150" s="2066">
        <f>7000000-3000000</f>
        <v>4000000</v>
      </c>
      <c r="V150" s="2062">
        <v>0</v>
      </c>
      <c r="W150" s="2062">
        <v>0</v>
      </c>
      <c r="X150" s="2116" t="s">
        <v>1867</v>
      </c>
      <c r="Y150" s="2091" t="s">
        <v>1993</v>
      </c>
      <c r="Z150" s="2496"/>
      <c r="AA150" s="2496"/>
      <c r="AB150" s="2496"/>
      <c r="AC150" s="2496"/>
      <c r="AD150" s="2496"/>
      <c r="AE150" s="2496"/>
      <c r="AF150" s="2496"/>
      <c r="AG150" s="2496"/>
      <c r="AH150" s="2496"/>
      <c r="AI150" s="2496"/>
      <c r="AJ150" s="2496"/>
      <c r="AK150" s="2496"/>
      <c r="AL150" s="2496"/>
      <c r="AM150" s="2496"/>
      <c r="AN150" s="2496"/>
      <c r="AO150" s="2496"/>
      <c r="AP150" s="2496"/>
      <c r="AQ150" s="2496"/>
      <c r="AR150" s="2496"/>
      <c r="AS150" s="2496"/>
      <c r="AT150" s="2496"/>
      <c r="AU150" s="2496"/>
      <c r="AV150" s="2496"/>
      <c r="AW150" s="2496"/>
      <c r="AX150" s="2496"/>
      <c r="AY150" s="2496"/>
      <c r="AZ150" s="2496"/>
      <c r="BA150" s="2496"/>
      <c r="BB150" s="2496"/>
      <c r="BC150" s="2496"/>
      <c r="BD150" s="2496"/>
      <c r="BE150" s="2496"/>
      <c r="BF150" s="2496"/>
      <c r="BG150" s="2879"/>
      <c r="BH150" s="2879"/>
      <c r="BI150" s="4105"/>
      <c r="BJ150" s="3008"/>
      <c r="BK150" s="3008"/>
      <c r="BL150" s="2496"/>
      <c r="BM150" s="2496"/>
      <c r="BN150" s="2496"/>
      <c r="BO150" s="2496"/>
      <c r="BP150" s="3008"/>
    </row>
    <row r="151" spans="1:68" ht="68.25" customHeight="1" x14ac:dyDescent="0.2">
      <c r="A151" s="4026"/>
      <c r="B151" s="4026"/>
      <c r="C151" s="4026"/>
      <c r="D151" s="4114"/>
      <c r="E151" s="4114"/>
      <c r="F151" s="4114"/>
      <c r="G151" s="2411"/>
      <c r="H151" s="3640"/>
      <c r="I151" s="4123"/>
      <c r="J151" s="2764"/>
      <c r="K151" s="4048"/>
      <c r="L151" s="4125"/>
      <c r="M151" s="2823"/>
      <c r="N151" s="2867"/>
      <c r="O151" s="2670"/>
      <c r="P151" s="2896"/>
      <c r="Q151" s="4097"/>
      <c r="R151" s="3020"/>
      <c r="S151" s="2470"/>
      <c r="T151" s="1920" t="s">
        <v>2053</v>
      </c>
      <c r="U151" s="2066">
        <f>7000000-3000000</f>
        <v>4000000</v>
      </c>
      <c r="V151" s="2062">
        <v>0</v>
      </c>
      <c r="W151" s="2062">
        <v>0</v>
      </c>
      <c r="X151" s="2116" t="s">
        <v>1867</v>
      </c>
      <c r="Y151" s="2091" t="s">
        <v>1993</v>
      </c>
      <c r="Z151" s="2496"/>
      <c r="AA151" s="2496"/>
      <c r="AB151" s="2496"/>
      <c r="AC151" s="2496"/>
      <c r="AD151" s="2496"/>
      <c r="AE151" s="2496"/>
      <c r="AF151" s="2496"/>
      <c r="AG151" s="2496"/>
      <c r="AH151" s="2496"/>
      <c r="AI151" s="2496"/>
      <c r="AJ151" s="2496"/>
      <c r="AK151" s="2496"/>
      <c r="AL151" s="2496"/>
      <c r="AM151" s="2496"/>
      <c r="AN151" s="2496"/>
      <c r="AO151" s="2496"/>
      <c r="AP151" s="2496"/>
      <c r="AQ151" s="2496"/>
      <c r="AR151" s="2496"/>
      <c r="AS151" s="2496"/>
      <c r="AT151" s="2496"/>
      <c r="AU151" s="2496"/>
      <c r="AV151" s="2496"/>
      <c r="AW151" s="2496"/>
      <c r="AX151" s="2496"/>
      <c r="AY151" s="2496"/>
      <c r="AZ151" s="2496"/>
      <c r="BA151" s="2496"/>
      <c r="BB151" s="2496"/>
      <c r="BC151" s="2496"/>
      <c r="BD151" s="2496"/>
      <c r="BE151" s="2496"/>
      <c r="BF151" s="2496"/>
      <c r="BG151" s="2879"/>
      <c r="BH151" s="2879"/>
      <c r="BI151" s="4105"/>
      <c r="BJ151" s="3008"/>
      <c r="BK151" s="3008"/>
      <c r="BL151" s="2496"/>
      <c r="BM151" s="2496"/>
      <c r="BN151" s="2496"/>
      <c r="BO151" s="2496"/>
      <c r="BP151" s="3008"/>
    </row>
    <row r="152" spans="1:68" ht="68.25" customHeight="1" x14ac:dyDescent="0.2">
      <c r="A152" s="4026"/>
      <c r="B152" s="4026"/>
      <c r="C152" s="4026"/>
      <c r="D152" s="4114"/>
      <c r="E152" s="4114"/>
      <c r="F152" s="4114"/>
      <c r="G152" s="2411"/>
      <c r="H152" s="3640"/>
      <c r="I152" s="4123"/>
      <c r="J152" s="2764"/>
      <c r="K152" s="4048"/>
      <c r="L152" s="4125"/>
      <c r="M152" s="2823"/>
      <c r="N152" s="2867"/>
      <c r="O152" s="2670"/>
      <c r="P152" s="2896"/>
      <c r="Q152" s="4097"/>
      <c r="R152" s="3020"/>
      <c r="S152" s="2470"/>
      <c r="T152" s="1920" t="s">
        <v>2054</v>
      </c>
      <c r="U152" s="2066">
        <f>7000000-3000000</f>
        <v>4000000</v>
      </c>
      <c r="V152" s="2062">
        <v>0</v>
      </c>
      <c r="W152" s="2062">
        <v>0</v>
      </c>
      <c r="X152" s="2116" t="s">
        <v>1867</v>
      </c>
      <c r="Y152" s="2091" t="s">
        <v>1993</v>
      </c>
      <c r="Z152" s="2496"/>
      <c r="AA152" s="2496"/>
      <c r="AB152" s="2496"/>
      <c r="AC152" s="2496"/>
      <c r="AD152" s="2496"/>
      <c r="AE152" s="2496"/>
      <c r="AF152" s="2496"/>
      <c r="AG152" s="2496"/>
      <c r="AH152" s="2496"/>
      <c r="AI152" s="2496"/>
      <c r="AJ152" s="2496"/>
      <c r="AK152" s="2496"/>
      <c r="AL152" s="2496"/>
      <c r="AM152" s="2496"/>
      <c r="AN152" s="2496"/>
      <c r="AO152" s="2496"/>
      <c r="AP152" s="2496"/>
      <c r="AQ152" s="2496"/>
      <c r="AR152" s="2496"/>
      <c r="AS152" s="2496"/>
      <c r="AT152" s="2496"/>
      <c r="AU152" s="2496"/>
      <c r="AV152" s="2496"/>
      <c r="AW152" s="2496"/>
      <c r="AX152" s="2496"/>
      <c r="AY152" s="2496"/>
      <c r="AZ152" s="2496"/>
      <c r="BA152" s="2496"/>
      <c r="BB152" s="2496"/>
      <c r="BC152" s="2496"/>
      <c r="BD152" s="2496"/>
      <c r="BE152" s="2496"/>
      <c r="BF152" s="2496"/>
      <c r="BG152" s="2879"/>
      <c r="BH152" s="2879"/>
      <c r="BI152" s="4105"/>
      <c r="BJ152" s="3008"/>
      <c r="BK152" s="3008"/>
      <c r="BL152" s="2496"/>
      <c r="BM152" s="2496"/>
      <c r="BN152" s="2496"/>
      <c r="BO152" s="2496"/>
      <c r="BP152" s="3008"/>
    </row>
    <row r="153" spans="1:68" ht="68.25" customHeight="1" x14ac:dyDescent="0.2">
      <c r="A153" s="4026"/>
      <c r="B153" s="4026"/>
      <c r="C153" s="4026"/>
      <c r="D153" s="4114"/>
      <c r="E153" s="4114"/>
      <c r="F153" s="4114"/>
      <c r="G153" s="2411"/>
      <c r="H153" s="3640"/>
      <c r="I153" s="4123"/>
      <c r="J153" s="2764"/>
      <c r="K153" s="4048"/>
      <c r="L153" s="4125"/>
      <c r="M153" s="2823"/>
      <c r="N153" s="2867"/>
      <c r="O153" s="2670"/>
      <c r="P153" s="2896"/>
      <c r="Q153" s="4097"/>
      <c r="R153" s="3020"/>
      <c r="S153" s="2470"/>
      <c r="T153" s="1920" t="s">
        <v>2055</v>
      </c>
      <c r="U153" s="2066">
        <f>8000000-4000000</f>
        <v>4000000</v>
      </c>
      <c r="V153" s="2062">
        <v>0</v>
      </c>
      <c r="W153" s="2062">
        <v>0</v>
      </c>
      <c r="X153" s="2116" t="s">
        <v>1867</v>
      </c>
      <c r="Y153" s="2091" t="s">
        <v>1993</v>
      </c>
      <c r="Z153" s="2496"/>
      <c r="AA153" s="2496"/>
      <c r="AB153" s="2496"/>
      <c r="AC153" s="2496"/>
      <c r="AD153" s="2496"/>
      <c r="AE153" s="2496"/>
      <c r="AF153" s="2496"/>
      <c r="AG153" s="2496"/>
      <c r="AH153" s="2496"/>
      <c r="AI153" s="2496"/>
      <c r="AJ153" s="2496"/>
      <c r="AK153" s="2496"/>
      <c r="AL153" s="2496"/>
      <c r="AM153" s="2496"/>
      <c r="AN153" s="2496"/>
      <c r="AO153" s="2496"/>
      <c r="AP153" s="2496"/>
      <c r="AQ153" s="2496"/>
      <c r="AR153" s="2496"/>
      <c r="AS153" s="2496"/>
      <c r="AT153" s="2496"/>
      <c r="AU153" s="2496"/>
      <c r="AV153" s="2496"/>
      <c r="AW153" s="2496"/>
      <c r="AX153" s="2496"/>
      <c r="AY153" s="2496"/>
      <c r="AZ153" s="2496"/>
      <c r="BA153" s="2496"/>
      <c r="BB153" s="2496"/>
      <c r="BC153" s="2496"/>
      <c r="BD153" s="2496"/>
      <c r="BE153" s="2496"/>
      <c r="BF153" s="2496"/>
      <c r="BG153" s="2879"/>
      <c r="BH153" s="2879"/>
      <c r="BI153" s="4105"/>
      <c r="BJ153" s="3008"/>
      <c r="BK153" s="3008"/>
      <c r="BL153" s="2496"/>
      <c r="BM153" s="2496"/>
      <c r="BN153" s="2496"/>
      <c r="BO153" s="2496"/>
      <c r="BP153" s="3008"/>
    </row>
    <row r="154" spans="1:68" ht="68.25" customHeight="1" x14ac:dyDescent="0.2">
      <c r="A154" s="4026"/>
      <c r="B154" s="4026"/>
      <c r="C154" s="4026"/>
      <c r="D154" s="4114"/>
      <c r="E154" s="4114"/>
      <c r="F154" s="4114"/>
      <c r="G154" s="2411"/>
      <c r="H154" s="3640"/>
      <c r="I154" s="4123"/>
      <c r="J154" s="2764"/>
      <c r="K154" s="4048"/>
      <c r="L154" s="4125"/>
      <c r="M154" s="2823"/>
      <c r="N154" s="2867"/>
      <c r="O154" s="2670"/>
      <c r="P154" s="2896"/>
      <c r="Q154" s="4097"/>
      <c r="R154" s="3020"/>
      <c r="S154" s="2470"/>
      <c r="T154" s="1920" t="s">
        <v>2056</v>
      </c>
      <c r="U154" s="2066">
        <v>8000000</v>
      </c>
      <c r="V154" s="2062">
        <v>306667</v>
      </c>
      <c r="W154" s="2062">
        <v>0</v>
      </c>
      <c r="X154" s="2116" t="s">
        <v>1867</v>
      </c>
      <c r="Y154" s="2091" t="s">
        <v>1993</v>
      </c>
      <c r="Z154" s="2496"/>
      <c r="AA154" s="2496"/>
      <c r="AB154" s="2496"/>
      <c r="AC154" s="2496"/>
      <c r="AD154" s="2496"/>
      <c r="AE154" s="2496"/>
      <c r="AF154" s="2496"/>
      <c r="AG154" s="2496"/>
      <c r="AH154" s="2496"/>
      <c r="AI154" s="2496"/>
      <c r="AJ154" s="2496"/>
      <c r="AK154" s="2496"/>
      <c r="AL154" s="2496"/>
      <c r="AM154" s="2496"/>
      <c r="AN154" s="2496"/>
      <c r="AO154" s="2496"/>
      <c r="AP154" s="2496"/>
      <c r="AQ154" s="2496"/>
      <c r="AR154" s="2496"/>
      <c r="AS154" s="2496"/>
      <c r="AT154" s="2496"/>
      <c r="AU154" s="2496"/>
      <c r="AV154" s="2496"/>
      <c r="AW154" s="2496"/>
      <c r="AX154" s="2496"/>
      <c r="AY154" s="2496"/>
      <c r="AZ154" s="2496"/>
      <c r="BA154" s="2496"/>
      <c r="BB154" s="2496"/>
      <c r="BC154" s="2496"/>
      <c r="BD154" s="2496"/>
      <c r="BE154" s="2496"/>
      <c r="BF154" s="2496"/>
      <c r="BG154" s="2879"/>
      <c r="BH154" s="2879"/>
      <c r="BI154" s="4105"/>
      <c r="BJ154" s="3008"/>
      <c r="BK154" s="3008"/>
      <c r="BL154" s="2496"/>
      <c r="BM154" s="2496"/>
      <c r="BN154" s="2496"/>
      <c r="BO154" s="2496"/>
      <c r="BP154" s="3008"/>
    </row>
    <row r="155" spans="1:68" ht="68.25" customHeight="1" x14ac:dyDescent="0.2">
      <c r="A155" s="4026"/>
      <c r="B155" s="4026"/>
      <c r="C155" s="4026"/>
      <c r="D155" s="4114"/>
      <c r="E155" s="4114"/>
      <c r="F155" s="4114"/>
      <c r="G155" s="2411"/>
      <c r="H155" s="3640"/>
      <c r="I155" s="4123"/>
      <c r="J155" s="2764"/>
      <c r="K155" s="4048"/>
      <c r="L155" s="4125"/>
      <c r="M155" s="2823"/>
      <c r="N155" s="2867"/>
      <c r="O155" s="2670"/>
      <c r="P155" s="2896"/>
      <c r="Q155" s="4097"/>
      <c r="R155" s="3020"/>
      <c r="S155" s="2470"/>
      <c r="T155" s="1920" t="s">
        <v>2057</v>
      </c>
      <c r="U155" s="2066">
        <v>8000000</v>
      </c>
      <c r="V155" s="2062">
        <v>7626666</v>
      </c>
      <c r="W155" s="2062">
        <v>0</v>
      </c>
      <c r="X155" s="2116" t="s">
        <v>1867</v>
      </c>
      <c r="Y155" s="2091" t="s">
        <v>1993</v>
      </c>
      <c r="Z155" s="2496"/>
      <c r="AA155" s="2496"/>
      <c r="AB155" s="2496"/>
      <c r="AC155" s="2496"/>
      <c r="AD155" s="2496"/>
      <c r="AE155" s="2496"/>
      <c r="AF155" s="2496"/>
      <c r="AG155" s="2496"/>
      <c r="AH155" s="2496"/>
      <c r="AI155" s="2496"/>
      <c r="AJ155" s="2496"/>
      <c r="AK155" s="2496"/>
      <c r="AL155" s="2496"/>
      <c r="AM155" s="2496"/>
      <c r="AN155" s="2496"/>
      <c r="AO155" s="2496"/>
      <c r="AP155" s="2496"/>
      <c r="AQ155" s="2496"/>
      <c r="AR155" s="2496"/>
      <c r="AS155" s="2496"/>
      <c r="AT155" s="2496"/>
      <c r="AU155" s="2496"/>
      <c r="AV155" s="2496"/>
      <c r="AW155" s="2496"/>
      <c r="AX155" s="2496"/>
      <c r="AY155" s="2496"/>
      <c r="AZ155" s="2496"/>
      <c r="BA155" s="2496"/>
      <c r="BB155" s="2496"/>
      <c r="BC155" s="2496"/>
      <c r="BD155" s="2496"/>
      <c r="BE155" s="2496"/>
      <c r="BF155" s="2496"/>
      <c r="BG155" s="2879"/>
      <c r="BH155" s="2879"/>
      <c r="BI155" s="4105"/>
      <c r="BJ155" s="3008"/>
      <c r="BK155" s="3008"/>
      <c r="BL155" s="2496"/>
      <c r="BM155" s="2496"/>
      <c r="BN155" s="2496"/>
      <c r="BO155" s="2496"/>
      <c r="BP155" s="3008"/>
    </row>
    <row r="156" spans="1:68" ht="68.25" customHeight="1" x14ac:dyDescent="0.2">
      <c r="A156" s="4026"/>
      <c r="B156" s="4026"/>
      <c r="C156" s="4026"/>
      <c r="D156" s="4114"/>
      <c r="E156" s="4114"/>
      <c r="F156" s="4114"/>
      <c r="G156" s="2411"/>
      <c r="H156" s="3640"/>
      <c r="I156" s="4123"/>
      <c r="J156" s="2764"/>
      <c r="K156" s="4048"/>
      <c r="L156" s="4126"/>
      <c r="M156" s="2823"/>
      <c r="N156" s="2867"/>
      <c r="O156" s="2670"/>
      <c r="P156" s="2896"/>
      <c r="Q156" s="4097"/>
      <c r="R156" s="3020"/>
      <c r="S156" s="2470"/>
      <c r="T156" s="1914" t="s">
        <v>2058</v>
      </c>
      <c r="U156" s="2120">
        <f>8000000-4000000</f>
        <v>4000000</v>
      </c>
      <c r="V156" s="2062">
        <v>0</v>
      </c>
      <c r="W156" s="2062">
        <v>0</v>
      </c>
      <c r="X156" s="2005">
        <v>61</v>
      </c>
      <c r="Y156" s="2121" t="s">
        <v>1993</v>
      </c>
      <c r="Z156" s="2496"/>
      <c r="AA156" s="2496"/>
      <c r="AB156" s="2496"/>
      <c r="AC156" s="2496"/>
      <c r="AD156" s="2496"/>
      <c r="AE156" s="2496"/>
      <c r="AF156" s="2496"/>
      <c r="AG156" s="2496"/>
      <c r="AH156" s="2496"/>
      <c r="AI156" s="2496"/>
      <c r="AJ156" s="2496"/>
      <c r="AK156" s="2496"/>
      <c r="AL156" s="2496"/>
      <c r="AM156" s="2496"/>
      <c r="AN156" s="2496"/>
      <c r="AO156" s="2496"/>
      <c r="AP156" s="2496"/>
      <c r="AQ156" s="2496"/>
      <c r="AR156" s="2496"/>
      <c r="AS156" s="2496"/>
      <c r="AT156" s="2496"/>
      <c r="AU156" s="2496"/>
      <c r="AV156" s="2496"/>
      <c r="AW156" s="2496"/>
      <c r="AX156" s="2496"/>
      <c r="AY156" s="2496"/>
      <c r="AZ156" s="2496"/>
      <c r="BA156" s="2496"/>
      <c r="BB156" s="2496"/>
      <c r="BC156" s="2496"/>
      <c r="BD156" s="2496"/>
      <c r="BE156" s="2496"/>
      <c r="BF156" s="2496"/>
      <c r="BG156" s="2879"/>
      <c r="BH156" s="2879"/>
      <c r="BI156" s="4105"/>
      <c r="BJ156" s="3008"/>
      <c r="BK156" s="3008"/>
      <c r="BL156" s="2496"/>
      <c r="BM156" s="2496"/>
      <c r="BN156" s="2496"/>
      <c r="BO156" s="2496"/>
      <c r="BP156" s="3008"/>
    </row>
    <row r="157" spans="1:68" ht="81.75" customHeight="1" x14ac:dyDescent="0.2">
      <c r="A157" s="4026"/>
      <c r="B157" s="4026"/>
      <c r="C157" s="4026"/>
      <c r="D157" s="4114"/>
      <c r="E157" s="4114"/>
      <c r="F157" s="4114"/>
      <c r="G157" s="2341" t="s">
        <v>208</v>
      </c>
      <c r="H157" s="3670">
        <v>12.16</v>
      </c>
      <c r="I157" s="2453" t="s">
        <v>2014</v>
      </c>
      <c r="J157" s="2512" t="s">
        <v>2015</v>
      </c>
      <c r="K157" s="4048">
        <v>11</v>
      </c>
      <c r="L157" s="4049">
        <v>6</v>
      </c>
      <c r="M157" s="2823"/>
      <c r="N157" s="2867"/>
      <c r="O157" s="2670"/>
      <c r="P157" s="2896">
        <f>SUM(U157:U166)/Q144</f>
        <v>0.4576271186440678</v>
      </c>
      <c r="Q157" s="4097"/>
      <c r="R157" s="3020"/>
      <c r="S157" s="2440"/>
      <c r="T157" s="2118" t="s">
        <v>2059</v>
      </c>
      <c r="U157" s="2066">
        <v>6000000</v>
      </c>
      <c r="V157" s="2062">
        <v>0</v>
      </c>
      <c r="W157" s="2062">
        <v>0</v>
      </c>
      <c r="X157" s="2116" t="s">
        <v>1867</v>
      </c>
      <c r="Y157" s="2122" t="s">
        <v>1993</v>
      </c>
      <c r="Z157" s="2496"/>
      <c r="AA157" s="2496"/>
      <c r="AB157" s="2496"/>
      <c r="AC157" s="2496"/>
      <c r="AD157" s="2496"/>
      <c r="AE157" s="2496"/>
      <c r="AF157" s="2496"/>
      <c r="AG157" s="2496"/>
      <c r="AH157" s="2496"/>
      <c r="AI157" s="2496"/>
      <c r="AJ157" s="2496"/>
      <c r="AK157" s="2496"/>
      <c r="AL157" s="2496"/>
      <c r="AM157" s="2496"/>
      <c r="AN157" s="2496"/>
      <c r="AO157" s="2496"/>
      <c r="AP157" s="2496"/>
      <c r="AQ157" s="2496"/>
      <c r="AR157" s="2496"/>
      <c r="AS157" s="2496"/>
      <c r="AT157" s="2496"/>
      <c r="AU157" s="2496"/>
      <c r="AV157" s="2496"/>
      <c r="AW157" s="2496"/>
      <c r="AX157" s="2496"/>
      <c r="AY157" s="2496"/>
      <c r="AZ157" s="2496"/>
      <c r="BA157" s="2496"/>
      <c r="BB157" s="2496"/>
      <c r="BC157" s="2496"/>
      <c r="BD157" s="2496"/>
      <c r="BE157" s="2496"/>
      <c r="BF157" s="2496"/>
      <c r="BG157" s="2879"/>
      <c r="BH157" s="2879"/>
      <c r="BI157" s="4105"/>
      <c r="BJ157" s="3008"/>
      <c r="BK157" s="3008"/>
      <c r="BL157" s="2496"/>
      <c r="BM157" s="2496"/>
      <c r="BN157" s="2496"/>
      <c r="BO157" s="2496"/>
      <c r="BP157" s="3008"/>
    </row>
    <row r="158" spans="1:68" ht="81.75" customHeight="1" x14ac:dyDescent="0.2">
      <c r="A158" s="4026"/>
      <c r="B158" s="4026"/>
      <c r="C158" s="4026"/>
      <c r="D158" s="4114"/>
      <c r="E158" s="4114"/>
      <c r="F158" s="4114"/>
      <c r="G158" s="2341"/>
      <c r="H158" s="3670"/>
      <c r="I158" s="2453"/>
      <c r="J158" s="2512"/>
      <c r="K158" s="4048"/>
      <c r="L158" s="4049"/>
      <c r="M158" s="2823"/>
      <c r="N158" s="2867"/>
      <c r="O158" s="2670"/>
      <c r="P158" s="2896"/>
      <c r="Q158" s="4097"/>
      <c r="R158" s="3020"/>
      <c r="S158" s="2440"/>
      <c r="T158" s="1958" t="s">
        <v>2060</v>
      </c>
      <c r="U158" s="2066">
        <v>6000000</v>
      </c>
      <c r="V158" s="2062">
        <v>0</v>
      </c>
      <c r="W158" s="2062">
        <v>0</v>
      </c>
      <c r="X158" s="2116" t="s">
        <v>1867</v>
      </c>
      <c r="Y158" s="2122" t="s">
        <v>1993</v>
      </c>
      <c r="Z158" s="2496"/>
      <c r="AA158" s="2496"/>
      <c r="AB158" s="2496"/>
      <c r="AC158" s="2496"/>
      <c r="AD158" s="2496"/>
      <c r="AE158" s="2496"/>
      <c r="AF158" s="2496"/>
      <c r="AG158" s="2496"/>
      <c r="AH158" s="2496"/>
      <c r="AI158" s="2496"/>
      <c r="AJ158" s="2496"/>
      <c r="AK158" s="2496"/>
      <c r="AL158" s="2496"/>
      <c r="AM158" s="2496"/>
      <c r="AN158" s="2496"/>
      <c r="AO158" s="2496"/>
      <c r="AP158" s="2496"/>
      <c r="AQ158" s="2496"/>
      <c r="AR158" s="2496"/>
      <c r="AS158" s="2496"/>
      <c r="AT158" s="2496"/>
      <c r="AU158" s="2496"/>
      <c r="AV158" s="2496"/>
      <c r="AW158" s="2496"/>
      <c r="AX158" s="2496"/>
      <c r="AY158" s="2496"/>
      <c r="AZ158" s="2496"/>
      <c r="BA158" s="2496"/>
      <c r="BB158" s="2496"/>
      <c r="BC158" s="2496"/>
      <c r="BD158" s="2496"/>
      <c r="BE158" s="2496"/>
      <c r="BF158" s="2496"/>
      <c r="BG158" s="2879"/>
      <c r="BH158" s="2879"/>
      <c r="BI158" s="4105"/>
      <c r="BJ158" s="3008"/>
      <c r="BK158" s="3008"/>
      <c r="BL158" s="2496"/>
      <c r="BM158" s="2496"/>
      <c r="BN158" s="2496"/>
      <c r="BO158" s="2496"/>
      <c r="BP158" s="3008"/>
    </row>
    <row r="159" spans="1:68" ht="81.75" customHeight="1" x14ac:dyDescent="0.2">
      <c r="A159" s="4026"/>
      <c r="B159" s="4026"/>
      <c r="C159" s="4026"/>
      <c r="D159" s="4114"/>
      <c r="E159" s="4114"/>
      <c r="F159" s="4114"/>
      <c r="G159" s="2341"/>
      <c r="H159" s="3670"/>
      <c r="I159" s="2453"/>
      <c r="J159" s="2512"/>
      <c r="K159" s="4048"/>
      <c r="L159" s="4049"/>
      <c r="M159" s="2823"/>
      <c r="N159" s="2867"/>
      <c r="O159" s="2670"/>
      <c r="P159" s="2896"/>
      <c r="Q159" s="4097"/>
      <c r="R159" s="3020"/>
      <c r="S159" s="2440"/>
      <c r="T159" s="1958" t="s">
        <v>2061</v>
      </c>
      <c r="U159" s="2066">
        <v>6000000</v>
      </c>
      <c r="V159" s="2062">
        <v>0</v>
      </c>
      <c r="W159" s="2062">
        <v>0</v>
      </c>
      <c r="X159" s="2116" t="s">
        <v>1867</v>
      </c>
      <c r="Y159" s="2122" t="s">
        <v>1993</v>
      </c>
      <c r="Z159" s="2496"/>
      <c r="AA159" s="2496"/>
      <c r="AB159" s="2496"/>
      <c r="AC159" s="2496"/>
      <c r="AD159" s="2496"/>
      <c r="AE159" s="2496"/>
      <c r="AF159" s="2496"/>
      <c r="AG159" s="2496"/>
      <c r="AH159" s="2496"/>
      <c r="AI159" s="2496"/>
      <c r="AJ159" s="2496"/>
      <c r="AK159" s="2496"/>
      <c r="AL159" s="2496"/>
      <c r="AM159" s="2496"/>
      <c r="AN159" s="2496"/>
      <c r="AO159" s="2496"/>
      <c r="AP159" s="2496"/>
      <c r="AQ159" s="2496"/>
      <c r="AR159" s="2496"/>
      <c r="AS159" s="2496"/>
      <c r="AT159" s="2496"/>
      <c r="AU159" s="2496"/>
      <c r="AV159" s="2496"/>
      <c r="AW159" s="2496"/>
      <c r="AX159" s="2496"/>
      <c r="AY159" s="2496"/>
      <c r="AZ159" s="2496"/>
      <c r="BA159" s="2496"/>
      <c r="BB159" s="2496"/>
      <c r="BC159" s="2496"/>
      <c r="BD159" s="2496"/>
      <c r="BE159" s="2496"/>
      <c r="BF159" s="2496"/>
      <c r="BG159" s="2879"/>
      <c r="BH159" s="2879"/>
      <c r="BI159" s="4105"/>
      <c r="BJ159" s="3008"/>
      <c r="BK159" s="3008"/>
      <c r="BL159" s="2496"/>
      <c r="BM159" s="2496"/>
      <c r="BN159" s="2496"/>
      <c r="BO159" s="2496"/>
      <c r="BP159" s="3008"/>
    </row>
    <row r="160" spans="1:68" ht="81.75" customHeight="1" x14ac:dyDescent="0.2">
      <c r="A160" s="4026"/>
      <c r="B160" s="4026"/>
      <c r="C160" s="4026"/>
      <c r="D160" s="4114"/>
      <c r="E160" s="4114"/>
      <c r="F160" s="4114"/>
      <c r="G160" s="2341"/>
      <c r="H160" s="3670"/>
      <c r="I160" s="2453"/>
      <c r="J160" s="2512"/>
      <c r="K160" s="4048"/>
      <c r="L160" s="4049"/>
      <c r="M160" s="2823"/>
      <c r="N160" s="2867"/>
      <c r="O160" s="2670"/>
      <c r="P160" s="2896"/>
      <c r="Q160" s="4097"/>
      <c r="R160" s="3020"/>
      <c r="S160" s="2440"/>
      <c r="T160" s="1958" t="s">
        <v>2062</v>
      </c>
      <c r="U160" s="2066">
        <f>6000000-3000000</f>
        <v>3000000</v>
      </c>
      <c r="V160" s="2062">
        <v>0</v>
      </c>
      <c r="W160" s="2062">
        <v>0</v>
      </c>
      <c r="X160" s="2116" t="s">
        <v>1867</v>
      </c>
      <c r="Y160" s="2122" t="s">
        <v>1993</v>
      </c>
      <c r="Z160" s="2496"/>
      <c r="AA160" s="2496"/>
      <c r="AB160" s="2496"/>
      <c r="AC160" s="2496"/>
      <c r="AD160" s="2496"/>
      <c r="AE160" s="2496"/>
      <c r="AF160" s="2496"/>
      <c r="AG160" s="2496"/>
      <c r="AH160" s="2496"/>
      <c r="AI160" s="2496"/>
      <c r="AJ160" s="2496"/>
      <c r="AK160" s="2496"/>
      <c r="AL160" s="2496"/>
      <c r="AM160" s="2496"/>
      <c r="AN160" s="2496"/>
      <c r="AO160" s="2496"/>
      <c r="AP160" s="2496"/>
      <c r="AQ160" s="2496"/>
      <c r="AR160" s="2496"/>
      <c r="AS160" s="2496"/>
      <c r="AT160" s="2496"/>
      <c r="AU160" s="2496"/>
      <c r="AV160" s="2496"/>
      <c r="AW160" s="2496"/>
      <c r="AX160" s="2496"/>
      <c r="AY160" s="2496"/>
      <c r="AZ160" s="2496"/>
      <c r="BA160" s="2496"/>
      <c r="BB160" s="2496"/>
      <c r="BC160" s="2496"/>
      <c r="BD160" s="2496"/>
      <c r="BE160" s="2496"/>
      <c r="BF160" s="2496"/>
      <c r="BG160" s="2879"/>
      <c r="BH160" s="2879"/>
      <c r="BI160" s="4105"/>
      <c r="BJ160" s="3008"/>
      <c r="BK160" s="3008"/>
      <c r="BL160" s="2496"/>
      <c r="BM160" s="2496"/>
      <c r="BN160" s="2496"/>
      <c r="BO160" s="2496"/>
      <c r="BP160" s="3008"/>
    </row>
    <row r="161" spans="1:68" ht="81.75" customHeight="1" x14ac:dyDescent="0.2">
      <c r="A161" s="4026"/>
      <c r="B161" s="4026"/>
      <c r="C161" s="4026"/>
      <c r="D161" s="4114"/>
      <c r="E161" s="4114"/>
      <c r="F161" s="4114"/>
      <c r="G161" s="2341"/>
      <c r="H161" s="3670"/>
      <c r="I161" s="2453"/>
      <c r="J161" s="2512"/>
      <c r="K161" s="4048"/>
      <c r="L161" s="4049"/>
      <c r="M161" s="2823"/>
      <c r="N161" s="2867"/>
      <c r="O161" s="2670"/>
      <c r="P161" s="2896"/>
      <c r="Q161" s="4097"/>
      <c r="R161" s="3020"/>
      <c r="S161" s="2440"/>
      <c r="T161" s="1958" t="s">
        <v>2063</v>
      </c>
      <c r="U161" s="2066">
        <f>6000000-3000000</f>
        <v>3000000</v>
      </c>
      <c r="V161" s="2062">
        <v>0</v>
      </c>
      <c r="W161" s="2062">
        <v>0</v>
      </c>
      <c r="X161" s="2116" t="s">
        <v>1867</v>
      </c>
      <c r="Y161" s="2122" t="s">
        <v>1993</v>
      </c>
      <c r="Z161" s="2496"/>
      <c r="AA161" s="2496"/>
      <c r="AB161" s="2496"/>
      <c r="AC161" s="2496"/>
      <c r="AD161" s="2496"/>
      <c r="AE161" s="2496"/>
      <c r="AF161" s="2496"/>
      <c r="AG161" s="2496"/>
      <c r="AH161" s="2496"/>
      <c r="AI161" s="2496"/>
      <c r="AJ161" s="2496"/>
      <c r="AK161" s="2496"/>
      <c r="AL161" s="2496"/>
      <c r="AM161" s="2496"/>
      <c r="AN161" s="2496"/>
      <c r="AO161" s="2496"/>
      <c r="AP161" s="2496"/>
      <c r="AQ161" s="2496"/>
      <c r="AR161" s="2496"/>
      <c r="AS161" s="2496"/>
      <c r="AT161" s="2496"/>
      <c r="AU161" s="2496"/>
      <c r="AV161" s="2496"/>
      <c r="AW161" s="2496"/>
      <c r="AX161" s="2496"/>
      <c r="AY161" s="2496"/>
      <c r="AZ161" s="2496"/>
      <c r="BA161" s="2496"/>
      <c r="BB161" s="2496"/>
      <c r="BC161" s="2496"/>
      <c r="BD161" s="2496"/>
      <c r="BE161" s="2496"/>
      <c r="BF161" s="2496"/>
      <c r="BG161" s="2879"/>
      <c r="BH161" s="2879"/>
      <c r="BI161" s="4105"/>
      <c r="BJ161" s="3008"/>
      <c r="BK161" s="3008"/>
      <c r="BL161" s="2496"/>
      <c r="BM161" s="2496"/>
      <c r="BN161" s="2496"/>
      <c r="BO161" s="2496"/>
      <c r="BP161" s="3008"/>
    </row>
    <row r="162" spans="1:68" ht="81.75" customHeight="1" x14ac:dyDescent="0.2">
      <c r="A162" s="4026"/>
      <c r="B162" s="4026"/>
      <c r="C162" s="4026"/>
      <c r="D162" s="4114"/>
      <c r="E162" s="4114"/>
      <c r="F162" s="4114"/>
      <c r="G162" s="2341"/>
      <c r="H162" s="3670"/>
      <c r="I162" s="2453"/>
      <c r="J162" s="2512"/>
      <c r="K162" s="4048"/>
      <c r="L162" s="4049"/>
      <c r="M162" s="2823"/>
      <c r="N162" s="2867"/>
      <c r="O162" s="2670"/>
      <c r="P162" s="2896"/>
      <c r="Q162" s="4097"/>
      <c r="R162" s="3020"/>
      <c r="S162" s="2440"/>
      <c r="T162" s="1958" t="s">
        <v>2064</v>
      </c>
      <c r="U162" s="2066">
        <v>6000000</v>
      </c>
      <c r="V162" s="2062">
        <v>5266667</v>
      </c>
      <c r="W162" s="2062">
        <v>0</v>
      </c>
      <c r="X162" s="2116" t="s">
        <v>1867</v>
      </c>
      <c r="Y162" s="2122" t="s">
        <v>1993</v>
      </c>
      <c r="Z162" s="2496"/>
      <c r="AA162" s="2496"/>
      <c r="AB162" s="2496"/>
      <c r="AC162" s="2496"/>
      <c r="AD162" s="2496"/>
      <c r="AE162" s="2496"/>
      <c r="AF162" s="2496"/>
      <c r="AG162" s="2496"/>
      <c r="AH162" s="2496"/>
      <c r="AI162" s="2496"/>
      <c r="AJ162" s="2496"/>
      <c r="AK162" s="2496"/>
      <c r="AL162" s="2496"/>
      <c r="AM162" s="2496"/>
      <c r="AN162" s="2496"/>
      <c r="AO162" s="2496"/>
      <c r="AP162" s="2496"/>
      <c r="AQ162" s="2496"/>
      <c r="AR162" s="2496"/>
      <c r="AS162" s="2496"/>
      <c r="AT162" s="2496"/>
      <c r="AU162" s="2496"/>
      <c r="AV162" s="2496"/>
      <c r="AW162" s="2496"/>
      <c r="AX162" s="2496"/>
      <c r="AY162" s="2496"/>
      <c r="AZ162" s="2496"/>
      <c r="BA162" s="2496"/>
      <c r="BB162" s="2496"/>
      <c r="BC162" s="2496"/>
      <c r="BD162" s="2496"/>
      <c r="BE162" s="2496"/>
      <c r="BF162" s="2496"/>
      <c r="BG162" s="2879"/>
      <c r="BH162" s="2879"/>
      <c r="BI162" s="4105"/>
      <c r="BJ162" s="3008"/>
      <c r="BK162" s="3008"/>
      <c r="BL162" s="2496"/>
      <c r="BM162" s="2496"/>
      <c r="BN162" s="2496"/>
      <c r="BO162" s="2496"/>
      <c r="BP162" s="3008"/>
    </row>
    <row r="163" spans="1:68" ht="81.75" customHeight="1" x14ac:dyDescent="0.2">
      <c r="A163" s="4026"/>
      <c r="B163" s="4026"/>
      <c r="C163" s="4026"/>
      <c r="D163" s="4114"/>
      <c r="E163" s="4114"/>
      <c r="F163" s="4114"/>
      <c r="G163" s="2341"/>
      <c r="H163" s="3670"/>
      <c r="I163" s="2453"/>
      <c r="J163" s="2512"/>
      <c r="K163" s="4048"/>
      <c r="L163" s="4049"/>
      <c r="M163" s="2823"/>
      <c r="N163" s="2867"/>
      <c r="O163" s="2670"/>
      <c r="P163" s="2896"/>
      <c r="Q163" s="4097"/>
      <c r="R163" s="3020"/>
      <c r="S163" s="2440"/>
      <c r="T163" s="1958" t="s">
        <v>2065</v>
      </c>
      <c r="U163" s="2066">
        <v>6000000</v>
      </c>
      <c r="V163" s="2062">
        <v>5000000</v>
      </c>
      <c r="W163" s="2062">
        <v>0</v>
      </c>
      <c r="X163" s="2116" t="s">
        <v>1867</v>
      </c>
      <c r="Y163" s="2122" t="s">
        <v>1993</v>
      </c>
      <c r="Z163" s="2496"/>
      <c r="AA163" s="2496"/>
      <c r="AB163" s="2496"/>
      <c r="AC163" s="2496"/>
      <c r="AD163" s="2496"/>
      <c r="AE163" s="2496"/>
      <c r="AF163" s="2496"/>
      <c r="AG163" s="2496"/>
      <c r="AH163" s="2496"/>
      <c r="AI163" s="2496"/>
      <c r="AJ163" s="2496"/>
      <c r="AK163" s="2496"/>
      <c r="AL163" s="2496"/>
      <c r="AM163" s="2496"/>
      <c r="AN163" s="2496"/>
      <c r="AO163" s="2496"/>
      <c r="AP163" s="2496"/>
      <c r="AQ163" s="2496"/>
      <c r="AR163" s="2496"/>
      <c r="AS163" s="2496"/>
      <c r="AT163" s="2496"/>
      <c r="AU163" s="2496"/>
      <c r="AV163" s="2496"/>
      <c r="AW163" s="2496"/>
      <c r="AX163" s="2496"/>
      <c r="AY163" s="2496"/>
      <c r="AZ163" s="2496"/>
      <c r="BA163" s="2496"/>
      <c r="BB163" s="2496"/>
      <c r="BC163" s="2496"/>
      <c r="BD163" s="2496"/>
      <c r="BE163" s="2496"/>
      <c r="BF163" s="2496"/>
      <c r="BG163" s="2879"/>
      <c r="BH163" s="2879"/>
      <c r="BI163" s="4105"/>
      <c r="BJ163" s="3008"/>
      <c r="BK163" s="3008"/>
      <c r="BL163" s="2496"/>
      <c r="BM163" s="2496"/>
      <c r="BN163" s="2496"/>
      <c r="BO163" s="2496"/>
      <c r="BP163" s="3008"/>
    </row>
    <row r="164" spans="1:68" ht="81.75" customHeight="1" x14ac:dyDescent="0.2">
      <c r="A164" s="4026"/>
      <c r="B164" s="4026"/>
      <c r="C164" s="4026"/>
      <c r="D164" s="4114"/>
      <c r="E164" s="4114"/>
      <c r="F164" s="4114"/>
      <c r="G164" s="2341"/>
      <c r="H164" s="3670"/>
      <c r="I164" s="2453"/>
      <c r="J164" s="2512"/>
      <c r="K164" s="4048"/>
      <c r="L164" s="4049"/>
      <c r="M164" s="2823"/>
      <c r="N164" s="2867"/>
      <c r="O164" s="2670"/>
      <c r="P164" s="2896"/>
      <c r="Q164" s="4097"/>
      <c r="R164" s="3020"/>
      <c r="S164" s="2440"/>
      <c r="T164" s="1958" t="s">
        <v>2066</v>
      </c>
      <c r="U164" s="2066">
        <v>6000000</v>
      </c>
      <c r="V164" s="2062">
        <v>6000000</v>
      </c>
      <c r="W164" s="2062">
        <v>0</v>
      </c>
      <c r="X164" s="2116" t="s">
        <v>1867</v>
      </c>
      <c r="Y164" s="2122" t="s">
        <v>1993</v>
      </c>
      <c r="Z164" s="2496"/>
      <c r="AA164" s="2496"/>
      <c r="AB164" s="2496"/>
      <c r="AC164" s="2496"/>
      <c r="AD164" s="2496"/>
      <c r="AE164" s="2496"/>
      <c r="AF164" s="2496"/>
      <c r="AG164" s="2496"/>
      <c r="AH164" s="2496"/>
      <c r="AI164" s="2496"/>
      <c r="AJ164" s="2496"/>
      <c r="AK164" s="2496"/>
      <c r="AL164" s="2496"/>
      <c r="AM164" s="2496"/>
      <c r="AN164" s="2496"/>
      <c r="AO164" s="2496"/>
      <c r="AP164" s="2496"/>
      <c r="AQ164" s="2496"/>
      <c r="AR164" s="2496"/>
      <c r="AS164" s="2496"/>
      <c r="AT164" s="2496"/>
      <c r="AU164" s="2496"/>
      <c r="AV164" s="2496"/>
      <c r="AW164" s="2496"/>
      <c r="AX164" s="2496"/>
      <c r="AY164" s="2496"/>
      <c r="AZ164" s="2496"/>
      <c r="BA164" s="2496"/>
      <c r="BB164" s="2496"/>
      <c r="BC164" s="2496"/>
      <c r="BD164" s="2496"/>
      <c r="BE164" s="2496"/>
      <c r="BF164" s="2496"/>
      <c r="BG164" s="2879"/>
      <c r="BH164" s="2879"/>
      <c r="BI164" s="4105"/>
      <c r="BJ164" s="3008"/>
      <c r="BK164" s="3008"/>
      <c r="BL164" s="2496"/>
      <c r="BM164" s="2496"/>
      <c r="BN164" s="2496"/>
      <c r="BO164" s="2496"/>
      <c r="BP164" s="3008"/>
    </row>
    <row r="165" spans="1:68" ht="81.75" customHeight="1" x14ac:dyDescent="0.2">
      <c r="A165" s="4026"/>
      <c r="B165" s="4026"/>
      <c r="C165" s="4026"/>
      <c r="D165" s="4114"/>
      <c r="E165" s="4114"/>
      <c r="F165" s="4114"/>
      <c r="G165" s="2341"/>
      <c r="H165" s="3670"/>
      <c r="I165" s="2453"/>
      <c r="J165" s="2512"/>
      <c r="K165" s="4048"/>
      <c r="L165" s="4049"/>
      <c r="M165" s="2823"/>
      <c r="N165" s="2867"/>
      <c r="O165" s="2670"/>
      <c r="P165" s="2896"/>
      <c r="Q165" s="4097"/>
      <c r="R165" s="3020"/>
      <c r="S165" s="2440"/>
      <c r="T165" s="1958" t="s">
        <v>2067</v>
      </c>
      <c r="U165" s="2066">
        <v>6000000</v>
      </c>
      <c r="V165" s="2062">
        <v>3600000</v>
      </c>
      <c r="W165" s="2062">
        <v>0</v>
      </c>
      <c r="X165" s="2116" t="s">
        <v>1867</v>
      </c>
      <c r="Y165" s="2122" t="s">
        <v>1993</v>
      </c>
      <c r="Z165" s="2496"/>
      <c r="AA165" s="2496"/>
      <c r="AB165" s="2496"/>
      <c r="AC165" s="2496"/>
      <c r="AD165" s="2496"/>
      <c r="AE165" s="2496"/>
      <c r="AF165" s="2496"/>
      <c r="AG165" s="2496"/>
      <c r="AH165" s="2496"/>
      <c r="AI165" s="2496"/>
      <c r="AJ165" s="2496"/>
      <c r="AK165" s="2496"/>
      <c r="AL165" s="2496"/>
      <c r="AM165" s="2496"/>
      <c r="AN165" s="2496"/>
      <c r="AO165" s="2496"/>
      <c r="AP165" s="2496"/>
      <c r="AQ165" s="2496"/>
      <c r="AR165" s="2496"/>
      <c r="AS165" s="2496"/>
      <c r="AT165" s="2496"/>
      <c r="AU165" s="2496"/>
      <c r="AV165" s="2496"/>
      <c r="AW165" s="2496"/>
      <c r="AX165" s="2496"/>
      <c r="AY165" s="2496"/>
      <c r="AZ165" s="2496"/>
      <c r="BA165" s="2496"/>
      <c r="BB165" s="2496"/>
      <c r="BC165" s="2496"/>
      <c r="BD165" s="2496"/>
      <c r="BE165" s="2496"/>
      <c r="BF165" s="2496"/>
      <c r="BG165" s="2879"/>
      <c r="BH165" s="2879"/>
      <c r="BI165" s="4105"/>
      <c r="BJ165" s="3008"/>
      <c r="BK165" s="3008"/>
      <c r="BL165" s="2496"/>
      <c r="BM165" s="2496"/>
      <c r="BN165" s="2496"/>
      <c r="BO165" s="2496"/>
      <c r="BP165" s="3008"/>
    </row>
    <row r="166" spans="1:68" ht="81.75" customHeight="1" x14ac:dyDescent="0.2">
      <c r="A166" s="4026"/>
      <c r="B166" s="4026"/>
      <c r="C166" s="4026"/>
      <c r="D166" s="4114"/>
      <c r="E166" s="4114"/>
      <c r="F166" s="4114"/>
      <c r="G166" s="2341"/>
      <c r="H166" s="3670"/>
      <c r="I166" s="3149"/>
      <c r="J166" s="2512"/>
      <c r="K166" s="4048"/>
      <c r="L166" s="4049"/>
      <c r="M166" s="2823"/>
      <c r="N166" s="2868"/>
      <c r="O166" s="2670"/>
      <c r="P166" s="2896"/>
      <c r="Q166" s="4122"/>
      <c r="R166" s="3020"/>
      <c r="S166" s="2440"/>
      <c r="T166" s="1958" t="s">
        <v>2068</v>
      </c>
      <c r="U166" s="2066">
        <v>6000000</v>
      </c>
      <c r="V166" s="2062">
        <v>0</v>
      </c>
      <c r="W166" s="2062">
        <v>0</v>
      </c>
      <c r="X166" s="2116" t="s">
        <v>1867</v>
      </c>
      <c r="Y166" s="2122" t="s">
        <v>1993</v>
      </c>
      <c r="Z166" s="2497"/>
      <c r="AA166" s="2497"/>
      <c r="AB166" s="2497"/>
      <c r="AC166" s="2497"/>
      <c r="AD166" s="2497"/>
      <c r="AE166" s="2497"/>
      <c r="AF166" s="2497"/>
      <c r="AG166" s="2497"/>
      <c r="AH166" s="2497"/>
      <c r="AI166" s="2497"/>
      <c r="AJ166" s="2497"/>
      <c r="AK166" s="2497"/>
      <c r="AL166" s="2497"/>
      <c r="AM166" s="2497"/>
      <c r="AN166" s="2497"/>
      <c r="AO166" s="2497"/>
      <c r="AP166" s="2497"/>
      <c r="AQ166" s="2497"/>
      <c r="AR166" s="2497"/>
      <c r="AS166" s="2497"/>
      <c r="AT166" s="2497"/>
      <c r="AU166" s="2497"/>
      <c r="AV166" s="2497"/>
      <c r="AW166" s="2497"/>
      <c r="AX166" s="2497"/>
      <c r="AY166" s="2497"/>
      <c r="AZ166" s="2497"/>
      <c r="BA166" s="2497"/>
      <c r="BB166" s="2497"/>
      <c r="BC166" s="2497"/>
      <c r="BD166" s="2497"/>
      <c r="BE166" s="2497"/>
      <c r="BF166" s="2497"/>
      <c r="BG166" s="2880"/>
      <c r="BH166" s="2880"/>
      <c r="BI166" s="4106"/>
      <c r="BJ166" s="3009"/>
      <c r="BK166" s="3009"/>
      <c r="BL166" s="2497"/>
      <c r="BM166" s="2497"/>
      <c r="BN166" s="2497"/>
      <c r="BO166" s="2497"/>
      <c r="BP166" s="3009"/>
    </row>
    <row r="167" spans="1:68" ht="63" customHeight="1" x14ac:dyDescent="0.2">
      <c r="A167" s="4026"/>
      <c r="B167" s="4026"/>
      <c r="C167" s="4026"/>
      <c r="D167" s="4114"/>
      <c r="E167" s="4114"/>
      <c r="F167" s="4114"/>
      <c r="G167" s="4135">
        <v>1905020</v>
      </c>
      <c r="H167" s="4136">
        <v>12.5</v>
      </c>
      <c r="I167" s="2453" t="s">
        <v>2069</v>
      </c>
      <c r="J167" s="3252" t="s">
        <v>2070</v>
      </c>
      <c r="K167" s="4048">
        <v>12</v>
      </c>
      <c r="L167" s="4049">
        <v>7</v>
      </c>
      <c r="M167" s="4066" t="s">
        <v>2071</v>
      </c>
      <c r="N167" s="2605" t="s">
        <v>2072</v>
      </c>
      <c r="O167" s="2413" t="s">
        <v>2073</v>
      </c>
      <c r="P167" s="4134">
        <f>SUM(U167:U170)/Q167</f>
        <v>0.26938775510204083</v>
      </c>
      <c r="Q167" s="4097">
        <f>SUM(U167:U182)</f>
        <v>122500000</v>
      </c>
      <c r="R167" s="2413" t="s">
        <v>2074</v>
      </c>
      <c r="S167" s="2416" t="s">
        <v>2075</v>
      </c>
      <c r="T167" s="2123" t="s">
        <v>2076</v>
      </c>
      <c r="U167" s="2074">
        <v>10000000</v>
      </c>
      <c r="V167" s="2062">
        <v>10000000</v>
      </c>
      <c r="W167" s="2062">
        <v>1500000</v>
      </c>
      <c r="X167" s="2116" t="s">
        <v>1867</v>
      </c>
      <c r="Y167" s="2067" t="s">
        <v>1993</v>
      </c>
      <c r="Z167" s="2495">
        <v>283947</v>
      </c>
      <c r="AA167" s="2495">
        <f>Z167*0.83</f>
        <v>235676.00999999998</v>
      </c>
      <c r="AB167" s="2495">
        <v>294321</v>
      </c>
      <c r="AC167" s="2495">
        <f>AB167*0.83</f>
        <v>244286.43</v>
      </c>
      <c r="AD167" s="2495">
        <v>135754</v>
      </c>
      <c r="AE167" s="2495">
        <f>AD167*0.83</f>
        <v>112675.81999999999</v>
      </c>
      <c r="AF167" s="2495">
        <v>44640</v>
      </c>
      <c r="AG167" s="2495">
        <f>AF167*0.83</f>
        <v>37051.199999999997</v>
      </c>
      <c r="AH167" s="2495">
        <v>308178</v>
      </c>
      <c r="AI167" s="2495">
        <f>AH167*0.83</f>
        <v>255787.74</v>
      </c>
      <c r="AJ167" s="2495">
        <v>89696</v>
      </c>
      <c r="AK167" s="2495">
        <f>AJ167*0.83</f>
        <v>74447.679999999993</v>
      </c>
      <c r="AL167" s="2495">
        <v>2145</v>
      </c>
      <c r="AM167" s="2495">
        <f>AL167*0.83</f>
        <v>1780.35</v>
      </c>
      <c r="AN167" s="2495">
        <v>12718</v>
      </c>
      <c r="AO167" s="2495">
        <f>AN167*0.83</f>
        <v>10555.939999999999</v>
      </c>
      <c r="AP167" s="2495">
        <v>26</v>
      </c>
      <c r="AQ167" s="2495">
        <f>AP167*0.83</f>
        <v>21.58</v>
      </c>
      <c r="AR167" s="2495">
        <v>37</v>
      </c>
      <c r="AS167" s="2495">
        <f>AR167*0.83</f>
        <v>30.709999999999997</v>
      </c>
      <c r="AT167" s="2495">
        <v>0</v>
      </c>
      <c r="AU167" s="2495">
        <f>AT167*0.83</f>
        <v>0</v>
      </c>
      <c r="AV167" s="2495">
        <v>0</v>
      </c>
      <c r="AW167" s="2495">
        <f>AV167*0.83</f>
        <v>0</v>
      </c>
      <c r="AX167" s="2495">
        <v>88560</v>
      </c>
      <c r="AY167" s="2495">
        <f>AX167*0.83</f>
        <v>73504.800000000003</v>
      </c>
      <c r="AZ167" s="2495">
        <v>24486</v>
      </c>
      <c r="BA167" s="2495">
        <f>AZ167*0.83</f>
        <v>20323.379999999997</v>
      </c>
      <c r="BB167" s="2495">
        <v>0</v>
      </c>
      <c r="BC167" s="2495">
        <f>BB167*0.83</f>
        <v>0</v>
      </c>
      <c r="BD167" s="2495">
        <v>578268</v>
      </c>
      <c r="BE167" s="2495">
        <f>BD167*0.83</f>
        <v>479962.44</v>
      </c>
      <c r="BF167" s="2495">
        <v>11</v>
      </c>
      <c r="BG167" s="4099">
        <f>SUM(V167:V182)</f>
        <v>101973334</v>
      </c>
      <c r="BH167" s="4099">
        <f>SUM(W167:W182)</f>
        <v>26840000</v>
      </c>
      <c r="BI167" s="4104">
        <f>SUM(BG167/Q167)</f>
        <v>0.83243537959183678</v>
      </c>
      <c r="BJ167" s="3007" t="s">
        <v>1809</v>
      </c>
      <c r="BK167" s="3007" t="s">
        <v>1810</v>
      </c>
      <c r="BL167" s="3737">
        <v>43832</v>
      </c>
      <c r="BM167" s="3737">
        <v>43832</v>
      </c>
      <c r="BN167" s="3737">
        <v>44196</v>
      </c>
      <c r="BO167" s="3737">
        <v>44196</v>
      </c>
      <c r="BP167" s="3007" t="s">
        <v>1811</v>
      </c>
    </row>
    <row r="168" spans="1:68" ht="63" customHeight="1" x14ac:dyDescent="0.2">
      <c r="A168" s="4026"/>
      <c r="B168" s="4026"/>
      <c r="C168" s="4026"/>
      <c r="D168" s="4114"/>
      <c r="E168" s="4114"/>
      <c r="F168" s="4114"/>
      <c r="G168" s="3011"/>
      <c r="H168" s="4137"/>
      <c r="I168" s="2453"/>
      <c r="J168" s="2670"/>
      <c r="K168" s="4048"/>
      <c r="L168" s="4049"/>
      <c r="M168" s="4066"/>
      <c r="N168" s="2605"/>
      <c r="O168" s="2413"/>
      <c r="P168" s="4130"/>
      <c r="Q168" s="4097"/>
      <c r="R168" s="2413"/>
      <c r="S168" s="2416"/>
      <c r="T168" s="2123" t="s">
        <v>2077</v>
      </c>
      <c r="U168" s="2074">
        <v>3000000</v>
      </c>
      <c r="V168" s="2062">
        <v>0</v>
      </c>
      <c r="W168" s="2062">
        <v>0</v>
      </c>
      <c r="X168" s="2116" t="s">
        <v>1867</v>
      </c>
      <c r="Y168" s="2067" t="s">
        <v>1993</v>
      </c>
      <c r="Z168" s="2496"/>
      <c r="AA168" s="2496"/>
      <c r="AB168" s="2496"/>
      <c r="AC168" s="2496"/>
      <c r="AD168" s="2496"/>
      <c r="AE168" s="2496"/>
      <c r="AF168" s="2496"/>
      <c r="AG168" s="2496"/>
      <c r="AH168" s="2496"/>
      <c r="AI168" s="2496"/>
      <c r="AJ168" s="2496"/>
      <c r="AK168" s="2496"/>
      <c r="AL168" s="2496"/>
      <c r="AM168" s="2496"/>
      <c r="AN168" s="2496"/>
      <c r="AO168" s="2496"/>
      <c r="AP168" s="2496"/>
      <c r="AQ168" s="2496"/>
      <c r="AR168" s="2496"/>
      <c r="AS168" s="2496"/>
      <c r="AT168" s="2496"/>
      <c r="AU168" s="2496"/>
      <c r="AV168" s="2496"/>
      <c r="AW168" s="2496"/>
      <c r="AX168" s="2496"/>
      <c r="AY168" s="2496"/>
      <c r="AZ168" s="2496"/>
      <c r="BA168" s="2496"/>
      <c r="BB168" s="2496"/>
      <c r="BC168" s="2496"/>
      <c r="BD168" s="2496"/>
      <c r="BE168" s="2496"/>
      <c r="BF168" s="2496"/>
      <c r="BG168" s="2879"/>
      <c r="BH168" s="2879"/>
      <c r="BI168" s="4105"/>
      <c r="BJ168" s="3008"/>
      <c r="BK168" s="3008"/>
      <c r="BL168" s="2496"/>
      <c r="BM168" s="2496"/>
      <c r="BN168" s="2496"/>
      <c r="BO168" s="2496"/>
      <c r="BP168" s="3008"/>
    </row>
    <row r="169" spans="1:68" ht="63" customHeight="1" x14ac:dyDescent="0.2">
      <c r="A169" s="4026"/>
      <c r="B169" s="4026"/>
      <c r="C169" s="4026"/>
      <c r="D169" s="4114"/>
      <c r="E169" s="4114"/>
      <c r="F169" s="4114"/>
      <c r="G169" s="3011"/>
      <c r="H169" s="4137"/>
      <c r="I169" s="2453"/>
      <c r="J169" s="2670"/>
      <c r="K169" s="4048"/>
      <c r="L169" s="4049"/>
      <c r="M169" s="4066"/>
      <c r="N169" s="2605"/>
      <c r="O169" s="2413"/>
      <c r="P169" s="4130"/>
      <c r="Q169" s="4097"/>
      <c r="R169" s="2413"/>
      <c r="S169" s="2416"/>
      <c r="T169" s="2123" t="s">
        <v>2078</v>
      </c>
      <c r="U169" s="2074">
        <v>10000000</v>
      </c>
      <c r="V169" s="2062">
        <v>10000000</v>
      </c>
      <c r="W169" s="2062">
        <v>1500000</v>
      </c>
      <c r="X169" s="2116" t="s">
        <v>1867</v>
      </c>
      <c r="Y169" s="2067" t="s">
        <v>1993</v>
      </c>
      <c r="Z169" s="2496"/>
      <c r="AA169" s="2496"/>
      <c r="AB169" s="2496"/>
      <c r="AC169" s="2496"/>
      <c r="AD169" s="2496"/>
      <c r="AE169" s="2496"/>
      <c r="AF169" s="2496"/>
      <c r="AG169" s="2496"/>
      <c r="AH169" s="2496"/>
      <c r="AI169" s="2496"/>
      <c r="AJ169" s="2496"/>
      <c r="AK169" s="2496"/>
      <c r="AL169" s="2496"/>
      <c r="AM169" s="2496"/>
      <c r="AN169" s="2496"/>
      <c r="AO169" s="2496"/>
      <c r="AP169" s="2496"/>
      <c r="AQ169" s="2496"/>
      <c r="AR169" s="2496"/>
      <c r="AS169" s="2496"/>
      <c r="AT169" s="2496"/>
      <c r="AU169" s="2496"/>
      <c r="AV169" s="2496"/>
      <c r="AW169" s="2496"/>
      <c r="AX169" s="2496"/>
      <c r="AY169" s="2496"/>
      <c r="AZ169" s="2496"/>
      <c r="BA169" s="2496"/>
      <c r="BB169" s="2496"/>
      <c r="BC169" s="2496"/>
      <c r="BD169" s="2496"/>
      <c r="BE169" s="2496"/>
      <c r="BF169" s="2496"/>
      <c r="BG169" s="2879"/>
      <c r="BH169" s="2879"/>
      <c r="BI169" s="4105"/>
      <c r="BJ169" s="3008"/>
      <c r="BK169" s="3008"/>
      <c r="BL169" s="2496"/>
      <c r="BM169" s="2496"/>
      <c r="BN169" s="2496"/>
      <c r="BO169" s="2496"/>
      <c r="BP169" s="3008"/>
    </row>
    <row r="170" spans="1:68" ht="63" customHeight="1" x14ac:dyDescent="0.2">
      <c r="A170" s="4026"/>
      <c r="B170" s="4026"/>
      <c r="C170" s="4026"/>
      <c r="D170" s="4114"/>
      <c r="E170" s="4114"/>
      <c r="F170" s="4114"/>
      <c r="G170" s="3012"/>
      <c r="H170" s="4138"/>
      <c r="I170" s="2453"/>
      <c r="J170" s="2671"/>
      <c r="K170" s="4048"/>
      <c r="L170" s="4049"/>
      <c r="M170" s="4066"/>
      <c r="N170" s="2605"/>
      <c r="O170" s="2413"/>
      <c r="P170" s="4110"/>
      <c r="Q170" s="4097"/>
      <c r="R170" s="2413"/>
      <c r="S170" s="2416"/>
      <c r="T170" s="2123" t="s">
        <v>2079</v>
      </c>
      <c r="U170" s="2074">
        <v>10000000</v>
      </c>
      <c r="V170" s="2062">
        <v>4666667</v>
      </c>
      <c r="W170" s="2062">
        <v>600000</v>
      </c>
      <c r="X170" s="2116" t="s">
        <v>1867</v>
      </c>
      <c r="Y170" s="2067" t="s">
        <v>1993</v>
      </c>
      <c r="Z170" s="2496"/>
      <c r="AA170" s="2496"/>
      <c r="AB170" s="2496"/>
      <c r="AC170" s="2496"/>
      <c r="AD170" s="2496"/>
      <c r="AE170" s="2496"/>
      <c r="AF170" s="2496"/>
      <c r="AG170" s="2496"/>
      <c r="AH170" s="2496"/>
      <c r="AI170" s="2496"/>
      <c r="AJ170" s="2496"/>
      <c r="AK170" s="2496"/>
      <c r="AL170" s="2496"/>
      <c r="AM170" s="2496"/>
      <c r="AN170" s="2496"/>
      <c r="AO170" s="2496"/>
      <c r="AP170" s="2496"/>
      <c r="AQ170" s="2496"/>
      <c r="AR170" s="2496"/>
      <c r="AS170" s="2496"/>
      <c r="AT170" s="2496"/>
      <c r="AU170" s="2496"/>
      <c r="AV170" s="2496"/>
      <c r="AW170" s="2496"/>
      <c r="AX170" s="2496"/>
      <c r="AY170" s="2496"/>
      <c r="AZ170" s="2496"/>
      <c r="BA170" s="2496"/>
      <c r="BB170" s="2496"/>
      <c r="BC170" s="2496"/>
      <c r="BD170" s="2496"/>
      <c r="BE170" s="2496"/>
      <c r="BF170" s="2496"/>
      <c r="BG170" s="2879"/>
      <c r="BH170" s="2879"/>
      <c r="BI170" s="4105"/>
      <c r="BJ170" s="3008"/>
      <c r="BK170" s="3008"/>
      <c r="BL170" s="2496"/>
      <c r="BM170" s="2496"/>
      <c r="BN170" s="2496"/>
      <c r="BO170" s="2496"/>
      <c r="BP170" s="3008"/>
    </row>
    <row r="171" spans="1:68" ht="70.5" customHeight="1" x14ac:dyDescent="0.2">
      <c r="A171" s="4026"/>
      <c r="B171" s="4026"/>
      <c r="C171" s="4026"/>
      <c r="D171" s="4114"/>
      <c r="E171" s="4114"/>
      <c r="F171" s="4114"/>
      <c r="G171" s="3010">
        <v>1905022</v>
      </c>
      <c r="H171" s="4027">
        <v>12.7</v>
      </c>
      <c r="I171" s="2884" t="s">
        <v>2080</v>
      </c>
      <c r="J171" s="2929" t="s">
        <v>1413</v>
      </c>
      <c r="K171" s="4048">
        <v>12</v>
      </c>
      <c r="L171" s="4049">
        <v>11</v>
      </c>
      <c r="M171" s="4066"/>
      <c r="N171" s="2605"/>
      <c r="O171" s="2413"/>
      <c r="P171" s="4109">
        <f>SUM(U171:U175)/Q167</f>
        <v>0.42857142857142855</v>
      </c>
      <c r="Q171" s="2867"/>
      <c r="R171" s="2413"/>
      <c r="S171" s="2416"/>
      <c r="T171" s="2123" t="s">
        <v>2081</v>
      </c>
      <c r="U171" s="2074">
        <v>12000000</v>
      </c>
      <c r="V171" s="2062">
        <v>11500000</v>
      </c>
      <c r="W171" s="2062">
        <v>8880000</v>
      </c>
      <c r="X171" s="2116" t="s">
        <v>1867</v>
      </c>
      <c r="Y171" s="2067" t="s">
        <v>1993</v>
      </c>
      <c r="Z171" s="2496"/>
      <c r="AA171" s="2496"/>
      <c r="AB171" s="2496"/>
      <c r="AC171" s="2496"/>
      <c r="AD171" s="2496"/>
      <c r="AE171" s="2496"/>
      <c r="AF171" s="2496"/>
      <c r="AG171" s="2496"/>
      <c r="AH171" s="2496"/>
      <c r="AI171" s="2496"/>
      <c r="AJ171" s="2496"/>
      <c r="AK171" s="2496"/>
      <c r="AL171" s="2496"/>
      <c r="AM171" s="2496"/>
      <c r="AN171" s="2496"/>
      <c r="AO171" s="2496"/>
      <c r="AP171" s="2496"/>
      <c r="AQ171" s="2496"/>
      <c r="AR171" s="2496"/>
      <c r="AS171" s="2496"/>
      <c r="AT171" s="2496"/>
      <c r="AU171" s="2496"/>
      <c r="AV171" s="2496"/>
      <c r="AW171" s="2496"/>
      <c r="AX171" s="2496"/>
      <c r="AY171" s="2496"/>
      <c r="AZ171" s="2496"/>
      <c r="BA171" s="2496"/>
      <c r="BB171" s="2496"/>
      <c r="BC171" s="2496"/>
      <c r="BD171" s="2496"/>
      <c r="BE171" s="2496"/>
      <c r="BF171" s="2496"/>
      <c r="BG171" s="2879"/>
      <c r="BH171" s="2879"/>
      <c r="BI171" s="4105"/>
      <c r="BJ171" s="3008"/>
      <c r="BK171" s="3008"/>
      <c r="BL171" s="2496"/>
      <c r="BM171" s="2496"/>
      <c r="BN171" s="2496"/>
      <c r="BO171" s="2496"/>
      <c r="BP171" s="3008"/>
    </row>
    <row r="172" spans="1:68" ht="70.5" customHeight="1" x14ac:dyDescent="0.2">
      <c r="A172" s="4026"/>
      <c r="B172" s="4026"/>
      <c r="C172" s="4026"/>
      <c r="D172" s="4114"/>
      <c r="E172" s="4114"/>
      <c r="F172" s="4114"/>
      <c r="G172" s="3011"/>
      <c r="H172" s="4028"/>
      <c r="I172" s="2884"/>
      <c r="J172" s="2993"/>
      <c r="K172" s="4048"/>
      <c r="L172" s="4049"/>
      <c r="M172" s="4066"/>
      <c r="N172" s="2605"/>
      <c r="O172" s="2413"/>
      <c r="P172" s="4130"/>
      <c r="Q172" s="2867"/>
      <c r="R172" s="2413"/>
      <c r="S172" s="2416"/>
      <c r="T172" s="2123" t="s">
        <v>2082</v>
      </c>
      <c r="U172" s="2074">
        <v>12000000</v>
      </c>
      <c r="V172" s="2062">
        <v>10040001</v>
      </c>
      <c r="W172" s="2062">
        <v>1666667</v>
      </c>
      <c r="X172" s="2116" t="s">
        <v>1867</v>
      </c>
      <c r="Y172" s="2067" t="s">
        <v>1993</v>
      </c>
      <c r="Z172" s="2496"/>
      <c r="AA172" s="2496"/>
      <c r="AB172" s="2496"/>
      <c r="AC172" s="2496"/>
      <c r="AD172" s="2496"/>
      <c r="AE172" s="2496"/>
      <c r="AF172" s="2496"/>
      <c r="AG172" s="2496"/>
      <c r="AH172" s="2496"/>
      <c r="AI172" s="2496"/>
      <c r="AJ172" s="2496"/>
      <c r="AK172" s="2496"/>
      <c r="AL172" s="2496"/>
      <c r="AM172" s="2496"/>
      <c r="AN172" s="2496"/>
      <c r="AO172" s="2496"/>
      <c r="AP172" s="2496"/>
      <c r="AQ172" s="2496"/>
      <c r="AR172" s="2496"/>
      <c r="AS172" s="2496"/>
      <c r="AT172" s="2496"/>
      <c r="AU172" s="2496"/>
      <c r="AV172" s="2496"/>
      <c r="AW172" s="2496"/>
      <c r="AX172" s="2496"/>
      <c r="AY172" s="2496"/>
      <c r="AZ172" s="2496"/>
      <c r="BA172" s="2496"/>
      <c r="BB172" s="2496"/>
      <c r="BC172" s="2496"/>
      <c r="BD172" s="2496"/>
      <c r="BE172" s="2496"/>
      <c r="BF172" s="2496"/>
      <c r="BG172" s="2879"/>
      <c r="BH172" s="2879"/>
      <c r="BI172" s="4105"/>
      <c r="BJ172" s="3008"/>
      <c r="BK172" s="3008"/>
      <c r="BL172" s="2496"/>
      <c r="BM172" s="2496"/>
      <c r="BN172" s="2496"/>
      <c r="BO172" s="2496"/>
      <c r="BP172" s="3008"/>
    </row>
    <row r="173" spans="1:68" ht="70.5" customHeight="1" x14ac:dyDescent="0.2">
      <c r="A173" s="4026"/>
      <c r="B173" s="4026"/>
      <c r="C173" s="4026"/>
      <c r="D173" s="4114"/>
      <c r="E173" s="4114"/>
      <c r="F173" s="4114"/>
      <c r="G173" s="3011"/>
      <c r="H173" s="4028"/>
      <c r="I173" s="2884"/>
      <c r="J173" s="2993"/>
      <c r="K173" s="4048"/>
      <c r="L173" s="4049"/>
      <c r="M173" s="4066"/>
      <c r="N173" s="2605"/>
      <c r="O173" s="2413"/>
      <c r="P173" s="4130"/>
      <c r="Q173" s="2867"/>
      <c r="R173" s="2413"/>
      <c r="S173" s="2416"/>
      <c r="T173" s="2123" t="s">
        <v>2083</v>
      </c>
      <c r="U173" s="2074">
        <v>12000000</v>
      </c>
      <c r="V173" s="2062">
        <v>11500000</v>
      </c>
      <c r="W173" s="2062">
        <v>2426667</v>
      </c>
      <c r="X173" s="2116" t="s">
        <v>1867</v>
      </c>
      <c r="Y173" s="2067" t="s">
        <v>1993</v>
      </c>
      <c r="Z173" s="2496"/>
      <c r="AA173" s="2496"/>
      <c r="AB173" s="2496"/>
      <c r="AC173" s="2496"/>
      <c r="AD173" s="2496"/>
      <c r="AE173" s="2496"/>
      <c r="AF173" s="2496"/>
      <c r="AG173" s="2496"/>
      <c r="AH173" s="2496"/>
      <c r="AI173" s="2496"/>
      <c r="AJ173" s="2496"/>
      <c r="AK173" s="2496"/>
      <c r="AL173" s="2496"/>
      <c r="AM173" s="2496"/>
      <c r="AN173" s="2496"/>
      <c r="AO173" s="2496"/>
      <c r="AP173" s="2496"/>
      <c r="AQ173" s="2496"/>
      <c r="AR173" s="2496"/>
      <c r="AS173" s="2496"/>
      <c r="AT173" s="2496"/>
      <c r="AU173" s="2496"/>
      <c r="AV173" s="2496"/>
      <c r="AW173" s="2496"/>
      <c r="AX173" s="2496"/>
      <c r="AY173" s="2496"/>
      <c r="AZ173" s="2496"/>
      <c r="BA173" s="2496"/>
      <c r="BB173" s="2496"/>
      <c r="BC173" s="2496"/>
      <c r="BD173" s="2496"/>
      <c r="BE173" s="2496"/>
      <c r="BF173" s="2496"/>
      <c r="BG173" s="2879"/>
      <c r="BH173" s="2879"/>
      <c r="BI173" s="4105"/>
      <c r="BJ173" s="3008"/>
      <c r="BK173" s="3008"/>
      <c r="BL173" s="2496"/>
      <c r="BM173" s="2496"/>
      <c r="BN173" s="2496"/>
      <c r="BO173" s="2496"/>
      <c r="BP173" s="3008"/>
    </row>
    <row r="174" spans="1:68" ht="70.5" customHeight="1" x14ac:dyDescent="0.2">
      <c r="A174" s="4026"/>
      <c r="B174" s="4026"/>
      <c r="C174" s="4026"/>
      <c r="D174" s="4114"/>
      <c r="E174" s="4114"/>
      <c r="F174" s="4114"/>
      <c r="G174" s="3011"/>
      <c r="H174" s="4028"/>
      <c r="I174" s="2884"/>
      <c r="J174" s="2993"/>
      <c r="K174" s="4048"/>
      <c r="L174" s="4049"/>
      <c r="M174" s="4066"/>
      <c r="N174" s="2605"/>
      <c r="O174" s="2413"/>
      <c r="P174" s="4130"/>
      <c r="Q174" s="2867"/>
      <c r="R174" s="2413"/>
      <c r="S174" s="2416"/>
      <c r="T174" s="2123" t="s">
        <v>2084</v>
      </c>
      <c r="U174" s="2074">
        <v>4500000</v>
      </c>
      <c r="V174" s="2062">
        <v>0</v>
      </c>
      <c r="W174" s="2062">
        <v>0</v>
      </c>
      <c r="X174" s="2116" t="s">
        <v>1867</v>
      </c>
      <c r="Y174" s="2067" t="s">
        <v>1993</v>
      </c>
      <c r="Z174" s="2496"/>
      <c r="AA174" s="2496"/>
      <c r="AB174" s="2496"/>
      <c r="AC174" s="2496"/>
      <c r="AD174" s="2496"/>
      <c r="AE174" s="2496"/>
      <c r="AF174" s="2496"/>
      <c r="AG174" s="2496"/>
      <c r="AH174" s="2496"/>
      <c r="AI174" s="2496"/>
      <c r="AJ174" s="2496"/>
      <c r="AK174" s="2496"/>
      <c r="AL174" s="2496"/>
      <c r="AM174" s="2496"/>
      <c r="AN174" s="2496"/>
      <c r="AO174" s="2496"/>
      <c r="AP174" s="2496"/>
      <c r="AQ174" s="2496"/>
      <c r="AR174" s="2496"/>
      <c r="AS174" s="2496"/>
      <c r="AT174" s="2496"/>
      <c r="AU174" s="2496"/>
      <c r="AV174" s="2496"/>
      <c r="AW174" s="2496"/>
      <c r="AX174" s="2496"/>
      <c r="AY174" s="2496"/>
      <c r="AZ174" s="2496"/>
      <c r="BA174" s="2496"/>
      <c r="BB174" s="2496"/>
      <c r="BC174" s="2496"/>
      <c r="BD174" s="2496"/>
      <c r="BE174" s="2496"/>
      <c r="BF174" s="2496"/>
      <c r="BG174" s="2879"/>
      <c r="BH174" s="2879"/>
      <c r="BI174" s="4105"/>
      <c r="BJ174" s="3008"/>
      <c r="BK174" s="3008"/>
      <c r="BL174" s="2496"/>
      <c r="BM174" s="2496"/>
      <c r="BN174" s="2496"/>
      <c r="BO174" s="2496"/>
      <c r="BP174" s="3008"/>
    </row>
    <row r="175" spans="1:68" ht="70.5" customHeight="1" x14ac:dyDescent="0.2">
      <c r="A175" s="4026"/>
      <c r="B175" s="4026"/>
      <c r="C175" s="4026"/>
      <c r="D175" s="4114"/>
      <c r="E175" s="4114"/>
      <c r="F175" s="4114"/>
      <c r="G175" s="3012"/>
      <c r="H175" s="4129"/>
      <c r="I175" s="2895"/>
      <c r="J175" s="2930"/>
      <c r="K175" s="4048"/>
      <c r="L175" s="4049"/>
      <c r="M175" s="4066"/>
      <c r="N175" s="2605"/>
      <c r="O175" s="2413"/>
      <c r="P175" s="4130"/>
      <c r="Q175" s="2867"/>
      <c r="R175" s="2413"/>
      <c r="S175" s="2416"/>
      <c r="T175" s="2123" t="s">
        <v>2085</v>
      </c>
      <c r="U175" s="2074">
        <v>12000000</v>
      </c>
      <c r="V175" s="2062">
        <v>11200000</v>
      </c>
      <c r="W175" s="2062">
        <v>2800000</v>
      </c>
      <c r="X175" s="2116" t="s">
        <v>1867</v>
      </c>
      <c r="Y175" s="2067" t="s">
        <v>1993</v>
      </c>
      <c r="Z175" s="2496"/>
      <c r="AA175" s="2496"/>
      <c r="AB175" s="2496"/>
      <c r="AC175" s="2496"/>
      <c r="AD175" s="2496"/>
      <c r="AE175" s="2496"/>
      <c r="AF175" s="2496"/>
      <c r="AG175" s="2496"/>
      <c r="AH175" s="2496"/>
      <c r="AI175" s="2496"/>
      <c r="AJ175" s="2496"/>
      <c r="AK175" s="2496"/>
      <c r="AL175" s="2496"/>
      <c r="AM175" s="2496"/>
      <c r="AN175" s="2496"/>
      <c r="AO175" s="2496"/>
      <c r="AP175" s="2496"/>
      <c r="AQ175" s="2496"/>
      <c r="AR175" s="2496"/>
      <c r="AS175" s="2496"/>
      <c r="AT175" s="2496"/>
      <c r="AU175" s="2496"/>
      <c r="AV175" s="2496"/>
      <c r="AW175" s="2496"/>
      <c r="AX175" s="2496"/>
      <c r="AY175" s="2496"/>
      <c r="AZ175" s="2496"/>
      <c r="BA175" s="2496"/>
      <c r="BB175" s="2496"/>
      <c r="BC175" s="2496"/>
      <c r="BD175" s="2496"/>
      <c r="BE175" s="2496"/>
      <c r="BF175" s="2496"/>
      <c r="BG175" s="2879"/>
      <c r="BH175" s="2879"/>
      <c r="BI175" s="4105"/>
      <c r="BJ175" s="3008"/>
      <c r="BK175" s="3008"/>
      <c r="BL175" s="2496"/>
      <c r="BM175" s="2496"/>
      <c r="BN175" s="2496"/>
      <c r="BO175" s="2496"/>
      <c r="BP175" s="3008"/>
    </row>
    <row r="176" spans="1:68" ht="90.75" customHeight="1" x14ac:dyDescent="0.2">
      <c r="A176" s="4026"/>
      <c r="B176" s="4026"/>
      <c r="C176" s="4026"/>
      <c r="D176" s="4114"/>
      <c r="E176" s="4114"/>
      <c r="F176" s="4114"/>
      <c r="G176" s="2495" t="s">
        <v>208</v>
      </c>
      <c r="H176" s="3109">
        <v>12.22</v>
      </c>
      <c r="I176" s="2894" t="s">
        <v>2086</v>
      </c>
      <c r="J176" s="2929" t="s">
        <v>2087</v>
      </c>
      <c r="K176" s="4048">
        <v>1</v>
      </c>
      <c r="L176" s="4049">
        <v>0.2</v>
      </c>
      <c r="M176" s="4066"/>
      <c r="N176" s="2605"/>
      <c r="O176" s="2512"/>
      <c r="P176" s="4133">
        <f>SUM(U176:U182)/Q167</f>
        <v>0.30204081632653063</v>
      </c>
      <c r="Q176" s="2867"/>
      <c r="R176" s="2413"/>
      <c r="S176" s="2416"/>
      <c r="T176" s="2123" t="s">
        <v>2088</v>
      </c>
      <c r="U176" s="2074">
        <v>5000000</v>
      </c>
      <c r="V176" s="2062">
        <v>5000000</v>
      </c>
      <c r="W176" s="2062">
        <v>1388000</v>
      </c>
      <c r="X176" s="2116" t="s">
        <v>1867</v>
      </c>
      <c r="Y176" s="2067" t="s">
        <v>1993</v>
      </c>
      <c r="Z176" s="2496"/>
      <c r="AA176" s="2496"/>
      <c r="AB176" s="2496"/>
      <c r="AC176" s="2496"/>
      <c r="AD176" s="2496"/>
      <c r="AE176" s="2496"/>
      <c r="AF176" s="2496"/>
      <c r="AG176" s="2496"/>
      <c r="AH176" s="2496"/>
      <c r="AI176" s="2496"/>
      <c r="AJ176" s="2496"/>
      <c r="AK176" s="2496"/>
      <c r="AL176" s="2496"/>
      <c r="AM176" s="2496"/>
      <c r="AN176" s="2496"/>
      <c r="AO176" s="2496"/>
      <c r="AP176" s="2496"/>
      <c r="AQ176" s="2496"/>
      <c r="AR176" s="2496"/>
      <c r="AS176" s="2496"/>
      <c r="AT176" s="2496"/>
      <c r="AU176" s="2496"/>
      <c r="AV176" s="2496"/>
      <c r="AW176" s="2496"/>
      <c r="AX176" s="2496"/>
      <c r="AY176" s="2496"/>
      <c r="AZ176" s="2496"/>
      <c r="BA176" s="2496"/>
      <c r="BB176" s="2496"/>
      <c r="BC176" s="2496"/>
      <c r="BD176" s="2496"/>
      <c r="BE176" s="2496"/>
      <c r="BF176" s="2496"/>
      <c r="BG176" s="2879"/>
      <c r="BH176" s="2879"/>
      <c r="BI176" s="4105"/>
      <c r="BJ176" s="3008"/>
      <c r="BK176" s="3008"/>
      <c r="BL176" s="2496"/>
      <c r="BM176" s="2496"/>
      <c r="BN176" s="2496"/>
      <c r="BO176" s="2496"/>
      <c r="BP176" s="3008"/>
    </row>
    <row r="177" spans="1:68" ht="68.25" customHeight="1" x14ac:dyDescent="0.2">
      <c r="A177" s="4026"/>
      <c r="B177" s="4026"/>
      <c r="C177" s="4026"/>
      <c r="D177" s="4114"/>
      <c r="E177" s="4114"/>
      <c r="F177" s="4114"/>
      <c r="G177" s="2496"/>
      <c r="H177" s="3767"/>
      <c r="I177" s="2884"/>
      <c r="J177" s="2993"/>
      <c r="K177" s="4048"/>
      <c r="L177" s="4049"/>
      <c r="M177" s="4066"/>
      <c r="N177" s="2605"/>
      <c r="O177" s="2512"/>
      <c r="P177" s="4133"/>
      <c r="Q177" s="2867"/>
      <c r="R177" s="2413"/>
      <c r="S177" s="2416"/>
      <c r="T177" s="2123" t="s">
        <v>2089</v>
      </c>
      <c r="U177" s="2074">
        <v>10000000</v>
      </c>
      <c r="V177" s="2062">
        <v>9075666</v>
      </c>
      <c r="W177" s="2062">
        <v>2875666</v>
      </c>
      <c r="X177" s="2116" t="s">
        <v>1867</v>
      </c>
      <c r="Y177" s="2067" t="s">
        <v>1993</v>
      </c>
      <c r="Z177" s="2496"/>
      <c r="AA177" s="2496"/>
      <c r="AB177" s="2496"/>
      <c r="AC177" s="2496"/>
      <c r="AD177" s="2496"/>
      <c r="AE177" s="2496"/>
      <c r="AF177" s="2496"/>
      <c r="AG177" s="2496"/>
      <c r="AH177" s="2496"/>
      <c r="AI177" s="2496"/>
      <c r="AJ177" s="2496"/>
      <c r="AK177" s="2496"/>
      <c r="AL177" s="2496"/>
      <c r="AM177" s="2496"/>
      <c r="AN177" s="2496"/>
      <c r="AO177" s="2496"/>
      <c r="AP177" s="2496"/>
      <c r="AQ177" s="2496"/>
      <c r="AR177" s="2496"/>
      <c r="AS177" s="2496"/>
      <c r="AT177" s="2496"/>
      <c r="AU177" s="2496"/>
      <c r="AV177" s="2496"/>
      <c r="AW177" s="2496"/>
      <c r="AX177" s="2496"/>
      <c r="AY177" s="2496"/>
      <c r="AZ177" s="2496"/>
      <c r="BA177" s="2496"/>
      <c r="BB177" s="2496"/>
      <c r="BC177" s="2496"/>
      <c r="BD177" s="2496"/>
      <c r="BE177" s="2496"/>
      <c r="BF177" s="2496"/>
      <c r="BG177" s="2879"/>
      <c r="BH177" s="2879"/>
      <c r="BI177" s="4105"/>
      <c r="BJ177" s="3008"/>
      <c r="BK177" s="3008"/>
      <c r="BL177" s="2496"/>
      <c r="BM177" s="2496"/>
      <c r="BN177" s="2496"/>
      <c r="BO177" s="2496"/>
      <c r="BP177" s="3008"/>
    </row>
    <row r="178" spans="1:68" ht="68.25" customHeight="1" x14ac:dyDescent="0.2">
      <c r="A178" s="4026"/>
      <c r="B178" s="4026"/>
      <c r="C178" s="4026"/>
      <c r="D178" s="4114"/>
      <c r="E178" s="4114"/>
      <c r="F178" s="4114"/>
      <c r="G178" s="2496"/>
      <c r="H178" s="3767"/>
      <c r="I178" s="2884"/>
      <c r="J178" s="2993"/>
      <c r="K178" s="4048"/>
      <c r="L178" s="4049"/>
      <c r="M178" s="4066"/>
      <c r="N178" s="2605"/>
      <c r="O178" s="2512"/>
      <c r="P178" s="4133"/>
      <c r="Q178" s="2867"/>
      <c r="R178" s="2413"/>
      <c r="S178" s="2416"/>
      <c r="T178" s="2123" t="s">
        <v>2090</v>
      </c>
      <c r="U178" s="2124">
        <v>5000000</v>
      </c>
      <c r="V178" s="2062">
        <v>5000000</v>
      </c>
      <c r="W178" s="2062">
        <v>0</v>
      </c>
      <c r="X178" s="2116" t="s">
        <v>1867</v>
      </c>
      <c r="Y178" s="2069" t="s">
        <v>1993</v>
      </c>
      <c r="Z178" s="2496"/>
      <c r="AA178" s="2496"/>
      <c r="AB178" s="2496"/>
      <c r="AC178" s="2496"/>
      <c r="AD178" s="2496"/>
      <c r="AE178" s="2496"/>
      <c r="AF178" s="2496"/>
      <c r="AG178" s="2496"/>
      <c r="AH178" s="2496"/>
      <c r="AI178" s="2496"/>
      <c r="AJ178" s="2496"/>
      <c r="AK178" s="2496"/>
      <c r="AL178" s="2496"/>
      <c r="AM178" s="2496"/>
      <c r="AN178" s="2496"/>
      <c r="AO178" s="2496"/>
      <c r="AP178" s="2496"/>
      <c r="AQ178" s="2496"/>
      <c r="AR178" s="2496"/>
      <c r="AS178" s="2496"/>
      <c r="AT178" s="2496"/>
      <c r="AU178" s="2496"/>
      <c r="AV178" s="2496"/>
      <c r="AW178" s="2496"/>
      <c r="AX178" s="2496"/>
      <c r="AY178" s="2496"/>
      <c r="AZ178" s="2496"/>
      <c r="BA178" s="2496"/>
      <c r="BB178" s="2496"/>
      <c r="BC178" s="2496"/>
      <c r="BD178" s="2496"/>
      <c r="BE178" s="2496"/>
      <c r="BF178" s="2496"/>
      <c r="BG178" s="2879"/>
      <c r="BH178" s="2879"/>
      <c r="BI178" s="4105"/>
      <c r="BJ178" s="3008"/>
      <c r="BK178" s="3008"/>
      <c r="BL178" s="2496"/>
      <c r="BM178" s="2496"/>
      <c r="BN178" s="2496"/>
      <c r="BO178" s="2496"/>
      <c r="BP178" s="3008"/>
    </row>
    <row r="179" spans="1:68" ht="68.25" customHeight="1" x14ac:dyDescent="0.2">
      <c r="A179" s="4026"/>
      <c r="B179" s="4026"/>
      <c r="C179" s="4026"/>
      <c r="D179" s="4114"/>
      <c r="E179" s="4114"/>
      <c r="F179" s="4114"/>
      <c r="G179" s="2496"/>
      <c r="H179" s="3767"/>
      <c r="I179" s="2884"/>
      <c r="J179" s="2993"/>
      <c r="K179" s="4048"/>
      <c r="L179" s="4049"/>
      <c r="M179" s="4066"/>
      <c r="N179" s="2605"/>
      <c r="O179" s="2512"/>
      <c r="P179" s="4133"/>
      <c r="Q179" s="2867"/>
      <c r="R179" s="2413"/>
      <c r="S179" s="2416"/>
      <c r="T179" s="2123" t="s">
        <v>2091</v>
      </c>
      <c r="U179" s="2074">
        <v>5000000</v>
      </c>
      <c r="V179" s="2062">
        <v>5000000</v>
      </c>
      <c r="W179" s="2062">
        <v>0</v>
      </c>
      <c r="X179" s="2116" t="s">
        <v>1867</v>
      </c>
      <c r="Y179" s="2067" t="s">
        <v>1993</v>
      </c>
      <c r="Z179" s="2496"/>
      <c r="AA179" s="2496"/>
      <c r="AB179" s="2496"/>
      <c r="AC179" s="2496"/>
      <c r="AD179" s="2496"/>
      <c r="AE179" s="2496"/>
      <c r="AF179" s="2496"/>
      <c r="AG179" s="2496"/>
      <c r="AH179" s="2496"/>
      <c r="AI179" s="2496"/>
      <c r="AJ179" s="2496"/>
      <c r="AK179" s="2496"/>
      <c r="AL179" s="2496"/>
      <c r="AM179" s="2496"/>
      <c r="AN179" s="2496"/>
      <c r="AO179" s="2496"/>
      <c r="AP179" s="2496"/>
      <c r="AQ179" s="2496"/>
      <c r="AR179" s="2496"/>
      <c r="AS179" s="2496"/>
      <c r="AT179" s="2496"/>
      <c r="AU179" s="2496"/>
      <c r="AV179" s="2496"/>
      <c r="AW179" s="2496"/>
      <c r="AX179" s="2496"/>
      <c r="AY179" s="2496"/>
      <c r="AZ179" s="2496"/>
      <c r="BA179" s="2496"/>
      <c r="BB179" s="2496"/>
      <c r="BC179" s="2496"/>
      <c r="BD179" s="2496"/>
      <c r="BE179" s="2496"/>
      <c r="BF179" s="2496"/>
      <c r="BG179" s="2879"/>
      <c r="BH179" s="2879"/>
      <c r="BI179" s="4105"/>
      <c r="BJ179" s="3008"/>
      <c r="BK179" s="3008"/>
      <c r="BL179" s="2496"/>
      <c r="BM179" s="2496"/>
      <c r="BN179" s="2496"/>
      <c r="BO179" s="2496"/>
      <c r="BP179" s="3008"/>
    </row>
    <row r="180" spans="1:68" ht="68.25" customHeight="1" x14ac:dyDescent="0.2">
      <c r="A180" s="4026"/>
      <c r="B180" s="4026"/>
      <c r="C180" s="4026"/>
      <c r="D180" s="4114"/>
      <c r="E180" s="4114"/>
      <c r="F180" s="4114"/>
      <c r="G180" s="2496"/>
      <c r="H180" s="3767"/>
      <c r="I180" s="2884"/>
      <c r="J180" s="2993"/>
      <c r="K180" s="4048"/>
      <c r="L180" s="4049"/>
      <c r="M180" s="4066"/>
      <c r="N180" s="2605"/>
      <c r="O180" s="2512"/>
      <c r="P180" s="4133"/>
      <c r="Q180" s="2867"/>
      <c r="R180" s="2413"/>
      <c r="S180" s="2416"/>
      <c r="T180" s="2125" t="s">
        <v>2092</v>
      </c>
      <c r="U180" s="2074">
        <v>5000000</v>
      </c>
      <c r="V180" s="2062">
        <v>5000000</v>
      </c>
      <c r="W180" s="2062">
        <v>0</v>
      </c>
      <c r="X180" s="2116" t="s">
        <v>1867</v>
      </c>
      <c r="Y180" s="2091" t="s">
        <v>1993</v>
      </c>
      <c r="Z180" s="2496"/>
      <c r="AA180" s="2496"/>
      <c r="AB180" s="2496"/>
      <c r="AC180" s="2496"/>
      <c r="AD180" s="2496"/>
      <c r="AE180" s="2496"/>
      <c r="AF180" s="2496"/>
      <c r="AG180" s="2496"/>
      <c r="AH180" s="2496"/>
      <c r="AI180" s="2496"/>
      <c r="AJ180" s="2496"/>
      <c r="AK180" s="2496"/>
      <c r="AL180" s="2496"/>
      <c r="AM180" s="2496"/>
      <c r="AN180" s="2496"/>
      <c r="AO180" s="2496"/>
      <c r="AP180" s="2496"/>
      <c r="AQ180" s="2496"/>
      <c r="AR180" s="2496"/>
      <c r="AS180" s="2496"/>
      <c r="AT180" s="2496"/>
      <c r="AU180" s="2496"/>
      <c r="AV180" s="2496"/>
      <c r="AW180" s="2496"/>
      <c r="AX180" s="2496"/>
      <c r="AY180" s="2496"/>
      <c r="AZ180" s="2496"/>
      <c r="BA180" s="2496"/>
      <c r="BB180" s="2496"/>
      <c r="BC180" s="2496"/>
      <c r="BD180" s="2496"/>
      <c r="BE180" s="2496"/>
      <c r="BF180" s="2496"/>
      <c r="BG180" s="2879"/>
      <c r="BH180" s="2879"/>
      <c r="BI180" s="4105"/>
      <c r="BJ180" s="3008"/>
      <c r="BK180" s="3008"/>
      <c r="BL180" s="2496"/>
      <c r="BM180" s="2496"/>
      <c r="BN180" s="2496"/>
      <c r="BO180" s="2496"/>
      <c r="BP180" s="3008"/>
    </row>
    <row r="181" spans="1:68" ht="68.25" customHeight="1" x14ac:dyDescent="0.2">
      <c r="A181" s="4026"/>
      <c r="B181" s="4026"/>
      <c r="C181" s="4026"/>
      <c r="D181" s="4114"/>
      <c r="E181" s="4114"/>
      <c r="F181" s="4114"/>
      <c r="G181" s="2496"/>
      <c r="H181" s="3767"/>
      <c r="I181" s="2884"/>
      <c r="J181" s="2993"/>
      <c r="K181" s="4048"/>
      <c r="L181" s="4049"/>
      <c r="M181" s="4066"/>
      <c r="N181" s="2605"/>
      <c r="O181" s="2512"/>
      <c r="P181" s="4133"/>
      <c r="Q181" s="2867"/>
      <c r="R181" s="2413"/>
      <c r="S181" s="3311"/>
      <c r="T181" s="1915" t="s">
        <v>2093</v>
      </c>
      <c r="U181" s="2126">
        <v>2000000</v>
      </c>
      <c r="V181" s="2062">
        <v>0</v>
      </c>
      <c r="W181" s="2062">
        <v>0</v>
      </c>
      <c r="X181" s="2005">
        <v>61</v>
      </c>
      <c r="Y181" s="2127" t="s">
        <v>1993</v>
      </c>
      <c r="Z181" s="2496"/>
      <c r="AA181" s="2496"/>
      <c r="AB181" s="2496"/>
      <c r="AC181" s="2496"/>
      <c r="AD181" s="2496"/>
      <c r="AE181" s="2496"/>
      <c r="AF181" s="2496"/>
      <c r="AG181" s="2496"/>
      <c r="AH181" s="2496"/>
      <c r="AI181" s="2496"/>
      <c r="AJ181" s="2496"/>
      <c r="AK181" s="2496"/>
      <c r="AL181" s="2496"/>
      <c r="AM181" s="2496"/>
      <c r="AN181" s="2496"/>
      <c r="AO181" s="2496"/>
      <c r="AP181" s="2496"/>
      <c r="AQ181" s="2496"/>
      <c r="AR181" s="2496"/>
      <c r="AS181" s="2496"/>
      <c r="AT181" s="2496"/>
      <c r="AU181" s="2496"/>
      <c r="AV181" s="2496"/>
      <c r="AW181" s="2496"/>
      <c r="AX181" s="2496"/>
      <c r="AY181" s="2496"/>
      <c r="AZ181" s="2496"/>
      <c r="BA181" s="2496"/>
      <c r="BB181" s="2496"/>
      <c r="BC181" s="2496"/>
      <c r="BD181" s="2496"/>
      <c r="BE181" s="2496"/>
      <c r="BF181" s="2496"/>
      <c r="BG181" s="2879"/>
      <c r="BH181" s="2879"/>
      <c r="BI181" s="4105"/>
      <c r="BJ181" s="3008"/>
      <c r="BK181" s="3008"/>
      <c r="BL181" s="2496"/>
      <c r="BM181" s="2496"/>
      <c r="BN181" s="2496"/>
      <c r="BO181" s="2496"/>
      <c r="BP181" s="3008"/>
    </row>
    <row r="182" spans="1:68" ht="68.25" customHeight="1" x14ac:dyDescent="0.2">
      <c r="A182" s="4026"/>
      <c r="B182" s="4026"/>
      <c r="C182" s="4026"/>
      <c r="D182" s="4114"/>
      <c r="E182" s="4114"/>
      <c r="F182" s="4114"/>
      <c r="G182" s="2497"/>
      <c r="H182" s="3110"/>
      <c r="I182" s="2895"/>
      <c r="J182" s="2930"/>
      <c r="K182" s="4048"/>
      <c r="L182" s="4049"/>
      <c r="M182" s="4066"/>
      <c r="N182" s="2605"/>
      <c r="O182" s="2512"/>
      <c r="P182" s="4133"/>
      <c r="Q182" s="2867"/>
      <c r="R182" s="2413"/>
      <c r="S182" s="3311"/>
      <c r="T182" s="1915" t="s">
        <v>2079</v>
      </c>
      <c r="U182" s="2128">
        <v>5000000</v>
      </c>
      <c r="V182" s="2062">
        <v>3991000</v>
      </c>
      <c r="W182" s="2062">
        <v>3203000</v>
      </c>
      <c r="X182" s="2005">
        <v>61</v>
      </c>
      <c r="Y182" s="2127" t="s">
        <v>1993</v>
      </c>
      <c r="Z182" s="2497"/>
      <c r="AA182" s="2497"/>
      <c r="AB182" s="2497"/>
      <c r="AC182" s="2497"/>
      <c r="AD182" s="2497"/>
      <c r="AE182" s="2497"/>
      <c r="AF182" s="2497"/>
      <c r="AG182" s="2497"/>
      <c r="AH182" s="2497"/>
      <c r="AI182" s="2497"/>
      <c r="AJ182" s="2497"/>
      <c r="AK182" s="2497"/>
      <c r="AL182" s="2497"/>
      <c r="AM182" s="2497"/>
      <c r="AN182" s="2497"/>
      <c r="AO182" s="2497"/>
      <c r="AP182" s="2497"/>
      <c r="AQ182" s="2497"/>
      <c r="AR182" s="2497"/>
      <c r="AS182" s="2497"/>
      <c r="AT182" s="2497"/>
      <c r="AU182" s="2497"/>
      <c r="AV182" s="2497"/>
      <c r="AW182" s="2497"/>
      <c r="AX182" s="2497"/>
      <c r="AY182" s="2497"/>
      <c r="AZ182" s="2497"/>
      <c r="BA182" s="2497"/>
      <c r="BB182" s="2497"/>
      <c r="BC182" s="2497"/>
      <c r="BD182" s="2497"/>
      <c r="BE182" s="2497"/>
      <c r="BF182" s="2497"/>
      <c r="BG182" s="2880"/>
      <c r="BH182" s="2880"/>
      <c r="BI182" s="4106"/>
      <c r="BJ182" s="3009"/>
      <c r="BK182" s="3009"/>
      <c r="BL182" s="2497"/>
      <c r="BM182" s="2497"/>
      <c r="BN182" s="2497"/>
      <c r="BO182" s="2497"/>
      <c r="BP182" s="3009"/>
    </row>
    <row r="183" spans="1:68" ht="114" customHeight="1" x14ac:dyDescent="0.2">
      <c r="A183" s="4026"/>
      <c r="B183" s="4026"/>
      <c r="C183" s="4026"/>
      <c r="D183" s="4114"/>
      <c r="E183" s="4114"/>
      <c r="F183" s="4114"/>
      <c r="G183" s="2495">
        <v>1905023</v>
      </c>
      <c r="H183" s="3109">
        <v>12.8</v>
      </c>
      <c r="I183" s="2422" t="s">
        <v>2094</v>
      </c>
      <c r="J183" s="2929" t="s">
        <v>2095</v>
      </c>
      <c r="K183" s="4048">
        <v>12</v>
      </c>
      <c r="L183" s="4049">
        <v>3</v>
      </c>
      <c r="M183" s="2879" t="s">
        <v>2096</v>
      </c>
      <c r="N183" s="2467" t="s">
        <v>2097</v>
      </c>
      <c r="O183" s="2424" t="s">
        <v>2098</v>
      </c>
      <c r="P183" s="4131">
        <f>SUM(U183:U187)/Q183</f>
        <v>0.65088757396449703</v>
      </c>
      <c r="Q183" s="4132">
        <f>SUM(U183:U193)</f>
        <v>169000000</v>
      </c>
      <c r="R183" s="2424" t="s">
        <v>2099</v>
      </c>
      <c r="S183" s="2440" t="s">
        <v>2100</v>
      </c>
      <c r="T183" s="1910" t="s">
        <v>2101</v>
      </c>
      <c r="U183" s="2129">
        <f>4000000+18000000</f>
        <v>22000000</v>
      </c>
      <c r="V183" s="2062">
        <v>16000000</v>
      </c>
      <c r="W183" s="2062">
        <v>4000000</v>
      </c>
      <c r="X183" s="2116" t="s">
        <v>1867</v>
      </c>
      <c r="Y183" s="2069" t="s">
        <v>2102</v>
      </c>
      <c r="Z183" s="2495">
        <v>289394</v>
      </c>
      <c r="AA183" s="2495">
        <f>SUM(Z183*0.1)</f>
        <v>28939.4</v>
      </c>
      <c r="AB183" s="2495">
        <v>279112</v>
      </c>
      <c r="AC183" s="2495">
        <f>SUM(AB183*0.1)</f>
        <v>27911.200000000001</v>
      </c>
      <c r="AD183" s="2495">
        <v>63164</v>
      </c>
      <c r="AE183" s="2495">
        <f>SUM(AD183*0.1)</f>
        <v>6316.4000000000005</v>
      </c>
      <c r="AF183" s="2495">
        <v>45607</v>
      </c>
      <c r="AG183" s="2495">
        <f>SUM(AF183*0.1)</f>
        <v>4560.7</v>
      </c>
      <c r="AH183" s="2495">
        <v>365607</v>
      </c>
      <c r="AI183" s="2495">
        <f>SUM(AH183*0.1)</f>
        <v>36560.700000000004</v>
      </c>
      <c r="AJ183" s="2495">
        <v>75612</v>
      </c>
      <c r="AK183" s="2495">
        <f>SUM(AJ183*0.1)</f>
        <v>7561.2000000000007</v>
      </c>
      <c r="AL183" s="2495">
        <v>2145</v>
      </c>
      <c r="AM183" s="2495">
        <f>SUM(AL183*0.1)</f>
        <v>214.5</v>
      </c>
      <c r="AN183" s="2495">
        <v>12718</v>
      </c>
      <c r="AO183" s="2495">
        <f>SUM(AN183*0.1)</f>
        <v>1271.8000000000002</v>
      </c>
      <c r="AP183" s="2495">
        <v>26</v>
      </c>
      <c r="AQ183" s="2495">
        <f>SUM(AP183*0.1)</f>
        <v>2.6</v>
      </c>
      <c r="AR183" s="2495">
        <v>37</v>
      </c>
      <c r="AS183" s="2495">
        <f>SUM(AR183*0.1)</f>
        <v>3.7</v>
      </c>
      <c r="AT183" s="2495">
        <v>0</v>
      </c>
      <c r="AU183" s="2495">
        <f>SUM(AT183*0.1)</f>
        <v>0</v>
      </c>
      <c r="AV183" s="2495">
        <v>0</v>
      </c>
      <c r="AW183" s="2495">
        <f>SUM(AV183*0.1)</f>
        <v>0</v>
      </c>
      <c r="AX183" s="2495">
        <v>78</v>
      </c>
      <c r="AY183" s="2495">
        <f>SUM(AX183*0.1)</f>
        <v>7.8000000000000007</v>
      </c>
      <c r="AZ183" s="2495">
        <v>16897</v>
      </c>
      <c r="BA183" s="2495">
        <f>SUM(AZ183*0.1)</f>
        <v>1689.7</v>
      </c>
      <c r="BB183" s="2495">
        <v>852</v>
      </c>
      <c r="BC183" s="2495">
        <f>SUM(BB183*0.1)</f>
        <v>85.2</v>
      </c>
      <c r="BD183" s="2495">
        <v>568506</v>
      </c>
      <c r="BE183" s="2495">
        <f>SUM(BD183*0.1)</f>
        <v>56850.600000000006</v>
      </c>
      <c r="BF183" s="2495">
        <v>9</v>
      </c>
      <c r="BG183" s="4099">
        <f>SUM(V183:V193)</f>
        <v>78466666</v>
      </c>
      <c r="BH183" s="4099">
        <f>SUM(W183:W193)</f>
        <v>16333333</v>
      </c>
      <c r="BI183" s="4104">
        <f>SUM(BH183/Q183)</f>
        <v>9.6646940828402361E-2</v>
      </c>
      <c r="BJ183" s="3007" t="s">
        <v>1809</v>
      </c>
      <c r="BK183" s="3007" t="s">
        <v>1810</v>
      </c>
      <c r="BL183" s="3737">
        <v>43832</v>
      </c>
      <c r="BM183" s="3737">
        <v>43832</v>
      </c>
      <c r="BN183" s="3737">
        <v>44196</v>
      </c>
      <c r="BO183" s="3737">
        <v>44196</v>
      </c>
      <c r="BP183" s="3007" t="s">
        <v>1811</v>
      </c>
    </row>
    <row r="184" spans="1:68" ht="114" customHeight="1" x14ac:dyDescent="0.2">
      <c r="A184" s="4026"/>
      <c r="B184" s="4026"/>
      <c r="C184" s="4026"/>
      <c r="D184" s="4114"/>
      <c r="E184" s="4114"/>
      <c r="F184" s="4114"/>
      <c r="G184" s="2496"/>
      <c r="H184" s="3767"/>
      <c r="I184" s="2423"/>
      <c r="J184" s="2993"/>
      <c r="K184" s="4048"/>
      <c r="L184" s="4049"/>
      <c r="M184" s="2879"/>
      <c r="N184" s="2467"/>
      <c r="O184" s="2424"/>
      <c r="P184" s="2847"/>
      <c r="Q184" s="4132"/>
      <c r="R184" s="2424"/>
      <c r="S184" s="2440"/>
      <c r="T184" s="1908" t="s">
        <v>2103</v>
      </c>
      <c r="U184" s="2129">
        <f>5000000+17000000</f>
        <v>22000000</v>
      </c>
      <c r="V184" s="2062">
        <v>15600000</v>
      </c>
      <c r="W184" s="2062">
        <v>5000000</v>
      </c>
      <c r="X184" s="2116" t="s">
        <v>1867</v>
      </c>
      <c r="Y184" s="2069" t="s">
        <v>2102</v>
      </c>
      <c r="Z184" s="2496"/>
      <c r="AA184" s="2496"/>
      <c r="AB184" s="2496"/>
      <c r="AC184" s="2496"/>
      <c r="AD184" s="2496"/>
      <c r="AE184" s="2496"/>
      <c r="AF184" s="2496"/>
      <c r="AG184" s="2496"/>
      <c r="AH184" s="2496"/>
      <c r="AI184" s="2496"/>
      <c r="AJ184" s="2496"/>
      <c r="AK184" s="2496"/>
      <c r="AL184" s="2496"/>
      <c r="AM184" s="2496"/>
      <c r="AN184" s="2496"/>
      <c r="AO184" s="2496"/>
      <c r="AP184" s="2496"/>
      <c r="AQ184" s="2496"/>
      <c r="AR184" s="2496"/>
      <c r="AS184" s="2496"/>
      <c r="AT184" s="2496"/>
      <c r="AU184" s="2496"/>
      <c r="AV184" s="2496"/>
      <c r="AW184" s="2496"/>
      <c r="AX184" s="2496"/>
      <c r="AY184" s="2496"/>
      <c r="AZ184" s="2496"/>
      <c r="BA184" s="2496"/>
      <c r="BB184" s="2496"/>
      <c r="BC184" s="2496"/>
      <c r="BD184" s="2496"/>
      <c r="BE184" s="2496"/>
      <c r="BF184" s="2496"/>
      <c r="BG184" s="2879"/>
      <c r="BH184" s="2879"/>
      <c r="BI184" s="4105"/>
      <c r="BJ184" s="3008"/>
      <c r="BK184" s="3008"/>
      <c r="BL184" s="2496"/>
      <c r="BM184" s="2496"/>
      <c r="BN184" s="2496"/>
      <c r="BO184" s="2496"/>
      <c r="BP184" s="3008"/>
    </row>
    <row r="185" spans="1:68" ht="114" customHeight="1" x14ac:dyDescent="0.2">
      <c r="A185" s="4026"/>
      <c r="B185" s="4026"/>
      <c r="C185" s="4026"/>
      <c r="D185" s="4114"/>
      <c r="E185" s="4114"/>
      <c r="F185" s="4114"/>
      <c r="G185" s="2496"/>
      <c r="H185" s="3767"/>
      <c r="I185" s="2423"/>
      <c r="J185" s="2993"/>
      <c r="K185" s="4048"/>
      <c r="L185" s="4049"/>
      <c r="M185" s="2879"/>
      <c r="N185" s="2467"/>
      <c r="O185" s="2424"/>
      <c r="P185" s="2847"/>
      <c r="Q185" s="4132"/>
      <c r="R185" s="2424"/>
      <c r="S185" s="2440"/>
      <c r="T185" s="1908" t="s">
        <v>2104</v>
      </c>
      <c r="U185" s="2129">
        <f>3000000+19000000</f>
        <v>22000000</v>
      </c>
      <c r="V185" s="2062">
        <v>11400000</v>
      </c>
      <c r="W185" s="2062">
        <v>3000000</v>
      </c>
      <c r="X185" s="2116" t="s">
        <v>1867</v>
      </c>
      <c r="Y185" s="2069" t="s">
        <v>2102</v>
      </c>
      <c r="Z185" s="2496"/>
      <c r="AA185" s="2496"/>
      <c r="AB185" s="2496"/>
      <c r="AC185" s="2496"/>
      <c r="AD185" s="2496"/>
      <c r="AE185" s="2496"/>
      <c r="AF185" s="2496"/>
      <c r="AG185" s="2496"/>
      <c r="AH185" s="2496"/>
      <c r="AI185" s="2496"/>
      <c r="AJ185" s="2496"/>
      <c r="AK185" s="2496"/>
      <c r="AL185" s="2496"/>
      <c r="AM185" s="2496"/>
      <c r="AN185" s="2496"/>
      <c r="AO185" s="2496"/>
      <c r="AP185" s="2496"/>
      <c r="AQ185" s="2496"/>
      <c r="AR185" s="2496"/>
      <c r="AS185" s="2496"/>
      <c r="AT185" s="2496"/>
      <c r="AU185" s="2496"/>
      <c r="AV185" s="2496"/>
      <c r="AW185" s="2496"/>
      <c r="AX185" s="2496"/>
      <c r="AY185" s="2496"/>
      <c r="AZ185" s="2496"/>
      <c r="BA185" s="2496"/>
      <c r="BB185" s="2496"/>
      <c r="BC185" s="2496"/>
      <c r="BD185" s="2496"/>
      <c r="BE185" s="2496"/>
      <c r="BF185" s="2496"/>
      <c r="BG185" s="2879"/>
      <c r="BH185" s="2879"/>
      <c r="BI185" s="4105"/>
      <c r="BJ185" s="3008"/>
      <c r="BK185" s="3008"/>
      <c r="BL185" s="2496"/>
      <c r="BM185" s="2496"/>
      <c r="BN185" s="2496"/>
      <c r="BO185" s="2496"/>
      <c r="BP185" s="3008"/>
    </row>
    <row r="186" spans="1:68" ht="114" customHeight="1" x14ac:dyDescent="0.2">
      <c r="A186" s="4026"/>
      <c r="B186" s="4026"/>
      <c r="C186" s="4026"/>
      <c r="D186" s="4114"/>
      <c r="E186" s="4114"/>
      <c r="F186" s="4114"/>
      <c r="G186" s="2496"/>
      <c r="H186" s="3767"/>
      <c r="I186" s="2423"/>
      <c r="J186" s="2993"/>
      <c r="K186" s="4048"/>
      <c r="L186" s="4049"/>
      <c r="M186" s="2879"/>
      <c r="N186" s="2467"/>
      <c r="O186" s="2424"/>
      <c r="P186" s="2847"/>
      <c r="Q186" s="4132"/>
      <c r="R186" s="2424"/>
      <c r="S186" s="2440"/>
      <c r="T186" s="1908" t="s">
        <v>2105</v>
      </c>
      <c r="U186" s="2129">
        <v>22000000</v>
      </c>
      <c r="V186" s="2062">
        <v>8066666</v>
      </c>
      <c r="W186" s="2062">
        <v>0</v>
      </c>
      <c r="X186" s="2116" t="s">
        <v>1867</v>
      </c>
      <c r="Y186" s="2069" t="s">
        <v>2102</v>
      </c>
      <c r="Z186" s="2496"/>
      <c r="AA186" s="2496"/>
      <c r="AB186" s="2496"/>
      <c r="AC186" s="2496"/>
      <c r="AD186" s="2496"/>
      <c r="AE186" s="2496"/>
      <c r="AF186" s="2496"/>
      <c r="AG186" s="2496"/>
      <c r="AH186" s="2496"/>
      <c r="AI186" s="2496"/>
      <c r="AJ186" s="2496"/>
      <c r="AK186" s="2496"/>
      <c r="AL186" s="2496"/>
      <c r="AM186" s="2496"/>
      <c r="AN186" s="2496"/>
      <c r="AO186" s="2496"/>
      <c r="AP186" s="2496"/>
      <c r="AQ186" s="2496"/>
      <c r="AR186" s="2496"/>
      <c r="AS186" s="2496"/>
      <c r="AT186" s="2496"/>
      <c r="AU186" s="2496"/>
      <c r="AV186" s="2496"/>
      <c r="AW186" s="2496"/>
      <c r="AX186" s="2496"/>
      <c r="AY186" s="2496"/>
      <c r="AZ186" s="2496"/>
      <c r="BA186" s="2496"/>
      <c r="BB186" s="2496"/>
      <c r="BC186" s="2496"/>
      <c r="BD186" s="2496"/>
      <c r="BE186" s="2496"/>
      <c r="BF186" s="2496"/>
      <c r="BG186" s="2879"/>
      <c r="BH186" s="2879"/>
      <c r="BI186" s="4105"/>
      <c r="BJ186" s="3008"/>
      <c r="BK186" s="3008"/>
      <c r="BL186" s="2496"/>
      <c r="BM186" s="2496"/>
      <c r="BN186" s="2496"/>
      <c r="BO186" s="2496"/>
      <c r="BP186" s="3008"/>
    </row>
    <row r="187" spans="1:68" ht="114" customHeight="1" x14ac:dyDescent="0.2">
      <c r="A187" s="4026"/>
      <c r="B187" s="4026"/>
      <c r="C187" s="4026"/>
      <c r="D187" s="4114"/>
      <c r="E187" s="4114"/>
      <c r="F187" s="4114"/>
      <c r="G187" s="2497"/>
      <c r="H187" s="3110"/>
      <c r="I187" s="2424"/>
      <c r="J187" s="2930"/>
      <c r="K187" s="4048"/>
      <c r="L187" s="4049"/>
      <c r="M187" s="2879"/>
      <c r="N187" s="2467"/>
      <c r="O187" s="2424"/>
      <c r="P187" s="2943"/>
      <c r="Q187" s="4132"/>
      <c r="R187" s="2424"/>
      <c r="S187" s="2440"/>
      <c r="T187" s="1908" t="s">
        <v>2106</v>
      </c>
      <c r="U187" s="2129">
        <f>4333333+17666667</f>
        <v>22000000</v>
      </c>
      <c r="V187" s="2062">
        <v>13000000</v>
      </c>
      <c r="W187" s="2062">
        <v>4333333</v>
      </c>
      <c r="X187" s="2116" t="s">
        <v>1867</v>
      </c>
      <c r="Y187" s="2069" t="s">
        <v>2102</v>
      </c>
      <c r="Z187" s="2496"/>
      <c r="AA187" s="2496"/>
      <c r="AB187" s="2496"/>
      <c r="AC187" s="2496"/>
      <c r="AD187" s="2496"/>
      <c r="AE187" s="2496"/>
      <c r="AF187" s="2496"/>
      <c r="AG187" s="2496"/>
      <c r="AH187" s="2496"/>
      <c r="AI187" s="2496"/>
      <c r="AJ187" s="2496"/>
      <c r="AK187" s="2496"/>
      <c r="AL187" s="2496"/>
      <c r="AM187" s="2496"/>
      <c r="AN187" s="2496"/>
      <c r="AO187" s="2496"/>
      <c r="AP187" s="2496"/>
      <c r="AQ187" s="2496"/>
      <c r="AR187" s="2496"/>
      <c r="AS187" s="2496"/>
      <c r="AT187" s="2496"/>
      <c r="AU187" s="2496"/>
      <c r="AV187" s="2496"/>
      <c r="AW187" s="2496"/>
      <c r="AX187" s="2496"/>
      <c r="AY187" s="2496"/>
      <c r="AZ187" s="2496"/>
      <c r="BA187" s="2496"/>
      <c r="BB187" s="2496"/>
      <c r="BC187" s="2496"/>
      <c r="BD187" s="2496"/>
      <c r="BE187" s="2496"/>
      <c r="BF187" s="2496"/>
      <c r="BG187" s="2879"/>
      <c r="BH187" s="2879"/>
      <c r="BI187" s="4105"/>
      <c r="BJ187" s="3008"/>
      <c r="BK187" s="3008"/>
      <c r="BL187" s="2496"/>
      <c r="BM187" s="2496"/>
      <c r="BN187" s="2496"/>
      <c r="BO187" s="2496"/>
      <c r="BP187" s="3008"/>
    </row>
    <row r="188" spans="1:68" ht="114" customHeight="1" x14ac:dyDescent="0.2">
      <c r="A188" s="4026"/>
      <c r="B188" s="4026"/>
      <c r="C188" s="4026"/>
      <c r="D188" s="4114"/>
      <c r="E188" s="4114"/>
      <c r="F188" s="4114"/>
      <c r="G188" s="2495">
        <v>1905031</v>
      </c>
      <c r="H188" s="3109">
        <v>12.14</v>
      </c>
      <c r="I188" s="2894" t="s">
        <v>2000</v>
      </c>
      <c r="J188" s="2929" t="s">
        <v>2001</v>
      </c>
      <c r="K188" s="4048">
        <v>12</v>
      </c>
      <c r="L188" s="4049">
        <v>3</v>
      </c>
      <c r="M188" s="2879"/>
      <c r="N188" s="2467"/>
      <c r="O188" s="2424"/>
      <c r="P188" s="2846">
        <f>SUM(U188:U193)/Q183</f>
        <v>0.34911242603550297</v>
      </c>
      <c r="Q188" s="4132"/>
      <c r="R188" s="2424"/>
      <c r="S188" s="2440"/>
      <c r="T188" s="1908" t="s">
        <v>2107</v>
      </c>
      <c r="U188" s="2129">
        <v>10000000</v>
      </c>
      <c r="V188" s="2062">
        <v>4000000</v>
      </c>
      <c r="W188" s="2062">
        <v>0</v>
      </c>
      <c r="X188" s="2116" t="s">
        <v>1867</v>
      </c>
      <c r="Y188" s="2069" t="s">
        <v>2102</v>
      </c>
      <c r="Z188" s="2496"/>
      <c r="AA188" s="2496"/>
      <c r="AB188" s="2496"/>
      <c r="AC188" s="2496"/>
      <c r="AD188" s="2496"/>
      <c r="AE188" s="2496"/>
      <c r="AF188" s="2496"/>
      <c r="AG188" s="2496"/>
      <c r="AH188" s="2496"/>
      <c r="AI188" s="2496"/>
      <c r="AJ188" s="2496"/>
      <c r="AK188" s="2496"/>
      <c r="AL188" s="2496"/>
      <c r="AM188" s="2496"/>
      <c r="AN188" s="2496"/>
      <c r="AO188" s="2496"/>
      <c r="AP188" s="2496"/>
      <c r="AQ188" s="2496"/>
      <c r="AR188" s="2496"/>
      <c r="AS188" s="2496"/>
      <c r="AT188" s="2496"/>
      <c r="AU188" s="2496"/>
      <c r="AV188" s="2496"/>
      <c r="AW188" s="2496"/>
      <c r="AX188" s="2496"/>
      <c r="AY188" s="2496"/>
      <c r="AZ188" s="2496"/>
      <c r="BA188" s="2496"/>
      <c r="BB188" s="2496"/>
      <c r="BC188" s="2496"/>
      <c r="BD188" s="2496"/>
      <c r="BE188" s="2496"/>
      <c r="BF188" s="2496"/>
      <c r="BG188" s="2879"/>
      <c r="BH188" s="2879"/>
      <c r="BI188" s="4105"/>
      <c r="BJ188" s="3008"/>
      <c r="BK188" s="3008"/>
      <c r="BL188" s="2496"/>
      <c r="BM188" s="2496"/>
      <c r="BN188" s="2496"/>
      <c r="BO188" s="2496"/>
      <c r="BP188" s="3008"/>
    </row>
    <row r="189" spans="1:68" ht="114" customHeight="1" x14ac:dyDescent="0.2">
      <c r="A189" s="4026"/>
      <c r="B189" s="4026"/>
      <c r="C189" s="4026"/>
      <c r="D189" s="4114"/>
      <c r="E189" s="4114"/>
      <c r="F189" s="4114"/>
      <c r="G189" s="2496"/>
      <c r="H189" s="3767"/>
      <c r="I189" s="2884"/>
      <c r="J189" s="2993"/>
      <c r="K189" s="4048"/>
      <c r="L189" s="4049"/>
      <c r="M189" s="2879"/>
      <c r="N189" s="2467"/>
      <c r="O189" s="2424"/>
      <c r="P189" s="2847"/>
      <c r="Q189" s="4132"/>
      <c r="R189" s="2424"/>
      <c r="S189" s="2440"/>
      <c r="T189" s="1908" t="s">
        <v>2103</v>
      </c>
      <c r="U189" s="2129">
        <v>10000000</v>
      </c>
      <c r="V189" s="2062">
        <v>2000000</v>
      </c>
      <c r="W189" s="2062">
        <v>0</v>
      </c>
      <c r="X189" s="2116" t="s">
        <v>1867</v>
      </c>
      <c r="Y189" s="2069" t="s">
        <v>2102</v>
      </c>
      <c r="Z189" s="2496"/>
      <c r="AA189" s="2496"/>
      <c r="AB189" s="2496"/>
      <c r="AC189" s="2496"/>
      <c r="AD189" s="2496"/>
      <c r="AE189" s="2496"/>
      <c r="AF189" s="2496"/>
      <c r="AG189" s="2496"/>
      <c r="AH189" s="2496"/>
      <c r="AI189" s="2496"/>
      <c r="AJ189" s="2496"/>
      <c r="AK189" s="2496"/>
      <c r="AL189" s="2496"/>
      <c r="AM189" s="2496"/>
      <c r="AN189" s="2496"/>
      <c r="AO189" s="2496"/>
      <c r="AP189" s="2496"/>
      <c r="AQ189" s="2496"/>
      <c r="AR189" s="2496"/>
      <c r="AS189" s="2496"/>
      <c r="AT189" s="2496"/>
      <c r="AU189" s="2496"/>
      <c r="AV189" s="2496"/>
      <c r="AW189" s="2496"/>
      <c r="AX189" s="2496"/>
      <c r="AY189" s="2496"/>
      <c r="AZ189" s="2496"/>
      <c r="BA189" s="2496"/>
      <c r="BB189" s="2496"/>
      <c r="BC189" s="2496"/>
      <c r="BD189" s="2496"/>
      <c r="BE189" s="2496"/>
      <c r="BF189" s="2496"/>
      <c r="BG189" s="2879"/>
      <c r="BH189" s="2879"/>
      <c r="BI189" s="4105"/>
      <c r="BJ189" s="3008"/>
      <c r="BK189" s="3008"/>
      <c r="BL189" s="2496"/>
      <c r="BM189" s="2496"/>
      <c r="BN189" s="2496"/>
      <c r="BO189" s="2496"/>
      <c r="BP189" s="3008"/>
    </row>
    <row r="190" spans="1:68" ht="114" customHeight="1" x14ac:dyDescent="0.2">
      <c r="A190" s="4026"/>
      <c r="B190" s="4026"/>
      <c r="C190" s="4026"/>
      <c r="D190" s="4114"/>
      <c r="E190" s="4114"/>
      <c r="F190" s="4114"/>
      <c r="G190" s="2496"/>
      <c r="H190" s="3767"/>
      <c r="I190" s="2884"/>
      <c r="J190" s="2993"/>
      <c r="K190" s="4048"/>
      <c r="L190" s="4049"/>
      <c r="M190" s="2879"/>
      <c r="N190" s="2467"/>
      <c r="O190" s="2424"/>
      <c r="P190" s="2847"/>
      <c r="Q190" s="4132"/>
      <c r="R190" s="2424"/>
      <c r="S190" s="2440"/>
      <c r="T190" s="1908" t="s">
        <v>2108</v>
      </c>
      <c r="U190" s="2129">
        <v>10000000</v>
      </c>
      <c r="V190" s="2062">
        <v>2000000</v>
      </c>
      <c r="W190" s="2062">
        <v>0</v>
      </c>
      <c r="X190" s="2116" t="s">
        <v>1867</v>
      </c>
      <c r="Y190" s="2069" t="s">
        <v>2102</v>
      </c>
      <c r="Z190" s="2496"/>
      <c r="AA190" s="2496"/>
      <c r="AB190" s="2496"/>
      <c r="AC190" s="2496"/>
      <c r="AD190" s="2496"/>
      <c r="AE190" s="2496"/>
      <c r="AF190" s="2496"/>
      <c r="AG190" s="2496"/>
      <c r="AH190" s="2496"/>
      <c r="AI190" s="2496"/>
      <c r="AJ190" s="2496"/>
      <c r="AK190" s="2496"/>
      <c r="AL190" s="2496"/>
      <c r="AM190" s="2496"/>
      <c r="AN190" s="2496"/>
      <c r="AO190" s="2496"/>
      <c r="AP190" s="2496"/>
      <c r="AQ190" s="2496"/>
      <c r="AR190" s="2496"/>
      <c r="AS190" s="2496"/>
      <c r="AT190" s="2496"/>
      <c r="AU190" s="2496"/>
      <c r="AV190" s="2496"/>
      <c r="AW190" s="2496"/>
      <c r="AX190" s="2496"/>
      <c r="AY190" s="2496"/>
      <c r="AZ190" s="2496"/>
      <c r="BA190" s="2496"/>
      <c r="BB190" s="2496"/>
      <c r="BC190" s="2496"/>
      <c r="BD190" s="2496"/>
      <c r="BE190" s="2496"/>
      <c r="BF190" s="2496"/>
      <c r="BG190" s="2879"/>
      <c r="BH190" s="2879"/>
      <c r="BI190" s="4105"/>
      <c r="BJ190" s="3008"/>
      <c r="BK190" s="3008"/>
      <c r="BL190" s="2496"/>
      <c r="BM190" s="2496"/>
      <c r="BN190" s="2496"/>
      <c r="BO190" s="2496"/>
      <c r="BP190" s="3008"/>
    </row>
    <row r="191" spans="1:68" ht="114" customHeight="1" x14ac:dyDescent="0.2">
      <c r="A191" s="4026"/>
      <c r="B191" s="4026"/>
      <c r="C191" s="4026"/>
      <c r="D191" s="4114"/>
      <c r="E191" s="4114"/>
      <c r="F191" s="4114"/>
      <c r="G191" s="2496"/>
      <c r="H191" s="3767"/>
      <c r="I191" s="2884"/>
      <c r="J191" s="2993"/>
      <c r="K191" s="4048"/>
      <c r="L191" s="4049"/>
      <c r="M191" s="2879"/>
      <c r="N191" s="2467"/>
      <c r="O191" s="2424"/>
      <c r="P191" s="2847"/>
      <c r="Q191" s="4132"/>
      <c r="R191" s="2424"/>
      <c r="S191" s="2440"/>
      <c r="T191" s="1908" t="s">
        <v>2106</v>
      </c>
      <c r="U191" s="2129">
        <v>10000000</v>
      </c>
      <c r="V191" s="2062">
        <v>6400000</v>
      </c>
      <c r="W191" s="2062">
        <v>0</v>
      </c>
      <c r="X191" s="2116" t="s">
        <v>1867</v>
      </c>
      <c r="Y191" s="2069" t="s">
        <v>2102</v>
      </c>
      <c r="Z191" s="2496"/>
      <c r="AA191" s="2496"/>
      <c r="AB191" s="2496"/>
      <c r="AC191" s="2496"/>
      <c r="AD191" s="2496"/>
      <c r="AE191" s="2496"/>
      <c r="AF191" s="2496"/>
      <c r="AG191" s="2496"/>
      <c r="AH191" s="2496"/>
      <c r="AI191" s="2496"/>
      <c r="AJ191" s="2496"/>
      <c r="AK191" s="2496"/>
      <c r="AL191" s="2496"/>
      <c r="AM191" s="2496"/>
      <c r="AN191" s="2496"/>
      <c r="AO191" s="2496"/>
      <c r="AP191" s="2496"/>
      <c r="AQ191" s="2496"/>
      <c r="AR191" s="2496"/>
      <c r="AS191" s="2496"/>
      <c r="AT191" s="2496"/>
      <c r="AU191" s="2496"/>
      <c r="AV191" s="2496"/>
      <c r="AW191" s="2496"/>
      <c r="AX191" s="2496"/>
      <c r="AY191" s="2496"/>
      <c r="AZ191" s="2496"/>
      <c r="BA191" s="2496"/>
      <c r="BB191" s="2496"/>
      <c r="BC191" s="2496"/>
      <c r="BD191" s="2496"/>
      <c r="BE191" s="2496"/>
      <c r="BF191" s="2496"/>
      <c r="BG191" s="2879"/>
      <c r="BH191" s="2879"/>
      <c r="BI191" s="4105"/>
      <c r="BJ191" s="3008"/>
      <c r="BK191" s="3008"/>
      <c r="BL191" s="2496"/>
      <c r="BM191" s="2496"/>
      <c r="BN191" s="2496"/>
      <c r="BO191" s="2496"/>
      <c r="BP191" s="3008"/>
    </row>
    <row r="192" spans="1:68" ht="114" customHeight="1" x14ac:dyDescent="0.2">
      <c r="A192" s="4026"/>
      <c r="B192" s="4026"/>
      <c r="C192" s="4026"/>
      <c r="D192" s="4114"/>
      <c r="E192" s="4114"/>
      <c r="F192" s="4114"/>
      <c r="G192" s="2496"/>
      <c r="H192" s="3767"/>
      <c r="I192" s="2884"/>
      <c r="J192" s="2993"/>
      <c r="K192" s="4048"/>
      <c r="L192" s="4049"/>
      <c r="M192" s="2879"/>
      <c r="N192" s="2467"/>
      <c r="O192" s="2424"/>
      <c r="P192" s="2847"/>
      <c r="Q192" s="4132"/>
      <c r="R192" s="2424"/>
      <c r="S192" s="2440"/>
      <c r="T192" s="1908" t="s">
        <v>2109</v>
      </c>
      <c r="U192" s="2129">
        <v>10000000</v>
      </c>
      <c r="V192" s="2062">
        <v>0</v>
      </c>
      <c r="W192" s="2062">
        <v>0</v>
      </c>
      <c r="X192" s="2116" t="s">
        <v>1867</v>
      </c>
      <c r="Y192" s="2069" t="s">
        <v>2102</v>
      </c>
      <c r="Z192" s="2496"/>
      <c r="AA192" s="2496"/>
      <c r="AB192" s="2496"/>
      <c r="AC192" s="2496"/>
      <c r="AD192" s="2496"/>
      <c r="AE192" s="2496"/>
      <c r="AF192" s="2496"/>
      <c r="AG192" s="2496"/>
      <c r="AH192" s="2496"/>
      <c r="AI192" s="2496"/>
      <c r="AJ192" s="2496"/>
      <c r="AK192" s="2496"/>
      <c r="AL192" s="2496"/>
      <c r="AM192" s="2496"/>
      <c r="AN192" s="2496"/>
      <c r="AO192" s="2496"/>
      <c r="AP192" s="2496"/>
      <c r="AQ192" s="2496"/>
      <c r="AR192" s="2496"/>
      <c r="AS192" s="2496"/>
      <c r="AT192" s="2496"/>
      <c r="AU192" s="2496"/>
      <c r="AV192" s="2496"/>
      <c r="AW192" s="2496"/>
      <c r="AX192" s="2496"/>
      <c r="AY192" s="2496"/>
      <c r="AZ192" s="2496"/>
      <c r="BA192" s="2496"/>
      <c r="BB192" s="2496"/>
      <c r="BC192" s="2496"/>
      <c r="BD192" s="2496"/>
      <c r="BE192" s="2496"/>
      <c r="BF192" s="2496"/>
      <c r="BG192" s="2879"/>
      <c r="BH192" s="2879"/>
      <c r="BI192" s="4105"/>
      <c r="BJ192" s="3008"/>
      <c r="BK192" s="3008"/>
      <c r="BL192" s="2496"/>
      <c r="BM192" s="2496"/>
      <c r="BN192" s="2496"/>
      <c r="BO192" s="2496"/>
      <c r="BP192" s="3008"/>
    </row>
    <row r="193" spans="1:68" ht="114" customHeight="1" x14ac:dyDescent="0.2">
      <c r="A193" s="4026"/>
      <c r="B193" s="4026"/>
      <c r="C193" s="4026"/>
      <c r="D193" s="4114"/>
      <c r="E193" s="4114"/>
      <c r="F193" s="4114"/>
      <c r="G193" s="2496"/>
      <c r="H193" s="3767"/>
      <c r="I193" s="2884"/>
      <c r="J193" s="2993"/>
      <c r="K193" s="4048"/>
      <c r="L193" s="4049"/>
      <c r="M193" s="2879"/>
      <c r="N193" s="2306"/>
      <c r="O193" s="2463"/>
      <c r="P193" s="2943"/>
      <c r="Q193" s="3383"/>
      <c r="R193" s="2463"/>
      <c r="S193" s="2441"/>
      <c r="T193" s="1908" t="s">
        <v>2110</v>
      </c>
      <c r="U193" s="2130">
        <f>10000000-1000000</f>
        <v>9000000</v>
      </c>
      <c r="V193" s="2062">
        <v>0</v>
      </c>
      <c r="W193" s="2062">
        <v>0</v>
      </c>
      <c r="X193" s="2116" t="s">
        <v>1867</v>
      </c>
      <c r="Y193" s="2091" t="s">
        <v>2102</v>
      </c>
      <c r="Z193" s="2497"/>
      <c r="AA193" s="2497"/>
      <c r="AB193" s="2497"/>
      <c r="AC193" s="2497"/>
      <c r="AD193" s="2497"/>
      <c r="AE193" s="2497"/>
      <c r="AF193" s="2497"/>
      <c r="AG193" s="2497"/>
      <c r="AH193" s="2497"/>
      <c r="AI193" s="2497"/>
      <c r="AJ193" s="2497"/>
      <c r="AK193" s="2497"/>
      <c r="AL193" s="2497"/>
      <c r="AM193" s="2497"/>
      <c r="AN193" s="2497"/>
      <c r="AO193" s="2497"/>
      <c r="AP193" s="2497"/>
      <c r="AQ193" s="2497"/>
      <c r="AR193" s="2497"/>
      <c r="AS193" s="2497"/>
      <c r="AT193" s="2497"/>
      <c r="AU193" s="2497"/>
      <c r="AV193" s="2497"/>
      <c r="AW193" s="2497"/>
      <c r="AX193" s="2497"/>
      <c r="AY193" s="2497"/>
      <c r="AZ193" s="2497"/>
      <c r="BA193" s="2497"/>
      <c r="BB193" s="2497"/>
      <c r="BC193" s="2497"/>
      <c r="BD193" s="2497"/>
      <c r="BE193" s="2497"/>
      <c r="BF193" s="2497"/>
      <c r="BG193" s="2880"/>
      <c r="BH193" s="2880"/>
      <c r="BI193" s="4106"/>
      <c r="BJ193" s="3009"/>
      <c r="BK193" s="3009"/>
      <c r="BL193" s="2497"/>
      <c r="BM193" s="2497"/>
      <c r="BN193" s="2497"/>
      <c r="BO193" s="2497"/>
      <c r="BP193" s="3009"/>
    </row>
    <row r="194" spans="1:68" ht="74.25" customHeight="1" x14ac:dyDescent="0.2">
      <c r="A194" s="4026"/>
      <c r="B194" s="4026"/>
      <c r="C194" s="4026"/>
      <c r="D194" s="4114"/>
      <c r="E194" s="4114"/>
      <c r="F194" s="4114"/>
      <c r="G194" s="2341">
        <v>1905012</v>
      </c>
      <c r="H194" s="4142">
        <v>12.1</v>
      </c>
      <c r="I194" s="2413" t="s">
        <v>2111</v>
      </c>
      <c r="J194" s="3578" t="s">
        <v>2111</v>
      </c>
      <c r="K194" s="4048">
        <v>1</v>
      </c>
      <c r="L194" s="4049">
        <v>0</v>
      </c>
      <c r="M194" s="3452" t="s">
        <v>2112</v>
      </c>
      <c r="N194" s="2343" t="s">
        <v>2113</v>
      </c>
      <c r="O194" s="4102" t="s">
        <v>2114</v>
      </c>
      <c r="P194" s="2846">
        <f>SUM(U194:U198)/Q194</f>
        <v>0.16666666666666666</v>
      </c>
      <c r="Q194" s="4047">
        <f>SUM(U194:U215)</f>
        <v>120000000</v>
      </c>
      <c r="R194" s="2463" t="s">
        <v>2115</v>
      </c>
      <c r="S194" s="2439" t="s">
        <v>2116</v>
      </c>
      <c r="T194" s="1958" t="s">
        <v>2117</v>
      </c>
      <c r="U194" s="2066">
        <v>1000000</v>
      </c>
      <c r="V194" s="2062">
        <v>960000</v>
      </c>
      <c r="W194" s="2062">
        <v>200000</v>
      </c>
      <c r="X194" s="2116" t="s">
        <v>1867</v>
      </c>
      <c r="Y194" s="2067" t="s">
        <v>2102</v>
      </c>
      <c r="Z194" s="2495">
        <v>289394</v>
      </c>
      <c r="AA194" s="2495">
        <f>SUM(Z194*0.32)</f>
        <v>92606.080000000002</v>
      </c>
      <c r="AB194" s="2495">
        <v>279112</v>
      </c>
      <c r="AC194" s="2495">
        <f>SUM(AB194*0.32)</f>
        <v>89315.839999999997</v>
      </c>
      <c r="AD194" s="2495">
        <v>63164</v>
      </c>
      <c r="AE194" s="2495">
        <f>SUM(AD194*0.32)</f>
        <v>20212.48</v>
      </c>
      <c r="AF194" s="2495">
        <v>45607</v>
      </c>
      <c r="AG194" s="2495">
        <f>SUM(AF194*0.32)</f>
        <v>14594.24</v>
      </c>
      <c r="AH194" s="2495">
        <v>365607</v>
      </c>
      <c r="AI194" s="2495">
        <f>SUM(AH194*0.32)</f>
        <v>116994.24000000001</v>
      </c>
      <c r="AJ194" s="2495">
        <v>75612</v>
      </c>
      <c r="AK194" s="2495">
        <f>SUM(AJ194*0.32)</f>
        <v>24195.84</v>
      </c>
      <c r="AL194" s="2495">
        <v>2145</v>
      </c>
      <c r="AM194" s="2495">
        <f>SUM(AL194*0.32)</f>
        <v>686.4</v>
      </c>
      <c r="AN194" s="2495">
        <v>12718</v>
      </c>
      <c r="AO194" s="2495">
        <f>SUM(AN194*0.32)</f>
        <v>4069.76</v>
      </c>
      <c r="AP194" s="2495">
        <v>26</v>
      </c>
      <c r="AQ194" s="2495">
        <f>SUM(AP194*0.32)</f>
        <v>8.32</v>
      </c>
      <c r="AR194" s="2495">
        <v>37</v>
      </c>
      <c r="AS194" s="2495">
        <f>SUM(AR194*0.32)</f>
        <v>11.84</v>
      </c>
      <c r="AT194" s="2495">
        <v>0</v>
      </c>
      <c r="AU194" s="2495">
        <f>SUM(AT194*0.32)</f>
        <v>0</v>
      </c>
      <c r="AV194" s="2495">
        <v>0</v>
      </c>
      <c r="AW194" s="2495">
        <f>SUM(AV194*0.32)</f>
        <v>0</v>
      </c>
      <c r="AX194" s="2495">
        <v>78</v>
      </c>
      <c r="AY194" s="2495">
        <f>SUM(AX194*0.32)</f>
        <v>24.96</v>
      </c>
      <c r="AZ194" s="2495">
        <v>16897</v>
      </c>
      <c r="BA194" s="2495">
        <f>SUM(AZ194*0.32)</f>
        <v>5407.04</v>
      </c>
      <c r="BB194" s="2495">
        <v>852</v>
      </c>
      <c r="BC194" s="2495">
        <f>SUM(BB194*0.32)</f>
        <v>272.64</v>
      </c>
      <c r="BD194" s="2495">
        <v>568506</v>
      </c>
      <c r="BE194" s="2495">
        <f>SUM(BD194*0.32)</f>
        <v>181921.92000000001</v>
      </c>
      <c r="BF194" s="2495">
        <v>5</v>
      </c>
      <c r="BG194" s="4099">
        <f>SUM(V194:V215)</f>
        <v>38093332</v>
      </c>
      <c r="BH194" s="4099">
        <f>SUM(W194:W215)</f>
        <v>23599999</v>
      </c>
      <c r="BI194" s="4104">
        <f>SUM(BG194/Q194)</f>
        <v>0.31744443333333333</v>
      </c>
      <c r="BJ194" s="3007" t="s">
        <v>1809</v>
      </c>
      <c r="BK194" s="3007" t="s">
        <v>1810</v>
      </c>
      <c r="BL194" s="3737">
        <v>43832</v>
      </c>
      <c r="BM194" s="3737">
        <v>43832</v>
      </c>
      <c r="BN194" s="3737">
        <v>44196</v>
      </c>
      <c r="BO194" s="3737">
        <v>44196</v>
      </c>
      <c r="BP194" s="3007" t="s">
        <v>1811</v>
      </c>
    </row>
    <row r="195" spans="1:68" ht="74.25" customHeight="1" x14ac:dyDescent="0.2">
      <c r="A195" s="4026"/>
      <c r="B195" s="4026"/>
      <c r="C195" s="4026"/>
      <c r="D195" s="4114"/>
      <c r="E195" s="4114"/>
      <c r="F195" s="4114"/>
      <c r="G195" s="2341"/>
      <c r="H195" s="4142"/>
      <c r="I195" s="2413"/>
      <c r="J195" s="3578"/>
      <c r="K195" s="4048"/>
      <c r="L195" s="4049"/>
      <c r="M195" s="3452"/>
      <c r="N195" s="2343"/>
      <c r="O195" s="4102"/>
      <c r="P195" s="2847"/>
      <c r="Q195" s="4047"/>
      <c r="R195" s="2463"/>
      <c r="S195" s="2440"/>
      <c r="T195" s="1958" t="s">
        <v>2118</v>
      </c>
      <c r="U195" s="2066">
        <v>1000000</v>
      </c>
      <c r="V195" s="2062">
        <v>1000000</v>
      </c>
      <c r="W195" s="2062">
        <v>400000</v>
      </c>
      <c r="X195" s="2116" t="s">
        <v>1867</v>
      </c>
      <c r="Y195" s="2067" t="s">
        <v>2102</v>
      </c>
      <c r="Z195" s="2496"/>
      <c r="AA195" s="2496"/>
      <c r="AB195" s="2496"/>
      <c r="AC195" s="2496"/>
      <c r="AD195" s="2496"/>
      <c r="AE195" s="2496"/>
      <c r="AF195" s="2496"/>
      <c r="AG195" s="2496"/>
      <c r="AH195" s="2496"/>
      <c r="AI195" s="2496"/>
      <c r="AJ195" s="2496"/>
      <c r="AK195" s="2496"/>
      <c r="AL195" s="2496"/>
      <c r="AM195" s="2496"/>
      <c r="AN195" s="2496"/>
      <c r="AO195" s="2496"/>
      <c r="AP195" s="2496"/>
      <c r="AQ195" s="2496"/>
      <c r="AR195" s="2496"/>
      <c r="AS195" s="2496"/>
      <c r="AT195" s="2496"/>
      <c r="AU195" s="2496"/>
      <c r="AV195" s="2496"/>
      <c r="AW195" s="2496"/>
      <c r="AX195" s="2496"/>
      <c r="AY195" s="2496"/>
      <c r="AZ195" s="2496"/>
      <c r="BA195" s="2496"/>
      <c r="BB195" s="2496"/>
      <c r="BC195" s="2496"/>
      <c r="BD195" s="2496"/>
      <c r="BE195" s="2496"/>
      <c r="BF195" s="2496"/>
      <c r="BG195" s="2879"/>
      <c r="BH195" s="2879"/>
      <c r="BI195" s="4105"/>
      <c r="BJ195" s="3008"/>
      <c r="BK195" s="3008"/>
      <c r="BL195" s="2496"/>
      <c r="BM195" s="2496"/>
      <c r="BN195" s="2496"/>
      <c r="BO195" s="2496"/>
      <c r="BP195" s="3008"/>
    </row>
    <row r="196" spans="1:68" ht="74.25" customHeight="1" x14ac:dyDescent="0.2">
      <c r="A196" s="4026"/>
      <c r="B196" s="4026"/>
      <c r="C196" s="4026"/>
      <c r="D196" s="4114"/>
      <c r="E196" s="4114"/>
      <c r="F196" s="4114"/>
      <c r="G196" s="2341"/>
      <c r="H196" s="4142"/>
      <c r="I196" s="2413"/>
      <c r="J196" s="3578"/>
      <c r="K196" s="4048"/>
      <c r="L196" s="4049"/>
      <c r="M196" s="3452"/>
      <c r="N196" s="2343"/>
      <c r="O196" s="4102"/>
      <c r="P196" s="2847"/>
      <c r="Q196" s="4047"/>
      <c r="R196" s="2463"/>
      <c r="S196" s="2440"/>
      <c r="T196" s="1958" t="s">
        <v>2119</v>
      </c>
      <c r="U196" s="2066">
        <v>2000000</v>
      </c>
      <c r="V196" s="2062">
        <v>2000000</v>
      </c>
      <c r="W196" s="2062">
        <v>400000</v>
      </c>
      <c r="X196" s="2116" t="s">
        <v>1867</v>
      </c>
      <c r="Y196" s="2067" t="s">
        <v>2102</v>
      </c>
      <c r="Z196" s="2496"/>
      <c r="AA196" s="2496"/>
      <c r="AB196" s="2496"/>
      <c r="AC196" s="2496"/>
      <c r="AD196" s="2496"/>
      <c r="AE196" s="2496"/>
      <c r="AF196" s="2496"/>
      <c r="AG196" s="2496"/>
      <c r="AH196" s="2496"/>
      <c r="AI196" s="2496"/>
      <c r="AJ196" s="2496"/>
      <c r="AK196" s="2496"/>
      <c r="AL196" s="2496"/>
      <c r="AM196" s="2496"/>
      <c r="AN196" s="2496"/>
      <c r="AO196" s="2496"/>
      <c r="AP196" s="2496"/>
      <c r="AQ196" s="2496"/>
      <c r="AR196" s="2496"/>
      <c r="AS196" s="2496"/>
      <c r="AT196" s="2496"/>
      <c r="AU196" s="2496"/>
      <c r="AV196" s="2496"/>
      <c r="AW196" s="2496"/>
      <c r="AX196" s="2496"/>
      <c r="AY196" s="2496"/>
      <c r="AZ196" s="2496"/>
      <c r="BA196" s="2496"/>
      <c r="BB196" s="2496"/>
      <c r="BC196" s="2496"/>
      <c r="BD196" s="2496"/>
      <c r="BE196" s="2496"/>
      <c r="BF196" s="2496"/>
      <c r="BG196" s="2879"/>
      <c r="BH196" s="2879"/>
      <c r="BI196" s="4105"/>
      <c r="BJ196" s="3008"/>
      <c r="BK196" s="3008"/>
      <c r="BL196" s="2496"/>
      <c r="BM196" s="2496"/>
      <c r="BN196" s="2496"/>
      <c r="BO196" s="2496"/>
      <c r="BP196" s="3008"/>
    </row>
    <row r="197" spans="1:68" ht="74.25" customHeight="1" x14ac:dyDescent="0.2">
      <c r="A197" s="4026"/>
      <c r="B197" s="4026"/>
      <c r="C197" s="4026"/>
      <c r="D197" s="4114"/>
      <c r="E197" s="4114"/>
      <c r="F197" s="4114"/>
      <c r="G197" s="2341"/>
      <c r="H197" s="4142"/>
      <c r="I197" s="2413"/>
      <c r="J197" s="3578"/>
      <c r="K197" s="4048"/>
      <c r="L197" s="4049"/>
      <c r="M197" s="3452"/>
      <c r="N197" s="2343"/>
      <c r="O197" s="4102"/>
      <c r="P197" s="2847"/>
      <c r="Q197" s="4047"/>
      <c r="R197" s="2463"/>
      <c r="S197" s="2440"/>
      <c r="T197" s="1958" t="s">
        <v>2120</v>
      </c>
      <c r="U197" s="2066">
        <v>14000000</v>
      </c>
      <c r="V197" s="2062">
        <v>1000000</v>
      </c>
      <c r="W197" s="2062">
        <v>400000</v>
      </c>
      <c r="X197" s="2116" t="s">
        <v>1867</v>
      </c>
      <c r="Y197" s="2067" t="s">
        <v>2102</v>
      </c>
      <c r="Z197" s="2496"/>
      <c r="AA197" s="2496"/>
      <c r="AB197" s="2496"/>
      <c r="AC197" s="2496"/>
      <c r="AD197" s="2496"/>
      <c r="AE197" s="2496"/>
      <c r="AF197" s="2496"/>
      <c r="AG197" s="2496"/>
      <c r="AH197" s="2496"/>
      <c r="AI197" s="2496"/>
      <c r="AJ197" s="2496"/>
      <c r="AK197" s="2496"/>
      <c r="AL197" s="2496"/>
      <c r="AM197" s="2496"/>
      <c r="AN197" s="2496"/>
      <c r="AO197" s="2496"/>
      <c r="AP197" s="2496"/>
      <c r="AQ197" s="2496"/>
      <c r="AR197" s="2496"/>
      <c r="AS197" s="2496"/>
      <c r="AT197" s="2496"/>
      <c r="AU197" s="2496"/>
      <c r="AV197" s="2496"/>
      <c r="AW197" s="2496"/>
      <c r="AX197" s="2496"/>
      <c r="AY197" s="2496"/>
      <c r="AZ197" s="2496"/>
      <c r="BA197" s="2496"/>
      <c r="BB197" s="2496"/>
      <c r="BC197" s="2496"/>
      <c r="BD197" s="2496"/>
      <c r="BE197" s="2496"/>
      <c r="BF197" s="2496"/>
      <c r="BG197" s="2879"/>
      <c r="BH197" s="2879"/>
      <c r="BI197" s="4105"/>
      <c r="BJ197" s="3008"/>
      <c r="BK197" s="3008"/>
      <c r="BL197" s="2496"/>
      <c r="BM197" s="2496"/>
      <c r="BN197" s="2496"/>
      <c r="BO197" s="2496"/>
      <c r="BP197" s="3008"/>
    </row>
    <row r="198" spans="1:68" ht="74.25" customHeight="1" x14ac:dyDescent="0.2">
      <c r="A198" s="4026"/>
      <c r="B198" s="4026"/>
      <c r="C198" s="4026"/>
      <c r="D198" s="4114"/>
      <c r="E198" s="4114"/>
      <c r="F198" s="4114"/>
      <c r="G198" s="2341"/>
      <c r="H198" s="4142"/>
      <c r="I198" s="2413"/>
      <c r="J198" s="3578"/>
      <c r="K198" s="4048"/>
      <c r="L198" s="4049"/>
      <c r="M198" s="3452"/>
      <c r="N198" s="2343"/>
      <c r="O198" s="4102"/>
      <c r="P198" s="2847"/>
      <c r="Q198" s="4047"/>
      <c r="R198" s="2463"/>
      <c r="S198" s="2440"/>
      <c r="T198" s="1958" t="s">
        <v>2121</v>
      </c>
      <c r="U198" s="2066">
        <v>2000000</v>
      </c>
      <c r="V198" s="2062">
        <v>2000000</v>
      </c>
      <c r="W198" s="2062">
        <v>400000</v>
      </c>
      <c r="X198" s="2116" t="s">
        <v>1867</v>
      </c>
      <c r="Y198" s="2067" t="s">
        <v>2102</v>
      </c>
      <c r="Z198" s="2496"/>
      <c r="AA198" s="2496"/>
      <c r="AB198" s="2496"/>
      <c r="AC198" s="2496"/>
      <c r="AD198" s="2496"/>
      <c r="AE198" s="2496"/>
      <c r="AF198" s="2496"/>
      <c r="AG198" s="2496"/>
      <c r="AH198" s="2496"/>
      <c r="AI198" s="2496"/>
      <c r="AJ198" s="2496"/>
      <c r="AK198" s="2496"/>
      <c r="AL198" s="2496"/>
      <c r="AM198" s="2496"/>
      <c r="AN198" s="2496"/>
      <c r="AO198" s="2496"/>
      <c r="AP198" s="2496"/>
      <c r="AQ198" s="2496"/>
      <c r="AR198" s="2496"/>
      <c r="AS198" s="2496"/>
      <c r="AT198" s="2496"/>
      <c r="AU198" s="2496"/>
      <c r="AV198" s="2496"/>
      <c r="AW198" s="2496"/>
      <c r="AX198" s="2496"/>
      <c r="AY198" s="2496"/>
      <c r="AZ198" s="2496"/>
      <c r="BA198" s="2496"/>
      <c r="BB198" s="2496"/>
      <c r="BC198" s="2496"/>
      <c r="BD198" s="2496"/>
      <c r="BE198" s="2496"/>
      <c r="BF198" s="2496"/>
      <c r="BG198" s="2879"/>
      <c r="BH198" s="2879"/>
      <c r="BI198" s="4105"/>
      <c r="BJ198" s="3008"/>
      <c r="BK198" s="3008"/>
      <c r="BL198" s="2496"/>
      <c r="BM198" s="2496"/>
      <c r="BN198" s="2496"/>
      <c r="BO198" s="2496"/>
      <c r="BP198" s="3008"/>
    </row>
    <row r="199" spans="1:68" ht="65.25" customHeight="1" x14ac:dyDescent="0.2">
      <c r="A199" s="4026"/>
      <c r="B199" s="4026"/>
      <c r="C199" s="4026"/>
      <c r="D199" s="4114"/>
      <c r="E199" s="4114"/>
      <c r="F199" s="4114"/>
      <c r="G199" s="2340">
        <v>1905026</v>
      </c>
      <c r="H199" s="4119">
        <v>12.1</v>
      </c>
      <c r="I199" s="2413" t="s">
        <v>2122</v>
      </c>
      <c r="J199" s="3578" t="s">
        <v>2123</v>
      </c>
      <c r="K199" s="4048">
        <v>12</v>
      </c>
      <c r="L199" s="4049">
        <v>4</v>
      </c>
      <c r="M199" s="3452"/>
      <c r="N199" s="2343"/>
      <c r="O199" s="4140"/>
      <c r="P199" s="2896">
        <f>SUM(U199:U204)/Q194</f>
        <v>0.33333333333333331</v>
      </c>
      <c r="Q199" s="4141"/>
      <c r="R199" s="2463"/>
      <c r="S199" s="2440"/>
      <c r="T199" s="1958" t="s">
        <v>2124</v>
      </c>
      <c r="U199" s="2066">
        <v>10000000</v>
      </c>
      <c r="V199" s="2062">
        <v>0</v>
      </c>
      <c r="W199" s="2062">
        <v>0</v>
      </c>
      <c r="X199" s="2116" t="s">
        <v>1867</v>
      </c>
      <c r="Y199" s="2067" t="s">
        <v>2102</v>
      </c>
      <c r="Z199" s="2496"/>
      <c r="AA199" s="2496"/>
      <c r="AB199" s="2496"/>
      <c r="AC199" s="2496"/>
      <c r="AD199" s="2496"/>
      <c r="AE199" s="2496"/>
      <c r="AF199" s="2496"/>
      <c r="AG199" s="2496"/>
      <c r="AH199" s="2496"/>
      <c r="AI199" s="2496"/>
      <c r="AJ199" s="2496"/>
      <c r="AK199" s="2496"/>
      <c r="AL199" s="2496"/>
      <c r="AM199" s="2496"/>
      <c r="AN199" s="2496"/>
      <c r="AO199" s="2496"/>
      <c r="AP199" s="2496"/>
      <c r="AQ199" s="2496"/>
      <c r="AR199" s="2496"/>
      <c r="AS199" s="2496"/>
      <c r="AT199" s="2496"/>
      <c r="AU199" s="2496"/>
      <c r="AV199" s="2496"/>
      <c r="AW199" s="2496"/>
      <c r="AX199" s="2496"/>
      <c r="AY199" s="2496"/>
      <c r="AZ199" s="2496"/>
      <c r="BA199" s="2496"/>
      <c r="BB199" s="2496"/>
      <c r="BC199" s="2496"/>
      <c r="BD199" s="2496"/>
      <c r="BE199" s="2496"/>
      <c r="BF199" s="2496"/>
      <c r="BG199" s="2879"/>
      <c r="BH199" s="2879"/>
      <c r="BI199" s="4105"/>
      <c r="BJ199" s="3008"/>
      <c r="BK199" s="3008"/>
      <c r="BL199" s="2496"/>
      <c r="BM199" s="2496"/>
      <c r="BN199" s="2496"/>
      <c r="BO199" s="2496"/>
      <c r="BP199" s="3008"/>
    </row>
    <row r="200" spans="1:68" ht="65.25" customHeight="1" x14ac:dyDescent="0.2">
      <c r="A200" s="4026"/>
      <c r="B200" s="4026"/>
      <c r="C200" s="4026"/>
      <c r="D200" s="4114"/>
      <c r="E200" s="4114"/>
      <c r="F200" s="4114"/>
      <c r="G200" s="2341"/>
      <c r="H200" s="4119"/>
      <c r="I200" s="2413"/>
      <c r="J200" s="3578"/>
      <c r="K200" s="4048"/>
      <c r="L200" s="4049"/>
      <c r="M200" s="3452"/>
      <c r="N200" s="2343"/>
      <c r="O200" s="4140"/>
      <c r="P200" s="2896"/>
      <c r="Q200" s="4141"/>
      <c r="R200" s="2463"/>
      <c r="S200" s="2440"/>
      <c r="T200" s="1958" t="s">
        <v>2125</v>
      </c>
      <c r="U200" s="2066">
        <f>10000000-5000000</f>
        <v>5000000</v>
      </c>
      <c r="V200" s="2062">
        <v>0</v>
      </c>
      <c r="W200" s="2062">
        <v>0</v>
      </c>
      <c r="X200" s="2116" t="s">
        <v>1867</v>
      </c>
      <c r="Y200" s="2067" t="s">
        <v>2102</v>
      </c>
      <c r="Z200" s="2496"/>
      <c r="AA200" s="2496"/>
      <c r="AB200" s="2496"/>
      <c r="AC200" s="2496"/>
      <c r="AD200" s="2496"/>
      <c r="AE200" s="2496"/>
      <c r="AF200" s="2496"/>
      <c r="AG200" s="2496"/>
      <c r="AH200" s="2496"/>
      <c r="AI200" s="2496"/>
      <c r="AJ200" s="2496"/>
      <c r="AK200" s="2496"/>
      <c r="AL200" s="2496"/>
      <c r="AM200" s="2496"/>
      <c r="AN200" s="2496"/>
      <c r="AO200" s="2496"/>
      <c r="AP200" s="2496"/>
      <c r="AQ200" s="2496"/>
      <c r="AR200" s="2496"/>
      <c r="AS200" s="2496"/>
      <c r="AT200" s="2496"/>
      <c r="AU200" s="2496"/>
      <c r="AV200" s="2496"/>
      <c r="AW200" s="2496"/>
      <c r="AX200" s="2496"/>
      <c r="AY200" s="2496"/>
      <c r="AZ200" s="2496"/>
      <c r="BA200" s="2496"/>
      <c r="BB200" s="2496"/>
      <c r="BC200" s="2496"/>
      <c r="BD200" s="2496"/>
      <c r="BE200" s="2496"/>
      <c r="BF200" s="2496"/>
      <c r="BG200" s="2879"/>
      <c r="BH200" s="2879"/>
      <c r="BI200" s="4105"/>
      <c r="BJ200" s="3008"/>
      <c r="BK200" s="3008"/>
      <c r="BL200" s="2496"/>
      <c r="BM200" s="2496"/>
      <c r="BN200" s="2496"/>
      <c r="BO200" s="2496"/>
      <c r="BP200" s="3008"/>
    </row>
    <row r="201" spans="1:68" ht="65.25" customHeight="1" x14ac:dyDescent="0.2">
      <c r="A201" s="4026"/>
      <c r="B201" s="4026"/>
      <c r="C201" s="4026"/>
      <c r="D201" s="4114"/>
      <c r="E201" s="4114"/>
      <c r="F201" s="4114"/>
      <c r="G201" s="2341"/>
      <c r="H201" s="4119"/>
      <c r="I201" s="2413"/>
      <c r="J201" s="3578"/>
      <c r="K201" s="4048"/>
      <c r="L201" s="4049"/>
      <c r="M201" s="3452"/>
      <c r="N201" s="2343"/>
      <c r="O201" s="4140"/>
      <c r="P201" s="2896"/>
      <c r="Q201" s="4141"/>
      <c r="R201" s="2463"/>
      <c r="S201" s="2440"/>
      <c r="T201" s="1958" t="s">
        <v>2126</v>
      </c>
      <c r="U201" s="2066">
        <f>10000000-5000000</f>
        <v>5000000</v>
      </c>
      <c r="V201" s="2062">
        <v>0</v>
      </c>
      <c r="W201" s="2062">
        <v>0</v>
      </c>
      <c r="X201" s="2116" t="s">
        <v>1867</v>
      </c>
      <c r="Y201" s="2067" t="s">
        <v>2102</v>
      </c>
      <c r="Z201" s="2496"/>
      <c r="AA201" s="2496"/>
      <c r="AB201" s="2496"/>
      <c r="AC201" s="2496"/>
      <c r="AD201" s="2496"/>
      <c r="AE201" s="2496"/>
      <c r="AF201" s="2496"/>
      <c r="AG201" s="2496"/>
      <c r="AH201" s="2496"/>
      <c r="AI201" s="2496"/>
      <c r="AJ201" s="2496"/>
      <c r="AK201" s="2496"/>
      <c r="AL201" s="2496"/>
      <c r="AM201" s="2496"/>
      <c r="AN201" s="2496"/>
      <c r="AO201" s="2496"/>
      <c r="AP201" s="2496"/>
      <c r="AQ201" s="2496"/>
      <c r="AR201" s="2496"/>
      <c r="AS201" s="2496"/>
      <c r="AT201" s="2496"/>
      <c r="AU201" s="2496"/>
      <c r="AV201" s="2496"/>
      <c r="AW201" s="2496"/>
      <c r="AX201" s="2496"/>
      <c r="AY201" s="2496"/>
      <c r="AZ201" s="2496"/>
      <c r="BA201" s="2496"/>
      <c r="BB201" s="2496"/>
      <c r="BC201" s="2496"/>
      <c r="BD201" s="2496"/>
      <c r="BE201" s="2496"/>
      <c r="BF201" s="2496"/>
      <c r="BG201" s="2879"/>
      <c r="BH201" s="2879"/>
      <c r="BI201" s="4105"/>
      <c r="BJ201" s="3008"/>
      <c r="BK201" s="3008"/>
      <c r="BL201" s="2496"/>
      <c r="BM201" s="2496"/>
      <c r="BN201" s="2496"/>
      <c r="BO201" s="2496"/>
      <c r="BP201" s="3008"/>
    </row>
    <row r="202" spans="1:68" ht="65.25" customHeight="1" x14ac:dyDescent="0.2">
      <c r="A202" s="4026"/>
      <c r="B202" s="4026"/>
      <c r="C202" s="4026"/>
      <c r="D202" s="4114"/>
      <c r="E202" s="4114"/>
      <c r="F202" s="4114"/>
      <c r="G202" s="2341"/>
      <c r="H202" s="4119"/>
      <c r="I202" s="2413"/>
      <c r="J202" s="3578"/>
      <c r="K202" s="4048"/>
      <c r="L202" s="4049"/>
      <c r="M202" s="3452"/>
      <c r="N202" s="2343"/>
      <c r="O202" s="4140"/>
      <c r="P202" s="2896"/>
      <c r="Q202" s="4141"/>
      <c r="R202" s="2463"/>
      <c r="S202" s="2440"/>
      <c r="T202" s="1958" t="s">
        <v>2127</v>
      </c>
      <c r="U202" s="2066">
        <f>10000000-5000000</f>
        <v>5000000</v>
      </c>
      <c r="V202" s="2062">
        <v>0</v>
      </c>
      <c r="W202" s="2062">
        <v>0</v>
      </c>
      <c r="X202" s="2116" t="s">
        <v>1867</v>
      </c>
      <c r="Y202" s="2067" t="s">
        <v>2102</v>
      </c>
      <c r="Z202" s="2496"/>
      <c r="AA202" s="2496"/>
      <c r="AB202" s="2496"/>
      <c r="AC202" s="2496"/>
      <c r="AD202" s="2496"/>
      <c r="AE202" s="2496"/>
      <c r="AF202" s="2496"/>
      <c r="AG202" s="2496"/>
      <c r="AH202" s="2496"/>
      <c r="AI202" s="2496"/>
      <c r="AJ202" s="2496"/>
      <c r="AK202" s="2496"/>
      <c r="AL202" s="2496"/>
      <c r="AM202" s="2496"/>
      <c r="AN202" s="2496"/>
      <c r="AO202" s="2496"/>
      <c r="AP202" s="2496"/>
      <c r="AQ202" s="2496"/>
      <c r="AR202" s="2496"/>
      <c r="AS202" s="2496"/>
      <c r="AT202" s="2496"/>
      <c r="AU202" s="2496"/>
      <c r="AV202" s="2496"/>
      <c r="AW202" s="2496"/>
      <c r="AX202" s="2496"/>
      <c r="AY202" s="2496"/>
      <c r="AZ202" s="2496"/>
      <c r="BA202" s="2496"/>
      <c r="BB202" s="2496"/>
      <c r="BC202" s="2496"/>
      <c r="BD202" s="2496"/>
      <c r="BE202" s="2496"/>
      <c r="BF202" s="2496"/>
      <c r="BG202" s="2879"/>
      <c r="BH202" s="2879"/>
      <c r="BI202" s="4105"/>
      <c r="BJ202" s="3008"/>
      <c r="BK202" s="3008"/>
      <c r="BL202" s="2496"/>
      <c r="BM202" s="2496"/>
      <c r="BN202" s="2496"/>
      <c r="BO202" s="2496"/>
      <c r="BP202" s="3008"/>
    </row>
    <row r="203" spans="1:68" ht="65.25" customHeight="1" x14ac:dyDescent="0.2">
      <c r="A203" s="4026"/>
      <c r="B203" s="4026"/>
      <c r="C203" s="4026"/>
      <c r="D203" s="4114"/>
      <c r="E203" s="4114"/>
      <c r="F203" s="4114"/>
      <c r="G203" s="2341"/>
      <c r="H203" s="4119"/>
      <c r="I203" s="2413"/>
      <c r="J203" s="3578"/>
      <c r="K203" s="4048"/>
      <c r="L203" s="4049"/>
      <c r="M203" s="3452"/>
      <c r="N203" s="2343"/>
      <c r="O203" s="4140"/>
      <c r="P203" s="2896"/>
      <c r="Q203" s="4141"/>
      <c r="R203" s="2463"/>
      <c r="S203" s="2440"/>
      <c r="T203" s="1958" t="s">
        <v>2128</v>
      </c>
      <c r="U203" s="2066">
        <f>10000000-5000000</f>
        <v>5000000</v>
      </c>
      <c r="V203" s="2062">
        <v>0</v>
      </c>
      <c r="W203" s="2062">
        <v>0</v>
      </c>
      <c r="X203" s="2116" t="s">
        <v>1867</v>
      </c>
      <c r="Y203" s="2067" t="s">
        <v>2102</v>
      </c>
      <c r="Z203" s="2496"/>
      <c r="AA203" s="2496"/>
      <c r="AB203" s="2496"/>
      <c r="AC203" s="2496"/>
      <c r="AD203" s="2496"/>
      <c r="AE203" s="2496"/>
      <c r="AF203" s="2496"/>
      <c r="AG203" s="2496"/>
      <c r="AH203" s="2496"/>
      <c r="AI203" s="2496"/>
      <c r="AJ203" s="2496"/>
      <c r="AK203" s="2496"/>
      <c r="AL203" s="2496"/>
      <c r="AM203" s="2496"/>
      <c r="AN203" s="2496"/>
      <c r="AO203" s="2496"/>
      <c r="AP203" s="2496"/>
      <c r="AQ203" s="2496"/>
      <c r="AR203" s="2496"/>
      <c r="AS203" s="2496"/>
      <c r="AT203" s="2496"/>
      <c r="AU203" s="2496"/>
      <c r="AV203" s="2496"/>
      <c r="AW203" s="2496"/>
      <c r="AX203" s="2496"/>
      <c r="AY203" s="2496"/>
      <c r="AZ203" s="2496"/>
      <c r="BA203" s="2496"/>
      <c r="BB203" s="2496"/>
      <c r="BC203" s="2496"/>
      <c r="BD203" s="2496"/>
      <c r="BE203" s="2496"/>
      <c r="BF203" s="2496"/>
      <c r="BG203" s="2879"/>
      <c r="BH203" s="2879"/>
      <c r="BI203" s="4105"/>
      <c r="BJ203" s="3008"/>
      <c r="BK203" s="3008"/>
      <c r="BL203" s="2496"/>
      <c r="BM203" s="2496"/>
      <c r="BN203" s="2496"/>
      <c r="BO203" s="2496"/>
      <c r="BP203" s="3008"/>
    </row>
    <row r="204" spans="1:68" ht="78" customHeight="1" x14ac:dyDescent="0.2">
      <c r="A204" s="4026"/>
      <c r="B204" s="4026"/>
      <c r="C204" s="4026"/>
      <c r="D204" s="4114"/>
      <c r="E204" s="4114"/>
      <c r="F204" s="4114"/>
      <c r="G204" s="2341"/>
      <c r="H204" s="4119"/>
      <c r="I204" s="2493"/>
      <c r="J204" s="3578"/>
      <c r="K204" s="4048"/>
      <c r="L204" s="4049"/>
      <c r="M204" s="3452"/>
      <c r="N204" s="2343"/>
      <c r="O204" s="4140"/>
      <c r="P204" s="2896"/>
      <c r="Q204" s="4141"/>
      <c r="R204" s="2463"/>
      <c r="S204" s="2440"/>
      <c r="T204" s="1958" t="s">
        <v>2129</v>
      </c>
      <c r="U204" s="2066">
        <v>10000000</v>
      </c>
      <c r="V204" s="2062">
        <v>0</v>
      </c>
      <c r="W204" s="2062">
        <v>0</v>
      </c>
      <c r="X204" s="2116" t="s">
        <v>1867</v>
      </c>
      <c r="Y204" s="2067" t="s">
        <v>2102</v>
      </c>
      <c r="Z204" s="2496"/>
      <c r="AA204" s="2496"/>
      <c r="AB204" s="2496"/>
      <c r="AC204" s="2496"/>
      <c r="AD204" s="2496"/>
      <c r="AE204" s="2496"/>
      <c r="AF204" s="2496"/>
      <c r="AG204" s="2496"/>
      <c r="AH204" s="2496"/>
      <c r="AI204" s="2496"/>
      <c r="AJ204" s="2496"/>
      <c r="AK204" s="2496"/>
      <c r="AL204" s="2496"/>
      <c r="AM204" s="2496"/>
      <c r="AN204" s="2496"/>
      <c r="AO204" s="2496"/>
      <c r="AP204" s="2496"/>
      <c r="AQ204" s="2496"/>
      <c r="AR204" s="2496"/>
      <c r="AS204" s="2496"/>
      <c r="AT204" s="2496"/>
      <c r="AU204" s="2496"/>
      <c r="AV204" s="2496"/>
      <c r="AW204" s="2496"/>
      <c r="AX204" s="2496"/>
      <c r="AY204" s="2496"/>
      <c r="AZ204" s="2496"/>
      <c r="BA204" s="2496"/>
      <c r="BB204" s="2496"/>
      <c r="BC204" s="2496"/>
      <c r="BD204" s="2496"/>
      <c r="BE204" s="2496"/>
      <c r="BF204" s="2496"/>
      <c r="BG204" s="2879"/>
      <c r="BH204" s="2879"/>
      <c r="BI204" s="4105"/>
      <c r="BJ204" s="3008"/>
      <c r="BK204" s="3008"/>
      <c r="BL204" s="2496"/>
      <c r="BM204" s="2496"/>
      <c r="BN204" s="2496"/>
      <c r="BO204" s="2496"/>
      <c r="BP204" s="3008"/>
    </row>
    <row r="205" spans="1:68" ht="98.25" customHeight="1" x14ac:dyDescent="0.2">
      <c r="A205" s="4026"/>
      <c r="B205" s="4026"/>
      <c r="C205" s="4026"/>
      <c r="D205" s="4114"/>
      <c r="E205" s="4114"/>
      <c r="F205" s="4114"/>
      <c r="G205" s="2341">
        <v>1905027</v>
      </c>
      <c r="H205" s="4030">
        <v>12.11</v>
      </c>
      <c r="I205" s="2413" t="s">
        <v>2130</v>
      </c>
      <c r="J205" s="3578" t="s">
        <v>2131</v>
      </c>
      <c r="K205" s="4048">
        <v>12</v>
      </c>
      <c r="L205" s="4049">
        <v>6</v>
      </c>
      <c r="M205" s="3452"/>
      <c r="N205" s="2343"/>
      <c r="O205" s="4102"/>
      <c r="P205" s="2847">
        <f>SUM(U205:U215)/Q194</f>
        <v>0.5</v>
      </c>
      <c r="Q205" s="3383"/>
      <c r="R205" s="2463"/>
      <c r="S205" s="2440"/>
      <c r="T205" s="1958" t="s">
        <v>2132</v>
      </c>
      <c r="U205" s="2066">
        <v>7000000</v>
      </c>
      <c r="V205" s="2062">
        <v>1760000</v>
      </c>
      <c r="W205" s="2062">
        <v>0</v>
      </c>
      <c r="X205" s="2116" t="s">
        <v>1867</v>
      </c>
      <c r="Y205" s="2067" t="s">
        <v>2102</v>
      </c>
      <c r="Z205" s="2496"/>
      <c r="AA205" s="2496"/>
      <c r="AB205" s="2496"/>
      <c r="AC205" s="2496"/>
      <c r="AD205" s="2496"/>
      <c r="AE205" s="2496"/>
      <c r="AF205" s="2496"/>
      <c r="AG205" s="2496"/>
      <c r="AH205" s="2496"/>
      <c r="AI205" s="2496"/>
      <c r="AJ205" s="2496"/>
      <c r="AK205" s="2496"/>
      <c r="AL205" s="2496"/>
      <c r="AM205" s="2496"/>
      <c r="AN205" s="2496"/>
      <c r="AO205" s="2496"/>
      <c r="AP205" s="2496"/>
      <c r="AQ205" s="2496"/>
      <c r="AR205" s="2496"/>
      <c r="AS205" s="2496"/>
      <c r="AT205" s="2496"/>
      <c r="AU205" s="2496"/>
      <c r="AV205" s="2496"/>
      <c r="AW205" s="2496"/>
      <c r="AX205" s="2496"/>
      <c r="AY205" s="2496"/>
      <c r="AZ205" s="2496"/>
      <c r="BA205" s="2496"/>
      <c r="BB205" s="2496"/>
      <c r="BC205" s="2496"/>
      <c r="BD205" s="2496"/>
      <c r="BE205" s="2496"/>
      <c r="BF205" s="2496"/>
      <c r="BG205" s="2879"/>
      <c r="BH205" s="2879"/>
      <c r="BI205" s="4105"/>
      <c r="BJ205" s="3008"/>
      <c r="BK205" s="3008"/>
      <c r="BL205" s="2496"/>
      <c r="BM205" s="2496"/>
      <c r="BN205" s="2496"/>
      <c r="BO205" s="2496"/>
      <c r="BP205" s="3008"/>
    </row>
    <row r="206" spans="1:68" ht="98.25" customHeight="1" x14ac:dyDescent="0.2">
      <c r="A206" s="4026"/>
      <c r="B206" s="4026"/>
      <c r="C206" s="4026"/>
      <c r="D206" s="4114"/>
      <c r="E206" s="4114"/>
      <c r="F206" s="4114"/>
      <c r="G206" s="2341"/>
      <c r="H206" s="4030"/>
      <c r="I206" s="2413"/>
      <c r="J206" s="3578"/>
      <c r="K206" s="4048"/>
      <c r="L206" s="4049"/>
      <c r="M206" s="3452"/>
      <c r="N206" s="2343"/>
      <c r="O206" s="4102"/>
      <c r="P206" s="2847"/>
      <c r="Q206" s="3383"/>
      <c r="R206" s="2463"/>
      <c r="S206" s="2440"/>
      <c r="T206" s="1958" t="s">
        <v>2133</v>
      </c>
      <c r="U206" s="2066">
        <f>10733000+267000</f>
        <v>11000000</v>
      </c>
      <c r="V206" s="2062">
        <v>10999667</v>
      </c>
      <c r="W206" s="2062">
        <v>10733000</v>
      </c>
      <c r="X206" s="2116" t="s">
        <v>1867</v>
      </c>
      <c r="Y206" s="2067" t="s">
        <v>2102</v>
      </c>
      <c r="Z206" s="2496"/>
      <c r="AA206" s="2496"/>
      <c r="AB206" s="2496"/>
      <c r="AC206" s="2496"/>
      <c r="AD206" s="2496"/>
      <c r="AE206" s="2496"/>
      <c r="AF206" s="2496"/>
      <c r="AG206" s="2496"/>
      <c r="AH206" s="2496"/>
      <c r="AI206" s="2496"/>
      <c r="AJ206" s="2496"/>
      <c r="AK206" s="2496"/>
      <c r="AL206" s="2496"/>
      <c r="AM206" s="2496"/>
      <c r="AN206" s="2496"/>
      <c r="AO206" s="2496"/>
      <c r="AP206" s="2496"/>
      <c r="AQ206" s="2496"/>
      <c r="AR206" s="2496"/>
      <c r="AS206" s="2496"/>
      <c r="AT206" s="2496"/>
      <c r="AU206" s="2496"/>
      <c r="AV206" s="2496"/>
      <c r="AW206" s="2496"/>
      <c r="AX206" s="2496"/>
      <c r="AY206" s="2496"/>
      <c r="AZ206" s="2496"/>
      <c r="BA206" s="2496"/>
      <c r="BB206" s="2496"/>
      <c r="BC206" s="2496"/>
      <c r="BD206" s="2496"/>
      <c r="BE206" s="2496"/>
      <c r="BF206" s="2496"/>
      <c r="BG206" s="2879"/>
      <c r="BH206" s="2879"/>
      <c r="BI206" s="4105"/>
      <c r="BJ206" s="3008"/>
      <c r="BK206" s="3008"/>
      <c r="BL206" s="2496"/>
      <c r="BM206" s="2496"/>
      <c r="BN206" s="2496"/>
      <c r="BO206" s="2496"/>
      <c r="BP206" s="3008"/>
    </row>
    <row r="207" spans="1:68" ht="98.25" customHeight="1" x14ac:dyDescent="0.2">
      <c r="A207" s="4026"/>
      <c r="B207" s="4026"/>
      <c r="C207" s="4026"/>
      <c r="D207" s="4114"/>
      <c r="E207" s="4114"/>
      <c r="F207" s="4114"/>
      <c r="G207" s="2341"/>
      <c r="H207" s="4030"/>
      <c r="I207" s="2413"/>
      <c r="J207" s="3578"/>
      <c r="K207" s="4048"/>
      <c r="L207" s="4049"/>
      <c r="M207" s="3452"/>
      <c r="N207" s="2343"/>
      <c r="O207" s="4102"/>
      <c r="P207" s="2847"/>
      <c r="Q207" s="3383"/>
      <c r="R207" s="2463"/>
      <c r="S207" s="2440"/>
      <c r="T207" s="1958" t="s">
        <v>2134</v>
      </c>
      <c r="U207" s="2066">
        <f>11066999+933001</f>
        <v>12000000</v>
      </c>
      <c r="V207" s="2062">
        <v>11373665</v>
      </c>
      <c r="W207" s="2062">
        <v>11066999</v>
      </c>
      <c r="X207" s="2116" t="s">
        <v>1867</v>
      </c>
      <c r="Y207" s="2067" t="s">
        <v>2102</v>
      </c>
      <c r="Z207" s="2496"/>
      <c r="AA207" s="2496"/>
      <c r="AB207" s="2496"/>
      <c r="AC207" s="2496"/>
      <c r="AD207" s="2496"/>
      <c r="AE207" s="2496"/>
      <c r="AF207" s="2496"/>
      <c r="AG207" s="2496"/>
      <c r="AH207" s="2496"/>
      <c r="AI207" s="2496"/>
      <c r="AJ207" s="2496"/>
      <c r="AK207" s="2496"/>
      <c r="AL207" s="2496"/>
      <c r="AM207" s="2496"/>
      <c r="AN207" s="2496"/>
      <c r="AO207" s="2496"/>
      <c r="AP207" s="2496"/>
      <c r="AQ207" s="2496"/>
      <c r="AR207" s="2496"/>
      <c r="AS207" s="2496"/>
      <c r="AT207" s="2496"/>
      <c r="AU207" s="2496"/>
      <c r="AV207" s="2496"/>
      <c r="AW207" s="2496"/>
      <c r="AX207" s="2496"/>
      <c r="AY207" s="2496"/>
      <c r="AZ207" s="2496"/>
      <c r="BA207" s="2496"/>
      <c r="BB207" s="2496"/>
      <c r="BC207" s="2496"/>
      <c r="BD207" s="2496"/>
      <c r="BE207" s="2496"/>
      <c r="BF207" s="2496"/>
      <c r="BG207" s="2879"/>
      <c r="BH207" s="2879"/>
      <c r="BI207" s="4105"/>
      <c r="BJ207" s="3008"/>
      <c r="BK207" s="3008"/>
      <c r="BL207" s="2496"/>
      <c r="BM207" s="2496"/>
      <c r="BN207" s="2496"/>
      <c r="BO207" s="2496"/>
      <c r="BP207" s="3008"/>
    </row>
    <row r="208" spans="1:68" ht="98.25" customHeight="1" x14ac:dyDescent="0.2">
      <c r="A208" s="4026"/>
      <c r="B208" s="4026"/>
      <c r="C208" s="4026"/>
      <c r="D208" s="4114"/>
      <c r="E208" s="4114"/>
      <c r="F208" s="4114"/>
      <c r="G208" s="2341"/>
      <c r="H208" s="4030"/>
      <c r="I208" s="2413"/>
      <c r="J208" s="3578"/>
      <c r="K208" s="4048"/>
      <c r="L208" s="4049"/>
      <c r="M208" s="3452"/>
      <c r="N208" s="2343"/>
      <c r="O208" s="4102"/>
      <c r="P208" s="2847"/>
      <c r="Q208" s="3383"/>
      <c r="R208" s="2463"/>
      <c r="S208" s="2440"/>
      <c r="T208" s="1958" t="s">
        <v>2135</v>
      </c>
      <c r="U208" s="2066">
        <v>4000000</v>
      </c>
      <c r="V208" s="2062">
        <v>1000000</v>
      </c>
      <c r="W208" s="2062">
        <v>0</v>
      </c>
      <c r="X208" s="2116" t="s">
        <v>1867</v>
      </c>
      <c r="Y208" s="2067" t="s">
        <v>2102</v>
      </c>
      <c r="Z208" s="2496"/>
      <c r="AA208" s="2496"/>
      <c r="AB208" s="2496"/>
      <c r="AC208" s="2496"/>
      <c r="AD208" s="2496"/>
      <c r="AE208" s="2496"/>
      <c r="AF208" s="2496"/>
      <c r="AG208" s="2496"/>
      <c r="AH208" s="2496"/>
      <c r="AI208" s="2496"/>
      <c r="AJ208" s="2496"/>
      <c r="AK208" s="2496"/>
      <c r="AL208" s="2496"/>
      <c r="AM208" s="2496"/>
      <c r="AN208" s="2496"/>
      <c r="AO208" s="2496"/>
      <c r="AP208" s="2496"/>
      <c r="AQ208" s="2496"/>
      <c r="AR208" s="2496"/>
      <c r="AS208" s="2496"/>
      <c r="AT208" s="2496"/>
      <c r="AU208" s="2496"/>
      <c r="AV208" s="2496"/>
      <c r="AW208" s="2496"/>
      <c r="AX208" s="2496"/>
      <c r="AY208" s="2496"/>
      <c r="AZ208" s="2496"/>
      <c r="BA208" s="2496"/>
      <c r="BB208" s="2496"/>
      <c r="BC208" s="2496"/>
      <c r="BD208" s="2496"/>
      <c r="BE208" s="2496"/>
      <c r="BF208" s="2496"/>
      <c r="BG208" s="2879"/>
      <c r="BH208" s="2879"/>
      <c r="BI208" s="4105"/>
      <c r="BJ208" s="3008"/>
      <c r="BK208" s="3008"/>
      <c r="BL208" s="2496"/>
      <c r="BM208" s="2496"/>
      <c r="BN208" s="2496"/>
      <c r="BO208" s="2496"/>
      <c r="BP208" s="3008"/>
    </row>
    <row r="209" spans="1:68" ht="98.25" customHeight="1" x14ac:dyDescent="0.2">
      <c r="A209" s="4026"/>
      <c r="B209" s="4026"/>
      <c r="C209" s="4026"/>
      <c r="D209" s="4114"/>
      <c r="E209" s="4114"/>
      <c r="F209" s="4114"/>
      <c r="G209" s="2341"/>
      <c r="H209" s="4030"/>
      <c r="I209" s="2413"/>
      <c r="J209" s="3578"/>
      <c r="K209" s="4048"/>
      <c r="L209" s="4049"/>
      <c r="M209" s="3452"/>
      <c r="N209" s="2343"/>
      <c r="O209" s="4102"/>
      <c r="P209" s="2847"/>
      <c r="Q209" s="3383"/>
      <c r="R209" s="2463"/>
      <c r="S209" s="2440"/>
      <c r="T209" s="1958" t="s">
        <v>2136</v>
      </c>
      <c r="U209" s="2066">
        <v>4000000</v>
      </c>
      <c r="V209" s="2062">
        <v>1000000</v>
      </c>
      <c r="W209" s="2062">
        <v>0</v>
      </c>
      <c r="X209" s="2116" t="s">
        <v>1867</v>
      </c>
      <c r="Y209" s="2067" t="s">
        <v>2102</v>
      </c>
      <c r="Z209" s="2496"/>
      <c r="AA209" s="2496"/>
      <c r="AB209" s="2496"/>
      <c r="AC209" s="2496"/>
      <c r="AD209" s="2496"/>
      <c r="AE209" s="2496"/>
      <c r="AF209" s="2496"/>
      <c r="AG209" s="2496"/>
      <c r="AH209" s="2496"/>
      <c r="AI209" s="2496"/>
      <c r="AJ209" s="2496"/>
      <c r="AK209" s="2496"/>
      <c r="AL209" s="2496"/>
      <c r="AM209" s="2496"/>
      <c r="AN209" s="2496"/>
      <c r="AO209" s="2496"/>
      <c r="AP209" s="2496"/>
      <c r="AQ209" s="2496"/>
      <c r="AR209" s="2496"/>
      <c r="AS209" s="2496"/>
      <c r="AT209" s="2496"/>
      <c r="AU209" s="2496"/>
      <c r="AV209" s="2496"/>
      <c r="AW209" s="2496"/>
      <c r="AX209" s="2496"/>
      <c r="AY209" s="2496"/>
      <c r="AZ209" s="2496"/>
      <c r="BA209" s="2496"/>
      <c r="BB209" s="2496"/>
      <c r="BC209" s="2496"/>
      <c r="BD209" s="2496"/>
      <c r="BE209" s="2496"/>
      <c r="BF209" s="2496"/>
      <c r="BG209" s="2879"/>
      <c r="BH209" s="2879"/>
      <c r="BI209" s="4105"/>
      <c r="BJ209" s="3008"/>
      <c r="BK209" s="3008"/>
      <c r="BL209" s="2496"/>
      <c r="BM209" s="2496"/>
      <c r="BN209" s="2496"/>
      <c r="BO209" s="2496"/>
      <c r="BP209" s="3008"/>
    </row>
    <row r="210" spans="1:68" ht="98.25" customHeight="1" x14ac:dyDescent="0.2">
      <c r="A210" s="4026"/>
      <c r="B210" s="4026"/>
      <c r="C210" s="4026"/>
      <c r="D210" s="4114"/>
      <c r="E210" s="4114"/>
      <c r="F210" s="4114"/>
      <c r="G210" s="2341"/>
      <c r="H210" s="4030"/>
      <c r="I210" s="2413"/>
      <c r="J210" s="3578"/>
      <c r="K210" s="4048"/>
      <c r="L210" s="4049"/>
      <c r="M210" s="3452"/>
      <c r="N210" s="2343"/>
      <c r="O210" s="4102"/>
      <c r="P210" s="2847"/>
      <c r="Q210" s="3383"/>
      <c r="R210" s="2463"/>
      <c r="S210" s="2440"/>
      <c r="T210" s="1958" t="s">
        <v>2137</v>
      </c>
      <c r="U210" s="2066">
        <v>4000000</v>
      </c>
      <c r="V210" s="2062">
        <v>1000000</v>
      </c>
      <c r="W210" s="2062">
        <v>0</v>
      </c>
      <c r="X210" s="2116" t="s">
        <v>1867</v>
      </c>
      <c r="Y210" s="2067" t="s">
        <v>2102</v>
      </c>
      <c r="Z210" s="2496"/>
      <c r="AA210" s="2496"/>
      <c r="AB210" s="2496"/>
      <c r="AC210" s="2496"/>
      <c r="AD210" s="2496"/>
      <c r="AE210" s="2496"/>
      <c r="AF210" s="2496"/>
      <c r="AG210" s="2496"/>
      <c r="AH210" s="2496"/>
      <c r="AI210" s="2496"/>
      <c r="AJ210" s="2496"/>
      <c r="AK210" s="2496"/>
      <c r="AL210" s="2496"/>
      <c r="AM210" s="2496"/>
      <c r="AN210" s="2496"/>
      <c r="AO210" s="2496"/>
      <c r="AP210" s="2496"/>
      <c r="AQ210" s="2496"/>
      <c r="AR210" s="2496"/>
      <c r="AS210" s="2496"/>
      <c r="AT210" s="2496"/>
      <c r="AU210" s="2496"/>
      <c r="AV210" s="2496"/>
      <c r="AW210" s="2496"/>
      <c r="AX210" s="2496"/>
      <c r="AY210" s="2496"/>
      <c r="AZ210" s="2496"/>
      <c r="BA210" s="2496"/>
      <c r="BB210" s="2496"/>
      <c r="BC210" s="2496"/>
      <c r="BD210" s="2496"/>
      <c r="BE210" s="2496"/>
      <c r="BF210" s="2496"/>
      <c r="BG210" s="2879"/>
      <c r="BH210" s="2879"/>
      <c r="BI210" s="4105"/>
      <c r="BJ210" s="3008"/>
      <c r="BK210" s="3008"/>
      <c r="BL210" s="2496"/>
      <c r="BM210" s="2496"/>
      <c r="BN210" s="2496"/>
      <c r="BO210" s="2496"/>
      <c r="BP210" s="3008"/>
    </row>
    <row r="211" spans="1:68" ht="98.25" customHeight="1" x14ac:dyDescent="0.2">
      <c r="A211" s="4026"/>
      <c r="B211" s="4026"/>
      <c r="C211" s="4026"/>
      <c r="D211" s="4114"/>
      <c r="E211" s="4114"/>
      <c r="F211" s="4114"/>
      <c r="G211" s="2341"/>
      <c r="H211" s="4030"/>
      <c r="I211" s="2413"/>
      <c r="J211" s="3578"/>
      <c r="K211" s="4048"/>
      <c r="L211" s="4049"/>
      <c r="M211" s="3452"/>
      <c r="N211" s="2343"/>
      <c r="O211" s="4102"/>
      <c r="P211" s="2847"/>
      <c r="Q211" s="3383"/>
      <c r="R211" s="2463"/>
      <c r="S211" s="2440"/>
      <c r="T211" s="1958" t="s">
        <v>2138</v>
      </c>
      <c r="U211" s="2066">
        <v>4000000</v>
      </c>
      <c r="V211" s="2062">
        <v>1000000</v>
      </c>
      <c r="W211" s="2062">
        <v>0</v>
      </c>
      <c r="X211" s="2116" t="s">
        <v>1867</v>
      </c>
      <c r="Y211" s="2067" t="s">
        <v>2102</v>
      </c>
      <c r="Z211" s="2496"/>
      <c r="AA211" s="2496"/>
      <c r="AB211" s="2496"/>
      <c r="AC211" s="2496"/>
      <c r="AD211" s="2496"/>
      <c r="AE211" s="2496"/>
      <c r="AF211" s="2496"/>
      <c r="AG211" s="2496"/>
      <c r="AH211" s="2496"/>
      <c r="AI211" s="2496"/>
      <c r="AJ211" s="2496"/>
      <c r="AK211" s="2496"/>
      <c r="AL211" s="2496"/>
      <c r="AM211" s="2496"/>
      <c r="AN211" s="2496"/>
      <c r="AO211" s="2496"/>
      <c r="AP211" s="2496"/>
      <c r="AQ211" s="2496"/>
      <c r="AR211" s="2496"/>
      <c r="AS211" s="2496"/>
      <c r="AT211" s="2496"/>
      <c r="AU211" s="2496"/>
      <c r="AV211" s="2496"/>
      <c r="AW211" s="2496"/>
      <c r="AX211" s="2496"/>
      <c r="AY211" s="2496"/>
      <c r="AZ211" s="2496"/>
      <c r="BA211" s="2496"/>
      <c r="BB211" s="2496"/>
      <c r="BC211" s="2496"/>
      <c r="BD211" s="2496"/>
      <c r="BE211" s="2496"/>
      <c r="BF211" s="2496"/>
      <c r="BG211" s="2879"/>
      <c r="BH211" s="2879"/>
      <c r="BI211" s="4105"/>
      <c r="BJ211" s="3008"/>
      <c r="BK211" s="3008"/>
      <c r="BL211" s="2496"/>
      <c r="BM211" s="2496"/>
      <c r="BN211" s="2496"/>
      <c r="BO211" s="2496"/>
      <c r="BP211" s="3008"/>
    </row>
    <row r="212" spans="1:68" ht="98.25" customHeight="1" x14ac:dyDescent="0.2">
      <c r="A212" s="4026"/>
      <c r="B212" s="4026"/>
      <c r="C212" s="4026"/>
      <c r="D212" s="4114"/>
      <c r="E212" s="4114"/>
      <c r="F212" s="4114"/>
      <c r="G212" s="2341"/>
      <c r="H212" s="4030"/>
      <c r="I212" s="2413"/>
      <c r="J212" s="3578"/>
      <c r="K212" s="4048"/>
      <c r="L212" s="4049"/>
      <c r="M212" s="3452"/>
      <c r="N212" s="2343"/>
      <c r="O212" s="4102"/>
      <c r="P212" s="2847"/>
      <c r="Q212" s="3383"/>
      <c r="R212" s="2463"/>
      <c r="S212" s="2440"/>
      <c r="T212" s="1958" t="s">
        <v>2139</v>
      </c>
      <c r="U212" s="2066">
        <v>4000000</v>
      </c>
      <c r="V212" s="2062">
        <v>0</v>
      </c>
      <c r="W212" s="2062">
        <v>0</v>
      </c>
      <c r="X212" s="2116" t="s">
        <v>1867</v>
      </c>
      <c r="Y212" s="2067" t="s">
        <v>2102</v>
      </c>
      <c r="Z212" s="2496"/>
      <c r="AA212" s="2496"/>
      <c r="AB212" s="2496"/>
      <c r="AC212" s="2496"/>
      <c r="AD212" s="2496"/>
      <c r="AE212" s="2496"/>
      <c r="AF212" s="2496"/>
      <c r="AG212" s="2496"/>
      <c r="AH212" s="2496"/>
      <c r="AI212" s="2496"/>
      <c r="AJ212" s="2496"/>
      <c r="AK212" s="2496"/>
      <c r="AL212" s="2496"/>
      <c r="AM212" s="2496"/>
      <c r="AN212" s="2496"/>
      <c r="AO212" s="2496"/>
      <c r="AP212" s="2496"/>
      <c r="AQ212" s="2496"/>
      <c r="AR212" s="2496"/>
      <c r="AS212" s="2496"/>
      <c r="AT212" s="2496"/>
      <c r="AU212" s="2496"/>
      <c r="AV212" s="2496"/>
      <c r="AW212" s="2496"/>
      <c r="AX212" s="2496"/>
      <c r="AY212" s="2496"/>
      <c r="AZ212" s="2496"/>
      <c r="BA212" s="2496"/>
      <c r="BB212" s="2496"/>
      <c r="BC212" s="2496"/>
      <c r="BD212" s="2496"/>
      <c r="BE212" s="2496"/>
      <c r="BF212" s="2496"/>
      <c r="BG212" s="2879"/>
      <c r="BH212" s="2879"/>
      <c r="BI212" s="4105"/>
      <c r="BJ212" s="3008"/>
      <c r="BK212" s="3008"/>
      <c r="BL212" s="2496"/>
      <c r="BM212" s="2496"/>
      <c r="BN212" s="2496"/>
      <c r="BO212" s="2496"/>
      <c r="BP212" s="3008"/>
    </row>
    <row r="213" spans="1:68" ht="98.25" customHeight="1" x14ac:dyDescent="0.2">
      <c r="A213" s="4026"/>
      <c r="B213" s="4026"/>
      <c r="C213" s="4026"/>
      <c r="D213" s="4114"/>
      <c r="E213" s="4114"/>
      <c r="F213" s="4114"/>
      <c r="G213" s="2341"/>
      <c r="H213" s="4030"/>
      <c r="I213" s="2413"/>
      <c r="J213" s="3578"/>
      <c r="K213" s="4048"/>
      <c r="L213" s="4049"/>
      <c r="M213" s="3452"/>
      <c r="N213" s="2343"/>
      <c r="O213" s="4102"/>
      <c r="P213" s="2847"/>
      <c r="Q213" s="3383"/>
      <c r="R213" s="2463"/>
      <c r="S213" s="2440"/>
      <c r="T213" s="1958" t="s">
        <v>2140</v>
      </c>
      <c r="U213" s="2066">
        <v>4000000</v>
      </c>
      <c r="V213" s="2062">
        <v>1000000</v>
      </c>
      <c r="W213" s="2062">
        <v>0</v>
      </c>
      <c r="X213" s="2116" t="s">
        <v>1867</v>
      </c>
      <c r="Y213" s="2067" t="s">
        <v>2102</v>
      </c>
      <c r="Z213" s="2496"/>
      <c r="AA213" s="2496"/>
      <c r="AB213" s="2496"/>
      <c r="AC213" s="2496"/>
      <c r="AD213" s="2496"/>
      <c r="AE213" s="2496"/>
      <c r="AF213" s="2496"/>
      <c r="AG213" s="2496"/>
      <c r="AH213" s="2496"/>
      <c r="AI213" s="2496"/>
      <c r="AJ213" s="2496"/>
      <c r="AK213" s="2496"/>
      <c r="AL213" s="2496"/>
      <c r="AM213" s="2496"/>
      <c r="AN213" s="2496"/>
      <c r="AO213" s="2496"/>
      <c r="AP213" s="2496"/>
      <c r="AQ213" s="2496"/>
      <c r="AR213" s="2496"/>
      <c r="AS213" s="2496"/>
      <c r="AT213" s="2496"/>
      <c r="AU213" s="2496"/>
      <c r="AV213" s="2496"/>
      <c r="AW213" s="2496"/>
      <c r="AX213" s="2496"/>
      <c r="AY213" s="2496"/>
      <c r="AZ213" s="2496"/>
      <c r="BA213" s="2496"/>
      <c r="BB213" s="2496"/>
      <c r="BC213" s="2496"/>
      <c r="BD213" s="2496"/>
      <c r="BE213" s="2496"/>
      <c r="BF213" s="2496"/>
      <c r="BG213" s="2879"/>
      <c r="BH213" s="2879"/>
      <c r="BI213" s="4105"/>
      <c r="BJ213" s="3008"/>
      <c r="BK213" s="3008"/>
      <c r="BL213" s="2496"/>
      <c r="BM213" s="2496"/>
      <c r="BN213" s="2496"/>
      <c r="BO213" s="2496"/>
      <c r="BP213" s="3008"/>
    </row>
    <row r="214" spans="1:68" ht="98.25" customHeight="1" x14ac:dyDescent="0.2">
      <c r="A214" s="4026"/>
      <c r="B214" s="4026"/>
      <c r="C214" s="4026"/>
      <c r="D214" s="4114"/>
      <c r="E214" s="4114"/>
      <c r="F214" s="4114"/>
      <c r="G214" s="2341"/>
      <c r="H214" s="4030"/>
      <c r="I214" s="2413"/>
      <c r="J214" s="3578"/>
      <c r="K214" s="4048"/>
      <c r="L214" s="4049"/>
      <c r="M214" s="3452"/>
      <c r="N214" s="2343"/>
      <c r="O214" s="4102"/>
      <c r="P214" s="2847"/>
      <c r="Q214" s="3383"/>
      <c r="R214" s="2463"/>
      <c r="S214" s="2440"/>
      <c r="T214" s="1958" t="s">
        <v>2141</v>
      </c>
      <c r="U214" s="2066">
        <v>3000000</v>
      </c>
      <c r="V214" s="2062">
        <v>1000000</v>
      </c>
      <c r="W214" s="2062">
        <v>0</v>
      </c>
      <c r="X214" s="2116" t="s">
        <v>1867</v>
      </c>
      <c r="Y214" s="2067" t="s">
        <v>2102</v>
      </c>
      <c r="Z214" s="2496"/>
      <c r="AA214" s="2496"/>
      <c r="AB214" s="2496"/>
      <c r="AC214" s="2496"/>
      <c r="AD214" s="2496"/>
      <c r="AE214" s="2496"/>
      <c r="AF214" s="2496"/>
      <c r="AG214" s="2496"/>
      <c r="AH214" s="2496"/>
      <c r="AI214" s="2496"/>
      <c r="AJ214" s="2496"/>
      <c r="AK214" s="2496"/>
      <c r="AL214" s="2496"/>
      <c r="AM214" s="2496"/>
      <c r="AN214" s="2496"/>
      <c r="AO214" s="2496"/>
      <c r="AP214" s="2496"/>
      <c r="AQ214" s="2496"/>
      <c r="AR214" s="2496"/>
      <c r="AS214" s="2496"/>
      <c r="AT214" s="2496"/>
      <c r="AU214" s="2496"/>
      <c r="AV214" s="2496"/>
      <c r="AW214" s="2496"/>
      <c r="AX214" s="2496"/>
      <c r="AY214" s="2496"/>
      <c r="AZ214" s="2496"/>
      <c r="BA214" s="2496"/>
      <c r="BB214" s="2496"/>
      <c r="BC214" s="2496"/>
      <c r="BD214" s="2496"/>
      <c r="BE214" s="2496"/>
      <c r="BF214" s="2496"/>
      <c r="BG214" s="2879"/>
      <c r="BH214" s="2879"/>
      <c r="BI214" s="4105"/>
      <c r="BJ214" s="3008"/>
      <c r="BK214" s="3008"/>
      <c r="BL214" s="2496"/>
      <c r="BM214" s="2496"/>
      <c r="BN214" s="2496"/>
      <c r="BO214" s="2496"/>
      <c r="BP214" s="3008"/>
    </row>
    <row r="215" spans="1:68" ht="98.25" customHeight="1" x14ac:dyDescent="0.2">
      <c r="A215" s="4026"/>
      <c r="B215" s="4026"/>
      <c r="C215" s="4026"/>
      <c r="D215" s="4114"/>
      <c r="E215" s="4114"/>
      <c r="F215" s="4114"/>
      <c r="G215" s="2933"/>
      <c r="H215" s="4030"/>
      <c r="I215" s="2493"/>
      <c r="J215" s="3252"/>
      <c r="K215" s="4048"/>
      <c r="L215" s="4049"/>
      <c r="M215" s="4139"/>
      <c r="N215" s="2491"/>
      <c r="O215" s="3007"/>
      <c r="P215" s="2847"/>
      <c r="Q215" s="3383"/>
      <c r="R215" s="2463"/>
      <c r="S215" s="2441"/>
      <c r="T215" s="1958" t="s">
        <v>2142</v>
      </c>
      <c r="U215" s="2066">
        <v>3000000</v>
      </c>
      <c r="V215" s="2062">
        <v>1000000</v>
      </c>
      <c r="W215" s="2062">
        <v>0</v>
      </c>
      <c r="X215" s="2116" t="s">
        <v>1867</v>
      </c>
      <c r="Y215" s="2067" t="s">
        <v>2102</v>
      </c>
      <c r="Z215" s="2497"/>
      <c r="AA215" s="2497"/>
      <c r="AB215" s="2497"/>
      <c r="AC215" s="2497"/>
      <c r="AD215" s="2497"/>
      <c r="AE215" s="2497"/>
      <c r="AF215" s="2497"/>
      <c r="AG215" s="2497"/>
      <c r="AH215" s="2497"/>
      <c r="AI215" s="2497"/>
      <c r="AJ215" s="2497"/>
      <c r="AK215" s="2497"/>
      <c r="AL215" s="2497"/>
      <c r="AM215" s="2497"/>
      <c r="AN215" s="2497"/>
      <c r="AO215" s="2497"/>
      <c r="AP215" s="2497"/>
      <c r="AQ215" s="2497"/>
      <c r="AR215" s="2497"/>
      <c r="AS215" s="2497"/>
      <c r="AT215" s="2497"/>
      <c r="AU215" s="2497"/>
      <c r="AV215" s="2497"/>
      <c r="AW215" s="2497"/>
      <c r="AX215" s="2497"/>
      <c r="AY215" s="2497"/>
      <c r="AZ215" s="2497"/>
      <c r="BA215" s="2497"/>
      <c r="BB215" s="2497"/>
      <c r="BC215" s="2497"/>
      <c r="BD215" s="2497"/>
      <c r="BE215" s="2497"/>
      <c r="BF215" s="2497"/>
      <c r="BG215" s="2880"/>
      <c r="BH215" s="2880"/>
      <c r="BI215" s="4106"/>
      <c r="BJ215" s="3009"/>
      <c r="BK215" s="3009"/>
      <c r="BL215" s="2497"/>
      <c r="BM215" s="2497"/>
      <c r="BN215" s="2497"/>
      <c r="BO215" s="2497"/>
      <c r="BP215" s="3009"/>
    </row>
    <row r="216" spans="1:68" ht="57.75" customHeight="1" x14ac:dyDescent="0.2">
      <c r="A216" s="4026"/>
      <c r="B216" s="4026"/>
      <c r="C216" s="4026"/>
      <c r="D216" s="4114"/>
      <c r="E216" s="4114"/>
      <c r="F216" s="4114"/>
      <c r="G216" s="2341" t="s">
        <v>208</v>
      </c>
      <c r="H216" s="4043">
        <v>12.19</v>
      </c>
      <c r="I216" s="2413" t="s">
        <v>2028</v>
      </c>
      <c r="J216" s="2512" t="s">
        <v>2029</v>
      </c>
      <c r="K216" s="4048">
        <v>2</v>
      </c>
      <c r="L216" s="4049">
        <v>1</v>
      </c>
      <c r="M216" s="2341" t="s">
        <v>2143</v>
      </c>
      <c r="N216" s="2343" t="s">
        <v>2144</v>
      </c>
      <c r="O216" s="2413" t="s">
        <v>2145</v>
      </c>
      <c r="P216" s="3748">
        <f>SUM(U216:U224)/Q216</f>
        <v>0.8075878854768388</v>
      </c>
      <c r="Q216" s="4143">
        <f>SUM(U216:U233)</f>
        <v>525751228.61000001</v>
      </c>
      <c r="R216" s="4144" t="s">
        <v>2146</v>
      </c>
      <c r="S216" s="2439" t="s">
        <v>2147</v>
      </c>
      <c r="T216" s="3061" t="s">
        <v>2148</v>
      </c>
      <c r="U216" s="2131">
        <f>59118933+200991312-55519922</f>
        <v>204590323</v>
      </c>
      <c r="V216" s="2062">
        <v>139475717</v>
      </c>
      <c r="W216" s="2062">
        <v>139468517</v>
      </c>
      <c r="X216" s="2116" t="s">
        <v>2149</v>
      </c>
      <c r="Y216" s="2132" t="s">
        <v>2150</v>
      </c>
      <c r="Z216" s="2306">
        <v>292684</v>
      </c>
      <c r="AA216" s="2306">
        <f>SUM(Z216*0.56)</f>
        <v>163903.04000000001</v>
      </c>
      <c r="AB216" s="2306">
        <v>282326</v>
      </c>
      <c r="AC216" s="2306">
        <f>SUM(AB216*0.56)</f>
        <v>158102.56000000003</v>
      </c>
      <c r="AD216" s="2306">
        <v>135912</v>
      </c>
      <c r="AE216" s="2306">
        <f>SUM(AD216*0.56)</f>
        <v>76110.720000000001</v>
      </c>
      <c r="AF216" s="2306">
        <v>45122</v>
      </c>
      <c r="AG216" s="2306">
        <f>SUM(AF216*0.56)</f>
        <v>25268.320000000003</v>
      </c>
      <c r="AH216" s="2306">
        <v>307101</v>
      </c>
      <c r="AI216" s="2306">
        <f>SUM(AH216*0.56)</f>
        <v>171976.56000000003</v>
      </c>
      <c r="AJ216" s="2306">
        <v>86875</v>
      </c>
      <c r="AK216" s="2306">
        <f>SUM(AJ216*0.56)</f>
        <v>48650.000000000007</v>
      </c>
      <c r="AL216" s="2306">
        <v>2145</v>
      </c>
      <c r="AM216" s="2306">
        <f>SUM(AL216*0.56)</f>
        <v>1201.2</v>
      </c>
      <c r="AN216" s="2306">
        <v>12718</v>
      </c>
      <c r="AO216" s="2306">
        <f>SUM(AN216*0.56)</f>
        <v>7122.0800000000008</v>
      </c>
      <c r="AP216" s="2306">
        <v>26</v>
      </c>
      <c r="AQ216" s="2306">
        <f>SUM(AP216*0.56)</f>
        <v>14.560000000000002</v>
      </c>
      <c r="AR216" s="2306">
        <v>37</v>
      </c>
      <c r="AS216" s="2306">
        <f>SUM(AR216*0.56)</f>
        <v>20.720000000000002</v>
      </c>
      <c r="AT216" s="2306">
        <v>0</v>
      </c>
      <c r="AU216" s="2306">
        <f>SUM(AT216*0.56)</f>
        <v>0</v>
      </c>
      <c r="AV216" s="2306">
        <v>0</v>
      </c>
      <c r="AW216" s="2306">
        <f>SUM(AV216*0.56)</f>
        <v>0</v>
      </c>
      <c r="AX216" s="2306">
        <v>53164</v>
      </c>
      <c r="AY216" s="2306">
        <f>SUM(AX216*0.56)</f>
        <v>29771.840000000004</v>
      </c>
      <c r="AZ216" s="2306">
        <v>16982</v>
      </c>
      <c r="BA216" s="2306">
        <f>SUM(AZ216*0.56)</f>
        <v>9509.92</v>
      </c>
      <c r="BB216" s="2306">
        <v>60013</v>
      </c>
      <c r="BC216" s="2306">
        <f>SUM(BB216*0.56)</f>
        <v>33607.280000000006</v>
      </c>
      <c r="BD216" s="2306">
        <v>575010</v>
      </c>
      <c r="BE216" s="2306">
        <f>SUM(BD216*0.56)</f>
        <v>322005.60000000003</v>
      </c>
      <c r="BF216" s="2306">
        <v>14</v>
      </c>
      <c r="BG216" s="4039">
        <f>SUM(V216:V233)</f>
        <v>292255537</v>
      </c>
      <c r="BH216" s="4039">
        <f>SUM(W216:W233)</f>
        <v>217788337</v>
      </c>
      <c r="BI216" s="3031">
        <f>SUM(BG216/Q216)</f>
        <v>0.55588179560260031</v>
      </c>
      <c r="BJ216" s="2422" t="s">
        <v>1809</v>
      </c>
      <c r="BK216" s="2422" t="s">
        <v>1810</v>
      </c>
      <c r="BL216" s="3719">
        <v>43832</v>
      </c>
      <c r="BM216" s="3719">
        <v>43832</v>
      </c>
      <c r="BN216" s="3719">
        <v>44196</v>
      </c>
      <c r="BO216" s="3719">
        <v>44196</v>
      </c>
      <c r="BP216" s="2422" t="s">
        <v>1811</v>
      </c>
    </row>
    <row r="217" spans="1:68" ht="57.75" customHeight="1" x14ac:dyDescent="0.2">
      <c r="A217" s="4026"/>
      <c r="B217" s="4026"/>
      <c r="C217" s="4026"/>
      <c r="D217" s="4114"/>
      <c r="E217" s="4114"/>
      <c r="F217" s="4114"/>
      <c r="G217" s="2341"/>
      <c r="H217" s="4147"/>
      <c r="I217" s="2413"/>
      <c r="J217" s="2512"/>
      <c r="K217" s="4048"/>
      <c r="L217" s="4049"/>
      <c r="M217" s="2341"/>
      <c r="N217" s="2343"/>
      <c r="O217" s="2413"/>
      <c r="P217" s="3748"/>
      <c r="Q217" s="4143"/>
      <c r="R217" s="4145"/>
      <c r="S217" s="2440"/>
      <c r="T217" s="3907"/>
      <c r="U217" s="2131">
        <f>80000000-25000000</f>
        <v>55000000</v>
      </c>
      <c r="V217" s="2062">
        <v>22000000</v>
      </c>
      <c r="W217" s="2062">
        <v>2800000</v>
      </c>
      <c r="X217" s="2116" t="s">
        <v>1867</v>
      </c>
      <c r="Y217" s="2132" t="s">
        <v>2102</v>
      </c>
      <c r="Z217" s="2307"/>
      <c r="AA217" s="2307"/>
      <c r="AB217" s="2307"/>
      <c r="AC217" s="2307"/>
      <c r="AD217" s="2307"/>
      <c r="AE217" s="2307"/>
      <c r="AF217" s="2307"/>
      <c r="AG217" s="2307"/>
      <c r="AH217" s="2307"/>
      <c r="AI217" s="2307"/>
      <c r="AJ217" s="2307"/>
      <c r="AK217" s="2307"/>
      <c r="AL217" s="2307"/>
      <c r="AM217" s="2307"/>
      <c r="AN217" s="2307"/>
      <c r="AO217" s="2307"/>
      <c r="AP217" s="2307"/>
      <c r="AQ217" s="2307"/>
      <c r="AR217" s="2307"/>
      <c r="AS217" s="2307"/>
      <c r="AT217" s="2307"/>
      <c r="AU217" s="2307"/>
      <c r="AV217" s="2307"/>
      <c r="AW217" s="2307"/>
      <c r="AX217" s="2307"/>
      <c r="AY217" s="2307"/>
      <c r="AZ217" s="2307"/>
      <c r="BA217" s="2307"/>
      <c r="BB217" s="2307"/>
      <c r="BC217" s="2307"/>
      <c r="BD217" s="2307"/>
      <c r="BE217" s="2307"/>
      <c r="BF217" s="2307"/>
      <c r="BG217" s="2567"/>
      <c r="BH217" s="2567"/>
      <c r="BI217" s="3032"/>
      <c r="BJ217" s="2423"/>
      <c r="BK217" s="2423"/>
      <c r="BL217" s="2307"/>
      <c r="BM217" s="2307"/>
      <c r="BN217" s="2307"/>
      <c r="BO217" s="2307"/>
      <c r="BP217" s="2423"/>
    </row>
    <row r="218" spans="1:68" ht="57.75" customHeight="1" x14ac:dyDescent="0.2">
      <c r="A218" s="4026"/>
      <c r="B218" s="4026"/>
      <c r="C218" s="4026"/>
      <c r="D218" s="4114"/>
      <c r="E218" s="4114"/>
      <c r="F218" s="4114"/>
      <c r="G218" s="2341"/>
      <c r="H218" s="4147"/>
      <c r="I218" s="2413"/>
      <c r="J218" s="2512"/>
      <c r="K218" s="4048"/>
      <c r="L218" s="4049"/>
      <c r="M218" s="2341"/>
      <c r="N218" s="2343"/>
      <c r="O218" s="2413"/>
      <c r="P218" s="3748"/>
      <c r="Q218" s="4143"/>
      <c r="R218" s="4145"/>
      <c r="S218" s="2440"/>
      <c r="T218" s="3062"/>
      <c r="U218" s="2131">
        <f>36000000+15000000</f>
        <v>51000000</v>
      </c>
      <c r="V218" s="2062">
        <v>0</v>
      </c>
      <c r="W218" s="2062">
        <v>0</v>
      </c>
      <c r="X218" s="2116" t="s">
        <v>1942</v>
      </c>
      <c r="Y218" s="2132" t="s">
        <v>780</v>
      </c>
      <c r="Z218" s="2307"/>
      <c r="AA218" s="2307"/>
      <c r="AB218" s="2307"/>
      <c r="AC218" s="2307"/>
      <c r="AD218" s="2307"/>
      <c r="AE218" s="2307"/>
      <c r="AF218" s="2307"/>
      <c r="AG218" s="2307"/>
      <c r="AH218" s="2307"/>
      <c r="AI218" s="2307"/>
      <c r="AJ218" s="2307"/>
      <c r="AK218" s="2307"/>
      <c r="AL218" s="2307"/>
      <c r="AM218" s="2307"/>
      <c r="AN218" s="2307"/>
      <c r="AO218" s="2307"/>
      <c r="AP218" s="2307"/>
      <c r="AQ218" s="2307"/>
      <c r="AR218" s="2307"/>
      <c r="AS218" s="2307"/>
      <c r="AT218" s="2307"/>
      <c r="AU218" s="2307"/>
      <c r="AV218" s="2307"/>
      <c r="AW218" s="2307"/>
      <c r="AX218" s="2307"/>
      <c r="AY218" s="2307"/>
      <c r="AZ218" s="2307"/>
      <c r="BA218" s="2307"/>
      <c r="BB218" s="2307"/>
      <c r="BC218" s="2307"/>
      <c r="BD218" s="2307"/>
      <c r="BE218" s="2307"/>
      <c r="BF218" s="2307"/>
      <c r="BG218" s="2567"/>
      <c r="BH218" s="2567"/>
      <c r="BI218" s="3032"/>
      <c r="BJ218" s="2423"/>
      <c r="BK218" s="2423"/>
      <c r="BL218" s="2307"/>
      <c r="BM218" s="2307"/>
      <c r="BN218" s="2307"/>
      <c r="BO218" s="2307"/>
      <c r="BP218" s="2423"/>
    </row>
    <row r="219" spans="1:68" ht="93.75" customHeight="1" x14ac:dyDescent="0.2">
      <c r="A219" s="4026"/>
      <c r="B219" s="4026"/>
      <c r="C219" s="4026"/>
      <c r="D219" s="4114"/>
      <c r="E219" s="4114"/>
      <c r="F219" s="4114"/>
      <c r="G219" s="2341"/>
      <c r="H219" s="4147"/>
      <c r="I219" s="2413"/>
      <c r="J219" s="2512"/>
      <c r="K219" s="4048"/>
      <c r="L219" s="4049"/>
      <c r="M219" s="2341"/>
      <c r="N219" s="2343"/>
      <c r="O219" s="2413"/>
      <c r="P219" s="3748"/>
      <c r="Q219" s="4143"/>
      <c r="R219" s="4145"/>
      <c r="S219" s="2440"/>
      <c r="T219" s="1908" t="s">
        <v>2151</v>
      </c>
      <c r="U219" s="2131">
        <v>10000000</v>
      </c>
      <c r="V219" s="2062">
        <v>0</v>
      </c>
      <c r="W219" s="2062">
        <v>0</v>
      </c>
      <c r="X219" s="2116" t="s">
        <v>1867</v>
      </c>
      <c r="Y219" s="2132" t="s">
        <v>2102</v>
      </c>
      <c r="Z219" s="2307"/>
      <c r="AA219" s="2307"/>
      <c r="AB219" s="2307"/>
      <c r="AC219" s="2307"/>
      <c r="AD219" s="2307"/>
      <c r="AE219" s="2307"/>
      <c r="AF219" s="2307"/>
      <c r="AG219" s="2307"/>
      <c r="AH219" s="2307"/>
      <c r="AI219" s="2307"/>
      <c r="AJ219" s="2307"/>
      <c r="AK219" s="2307"/>
      <c r="AL219" s="2307"/>
      <c r="AM219" s="2307"/>
      <c r="AN219" s="2307"/>
      <c r="AO219" s="2307"/>
      <c r="AP219" s="2307"/>
      <c r="AQ219" s="2307"/>
      <c r="AR219" s="2307"/>
      <c r="AS219" s="2307"/>
      <c r="AT219" s="2307"/>
      <c r="AU219" s="2307"/>
      <c r="AV219" s="2307"/>
      <c r="AW219" s="2307"/>
      <c r="AX219" s="2307"/>
      <c r="AY219" s="2307"/>
      <c r="AZ219" s="2307"/>
      <c r="BA219" s="2307"/>
      <c r="BB219" s="2307"/>
      <c r="BC219" s="2307"/>
      <c r="BD219" s="2307"/>
      <c r="BE219" s="2307"/>
      <c r="BF219" s="2307"/>
      <c r="BG219" s="2567"/>
      <c r="BH219" s="2567"/>
      <c r="BI219" s="3032"/>
      <c r="BJ219" s="2423"/>
      <c r="BK219" s="2423"/>
      <c r="BL219" s="2307"/>
      <c r="BM219" s="2307"/>
      <c r="BN219" s="2307"/>
      <c r="BO219" s="2307"/>
      <c r="BP219" s="2423"/>
    </row>
    <row r="220" spans="1:68" ht="57.75" customHeight="1" x14ac:dyDescent="0.2">
      <c r="A220" s="4026"/>
      <c r="B220" s="4026"/>
      <c r="C220" s="4026"/>
      <c r="D220" s="4114"/>
      <c r="E220" s="4114"/>
      <c r="F220" s="4114"/>
      <c r="G220" s="2341"/>
      <c r="H220" s="4147"/>
      <c r="I220" s="2413"/>
      <c r="J220" s="2512"/>
      <c r="K220" s="4048"/>
      <c r="L220" s="4049"/>
      <c r="M220" s="2341"/>
      <c r="N220" s="2343"/>
      <c r="O220" s="2413"/>
      <c r="P220" s="3748"/>
      <c r="Q220" s="4143"/>
      <c r="R220" s="4145"/>
      <c r="S220" s="2440"/>
      <c r="T220" s="3061" t="s">
        <v>2152</v>
      </c>
      <c r="U220" s="2131">
        <v>10000000</v>
      </c>
      <c r="V220" s="2062">
        <v>0</v>
      </c>
      <c r="W220" s="2062">
        <v>0</v>
      </c>
      <c r="X220" s="2116" t="s">
        <v>1867</v>
      </c>
      <c r="Y220" s="2132" t="s">
        <v>2102</v>
      </c>
      <c r="Z220" s="2307"/>
      <c r="AA220" s="2307"/>
      <c r="AB220" s="2307"/>
      <c r="AC220" s="2307"/>
      <c r="AD220" s="2307"/>
      <c r="AE220" s="2307"/>
      <c r="AF220" s="2307"/>
      <c r="AG220" s="2307"/>
      <c r="AH220" s="2307"/>
      <c r="AI220" s="2307"/>
      <c r="AJ220" s="2307"/>
      <c r="AK220" s="2307"/>
      <c r="AL220" s="2307"/>
      <c r="AM220" s="2307"/>
      <c r="AN220" s="2307"/>
      <c r="AO220" s="2307"/>
      <c r="AP220" s="2307"/>
      <c r="AQ220" s="2307"/>
      <c r="AR220" s="2307"/>
      <c r="AS220" s="2307"/>
      <c r="AT220" s="2307"/>
      <c r="AU220" s="2307"/>
      <c r="AV220" s="2307"/>
      <c r="AW220" s="2307"/>
      <c r="AX220" s="2307"/>
      <c r="AY220" s="2307"/>
      <c r="AZ220" s="2307"/>
      <c r="BA220" s="2307"/>
      <c r="BB220" s="2307"/>
      <c r="BC220" s="2307"/>
      <c r="BD220" s="2307"/>
      <c r="BE220" s="2307"/>
      <c r="BF220" s="2307"/>
      <c r="BG220" s="2567"/>
      <c r="BH220" s="2567"/>
      <c r="BI220" s="3032"/>
      <c r="BJ220" s="2423"/>
      <c r="BK220" s="2423"/>
      <c r="BL220" s="2307"/>
      <c r="BM220" s="2307"/>
      <c r="BN220" s="2307"/>
      <c r="BO220" s="2307"/>
      <c r="BP220" s="2423"/>
    </row>
    <row r="221" spans="1:68" ht="57.75" customHeight="1" x14ac:dyDescent="0.2">
      <c r="A221" s="4026"/>
      <c r="B221" s="4026"/>
      <c r="C221" s="4026"/>
      <c r="D221" s="4114"/>
      <c r="E221" s="4114"/>
      <c r="F221" s="4114"/>
      <c r="G221" s="2341"/>
      <c r="H221" s="4147"/>
      <c r="I221" s="2413"/>
      <c r="J221" s="2512"/>
      <c r="K221" s="4048"/>
      <c r="L221" s="4049"/>
      <c r="M221" s="2341"/>
      <c r="N221" s="2343"/>
      <c r="O221" s="2413"/>
      <c r="P221" s="3748"/>
      <c r="Q221" s="4143"/>
      <c r="R221" s="4145"/>
      <c r="S221" s="2440"/>
      <c r="T221" s="3062"/>
      <c r="U221" s="2131">
        <f>18982533+4000000</f>
        <v>22982533</v>
      </c>
      <c r="V221" s="2062">
        <v>18982533</v>
      </c>
      <c r="W221" s="2062">
        <v>18982533</v>
      </c>
      <c r="X221" s="2116" t="s">
        <v>1944</v>
      </c>
      <c r="Y221" s="2132" t="s">
        <v>7</v>
      </c>
      <c r="Z221" s="2307"/>
      <c r="AA221" s="2307"/>
      <c r="AB221" s="2307"/>
      <c r="AC221" s="2307"/>
      <c r="AD221" s="2307"/>
      <c r="AE221" s="2307"/>
      <c r="AF221" s="2307"/>
      <c r="AG221" s="2307"/>
      <c r="AH221" s="2307"/>
      <c r="AI221" s="2307"/>
      <c r="AJ221" s="2307"/>
      <c r="AK221" s="2307"/>
      <c r="AL221" s="2307"/>
      <c r="AM221" s="2307"/>
      <c r="AN221" s="2307"/>
      <c r="AO221" s="2307"/>
      <c r="AP221" s="2307"/>
      <c r="AQ221" s="2307"/>
      <c r="AR221" s="2307"/>
      <c r="AS221" s="2307"/>
      <c r="AT221" s="2307"/>
      <c r="AU221" s="2307"/>
      <c r="AV221" s="2307"/>
      <c r="AW221" s="2307"/>
      <c r="AX221" s="2307"/>
      <c r="AY221" s="2307"/>
      <c r="AZ221" s="2307"/>
      <c r="BA221" s="2307"/>
      <c r="BB221" s="2307"/>
      <c r="BC221" s="2307"/>
      <c r="BD221" s="2307"/>
      <c r="BE221" s="2307"/>
      <c r="BF221" s="2307"/>
      <c r="BG221" s="2567"/>
      <c r="BH221" s="2567"/>
      <c r="BI221" s="3032"/>
      <c r="BJ221" s="2423"/>
      <c r="BK221" s="2423"/>
      <c r="BL221" s="2307"/>
      <c r="BM221" s="2307"/>
      <c r="BN221" s="2307"/>
      <c r="BO221" s="2307"/>
      <c r="BP221" s="2423"/>
    </row>
    <row r="222" spans="1:68" ht="93" customHeight="1" x14ac:dyDescent="0.2">
      <c r="A222" s="4026"/>
      <c r="B222" s="4026"/>
      <c r="C222" s="4026"/>
      <c r="D222" s="4114"/>
      <c r="E222" s="4114"/>
      <c r="F222" s="4114"/>
      <c r="G222" s="2341"/>
      <c r="H222" s="4147"/>
      <c r="I222" s="2413"/>
      <c r="J222" s="2512"/>
      <c r="K222" s="4048"/>
      <c r="L222" s="4049"/>
      <c r="M222" s="2341"/>
      <c r="N222" s="2343"/>
      <c r="O222" s="2413"/>
      <c r="P222" s="3748"/>
      <c r="Q222" s="4143"/>
      <c r="R222" s="4145"/>
      <c r="S222" s="2440"/>
      <c r="T222" s="1908" t="s">
        <v>2153</v>
      </c>
      <c r="U222" s="2131">
        <f>33697288+2000000</f>
        <v>35697288</v>
      </c>
      <c r="V222" s="2062">
        <v>33697288</v>
      </c>
      <c r="W222" s="2062">
        <v>31830621</v>
      </c>
      <c r="X222" s="2116" t="s">
        <v>1944</v>
      </c>
      <c r="Y222" s="2132" t="s">
        <v>7</v>
      </c>
      <c r="Z222" s="2307"/>
      <c r="AA222" s="2307"/>
      <c r="AB222" s="2307"/>
      <c r="AC222" s="2307"/>
      <c r="AD222" s="2307"/>
      <c r="AE222" s="2307"/>
      <c r="AF222" s="2307"/>
      <c r="AG222" s="2307"/>
      <c r="AH222" s="2307"/>
      <c r="AI222" s="2307"/>
      <c r="AJ222" s="2307"/>
      <c r="AK222" s="2307"/>
      <c r="AL222" s="2307"/>
      <c r="AM222" s="2307"/>
      <c r="AN222" s="2307"/>
      <c r="AO222" s="2307"/>
      <c r="AP222" s="2307"/>
      <c r="AQ222" s="2307"/>
      <c r="AR222" s="2307"/>
      <c r="AS222" s="2307"/>
      <c r="AT222" s="2307"/>
      <c r="AU222" s="2307"/>
      <c r="AV222" s="2307"/>
      <c r="AW222" s="2307"/>
      <c r="AX222" s="2307"/>
      <c r="AY222" s="2307"/>
      <c r="AZ222" s="2307"/>
      <c r="BA222" s="2307"/>
      <c r="BB222" s="2307"/>
      <c r="BC222" s="2307"/>
      <c r="BD222" s="2307"/>
      <c r="BE222" s="2307"/>
      <c r="BF222" s="2307"/>
      <c r="BG222" s="2567"/>
      <c r="BH222" s="2567"/>
      <c r="BI222" s="3032"/>
      <c r="BJ222" s="2423"/>
      <c r="BK222" s="2423"/>
      <c r="BL222" s="2307"/>
      <c r="BM222" s="2307"/>
      <c r="BN222" s="2307"/>
      <c r="BO222" s="2307"/>
      <c r="BP222" s="2423"/>
    </row>
    <row r="223" spans="1:68" ht="81.75" customHeight="1" x14ac:dyDescent="0.2">
      <c r="A223" s="4026"/>
      <c r="B223" s="4026"/>
      <c r="C223" s="4026"/>
      <c r="D223" s="4114"/>
      <c r="E223" s="4114"/>
      <c r="F223" s="4114"/>
      <c r="G223" s="2341"/>
      <c r="H223" s="4147"/>
      <c r="I223" s="2413"/>
      <c r="J223" s="2512"/>
      <c r="K223" s="4048"/>
      <c r="L223" s="4049"/>
      <c r="M223" s="2341"/>
      <c r="N223" s="2343"/>
      <c r="O223" s="2413"/>
      <c r="P223" s="3748"/>
      <c r="Q223" s="4141"/>
      <c r="R223" s="4145"/>
      <c r="S223" s="2440"/>
      <c r="T223" s="1908" t="s">
        <v>2154</v>
      </c>
      <c r="U223" s="2096">
        <f>7466666+25000000</f>
        <v>32466666</v>
      </c>
      <c r="V223" s="2062">
        <v>7466666</v>
      </c>
      <c r="W223" s="2062">
        <v>7466666</v>
      </c>
      <c r="X223" s="2116" t="s">
        <v>1944</v>
      </c>
      <c r="Y223" s="2133" t="s">
        <v>7</v>
      </c>
      <c r="Z223" s="2307"/>
      <c r="AA223" s="2307"/>
      <c r="AB223" s="2307"/>
      <c r="AC223" s="2307"/>
      <c r="AD223" s="2307"/>
      <c r="AE223" s="2307"/>
      <c r="AF223" s="2307"/>
      <c r="AG223" s="2307"/>
      <c r="AH223" s="2307"/>
      <c r="AI223" s="2307"/>
      <c r="AJ223" s="2307"/>
      <c r="AK223" s="2307"/>
      <c r="AL223" s="2307"/>
      <c r="AM223" s="2307"/>
      <c r="AN223" s="2307"/>
      <c r="AO223" s="2307"/>
      <c r="AP223" s="2307"/>
      <c r="AQ223" s="2307"/>
      <c r="AR223" s="2307"/>
      <c r="AS223" s="2307"/>
      <c r="AT223" s="2307"/>
      <c r="AU223" s="2307"/>
      <c r="AV223" s="2307"/>
      <c r="AW223" s="2307"/>
      <c r="AX223" s="2307"/>
      <c r="AY223" s="2307"/>
      <c r="AZ223" s="2307"/>
      <c r="BA223" s="2307"/>
      <c r="BB223" s="2307"/>
      <c r="BC223" s="2307"/>
      <c r="BD223" s="2307"/>
      <c r="BE223" s="2307"/>
      <c r="BF223" s="2307"/>
      <c r="BG223" s="2567"/>
      <c r="BH223" s="2567"/>
      <c r="BI223" s="3032"/>
      <c r="BJ223" s="2423"/>
      <c r="BK223" s="2423"/>
      <c r="BL223" s="2307"/>
      <c r="BM223" s="2307"/>
      <c r="BN223" s="2307"/>
      <c r="BO223" s="2307"/>
      <c r="BP223" s="2423"/>
    </row>
    <row r="224" spans="1:68" ht="98.25" customHeight="1" x14ac:dyDescent="0.2">
      <c r="A224" s="4026"/>
      <c r="B224" s="4026"/>
      <c r="C224" s="4026"/>
      <c r="D224" s="4114"/>
      <c r="E224" s="4114"/>
      <c r="F224" s="4114"/>
      <c r="G224" s="2933"/>
      <c r="H224" s="4148"/>
      <c r="I224" s="2413"/>
      <c r="J224" s="2512"/>
      <c r="K224" s="4048"/>
      <c r="L224" s="4049"/>
      <c r="M224" s="2341"/>
      <c r="N224" s="2343"/>
      <c r="O224" s="2413"/>
      <c r="P224" s="3748"/>
      <c r="Q224" s="4141"/>
      <c r="R224" s="4145"/>
      <c r="S224" s="2440"/>
      <c r="T224" s="1908" t="s">
        <v>2155</v>
      </c>
      <c r="U224" s="2134">
        <v>2853513</v>
      </c>
      <c r="V224" s="2062">
        <v>0</v>
      </c>
      <c r="W224" s="2062">
        <v>0</v>
      </c>
      <c r="X224" s="2116" t="s">
        <v>1944</v>
      </c>
      <c r="Y224" s="2133" t="s">
        <v>7</v>
      </c>
      <c r="Z224" s="2307"/>
      <c r="AA224" s="2307"/>
      <c r="AB224" s="2307"/>
      <c r="AC224" s="2307"/>
      <c r="AD224" s="2307"/>
      <c r="AE224" s="2307"/>
      <c r="AF224" s="2307"/>
      <c r="AG224" s="2307"/>
      <c r="AH224" s="2307"/>
      <c r="AI224" s="2307"/>
      <c r="AJ224" s="2307"/>
      <c r="AK224" s="2307"/>
      <c r="AL224" s="2307"/>
      <c r="AM224" s="2307"/>
      <c r="AN224" s="2307"/>
      <c r="AO224" s="2307"/>
      <c r="AP224" s="2307"/>
      <c r="AQ224" s="2307"/>
      <c r="AR224" s="2307"/>
      <c r="AS224" s="2307"/>
      <c r="AT224" s="2307"/>
      <c r="AU224" s="2307"/>
      <c r="AV224" s="2307"/>
      <c r="AW224" s="2307"/>
      <c r="AX224" s="2307"/>
      <c r="AY224" s="2307"/>
      <c r="AZ224" s="2307"/>
      <c r="BA224" s="2307"/>
      <c r="BB224" s="2307"/>
      <c r="BC224" s="2307"/>
      <c r="BD224" s="2307"/>
      <c r="BE224" s="2307"/>
      <c r="BF224" s="2307"/>
      <c r="BG224" s="2567"/>
      <c r="BH224" s="2567"/>
      <c r="BI224" s="3032"/>
      <c r="BJ224" s="2423"/>
      <c r="BK224" s="2423"/>
      <c r="BL224" s="2307"/>
      <c r="BM224" s="2307"/>
      <c r="BN224" s="2307"/>
      <c r="BO224" s="2307"/>
      <c r="BP224" s="2423"/>
    </row>
    <row r="225" spans="1:68" ht="57.75" customHeight="1" x14ac:dyDescent="0.2">
      <c r="A225" s="4026"/>
      <c r="B225" s="4026"/>
      <c r="C225" s="4026"/>
      <c r="D225" s="4114"/>
      <c r="E225" s="4114"/>
      <c r="F225" s="4114"/>
      <c r="G225" s="2314">
        <v>1905026</v>
      </c>
      <c r="H225" s="4152">
        <v>12.1</v>
      </c>
      <c r="I225" s="2413" t="s">
        <v>2122</v>
      </c>
      <c r="J225" s="2512" t="s">
        <v>2123</v>
      </c>
      <c r="K225" s="4048">
        <v>12</v>
      </c>
      <c r="L225" s="4049">
        <v>4</v>
      </c>
      <c r="M225" s="2341"/>
      <c r="N225" s="2343"/>
      <c r="O225" s="2413"/>
      <c r="P225" s="3748">
        <f>SUM(U225:U233)/Q216</f>
        <v>0.19241211452316115</v>
      </c>
      <c r="Q225" s="4141"/>
      <c r="R225" s="4145"/>
      <c r="S225" s="2440"/>
      <c r="T225" s="3061" t="s">
        <v>2156</v>
      </c>
      <c r="U225" s="2134">
        <v>3000000</v>
      </c>
      <c r="V225" s="2077">
        <v>3000000</v>
      </c>
      <c r="W225" s="2077">
        <v>3000000</v>
      </c>
      <c r="X225" s="2135" t="s">
        <v>1867</v>
      </c>
      <c r="Y225" s="2133" t="s">
        <v>2102</v>
      </c>
      <c r="Z225" s="2307"/>
      <c r="AA225" s="2307"/>
      <c r="AB225" s="2307"/>
      <c r="AC225" s="2307"/>
      <c r="AD225" s="2307"/>
      <c r="AE225" s="2307"/>
      <c r="AF225" s="2307"/>
      <c r="AG225" s="2307"/>
      <c r="AH225" s="2307"/>
      <c r="AI225" s="2307"/>
      <c r="AJ225" s="2307"/>
      <c r="AK225" s="2307"/>
      <c r="AL225" s="2307"/>
      <c r="AM225" s="2307"/>
      <c r="AN225" s="2307"/>
      <c r="AO225" s="2307"/>
      <c r="AP225" s="2307"/>
      <c r="AQ225" s="2307"/>
      <c r="AR225" s="2307"/>
      <c r="AS225" s="2307"/>
      <c r="AT225" s="2307"/>
      <c r="AU225" s="2307"/>
      <c r="AV225" s="2307"/>
      <c r="AW225" s="2307"/>
      <c r="AX225" s="2307"/>
      <c r="AY225" s="2307"/>
      <c r="AZ225" s="2307"/>
      <c r="BA225" s="2307"/>
      <c r="BB225" s="2307"/>
      <c r="BC225" s="2307"/>
      <c r="BD225" s="2307"/>
      <c r="BE225" s="2307"/>
      <c r="BF225" s="2307"/>
      <c r="BG225" s="2567"/>
      <c r="BH225" s="2567"/>
      <c r="BI225" s="3032"/>
      <c r="BJ225" s="2423"/>
      <c r="BK225" s="2423"/>
      <c r="BL225" s="2307"/>
      <c r="BM225" s="2307"/>
      <c r="BN225" s="2307"/>
      <c r="BO225" s="2307"/>
      <c r="BP225" s="2423"/>
    </row>
    <row r="226" spans="1:68" ht="57.75" customHeight="1" x14ac:dyDescent="0.2">
      <c r="A226" s="4026"/>
      <c r="B226" s="4026"/>
      <c r="C226" s="4026"/>
      <c r="D226" s="4114"/>
      <c r="E226" s="4114"/>
      <c r="F226" s="4114"/>
      <c r="G226" s="2314"/>
      <c r="H226" s="4153"/>
      <c r="I226" s="2413"/>
      <c r="J226" s="2512"/>
      <c r="K226" s="4048"/>
      <c r="L226" s="4049"/>
      <c r="M226" s="2341"/>
      <c r="N226" s="2343"/>
      <c r="O226" s="2413"/>
      <c r="P226" s="3748"/>
      <c r="Q226" s="4141"/>
      <c r="R226" s="4145"/>
      <c r="S226" s="2440"/>
      <c r="T226" s="3907"/>
      <c r="U226" s="2134">
        <v>340860.61</v>
      </c>
      <c r="V226" s="2077">
        <v>0</v>
      </c>
      <c r="W226" s="2077">
        <v>0</v>
      </c>
      <c r="X226" s="2135" t="s">
        <v>2157</v>
      </c>
      <c r="Y226" s="2136" t="s">
        <v>2158</v>
      </c>
      <c r="Z226" s="2307"/>
      <c r="AA226" s="2307"/>
      <c r="AB226" s="2307"/>
      <c r="AC226" s="2307"/>
      <c r="AD226" s="2307"/>
      <c r="AE226" s="2307"/>
      <c r="AF226" s="2307"/>
      <c r="AG226" s="2307"/>
      <c r="AH226" s="2307"/>
      <c r="AI226" s="2307"/>
      <c r="AJ226" s="2307"/>
      <c r="AK226" s="2307"/>
      <c r="AL226" s="2307"/>
      <c r="AM226" s="2307"/>
      <c r="AN226" s="2307"/>
      <c r="AO226" s="2307"/>
      <c r="AP226" s="2307"/>
      <c r="AQ226" s="2307"/>
      <c r="AR226" s="2307"/>
      <c r="AS226" s="2307"/>
      <c r="AT226" s="2307"/>
      <c r="AU226" s="2307"/>
      <c r="AV226" s="2307"/>
      <c r="AW226" s="2307"/>
      <c r="AX226" s="2307"/>
      <c r="AY226" s="2307"/>
      <c r="AZ226" s="2307"/>
      <c r="BA226" s="2307"/>
      <c r="BB226" s="2307"/>
      <c r="BC226" s="2307"/>
      <c r="BD226" s="2307"/>
      <c r="BE226" s="2307"/>
      <c r="BF226" s="2307"/>
      <c r="BG226" s="2567"/>
      <c r="BH226" s="2567"/>
      <c r="BI226" s="3032"/>
      <c r="BJ226" s="2423"/>
      <c r="BK226" s="2423"/>
      <c r="BL226" s="2307"/>
      <c r="BM226" s="2307"/>
      <c r="BN226" s="2307"/>
      <c r="BO226" s="2307"/>
      <c r="BP226" s="2423"/>
    </row>
    <row r="227" spans="1:68" ht="57.75" customHeight="1" x14ac:dyDescent="0.2">
      <c r="A227" s="4026"/>
      <c r="B227" s="4026"/>
      <c r="C227" s="4026"/>
      <c r="D227" s="4114"/>
      <c r="E227" s="4114"/>
      <c r="F227" s="4114"/>
      <c r="G227" s="2314"/>
      <c r="H227" s="4153"/>
      <c r="I227" s="2413"/>
      <c r="J227" s="2512"/>
      <c r="K227" s="4048"/>
      <c r="L227" s="4049"/>
      <c r="M227" s="2341"/>
      <c r="N227" s="2343"/>
      <c r="O227" s="2413"/>
      <c r="P227" s="3748"/>
      <c r="Q227" s="4141"/>
      <c r="R227" s="4145"/>
      <c r="S227" s="2440"/>
      <c r="T227" s="3907"/>
      <c r="U227" s="2134">
        <f>168116148-168116148</f>
        <v>0</v>
      </c>
      <c r="V227" s="2077">
        <v>0</v>
      </c>
      <c r="W227" s="2077">
        <v>0</v>
      </c>
      <c r="X227" s="2135" t="s">
        <v>2159</v>
      </c>
      <c r="Y227" s="2136" t="s">
        <v>2158</v>
      </c>
      <c r="Z227" s="2307"/>
      <c r="AA227" s="2307"/>
      <c r="AB227" s="2307"/>
      <c r="AC227" s="2307"/>
      <c r="AD227" s="2307"/>
      <c r="AE227" s="2307"/>
      <c r="AF227" s="2307"/>
      <c r="AG227" s="2307"/>
      <c r="AH227" s="2307"/>
      <c r="AI227" s="2307"/>
      <c r="AJ227" s="2307"/>
      <c r="AK227" s="2307"/>
      <c r="AL227" s="2307"/>
      <c r="AM227" s="2307"/>
      <c r="AN227" s="2307"/>
      <c r="AO227" s="2307"/>
      <c r="AP227" s="2307"/>
      <c r="AQ227" s="2307"/>
      <c r="AR227" s="2307"/>
      <c r="AS227" s="2307"/>
      <c r="AT227" s="2307"/>
      <c r="AU227" s="2307"/>
      <c r="AV227" s="2307"/>
      <c r="AW227" s="2307"/>
      <c r="AX227" s="2307"/>
      <c r="AY227" s="2307"/>
      <c r="AZ227" s="2307"/>
      <c r="BA227" s="2307"/>
      <c r="BB227" s="2307"/>
      <c r="BC227" s="2307"/>
      <c r="BD227" s="2307"/>
      <c r="BE227" s="2307"/>
      <c r="BF227" s="2307"/>
      <c r="BG227" s="2567"/>
      <c r="BH227" s="2567"/>
      <c r="BI227" s="3032"/>
      <c r="BJ227" s="2423"/>
      <c r="BK227" s="2423"/>
      <c r="BL227" s="2307"/>
      <c r="BM227" s="2307"/>
      <c r="BN227" s="2307"/>
      <c r="BO227" s="2307"/>
      <c r="BP227" s="2423"/>
    </row>
    <row r="228" spans="1:68" ht="57.75" customHeight="1" x14ac:dyDescent="0.2">
      <c r="A228" s="4026"/>
      <c r="B228" s="4026"/>
      <c r="C228" s="4026"/>
      <c r="D228" s="4114"/>
      <c r="E228" s="4114"/>
      <c r="F228" s="4114"/>
      <c r="G228" s="2314"/>
      <c r="H228" s="4153"/>
      <c r="I228" s="2413"/>
      <c r="J228" s="2512"/>
      <c r="K228" s="4048"/>
      <c r="L228" s="4049"/>
      <c r="M228" s="2341"/>
      <c r="N228" s="2343"/>
      <c r="O228" s="2413"/>
      <c r="P228" s="3748"/>
      <c r="Q228" s="4141"/>
      <c r="R228" s="4145"/>
      <c r="S228" s="2440"/>
      <c r="T228" s="3907"/>
      <c r="U228" s="2134">
        <v>662000</v>
      </c>
      <c r="V228" s="2077">
        <v>0</v>
      </c>
      <c r="W228" s="2077">
        <v>0</v>
      </c>
      <c r="X228" s="2135" t="s">
        <v>2160</v>
      </c>
      <c r="Y228" s="2136" t="s">
        <v>2158</v>
      </c>
      <c r="Z228" s="2307"/>
      <c r="AA228" s="2307"/>
      <c r="AB228" s="2307"/>
      <c r="AC228" s="2307"/>
      <c r="AD228" s="2307"/>
      <c r="AE228" s="2307"/>
      <c r="AF228" s="2307"/>
      <c r="AG228" s="2307"/>
      <c r="AH228" s="2307"/>
      <c r="AI228" s="2307"/>
      <c r="AJ228" s="2307"/>
      <c r="AK228" s="2307"/>
      <c r="AL228" s="2307"/>
      <c r="AM228" s="2307"/>
      <c r="AN228" s="2307"/>
      <c r="AO228" s="2307"/>
      <c r="AP228" s="2307"/>
      <c r="AQ228" s="2307"/>
      <c r="AR228" s="2307"/>
      <c r="AS228" s="2307"/>
      <c r="AT228" s="2307"/>
      <c r="AU228" s="2307"/>
      <c r="AV228" s="2307"/>
      <c r="AW228" s="2307"/>
      <c r="AX228" s="2307"/>
      <c r="AY228" s="2307"/>
      <c r="AZ228" s="2307"/>
      <c r="BA228" s="2307"/>
      <c r="BB228" s="2307"/>
      <c r="BC228" s="2307"/>
      <c r="BD228" s="2307"/>
      <c r="BE228" s="2307"/>
      <c r="BF228" s="2307"/>
      <c r="BG228" s="2567"/>
      <c r="BH228" s="2567"/>
      <c r="BI228" s="3032"/>
      <c r="BJ228" s="2423"/>
      <c r="BK228" s="2423"/>
      <c r="BL228" s="2307"/>
      <c r="BM228" s="2307"/>
      <c r="BN228" s="2307"/>
      <c r="BO228" s="2307"/>
      <c r="BP228" s="2423"/>
    </row>
    <row r="229" spans="1:68" ht="57.75" customHeight="1" x14ac:dyDescent="0.2">
      <c r="A229" s="4026"/>
      <c r="B229" s="4026"/>
      <c r="C229" s="4026"/>
      <c r="D229" s="4114"/>
      <c r="E229" s="4114"/>
      <c r="F229" s="4114"/>
      <c r="G229" s="2314"/>
      <c r="H229" s="4153"/>
      <c r="I229" s="2413"/>
      <c r="J229" s="2512"/>
      <c r="K229" s="4048"/>
      <c r="L229" s="4049"/>
      <c r="M229" s="2341"/>
      <c r="N229" s="2343"/>
      <c r="O229" s="2413"/>
      <c r="P229" s="3748"/>
      <c r="Q229" s="4141"/>
      <c r="R229" s="4145"/>
      <c r="S229" s="2440"/>
      <c r="T229" s="3062"/>
      <c r="U229" s="2134">
        <v>158045</v>
      </c>
      <c r="V229" s="2077">
        <v>0</v>
      </c>
      <c r="W229" s="2077">
        <v>0</v>
      </c>
      <c r="X229" s="2135" t="s">
        <v>2161</v>
      </c>
      <c r="Y229" s="2136" t="s">
        <v>2158</v>
      </c>
      <c r="Z229" s="2307"/>
      <c r="AA229" s="2307"/>
      <c r="AB229" s="2307"/>
      <c r="AC229" s="2307"/>
      <c r="AD229" s="2307"/>
      <c r="AE229" s="2307"/>
      <c r="AF229" s="2307"/>
      <c r="AG229" s="2307"/>
      <c r="AH229" s="2307"/>
      <c r="AI229" s="2307"/>
      <c r="AJ229" s="2307"/>
      <c r="AK229" s="2307"/>
      <c r="AL229" s="2307"/>
      <c r="AM229" s="2307"/>
      <c r="AN229" s="2307"/>
      <c r="AO229" s="2307"/>
      <c r="AP229" s="2307"/>
      <c r="AQ229" s="2307"/>
      <c r="AR229" s="2307"/>
      <c r="AS229" s="2307"/>
      <c r="AT229" s="2307"/>
      <c r="AU229" s="2307"/>
      <c r="AV229" s="2307"/>
      <c r="AW229" s="2307"/>
      <c r="AX229" s="2307"/>
      <c r="AY229" s="2307"/>
      <c r="AZ229" s="2307"/>
      <c r="BA229" s="2307"/>
      <c r="BB229" s="2307"/>
      <c r="BC229" s="2307"/>
      <c r="BD229" s="2307"/>
      <c r="BE229" s="2307"/>
      <c r="BF229" s="2307"/>
      <c r="BG229" s="2567"/>
      <c r="BH229" s="2567"/>
      <c r="BI229" s="3032"/>
      <c r="BJ229" s="2423"/>
      <c r="BK229" s="2423"/>
      <c r="BL229" s="2307"/>
      <c r="BM229" s="2307"/>
      <c r="BN229" s="2307"/>
      <c r="BO229" s="2307"/>
      <c r="BP229" s="2423"/>
    </row>
    <row r="230" spans="1:68" ht="57.75" customHeight="1" x14ac:dyDescent="0.2">
      <c r="A230" s="4026"/>
      <c r="B230" s="4026"/>
      <c r="C230" s="4026"/>
      <c r="D230" s="4114"/>
      <c r="E230" s="4114"/>
      <c r="F230" s="4114"/>
      <c r="G230" s="2314"/>
      <c r="H230" s="4153"/>
      <c r="I230" s="2413"/>
      <c r="J230" s="2512"/>
      <c r="K230" s="4048"/>
      <c r="L230" s="4049"/>
      <c r="M230" s="2341"/>
      <c r="N230" s="2343"/>
      <c r="O230" s="2413"/>
      <c r="P230" s="3748"/>
      <c r="Q230" s="4141"/>
      <c r="R230" s="4145"/>
      <c r="S230" s="2440"/>
      <c r="T230" s="1908" t="s">
        <v>2162</v>
      </c>
      <c r="U230" s="2134">
        <f>14240000+17400000</f>
        <v>31640000</v>
      </c>
      <c r="V230" s="2077">
        <v>25033333</v>
      </c>
      <c r="W230" s="2077">
        <v>14240000</v>
      </c>
      <c r="X230" s="2135" t="s">
        <v>1867</v>
      </c>
      <c r="Y230" s="2136" t="s">
        <v>2102</v>
      </c>
      <c r="Z230" s="2307"/>
      <c r="AA230" s="2307"/>
      <c r="AB230" s="2307"/>
      <c r="AC230" s="2307"/>
      <c r="AD230" s="2307"/>
      <c r="AE230" s="2307"/>
      <c r="AF230" s="2307"/>
      <c r="AG230" s="2307"/>
      <c r="AH230" s="2307"/>
      <c r="AI230" s="2307"/>
      <c r="AJ230" s="2307"/>
      <c r="AK230" s="2307"/>
      <c r="AL230" s="2307"/>
      <c r="AM230" s="2307"/>
      <c r="AN230" s="2307"/>
      <c r="AO230" s="2307"/>
      <c r="AP230" s="2307"/>
      <c r="AQ230" s="2307"/>
      <c r="AR230" s="2307"/>
      <c r="AS230" s="2307"/>
      <c r="AT230" s="2307"/>
      <c r="AU230" s="2307"/>
      <c r="AV230" s="2307"/>
      <c r="AW230" s="2307"/>
      <c r="AX230" s="2307"/>
      <c r="AY230" s="2307"/>
      <c r="AZ230" s="2307"/>
      <c r="BA230" s="2307"/>
      <c r="BB230" s="2307"/>
      <c r="BC230" s="2307"/>
      <c r="BD230" s="2307"/>
      <c r="BE230" s="2307"/>
      <c r="BF230" s="2307"/>
      <c r="BG230" s="2567"/>
      <c r="BH230" s="2567"/>
      <c r="BI230" s="3032"/>
      <c r="BJ230" s="2423"/>
      <c r="BK230" s="2423"/>
      <c r="BL230" s="2307"/>
      <c r="BM230" s="2307"/>
      <c r="BN230" s="2307"/>
      <c r="BO230" s="2307"/>
      <c r="BP230" s="2423"/>
    </row>
    <row r="231" spans="1:68" ht="57.75" customHeight="1" x14ac:dyDescent="0.2">
      <c r="A231" s="4026"/>
      <c r="B231" s="4026"/>
      <c r="C231" s="4026"/>
      <c r="D231" s="4114"/>
      <c r="E231" s="4114"/>
      <c r="F231" s="4114"/>
      <c r="G231" s="2314"/>
      <c r="H231" s="4153"/>
      <c r="I231" s="2413"/>
      <c r="J231" s="2512"/>
      <c r="K231" s="4048"/>
      <c r="L231" s="4049"/>
      <c r="M231" s="2341"/>
      <c r="N231" s="2343"/>
      <c r="O231" s="2413"/>
      <c r="P231" s="3748"/>
      <c r="Q231" s="4141"/>
      <c r="R231" s="4145"/>
      <c r="S231" s="2440"/>
      <c r="T231" s="1908" t="s">
        <v>2163</v>
      </c>
      <c r="U231" s="2134">
        <v>1000000</v>
      </c>
      <c r="V231" s="2077">
        <v>0</v>
      </c>
      <c r="W231" s="2077">
        <v>0</v>
      </c>
      <c r="X231" s="2135" t="s">
        <v>1867</v>
      </c>
      <c r="Y231" s="2136" t="s">
        <v>2102</v>
      </c>
      <c r="Z231" s="2307"/>
      <c r="AA231" s="2307"/>
      <c r="AB231" s="2307"/>
      <c r="AC231" s="2307"/>
      <c r="AD231" s="2307"/>
      <c r="AE231" s="2307"/>
      <c r="AF231" s="2307"/>
      <c r="AG231" s="2307"/>
      <c r="AH231" s="2307"/>
      <c r="AI231" s="2307"/>
      <c r="AJ231" s="2307"/>
      <c r="AK231" s="2307"/>
      <c r="AL231" s="2307"/>
      <c r="AM231" s="2307"/>
      <c r="AN231" s="2307"/>
      <c r="AO231" s="2307"/>
      <c r="AP231" s="2307"/>
      <c r="AQ231" s="2307"/>
      <c r="AR231" s="2307"/>
      <c r="AS231" s="2307"/>
      <c r="AT231" s="2307"/>
      <c r="AU231" s="2307"/>
      <c r="AV231" s="2307"/>
      <c r="AW231" s="2307"/>
      <c r="AX231" s="2307"/>
      <c r="AY231" s="2307"/>
      <c r="AZ231" s="2307"/>
      <c r="BA231" s="2307"/>
      <c r="BB231" s="2307"/>
      <c r="BC231" s="2307"/>
      <c r="BD231" s="2307"/>
      <c r="BE231" s="2307"/>
      <c r="BF231" s="2307"/>
      <c r="BG231" s="2567"/>
      <c r="BH231" s="2567"/>
      <c r="BI231" s="3032"/>
      <c r="BJ231" s="2423"/>
      <c r="BK231" s="2423"/>
      <c r="BL231" s="2307"/>
      <c r="BM231" s="2307"/>
      <c r="BN231" s="2307"/>
      <c r="BO231" s="2307"/>
      <c r="BP231" s="2423"/>
    </row>
    <row r="232" spans="1:68" ht="61.5" customHeight="1" x14ac:dyDescent="0.2">
      <c r="A232" s="4026"/>
      <c r="B232" s="4026"/>
      <c r="C232" s="4026"/>
      <c r="D232" s="4114"/>
      <c r="E232" s="4114"/>
      <c r="F232" s="4114"/>
      <c r="G232" s="2314"/>
      <c r="H232" s="4153"/>
      <c r="I232" s="2413"/>
      <c r="J232" s="2512"/>
      <c r="K232" s="4048"/>
      <c r="L232" s="4049"/>
      <c r="M232" s="2341"/>
      <c r="N232" s="2343"/>
      <c r="O232" s="2413"/>
      <c r="P232" s="3748"/>
      <c r="Q232" s="4141"/>
      <c r="R232" s="4145"/>
      <c r="S232" s="2440"/>
      <c r="T232" s="1908" t="s">
        <v>2164</v>
      </c>
      <c r="U232" s="2134">
        <v>26000000</v>
      </c>
      <c r="V232" s="2077">
        <v>20000000</v>
      </c>
      <c r="W232" s="2077">
        <v>0</v>
      </c>
      <c r="X232" s="2135" t="s">
        <v>1867</v>
      </c>
      <c r="Y232" s="2136" t="s">
        <v>2102</v>
      </c>
      <c r="Z232" s="2307"/>
      <c r="AA232" s="2307"/>
      <c r="AB232" s="2307"/>
      <c r="AC232" s="2307"/>
      <c r="AD232" s="2307"/>
      <c r="AE232" s="2307"/>
      <c r="AF232" s="2307"/>
      <c r="AG232" s="2307"/>
      <c r="AH232" s="2307"/>
      <c r="AI232" s="2307"/>
      <c r="AJ232" s="2307"/>
      <c r="AK232" s="2307"/>
      <c r="AL232" s="2307"/>
      <c r="AM232" s="2307"/>
      <c r="AN232" s="2307"/>
      <c r="AO232" s="2307"/>
      <c r="AP232" s="2307"/>
      <c r="AQ232" s="2307"/>
      <c r="AR232" s="2307"/>
      <c r="AS232" s="2307"/>
      <c r="AT232" s="2307"/>
      <c r="AU232" s="2307"/>
      <c r="AV232" s="2307"/>
      <c r="AW232" s="2307"/>
      <c r="AX232" s="2307"/>
      <c r="AY232" s="2307"/>
      <c r="AZ232" s="2307"/>
      <c r="BA232" s="2307"/>
      <c r="BB232" s="2307"/>
      <c r="BC232" s="2307"/>
      <c r="BD232" s="2307"/>
      <c r="BE232" s="2307"/>
      <c r="BF232" s="2307"/>
      <c r="BG232" s="2567"/>
      <c r="BH232" s="2567"/>
      <c r="BI232" s="3032"/>
      <c r="BJ232" s="2423"/>
      <c r="BK232" s="2423"/>
      <c r="BL232" s="2307"/>
      <c r="BM232" s="2307"/>
      <c r="BN232" s="2307"/>
      <c r="BO232" s="2307"/>
      <c r="BP232" s="2423"/>
    </row>
    <row r="233" spans="1:68" ht="65.25" customHeight="1" x14ac:dyDescent="0.2">
      <c r="A233" s="4026"/>
      <c r="B233" s="4026"/>
      <c r="C233" s="4026"/>
      <c r="D233" s="4114"/>
      <c r="E233" s="4114"/>
      <c r="F233" s="4114"/>
      <c r="G233" s="2314"/>
      <c r="H233" s="4154"/>
      <c r="I233" s="2413"/>
      <c r="J233" s="2512"/>
      <c r="K233" s="4048"/>
      <c r="L233" s="4049"/>
      <c r="M233" s="2341"/>
      <c r="N233" s="2491"/>
      <c r="O233" s="2493"/>
      <c r="P233" s="3748"/>
      <c r="Q233" s="4141"/>
      <c r="R233" s="4146"/>
      <c r="S233" s="2441"/>
      <c r="T233" s="1908" t="s">
        <v>2165</v>
      </c>
      <c r="U233" s="2089">
        <v>38360000</v>
      </c>
      <c r="V233" s="2077">
        <v>22600000</v>
      </c>
      <c r="W233" s="2077">
        <v>0</v>
      </c>
      <c r="X233" s="2135" t="s">
        <v>1867</v>
      </c>
      <c r="Y233" s="2136" t="s">
        <v>2102</v>
      </c>
      <c r="Z233" s="2467"/>
      <c r="AA233" s="2467"/>
      <c r="AB233" s="2467"/>
      <c r="AC233" s="2467"/>
      <c r="AD233" s="2467"/>
      <c r="AE233" s="2467"/>
      <c r="AF233" s="2467"/>
      <c r="AG233" s="2467"/>
      <c r="AH233" s="2467"/>
      <c r="AI233" s="2467"/>
      <c r="AJ233" s="2467"/>
      <c r="AK233" s="2467"/>
      <c r="AL233" s="2467"/>
      <c r="AM233" s="2467"/>
      <c r="AN233" s="2467"/>
      <c r="AO233" s="2467"/>
      <c r="AP233" s="2467"/>
      <c r="AQ233" s="2467"/>
      <c r="AR233" s="2467"/>
      <c r="AS233" s="2467"/>
      <c r="AT233" s="2467"/>
      <c r="AU233" s="2467"/>
      <c r="AV233" s="2467"/>
      <c r="AW233" s="2467"/>
      <c r="AX233" s="2467"/>
      <c r="AY233" s="2467"/>
      <c r="AZ233" s="2467"/>
      <c r="BA233" s="2467"/>
      <c r="BB233" s="2467"/>
      <c r="BC233" s="2467"/>
      <c r="BD233" s="2467"/>
      <c r="BE233" s="2467"/>
      <c r="BF233" s="2467"/>
      <c r="BG233" s="2969"/>
      <c r="BH233" s="2969"/>
      <c r="BI233" s="3033"/>
      <c r="BJ233" s="2424"/>
      <c r="BK233" s="2424"/>
      <c r="BL233" s="2467"/>
      <c r="BM233" s="2467"/>
      <c r="BN233" s="2467"/>
      <c r="BO233" s="2467"/>
      <c r="BP233" s="2424"/>
    </row>
    <row r="234" spans="1:68" ht="84.75" customHeight="1" x14ac:dyDescent="0.2">
      <c r="A234" s="4026"/>
      <c r="B234" s="4026"/>
      <c r="C234" s="4026"/>
      <c r="D234" s="4114"/>
      <c r="E234" s="4114"/>
      <c r="F234" s="4114"/>
      <c r="G234" s="1880">
        <v>1905014</v>
      </c>
      <c r="H234" s="1906">
        <v>12.2</v>
      </c>
      <c r="I234" s="1902" t="s">
        <v>433</v>
      </c>
      <c r="J234" s="1902" t="s">
        <v>458</v>
      </c>
      <c r="K234" s="2094">
        <v>12</v>
      </c>
      <c r="L234" s="2095">
        <v>8</v>
      </c>
      <c r="M234" s="2820" t="s">
        <v>2166</v>
      </c>
      <c r="N234" s="2343" t="s">
        <v>2167</v>
      </c>
      <c r="O234" s="2413" t="s">
        <v>2168</v>
      </c>
      <c r="P234" s="2137">
        <f>SUM(U234)/Q234</f>
        <v>0.12537881007076429</v>
      </c>
      <c r="Q234" s="4047">
        <f>SUM(U234:U253)</f>
        <v>221841713</v>
      </c>
      <c r="R234" s="2463" t="s">
        <v>2169</v>
      </c>
      <c r="S234" s="4149" t="s">
        <v>2170</v>
      </c>
      <c r="T234" s="1909" t="s">
        <v>2171</v>
      </c>
      <c r="U234" s="2134">
        <f>8914250+18900000</f>
        <v>27814250</v>
      </c>
      <c r="V234" s="2062">
        <v>19274250</v>
      </c>
      <c r="W234" s="2079">
        <v>8814250</v>
      </c>
      <c r="X234" s="2116" t="s">
        <v>1867</v>
      </c>
      <c r="Y234" s="2138" t="s">
        <v>1824</v>
      </c>
      <c r="Z234" s="2495">
        <v>289394</v>
      </c>
      <c r="AA234" s="2495">
        <f>SUM(Z234*0.45)</f>
        <v>130227.3</v>
      </c>
      <c r="AB234" s="2495">
        <v>279112</v>
      </c>
      <c r="AC234" s="2495">
        <f>SUM(AB234*0.45)</f>
        <v>125600.40000000001</v>
      </c>
      <c r="AD234" s="2495">
        <v>63164</v>
      </c>
      <c r="AE234" s="2495">
        <f>SUM(AD234*0.45)</f>
        <v>28423.8</v>
      </c>
      <c r="AF234" s="2495">
        <v>45607</v>
      </c>
      <c r="AG234" s="2495">
        <f>SUM(AF234*0.45)</f>
        <v>20523.150000000001</v>
      </c>
      <c r="AH234" s="2495">
        <v>365607</v>
      </c>
      <c r="AI234" s="2495">
        <f>SUM(AH234*0.45)</f>
        <v>164523.15</v>
      </c>
      <c r="AJ234" s="2495">
        <v>75612</v>
      </c>
      <c r="AK234" s="2495">
        <f>SUM(AJ234*0.45)</f>
        <v>34025.4</v>
      </c>
      <c r="AL234" s="2495">
        <v>2145</v>
      </c>
      <c r="AM234" s="2495">
        <f>SUM(AL234*0.45)</f>
        <v>965.25</v>
      </c>
      <c r="AN234" s="2495">
        <v>12718</v>
      </c>
      <c r="AO234" s="2495">
        <f>SUM(AN234*0.45)</f>
        <v>5723.1</v>
      </c>
      <c r="AP234" s="2495">
        <v>26</v>
      </c>
      <c r="AQ234" s="2495">
        <f>SUM(AP234*0.45)</f>
        <v>11.700000000000001</v>
      </c>
      <c r="AR234" s="2495">
        <v>37</v>
      </c>
      <c r="AS234" s="2495">
        <f>SUM(AR234*0.45)</f>
        <v>16.650000000000002</v>
      </c>
      <c r="AT234" s="2495">
        <v>0</v>
      </c>
      <c r="AU234" s="2495">
        <f>SUM(AT234*0.45)</f>
        <v>0</v>
      </c>
      <c r="AV234" s="2495">
        <v>0</v>
      </c>
      <c r="AW234" s="2495">
        <f>SUM(AV234*0.45)</f>
        <v>0</v>
      </c>
      <c r="AX234" s="2495">
        <v>78</v>
      </c>
      <c r="AY234" s="2495">
        <f>SUM(AX234*0.45)</f>
        <v>35.1</v>
      </c>
      <c r="AZ234" s="2495">
        <v>16897</v>
      </c>
      <c r="BA234" s="2495">
        <f>SUM(AZ234*0.45)</f>
        <v>7603.6500000000005</v>
      </c>
      <c r="BB234" s="2495">
        <v>852</v>
      </c>
      <c r="BC234" s="2495">
        <f>SUM(BB234*0.45)</f>
        <v>383.40000000000003</v>
      </c>
      <c r="BD234" s="2495">
        <v>568506</v>
      </c>
      <c r="BE234" s="2495">
        <f>SUM(BD234*0.45)</f>
        <v>255827.7</v>
      </c>
      <c r="BF234" s="2495">
        <v>13</v>
      </c>
      <c r="BG234" s="4099">
        <f>SUM(V234:V253)</f>
        <v>99160000</v>
      </c>
      <c r="BH234" s="4099">
        <f>SUM(W234:W253)</f>
        <v>28800000</v>
      </c>
      <c r="BI234" s="4104">
        <f>SUM(BG234/Q234)</f>
        <v>0.44698536924838839</v>
      </c>
      <c r="BJ234" s="3007" t="s">
        <v>1809</v>
      </c>
      <c r="BK234" s="3007" t="s">
        <v>1810</v>
      </c>
      <c r="BL234" s="3737">
        <v>43832</v>
      </c>
      <c r="BM234" s="3737">
        <v>43832</v>
      </c>
      <c r="BN234" s="3737">
        <v>44196</v>
      </c>
      <c r="BO234" s="3737">
        <v>44196</v>
      </c>
      <c r="BP234" s="3007" t="s">
        <v>1811</v>
      </c>
    </row>
    <row r="235" spans="1:68" ht="57" customHeight="1" x14ac:dyDescent="0.2">
      <c r="A235" s="4026"/>
      <c r="B235" s="4026"/>
      <c r="C235" s="4026"/>
      <c r="D235" s="4114"/>
      <c r="E235" s="4114"/>
      <c r="F235" s="4114"/>
      <c r="G235" s="2495">
        <v>1905026</v>
      </c>
      <c r="H235" s="4158">
        <v>12.1</v>
      </c>
      <c r="I235" s="2894" t="s">
        <v>2172</v>
      </c>
      <c r="J235" s="2422" t="s">
        <v>2123</v>
      </c>
      <c r="K235" s="4048">
        <v>12</v>
      </c>
      <c r="L235" s="4049">
        <v>8</v>
      </c>
      <c r="M235" s="2820"/>
      <c r="N235" s="2343"/>
      <c r="O235" s="2413"/>
      <c r="P235" s="4044">
        <f>SUM(U235:U253)/Q234</f>
        <v>0.87462118992923576</v>
      </c>
      <c r="Q235" s="4047"/>
      <c r="R235" s="2463"/>
      <c r="S235" s="4150"/>
      <c r="T235" s="3061" t="s">
        <v>2173</v>
      </c>
      <c r="U235" s="2134">
        <f>14000000-4541113</f>
        <v>9458887</v>
      </c>
      <c r="V235" s="2077">
        <v>4000000</v>
      </c>
      <c r="W235" s="2079">
        <v>0</v>
      </c>
      <c r="X235" s="2116" t="s">
        <v>2174</v>
      </c>
      <c r="Y235" s="2138" t="s">
        <v>2175</v>
      </c>
      <c r="Z235" s="2496"/>
      <c r="AA235" s="2496"/>
      <c r="AB235" s="2496"/>
      <c r="AC235" s="2496"/>
      <c r="AD235" s="2496"/>
      <c r="AE235" s="2496"/>
      <c r="AF235" s="2496"/>
      <c r="AG235" s="2496"/>
      <c r="AH235" s="2496"/>
      <c r="AI235" s="2496"/>
      <c r="AJ235" s="2496"/>
      <c r="AK235" s="2496"/>
      <c r="AL235" s="2496"/>
      <c r="AM235" s="2496"/>
      <c r="AN235" s="2496"/>
      <c r="AO235" s="2496"/>
      <c r="AP235" s="2496"/>
      <c r="AQ235" s="2496"/>
      <c r="AR235" s="2496"/>
      <c r="AS235" s="2496"/>
      <c r="AT235" s="2496"/>
      <c r="AU235" s="2496"/>
      <c r="AV235" s="2496"/>
      <c r="AW235" s="2496"/>
      <c r="AX235" s="2496"/>
      <c r="AY235" s="2496"/>
      <c r="AZ235" s="2496"/>
      <c r="BA235" s="2496"/>
      <c r="BB235" s="2496"/>
      <c r="BC235" s="2496"/>
      <c r="BD235" s="2496"/>
      <c r="BE235" s="2496"/>
      <c r="BF235" s="2496"/>
      <c r="BG235" s="2879"/>
      <c r="BH235" s="2879"/>
      <c r="BI235" s="4105"/>
      <c r="BJ235" s="3008"/>
      <c r="BK235" s="3008"/>
      <c r="BL235" s="2496"/>
      <c r="BM235" s="2496"/>
      <c r="BN235" s="2496"/>
      <c r="BO235" s="2496"/>
      <c r="BP235" s="3008"/>
    </row>
    <row r="236" spans="1:68" ht="55.5" customHeight="1" x14ac:dyDescent="0.2">
      <c r="A236" s="4026"/>
      <c r="B236" s="4026"/>
      <c r="C236" s="4026"/>
      <c r="D236" s="4114"/>
      <c r="E236" s="4114"/>
      <c r="F236" s="4114"/>
      <c r="G236" s="2496"/>
      <c r="H236" s="4159"/>
      <c r="I236" s="2884"/>
      <c r="J236" s="2423"/>
      <c r="K236" s="4048"/>
      <c r="L236" s="4049"/>
      <c r="M236" s="2820"/>
      <c r="N236" s="2343"/>
      <c r="O236" s="2413"/>
      <c r="P236" s="4045"/>
      <c r="Q236" s="4047"/>
      <c r="R236" s="2463"/>
      <c r="S236" s="4150"/>
      <c r="T236" s="3062"/>
      <c r="U236" s="2134">
        <f>1000000+3163033</f>
        <v>4163033</v>
      </c>
      <c r="V236" s="2077">
        <v>500000</v>
      </c>
      <c r="W236" s="2079">
        <v>0</v>
      </c>
      <c r="X236" s="2116" t="s">
        <v>2176</v>
      </c>
      <c r="Y236" s="2138" t="s">
        <v>2177</v>
      </c>
      <c r="Z236" s="2496"/>
      <c r="AA236" s="2496"/>
      <c r="AB236" s="2496"/>
      <c r="AC236" s="2496"/>
      <c r="AD236" s="2496"/>
      <c r="AE236" s="2496"/>
      <c r="AF236" s="2496"/>
      <c r="AG236" s="2496"/>
      <c r="AH236" s="2496"/>
      <c r="AI236" s="2496"/>
      <c r="AJ236" s="2496"/>
      <c r="AK236" s="2496"/>
      <c r="AL236" s="2496"/>
      <c r="AM236" s="2496"/>
      <c r="AN236" s="2496"/>
      <c r="AO236" s="2496"/>
      <c r="AP236" s="2496"/>
      <c r="AQ236" s="2496"/>
      <c r="AR236" s="2496"/>
      <c r="AS236" s="2496"/>
      <c r="AT236" s="2496"/>
      <c r="AU236" s="2496"/>
      <c r="AV236" s="2496"/>
      <c r="AW236" s="2496"/>
      <c r="AX236" s="2496"/>
      <c r="AY236" s="2496"/>
      <c r="AZ236" s="2496"/>
      <c r="BA236" s="2496"/>
      <c r="BB236" s="2496"/>
      <c r="BC236" s="2496"/>
      <c r="BD236" s="2496"/>
      <c r="BE236" s="2496"/>
      <c r="BF236" s="2496"/>
      <c r="BG236" s="2879"/>
      <c r="BH236" s="2879"/>
      <c r="BI236" s="4105"/>
      <c r="BJ236" s="3008"/>
      <c r="BK236" s="3008"/>
      <c r="BL236" s="2496"/>
      <c r="BM236" s="2496"/>
      <c r="BN236" s="2496"/>
      <c r="BO236" s="2496"/>
      <c r="BP236" s="3008"/>
    </row>
    <row r="237" spans="1:68" ht="103.5" customHeight="1" x14ac:dyDescent="0.2">
      <c r="A237" s="4026"/>
      <c r="B237" s="4026"/>
      <c r="C237" s="4026"/>
      <c r="D237" s="4114"/>
      <c r="E237" s="4114"/>
      <c r="F237" s="4114"/>
      <c r="G237" s="2496"/>
      <c r="H237" s="4159"/>
      <c r="I237" s="2884"/>
      <c r="J237" s="2423"/>
      <c r="K237" s="4048"/>
      <c r="L237" s="4049"/>
      <c r="M237" s="2820"/>
      <c r="N237" s="2343"/>
      <c r="O237" s="2413"/>
      <c r="P237" s="4045"/>
      <c r="Q237" s="4047"/>
      <c r="R237" s="2463"/>
      <c r="S237" s="4150"/>
      <c r="T237" s="1909" t="s">
        <v>2178</v>
      </c>
      <c r="U237" s="2134">
        <v>15000000</v>
      </c>
      <c r="V237" s="2077">
        <v>5000000</v>
      </c>
      <c r="W237" s="2079">
        <v>0</v>
      </c>
      <c r="X237" s="2116" t="s">
        <v>2174</v>
      </c>
      <c r="Y237" s="2138" t="s">
        <v>2175</v>
      </c>
      <c r="Z237" s="2496"/>
      <c r="AA237" s="2496"/>
      <c r="AB237" s="2496"/>
      <c r="AC237" s="2496"/>
      <c r="AD237" s="2496"/>
      <c r="AE237" s="2496"/>
      <c r="AF237" s="2496"/>
      <c r="AG237" s="2496"/>
      <c r="AH237" s="2496"/>
      <c r="AI237" s="2496"/>
      <c r="AJ237" s="2496"/>
      <c r="AK237" s="2496"/>
      <c r="AL237" s="2496"/>
      <c r="AM237" s="2496"/>
      <c r="AN237" s="2496"/>
      <c r="AO237" s="2496"/>
      <c r="AP237" s="2496"/>
      <c r="AQ237" s="2496"/>
      <c r="AR237" s="2496"/>
      <c r="AS237" s="2496"/>
      <c r="AT237" s="2496"/>
      <c r="AU237" s="2496"/>
      <c r="AV237" s="2496"/>
      <c r="AW237" s="2496"/>
      <c r="AX237" s="2496"/>
      <c r="AY237" s="2496"/>
      <c r="AZ237" s="2496"/>
      <c r="BA237" s="2496"/>
      <c r="BB237" s="2496"/>
      <c r="BC237" s="2496"/>
      <c r="BD237" s="2496"/>
      <c r="BE237" s="2496"/>
      <c r="BF237" s="2496"/>
      <c r="BG237" s="2879"/>
      <c r="BH237" s="2879"/>
      <c r="BI237" s="4105"/>
      <c r="BJ237" s="3008"/>
      <c r="BK237" s="3008"/>
      <c r="BL237" s="2496"/>
      <c r="BM237" s="2496"/>
      <c r="BN237" s="2496"/>
      <c r="BO237" s="2496"/>
      <c r="BP237" s="3008"/>
    </row>
    <row r="238" spans="1:68" ht="42.75" customHeight="1" x14ac:dyDescent="0.2">
      <c r="A238" s="4026"/>
      <c r="B238" s="4026"/>
      <c r="C238" s="4026"/>
      <c r="D238" s="4114"/>
      <c r="E238" s="4114"/>
      <c r="F238" s="4114"/>
      <c r="G238" s="2496"/>
      <c r="H238" s="4159"/>
      <c r="I238" s="2884"/>
      <c r="J238" s="2423"/>
      <c r="K238" s="4048"/>
      <c r="L238" s="4049"/>
      <c r="M238" s="2820"/>
      <c r="N238" s="2343"/>
      <c r="O238" s="2413"/>
      <c r="P238" s="4045"/>
      <c r="Q238" s="4047"/>
      <c r="R238" s="2463"/>
      <c r="S238" s="4151"/>
      <c r="T238" s="3091" t="s">
        <v>2179</v>
      </c>
      <c r="U238" s="2061">
        <v>14000000</v>
      </c>
      <c r="V238" s="2077">
        <v>6000000</v>
      </c>
      <c r="W238" s="2079">
        <v>0</v>
      </c>
      <c r="X238" s="2116" t="s">
        <v>2174</v>
      </c>
      <c r="Y238" s="2138" t="s">
        <v>2175</v>
      </c>
      <c r="Z238" s="2496"/>
      <c r="AA238" s="2496"/>
      <c r="AB238" s="2496"/>
      <c r="AC238" s="2496"/>
      <c r="AD238" s="2496"/>
      <c r="AE238" s="2496"/>
      <c r="AF238" s="2496"/>
      <c r="AG238" s="2496"/>
      <c r="AH238" s="2496"/>
      <c r="AI238" s="2496"/>
      <c r="AJ238" s="2496"/>
      <c r="AK238" s="2496"/>
      <c r="AL238" s="2496"/>
      <c r="AM238" s="2496"/>
      <c r="AN238" s="2496"/>
      <c r="AO238" s="2496"/>
      <c r="AP238" s="2496"/>
      <c r="AQ238" s="2496"/>
      <c r="AR238" s="2496"/>
      <c r="AS238" s="2496"/>
      <c r="AT238" s="2496"/>
      <c r="AU238" s="2496"/>
      <c r="AV238" s="2496"/>
      <c r="AW238" s="2496"/>
      <c r="AX238" s="2496"/>
      <c r="AY238" s="2496"/>
      <c r="AZ238" s="2496"/>
      <c r="BA238" s="2496"/>
      <c r="BB238" s="2496"/>
      <c r="BC238" s="2496"/>
      <c r="BD238" s="2496"/>
      <c r="BE238" s="2496"/>
      <c r="BF238" s="2496"/>
      <c r="BG238" s="2879"/>
      <c r="BH238" s="2879"/>
      <c r="BI238" s="4105"/>
      <c r="BJ238" s="3008"/>
      <c r="BK238" s="3008"/>
      <c r="BL238" s="2496"/>
      <c r="BM238" s="2496"/>
      <c r="BN238" s="2496"/>
      <c r="BO238" s="2496"/>
      <c r="BP238" s="3008"/>
    </row>
    <row r="239" spans="1:68" ht="55.5" customHeight="1" x14ac:dyDescent="0.2">
      <c r="A239" s="4026"/>
      <c r="B239" s="4026"/>
      <c r="C239" s="4026"/>
      <c r="D239" s="4114"/>
      <c r="E239" s="4114"/>
      <c r="F239" s="4114"/>
      <c r="G239" s="2496"/>
      <c r="H239" s="4159"/>
      <c r="I239" s="2884"/>
      <c r="J239" s="2423"/>
      <c r="K239" s="4048"/>
      <c r="L239" s="4049"/>
      <c r="M239" s="2820"/>
      <c r="N239" s="2343"/>
      <c r="O239" s="2413"/>
      <c r="P239" s="4045"/>
      <c r="Q239" s="4047"/>
      <c r="R239" s="2463"/>
      <c r="S239" s="4151"/>
      <c r="T239" s="3091"/>
      <c r="U239" s="2061">
        <v>535750</v>
      </c>
      <c r="V239" s="2077">
        <v>535750</v>
      </c>
      <c r="W239" s="2079">
        <v>535750</v>
      </c>
      <c r="X239" s="2116" t="s">
        <v>1867</v>
      </c>
      <c r="Y239" s="2138" t="s">
        <v>1824</v>
      </c>
      <c r="Z239" s="2496"/>
      <c r="AA239" s="2496"/>
      <c r="AB239" s="2496"/>
      <c r="AC239" s="2496"/>
      <c r="AD239" s="2496"/>
      <c r="AE239" s="2496"/>
      <c r="AF239" s="2496"/>
      <c r="AG239" s="2496"/>
      <c r="AH239" s="2496"/>
      <c r="AI239" s="2496"/>
      <c r="AJ239" s="2496"/>
      <c r="AK239" s="2496"/>
      <c r="AL239" s="2496"/>
      <c r="AM239" s="2496"/>
      <c r="AN239" s="2496"/>
      <c r="AO239" s="2496"/>
      <c r="AP239" s="2496"/>
      <c r="AQ239" s="2496"/>
      <c r="AR239" s="2496"/>
      <c r="AS239" s="2496"/>
      <c r="AT239" s="2496"/>
      <c r="AU239" s="2496"/>
      <c r="AV239" s="2496"/>
      <c r="AW239" s="2496"/>
      <c r="AX239" s="2496"/>
      <c r="AY239" s="2496"/>
      <c r="AZ239" s="2496"/>
      <c r="BA239" s="2496"/>
      <c r="BB239" s="2496"/>
      <c r="BC239" s="2496"/>
      <c r="BD239" s="2496"/>
      <c r="BE239" s="2496"/>
      <c r="BF239" s="2496"/>
      <c r="BG239" s="2879"/>
      <c r="BH239" s="2879"/>
      <c r="BI239" s="4105"/>
      <c r="BJ239" s="3008"/>
      <c r="BK239" s="3008"/>
      <c r="BL239" s="2496"/>
      <c r="BM239" s="2496"/>
      <c r="BN239" s="2496"/>
      <c r="BO239" s="2496"/>
      <c r="BP239" s="3008"/>
    </row>
    <row r="240" spans="1:68" ht="39" customHeight="1" x14ac:dyDescent="0.2">
      <c r="A240" s="4026"/>
      <c r="B240" s="4026"/>
      <c r="C240" s="4026"/>
      <c r="D240" s="4114"/>
      <c r="E240" s="4114"/>
      <c r="F240" s="4114"/>
      <c r="G240" s="2496"/>
      <c r="H240" s="4159"/>
      <c r="I240" s="2884"/>
      <c r="J240" s="2423"/>
      <c r="K240" s="4048"/>
      <c r="L240" s="4049"/>
      <c r="M240" s="2820"/>
      <c r="N240" s="2343"/>
      <c r="O240" s="2413"/>
      <c r="P240" s="4045"/>
      <c r="Q240" s="4047"/>
      <c r="R240" s="2463"/>
      <c r="S240" s="4151"/>
      <c r="T240" s="3091"/>
      <c r="U240" s="2061">
        <v>1000000</v>
      </c>
      <c r="V240" s="2077">
        <v>500000</v>
      </c>
      <c r="W240" s="2079">
        <v>0</v>
      </c>
      <c r="X240" s="2116" t="s">
        <v>2176</v>
      </c>
      <c r="Y240" s="2138" t="s">
        <v>2177</v>
      </c>
      <c r="Z240" s="2496"/>
      <c r="AA240" s="2496"/>
      <c r="AB240" s="2496"/>
      <c r="AC240" s="2496"/>
      <c r="AD240" s="2496"/>
      <c r="AE240" s="2496"/>
      <c r="AF240" s="2496"/>
      <c r="AG240" s="2496"/>
      <c r="AH240" s="2496"/>
      <c r="AI240" s="2496"/>
      <c r="AJ240" s="2496"/>
      <c r="AK240" s="2496"/>
      <c r="AL240" s="2496"/>
      <c r="AM240" s="2496"/>
      <c r="AN240" s="2496"/>
      <c r="AO240" s="2496"/>
      <c r="AP240" s="2496"/>
      <c r="AQ240" s="2496"/>
      <c r="AR240" s="2496"/>
      <c r="AS240" s="2496"/>
      <c r="AT240" s="2496"/>
      <c r="AU240" s="2496"/>
      <c r="AV240" s="2496"/>
      <c r="AW240" s="2496"/>
      <c r="AX240" s="2496"/>
      <c r="AY240" s="2496"/>
      <c r="AZ240" s="2496"/>
      <c r="BA240" s="2496"/>
      <c r="BB240" s="2496"/>
      <c r="BC240" s="2496"/>
      <c r="BD240" s="2496"/>
      <c r="BE240" s="2496"/>
      <c r="BF240" s="2496"/>
      <c r="BG240" s="2879"/>
      <c r="BH240" s="2879"/>
      <c r="BI240" s="4105"/>
      <c r="BJ240" s="3008"/>
      <c r="BK240" s="3008"/>
      <c r="BL240" s="2496"/>
      <c r="BM240" s="2496"/>
      <c r="BN240" s="2496"/>
      <c r="BO240" s="2496"/>
      <c r="BP240" s="3008"/>
    </row>
    <row r="241" spans="1:68" ht="55.5" customHeight="1" x14ac:dyDescent="0.2">
      <c r="A241" s="4026"/>
      <c r="B241" s="4026"/>
      <c r="C241" s="4026"/>
      <c r="D241" s="4114"/>
      <c r="E241" s="4114"/>
      <c r="F241" s="4114"/>
      <c r="G241" s="2496"/>
      <c r="H241" s="4159"/>
      <c r="I241" s="2884"/>
      <c r="J241" s="2423"/>
      <c r="K241" s="4048"/>
      <c r="L241" s="4049"/>
      <c r="M241" s="2820"/>
      <c r="N241" s="2343"/>
      <c r="O241" s="2413"/>
      <c r="P241" s="4045"/>
      <c r="Q241" s="4047"/>
      <c r="R241" s="2463"/>
      <c r="S241" s="4151"/>
      <c r="T241" s="3091" t="s">
        <v>2180</v>
      </c>
      <c r="U241" s="2061">
        <v>14000000</v>
      </c>
      <c r="V241" s="2077">
        <v>8000000</v>
      </c>
      <c r="W241" s="2079">
        <v>0</v>
      </c>
      <c r="X241" s="2116" t="s">
        <v>2174</v>
      </c>
      <c r="Y241" s="2138" t="s">
        <v>2175</v>
      </c>
      <c r="Z241" s="2496"/>
      <c r="AA241" s="2496"/>
      <c r="AB241" s="2496"/>
      <c r="AC241" s="2496"/>
      <c r="AD241" s="2496"/>
      <c r="AE241" s="2496"/>
      <c r="AF241" s="2496"/>
      <c r="AG241" s="2496"/>
      <c r="AH241" s="2496"/>
      <c r="AI241" s="2496"/>
      <c r="AJ241" s="2496"/>
      <c r="AK241" s="2496"/>
      <c r="AL241" s="2496"/>
      <c r="AM241" s="2496"/>
      <c r="AN241" s="2496"/>
      <c r="AO241" s="2496"/>
      <c r="AP241" s="2496"/>
      <c r="AQ241" s="2496"/>
      <c r="AR241" s="2496"/>
      <c r="AS241" s="2496"/>
      <c r="AT241" s="2496"/>
      <c r="AU241" s="2496"/>
      <c r="AV241" s="2496"/>
      <c r="AW241" s="2496"/>
      <c r="AX241" s="2496"/>
      <c r="AY241" s="2496"/>
      <c r="AZ241" s="2496"/>
      <c r="BA241" s="2496"/>
      <c r="BB241" s="2496"/>
      <c r="BC241" s="2496"/>
      <c r="BD241" s="2496"/>
      <c r="BE241" s="2496"/>
      <c r="BF241" s="2496"/>
      <c r="BG241" s="2879"/>
      <c r="BH241" s="2879"/>
      <c r="BI241" s="4105"/>
      <c r="BJ241" s="3008"/>
      <c r="BK241" s="3008"/>
      <c r="BL241" s="2496"/>
      <c r="BM241" s="2496"/>
      <c r="BN241" s="2496"/>
      <c r="BO241" s="2496"/>
      <c r="BP241" s="3008"/>
    </row>
    <row r="242" spans="1:68" ht="42.75" customHeight="1" x14ac:dyDescent="0.2">
      <c r="A242" s="4026"/>
      <c r="B242" s="4026"/>
      <c r="C242" s="4026"/>
      <c r="D242" s="4114"/>
      <c r="E242" s="4114"/>
      <c r="F242" s="4114"/>
      <c r="G242" s="2496"/>
      <c r="H242" s="4159"/>
      <c r="I242" s="2884"/>
      <c r="J242" s="2423"/>
      <c r="K242" s="4048"/>
      <c r="L242" s="4049"/>
      <c r="M242" s="2820"/>
      <c r="N242" s="2343"/>
      <c r="O242" s="2413"/>
      <c r="P242" s="4045"/>
      <c r="Q242" s="4047"/>
      <c r="R242" s="2463"/>
      <c r="S242" s="4151"/>
      <c r="T242" s="3091"/>
      <c r="U242" s="2061">
        <v>1500000</v>
      </c>
      <c r="V242" s="2077">
        <v>1500000</v>
      </c>
      <c r="W242" s="2079">
        <v>1500000</v>
      </c>
      <c r="X242" s="2116" t="s">
        <v>1867</v>
      </c>
      <c r="Y242" s="2138" t="s">
        <v>1824</v>
      </c>
      <c r="Z242" s="2496"/>
      <c r="AA242" s="2496"/>
      <c r="AB242" s="2496"/>
      <c r="AC242" s="2496"/>
      <c r="AD242" s="2496"/>
      <c r="AE242" s="2496"/>
      <c r="AF242" s="2496"/>
      <c r="AG242" s="2496"/>
      <c r="AH242" s="2496"/>
      <c r="AI242" s="2496"/>
      <c r="AJ242" s="2496"/>
      <c r="AK242" s="2496"/>
      <c r="AL242" s="2496"/>
      <c r="AM242" s="2496"/>
      <c r="AN242" s="2496"/>
      <c r="AO242" s="2496"/>
      <c r="AP242" s="2496"/>
      <c r="AQ242" s="2496"/>
      <c r="AR242" s="2496"/>
      <c r="AS242" s="2496"/>
      <c r="AT242" s="2496"/>
      <c r="AU242" s="2496"/>
      <c r="AV242" s="2496"/>
      <c r="AW242" s="2496"/>
      <c r="AX242" s="2496"/>
      <c r="AY242" s="2496"/>
      <c r="AZ242" s="2496"/>
      <c r="BA242" s="2496"/>
      <c r="BB242" s="2496"/>
      <c r="BC242" s="2496"/>
      <c r="BD242" s="2496"/>
      <c r="BE242" s="2496"/>
      <c r="BF242" s="2496"/>
      <c r="BG242" s="2879"/>
      <c r="BH242" s="2879"/>
      <c r="BI242" s="4105"/>
      <c r="BJ242" s="3008"/>
      <c r="BK242" s="3008"/>
      <c r="BL242" s="2496"/>
      <c r="BM242" s="2496"/>
      <c r="BN242" s="2496"/>
      <c r="BO242" s="2496"/>
      <c r="BP242" s="3008"/>
    </row>
    <row r="243" spans="1:68" ht="55.5" customHeight="1" x14ac:dyDescent="0.2">
      <c r="A243" s="4026"/>
      <c r="B243" s="4026"/>
      <c r="C243" s="4026"/>
      <c r="D243" s="4114"/>
      <c r="E243" s="4114"/>
      <c r="F243" s="4114"/>
      <c r="G243" s="2496"/>
      <c r="H243" s="4159"/>
      <c r="I243" s="2884"/>
      <c r="J243" s="2423"/>
      <c r="K243" s="4048"/>
      <c r="L243" s="4049"/>
      <c r="M243" s="2820"/>
      <c r="N243" s="2343"/>
      <c r="O243" s="2413"/>
      <c r="P243" s="4045"/>
      <c r="Q243" s="4047"/>
      <c r="R243" s="2463"/>
      <c r="S243" s="4151"/>
      <c r="T243" s="3091"/>
      <c r="U243" s="2061">
        <v>1000000</v>
      </c>
      <c r="V243" s="2077">
        <v>0</v>
      </c>
      <c r="W243" s="2079">
        <v>0</v>
      </c>
      <c r="X243" s="2116" t="s">
        <v>2176</v>
      </c>
      <c r="Y243" s="2138" t="s">
        <v>2177</v>
      </c>
      <c r="Z243" s="2496"/>
      <c r="AA243" s="2496"/>
      <c r="AB243" s="2496"/>
      <c r="AC243" s="2496"/>
      <c r="AD243" s="2496"/>
      <c r="AE243" s="2496"/>
      <c r="AF243" s="2496"/>
      <c r="AG243" s="2496"/>
      <c r="AH243" s="2496"/>
      <c r="AI243" s="2496"/>
      <c r="AJ243" s="2496"/>
      <c r="AK243" s="2496"/>
      <c r="AL243" s="2496"/>
      <c r="AM243" s="2496"/>
      <c r="AN243" s="2496"/>
      <c r="AO243" s="2496"/>
      <c r="AP243" s="2496"/>
      <c r="AQ243" s="2496"/>
      <c r="AR243" s="2496"/>
      <c r="AS243" s="2496"/>
      <c r="AT243" s="2496"/>
      <c r="AU243" s="2496"/>
      <c r="AV243" s="2496"/>
      <c r="AW243" s="2496"/>
      <c r="AX243" s="2496"/>
      <c r="AY243" s="2496"/>
      <c r="AZ243" s="2496"/>
      <c r="BA243" s="2496"/>
      <c r="BB243" s="2496"/>
      <c r="BC243" s="2496"/>
      <c r="BD243" s="2496"/>
      <c r="BE243" s="2496"/>
      <c r="BF243" s="2496"/>
      <c r="BG243" s="2879"/>
      <c r="BH243" s="2879"/>
      <c r="BI243" s="4105"/>
      <c r="BJ243" s="3008"/>
      <c r="BK243" s="3008"/>
      <c r="BL243" s="2496"/>
      <c r="BM243" s="2496"/>
      <c r="BN243" s="2496"/>
      <c r="BO243" s="2496"/>
      <c r="BP243" s="3008"/>
    </row>
    <row r="244" spans="1:68" ht="46.5" customHeight="1" x14ac:dyDescent="0.2">
      <c r="A244" s="4026"/>
      <c r="B244" s="4026"/>
      <c r="C244" s="4026"/>
      <c r="D244" s="4114"/>
      <c r="E244" s="4114"/>
      <c r="F244" s="4114"/>
      <c r="G244" s="2496"/>
      <c r="H244" s="4159"/>
      <c r="I244" s="2884"/>
      <c r="J244" s="2423"/>
      <c r="K244" s="4048"/>
      <c r="L244" s="4049"/>
      <c r="M244" s="2820"/>
      <c r="N244" s="2343"/>
      <c r="O244" s="2413"/>
      <c r="P244" s="4045"/>
      <c r="Q244" s="4047"/>
      <c r="R244" s="2463"/>
      <c r="S244" s="4151"/>
      <c r="T244" s="3857" t="s">
        <v>2181</v>
      </c>
      <c r="U244" s="2061">
        <v>13911553</v>
      </c>
      <c r="V244" s="2077">
        <v>7000000</v>
      </c>
      <c r="W244" s="2079">
        <v>0</v>
      </c>
      <c r="X244" s="2116" t="s">
        <v>2174</v>
      </c>
      <c r="Y244" s="2138" t="s">
        <v>2175</v>
      </c>
      <c r="Z244" s="2496"/>
      <c r="AA244" s="2496"/>
      <c r="AB244" s="2496"/>
      <c r="AC244" s="2496"/>
      <c r="AD244" s="2496"/>
      <c r="AE244" s="2496"/>
      <c r="AF244" s="2496"/>
      <c r="AG244" s="2496"/>
      <c r="AH244" s="2496"/>
      <c r="AI244" s="2496"/>
      <c r="AJ244" s="2496"/>
      <c r="AK244" s="2496"/>
      <c r="AL244" s="2496"/>
      <c r="AM244" s="2496"/>
      <c r="AN244" s="2496"/>
      <c r="AO244" s="2496"/>
      <c r="AP244" s="2496"/>
      <c r="AQ244" s="2496"/>
      <c r="AR244" s="2496"/>
      <c r="AS244" s="2496"/>
      <c r="AT244" s="2496"/>
      <c r="AU244" s="2496"/>
      <c r="AV244" s="2496"/>
      <c r="AW244" s="2496"/>
      <c r="AX244" s="2496"/>
      <c r="AY244" s="2496"/>
      <c r="AZ244" s="2496"/>
      <c r="BA244" s="2496"/>
      <c r="BB244" s="2496"/>
      <c r="BC244" s="2496"/>
      <c r="BD244" s="2496"/>
      <c r="BE244" s="2496"/>
      <c r="BF244" s="2496"/>
      <c r="BG244" s="2879"/>
      <c r="BH244" s="2879"/>
      <c r="BI244" s="4105"/>
      <c r="BJ244" s="3008"/>
      <c r="BK244" s="3008"/>
      <c r="BL244" s="2496"/>
      <c r="BM244" s="2496"/>
      <c r="BN244" s="2496"/>
      <c r="BO244" s="2496"/>
      <c r="BP244" s="3008"/>
    </row>
    <row r="245" spans="1:68" ht="40.5" customHeight="1" x14ac:dyDescent="0.2">
      <c r="A245" s="4026"/>
      <c r="B245" s="4026"/>
      <c r="C245" s="4026"/>
      <c r="D245" s="4114"/>
      <c r="E245" s="4114"/>
      <c r="F245" s="4114"/>
      <c r="G245" s="2496"/>
      <c r="H245" s="4159"/>
      <c r="I245" s="2884"/>
      <c r="J245" s="2423"/>
      <c r="K245" s="4048"/>
      <c r="L245" s="4049"/>
      <c r="M245" s="2820"/>
      <c r="N245" s="2343"/>
      <c r="O245" s="2413"/>
      <c r="P245" s="4045"/>
      <c r="Q245" s="4047"/>
      <c r="R245" s="2463"/>
      <c r="S245" s="4151"/>
      <c r="T245" s="3857"/>
      <c r="U245" s="2061">
        <v>6800000</v>
      </c>
      <c r="V245" s="2077">
        <v>6800000</v>
      </c>
      <c r="W245" s="2079">
        <v>6800000</v>
      </c>
      <c r="X245" s="2116" t="s">
        <v>1867</v>
      </c>
      <c r="Y245" s="2138" t="s">
        <v>1824</v>
      </c>
      <c r="Z245" s="2496"/>
      <c r="AA245" s="2496"/>
      <c r="AB245" s="2496"/>
      <c r="AC245" s="2496"/>
      <c r="AD245" s="2496"/>
      <c r="AE245" s="2496"/>
      <c r="AF245" s="2496"/>
      <c r="AG245" s="2496"/>
      <c r="AH245" s="2496"/>
      <c r="AI245" s="2496"/>
      <c r="AJ245" s="2496"/>
      <c r="AK245" s="2496"/>
      <c r="AL245" s="2496"/>
      <c r="AM245" s="2496"/>
      <c r="AN245" s="2496"/>
      <c r="AO245" s="2496"/>
      <c r="AP245" s="2496"/>
      <c r="AQ245" s="2496"/>
      <c r="AR245" s="2496"/>
      <c r="AS245" s="2496"/>
      <c r="AT245" s="2496"/>
      <c r="AU245" s="2496"/>
      <c r="AV245" s="2496"/>
      <c r="AW245" s="2496"/>
      <c r="AX245" s="2496"/>
      <c r="AY245" s="2496"/>
      <c r="AZ245" s="2496"/>
      <c r="BA245" s="2496"/>
      <c r="BB245" s="2496"/>
      <c r="BC245" s="2496"/>
      <c r="BD245" s="2496"/>
      <c r="BE245" s="2496"/>
      <c r="BF245" s="2496"/>
      <c r="BG245" s="2879"/>
      <c r="BH245" s="2879"/>
      <c r="BI245" s="4105"/>
      <c r="BJ245" s="3008"/>
      <c r="BK245" s="3008"/>
      <c r="BL245" s="2496"/>
      <c r="BM245" s="2496"/>
      <c r="BN245" s="2496"/>
      <c r="BO245" s="2496"/>
      <c r="BP245" s="3008"/>
    </row>
    <row r="246" spans="1:68" ht="48" customHeight="1" x14ac:dyDescent="0.2">
      <c r="A246" s="4026"/>
      <c r="B246" s="4026"/>
      <c r="C246" s="4026"/>
      <c r="D246" s="4114"/>
      <c r="E246" s="4114"/>
      <c r="F246" s="4114"/>
      <c r="G246" s="2496"/>
      <c r="H246" s="4159"/>
      <c r="I246" s="2884"/>
      <c r="J246" s="2423"/>
      <c r="K246" s="4048"/>
      <c r="L246" s="4049"/>
      <c r="M246" s="2820"/>
      <c r="N246" s="2343"/>
      <c r="O246" s="2413"/>
      <c r="P246" s="4045"/>
      <c r="Q246" s="4047"/>
      <c r="R246" s="2463"/>
      <c r="S246" s="4151"/>
      <c r="T246" s="3091"/>
      <c r="U246" s="2061">
        <v>1000000</v>
      </c>
      <c r="V246" s="2077">
        <v>0</v>
      </c>
      <c r="W246" s="2079">
        <v>0</v>
      </c>
      <c r="X246" s="2116" t="s">
        <v>2176</v>
      </c>
      <c r="Y246" s="2138" t="s">
        <v>2177</v>
      </c>
      <c r="Z246" s="2496"/>
      <c r="AA246" s="2496"/>
      <c r="AB246" s="2496"/>
      <c r="AC246" s="2496"/>
      <c r="AD246" s="2496"/>
      <c r="AE246" s="2496"/>
      <c r="AF246" s="2496"/>
      <c r="AG246" s="2496"/>
      <c r="AH246" s="2496"/>
      <c r="AI246" s="2496"/>
      <c r="AJ246" s="2496"/>
      <c r="AK246" s="2496"/>
      <c r="AL246" s="2496"/>
      <c r="AM246" s="2496"/>
      <c r="AN246" s="2496"/>
      <c r="AO246" s="2496"/>
      <c r="AP246" s="2496"/>
      <c r="AQ246" s="2496"/>
      <c r="AR246" s="2496"/>
      <c r="AS246" s="2496"/>
      <c r="AT246" s="2496"/>
      <c r="AU246" s="2496"/>
      <c r="AV246" s="2496"/>
      <c r="AW246" s="2496"/>
      <c r="AX246" s="2496"/>
      <c r="AY246" s="2496"/>
      <c r="AZ246" s="2496"/>
      <c r="BA246" s="2496"/>
      <c r="BB246" s="2496"/>
      <c r="BC246" s="2496"/>
      <c r="BD246" s="2496"/>
      <c r="BE246" s="2496"/>
      <c r="BF246" s="2496"/>
      <c r="BG246" s="2879"/>
      <c r="BH246" s="2879"/>
      <c r="BI246" s="4105"/>
      <c r="BJ246" s="3008"/>
      <c r="BK246" s="3008"/>
      <c r="BL246" s="2496"/>
      <c r="BM246" s="2496"/>
      <c r="BN246" s="2496"/>
      <c r="BO246" s="2496"/>
      <c r="BP246" s="3008"/>
    </row>
    <row r="247" spans="1:68" ht="55.5" customHeight="1" x14ac:dyDescent="0.2">
      <c r="A247" s="4026"/>
      <c r="B247" s="4026"/>
      <c r="C247" s="4026"/>
      <c r="D247" s="4114"/>
      <c r="E247" s="4114"/>
      <c r="F247" s="4114"/>
      <c r="G247" s="2496"/>
      <c r="H247" s="4159"/>
      <c r="I247" s="2884"/>
      <c r="J247" s="2423"/>
      <c r="K247" s="4048"/>
      <c r="L247" s="4049"/>
      <c r="M247" s="2820"/>
      <c r="N247" s="2343"/>
      <c r="O247" s="2413"/>
      <c r="P247" s="4045"/>
      <c r="Q247" s="4047"/>
      <c r="R247" s="2463"/>
      <c r="S247" s="4151"/>
      <c r="T247" s="1920" t="s">
        <v>2182</v>
      </c>
      <c r="U247" s="2061">
        <v>15000000</v>
      </c>
      <c r="V247" s="2077">
        <v>4000000</v>
      </c>
      <c r="W247" s="2079">
        <v>0</v>
      </c>
      <c r="X247" s="2116" t="s">
        <v>2174</v>
      </c>
      <c r="Y247" s="2138" t="s">
        <v>2175</v>
      </c>
      <c r="Z247" s="2496"/>
      <c r="AA247" s="2496"/>
      <c r="AB247" s="2496"/>
      <c r="AC247" s="2496"/>
      <c r="AD247" s="2496"/>
      <c r="AE247" s="2496"/>
      <c r="AF247" s="2496"/>
      <c r="AG247" s="2496"/>
      <c r="AH247" s="2496"/>
      <c r="AI247" s="2496"/>
      <c r="AJ247" s="2496"/>
      <c r="AK247" s="2496"/>
      <c r="AL247" s="2496"/>
      <c r="AM247" s="2496"/>
      <c r="AN247" s="2496"/>
      <c r="AO247" s="2496"/>
      <c r="AP247" s="2496"/>
      <c r="AQ247" s="2496"/>
      <c r="AR247" s="2496"/>
      <c r="AS247" s="2496"/>
      <c r="AT247" s="2496"/>
      <c r="AU247" s="2496"/>
      <c r="AV247" s="2496"/>
      <c r="AW247" s="2496"/>
      <c r="AX247" s="2496"/>
      <c r="AY247" s="2496"/>
      <c r="AZ247" s="2496"/>
      <c r="BA247" s="2496"/>
      <c r="BB247" s="2496"/>
      <c r="BC247" s="2496"/>
      <c r="BD247" s="2496"/>
      <c r="BE247" s="2496"/>
      <c r="BF247" s="2496"/>
      <c r="BG247" s="2879"/>
      <c r="BH247" s="2879"/>
      <c r="BI247" s="4105"/>
      <c r="BJ247" s="3008"/>
      <c r="BK247" s="3008"/>
      <c r="BL247" s="2496"/>
      <c r="BM247" s="2496"/>
      <c r="BN247" s="2496"/>
      <c r="BO247" s="2496"/>
      <c r="BP247" s="3008"/>
    </row>
    <row r="248" spans="1:68" ht="55.5" customHeight="1" x14ac:dyDescent="0.2">
      <c r="A248" s="4026"/>
      <c r="B248" s="4026"/>
      <c r="C248" s="4026"/>
      <c r="D248" s="4114"/>
      <c r="E248" s="4114"/>
      <c r="F248" s="4114"/>
      <c r="G248" s="2496"/>
      <c r="H248" s="4159"/>
      <c r="I248" s="2884"/>
      <c r="J248" s="2423"/>
      <c r="K248" s="4048"/>
      <c r="L248" s="4049"/>
      <c r="M248" s="2820"/>
      <c r="N248" s="2343"/>
      <c r="O248" s="2413"/>
      <c r="P248" s="4045"/>
      <c r="Q248" s="4047"/>
      <c r="R248" s="2463"/>
      <c r="S248" s="4150"/>
      <c r="T248" s="3907" t="s">
        <v>2183</v>
      </c>
      <c r="U248" s="2134">
        <v>35000000</v>
      </c>
      <c r="V248" s="2077">
        <v>17700000</v>
      </c>
      <c r="W248" s="2079">
        <v>2800000</v>
      </c>
      <c r="X248" s="2116" t="s">
        <v>2174</v>
      </c>
      <c r="Y248" s="2138" t="s">
        <v>2175</v>
      </c>
      <c r="Z248" s="2496"/>
      <c r="AA248" s="2496"/>
      <c r="AB248" s="2496"/>
      <c r="AC248" s="2496"/>
      <c r="AD248" s="2496"/>
      <c r="AE248" s="2496"/>
      <c r="AF248" s="2496"/>
      <c r="AG248" s="2496"/>
      <c r="AH248" s="2496"/>
      <c r="AI248" s="2496"/>
      <c r="AJ248" s="2496"/>
      <c r="AK248" s="2496"/>
      <c r="AL248" s="2496"/>
      <c r="AM248" s="2496"/>
      <c r="AN248" s="2496"/>
      <c r="AO248" s="2496"/>
      <c r="AP248" s="2496"/>
      <c r="AQ248" s="2496"/>
      <c r="AR248" s="2496"/>
      <c r="AS248" s="2496"/>
      <c r="AT248" s="2496"/>
      <c r="AU248" s="2496"/>
      <c r="AV248" s="2496"/>
      <c r="AW248" s="2496"/>
      <c r="AX248" s="2496"/>
      <c r="AY248" s="2496"/>
      <c r="AZ248" s="2496"/>
      <c r="BA248" s="2496"/>
      <c r="BB248" s="2496"/>
      <c r="BC248" s="2496"/>
      <c r="BD248" s="2496"/>
      <c r="BE248" s="2496"/>
      <c r="BF248" s="2496"/>
      <c r="BG248" s="2879"/>
      <c r="BH248" s="2879"/>
      <c r="BI248" s="4105"/>
      <c r="BJ248" s="3008"/>
      <c r="BK248" s="3008"/>
      <c r="BL248" s="2496"/>
      <c r="BM248" s="2496"/>
      <c r="BN248" s="2496"/>
      <c r="BO248" s="2496"/>
      <c r="BP248" s="3008"/>
    </row>
    <row r="249" spans="1:68" ht="55.5" customHeight="1" x14ac:dyDescent="0.2">
      <c r="A249" s="4026"/>
      <c r="B249" s="4026"/>
      <c r="C249" s="4026"/>
      <c r="D249" s="4114"/>
      <c r="E249" s="4114"/>
      <c r="F249" s="4114"/>
      <c r="G249" s="2496"/>
      <c r="H249" s="4159"/>
      <c r="I249" s="2884"/>
      <c r="J249" s="2423"/>
      <c r="K249" s="4048"/>
      <c r="L249" s="4049"/>
      <c r="M249" s="2820"/>
      <c r="N249" s="2343"/>
      <c r="O249" s="2413"/>
      <c r="P249" s="4045"/>
      <c r="Q249" s="4047"/>
      <c r="R249" s="2463"/>
      <c r="S249" s="4150"/>
      <c r="T249" s="3907"/>
      <c r="U249" s="2134">
        <v>7200000</v>
      </c>
      <c r="V249" s="2077">
        <v>7200000</v>
      </c>
      <c r="W249" s="2079">
        <v>7200000</v>
      </c>
      <c r="X249" s="2116" t="s">
        <v>1867</v>
      </c>
      <c r="Y249" s="2138" t="s">
        <v>1824</v>
      </c>
      <c r="Z249" s="2496"/>
      <c r="AA249" s="2496"/>
      <c r="AB249" s="2496"/>
      <c r="AC249" s="2496"/>
      <c r="AD249" s="2496"/>
      <c r="AE249" s="2496"/>
      <c r="AF249" s="2496"/>
      <c r="AG249" s="2496"/>
      <c r="AH249" s="2496"/>
      <c r="AI249" s="2496"/>
      <c r="AJ249" s="2496"/>
      <c r="AK249" s="2496"/>
      <c r="AL249" s="2496"/>
      <c r="AM249" s="2496"/>
      <c r="AN249" s="2496"/>
      <c r="AO249" s="2496"/>
      <c r="AP249" s="2496"/>
      <c r="AQ249" s="2496"/>
      <c r="AR249" s="2496"/>
      <c r="AS249" s="2496"/>
      <c r="AT249" s="2496"/>
      <c r="AU249" s="2496"/>
      <c r="AV249" s="2496"/>
      <c r="AW249" s="2496"/>
      <c r="AX249" s="2496"/>
      <c r="AY249" s="2496"/>
      <c r="AZ249" s="2496"/>
      <c r="BA249" s="2496"/>
      <c r="BB249" s="2496"/>
      <c r="BC249" s="2496"/>
      <c r="BD249" s="2496"/>
      <c r="BE249" s="2496"/>
      <c r="BF249" s="2496"/>
      <c r="BG249" s="2879"/>
      <c r="BH249" s="2879"/>
      <c r="BI249" s="4105"/>
      <c r="BJ249" s="3008"/>
      <c r="BK249" s="3008"/>
      <c r="BL249" s="2496"/>
      <c r="BM249" s="2496"/>
      <c r="BN249" s="2496"/>
      <c r="BO249" s="2496"/>
      <c r="BP249" s="3008"/>
    </row>
    <row r="250" spans="1:68" ht="55.5" customHeight="1" x14ac:dyDescent="0.2">
      <c r="A250" s="4026"/>
      <c r="B250" s="4026"/>
      <c r="C250" s="4026"/>
      <c r="D250" s="4114"/>
      <c r="E250" s="4114"/>
      <c r="F250" s="4114"/>
      <c r="G250" s="2496"/>
      <c r="H250" s="4159"/>
      <c r="I250" s="2884"/>
      <c r="J250" s="2423"/>
      <c r="K250" s="4048"/>
      <c r="L250" s="4049"/>
      <c r="M250" s="2820"/>
      <c r="N250" s="2343"/>
      <c r="O250" s="2413"/>
      <c r="P250" s="4045"/>
      <c r="Q250" s="4047"/>
      <c r="R250" s="2463"/>
      <c r="S250" s="4150"/>
      <c r="T250" s="3062"/>
      <c r="U250" s="2134">
        <v>8000000</v>
      </c>
      <c r="V250" s="2077">
        <v>3000000</v>
      </c>
      <c r="W250" s="2079">
        <v>0</v>
      </c>
      <c r="X250" s="2116" t="s">
        <v>2176</v>
      </c>
      <c r="Y250" s="2138" t="s">
        <v>2177</v>
      </c>
      <c r="Z250" s="2496"/>
      <c r="AA250" s="2496"/>
      <c r="AB250" s="2496"/>
      <c r="AC250" s="2496"/>
      <c r="AD250" s="2496"/>
      <c r="AE250" s="2496"/>
      <c r="AF250" s="2496"/>
      <c r="AG250" s="2496"/>
      <c r="AH250" s="2496"/>
      <c r="AI250" s="2496"/>
      <c r="AJ250" s="2496"/>
      <c r="AK250" s="2496"/>
      <c r="AL250" s="2496"/>
      <c r="AM250" s="2496"/>
      <c r="AN250" s="2496"/>
      <c r="AO250" s="2496"/>
      <c r="AP250" s="2496"/>
      <c r="AQ250" s="2496"/>
      <c r="AR250" s="2496"/>
      <c r="AS250" s="2496"/>
      <c r="AT250" s="2496"/>
      <c r="AU250" s="2496"/>
      <c r="AV250" s="2496"/>
      <c r="AW250" s="2496"/>
      <c r="AX250" s="2496"/>
      <c r="AY250" s="2496"/>
      <c r="AZ250" s="2496"/>
      <c r="BA250" s="2496"/>
      <c r="BB250" s="2496"/>
      <c r="BC250" s="2496"/>
      <c r="BD250" s="2496"/>
      <c r="BE250" s="2496"/>
      <c r="BF250" s="2496"/>
      <c r="BG250" s="2879"/>
      <c r="BH250" s="2879"/>
      <c r="BI250" s="4105"/>
      <c r="BJ250" s="3008"/>
      <c r="BK250" s="3008"/>
      <c r="BL250" s="2496"/>
      <c r="BM250" s="2496"/>
      <c r="BN250" s="2496"/>
      <c r="BO250" s="2496"/>
      <c r="BP250" s="3008"/>
    </row>
    <row r="251" spans="1:68" ht="55.5" customHeight="1" x14ac:dyDescent="0.2">
      <c r="A251" s="4026"/>
      <c r="B251" s="4026"/>
      <c r="C251" s="4026"/>
      <c r="D251" s="4114"/>
      <c r="E251" s="4114"/>
      <c r="F251" s="4114"/>
      <c r="G251" s="2496"/>
      <c r="H251" s="4159"/>
      <c r="I251" s="2884"/>
      <c r="J251" s="2423"/>
      <c r="K251" s="4048"/>
      <c r="L251" s="4049"/>
      <c r="M251" s="2820"/>
      <c r="N251" s="2343"/>
      <c r="O251" s="2413"/>
      <c r="P251" s="4045"/>
      <c r="Q251" s="4047"/>
      <c r="R251" s="2463"/>
      <c r="S251" s="4150"/>
      <c r="T251" s="3061" t="s">
        <v>2184</v>
      </c>
      <c r="U251" s="2134">
        <v>35000000</v>
      </c>
      <c r="V251" s="2077">
        <v>0</v>
      </c>
      <c r="W251" s="2079">
        <v>0</v>
      </c>
      <c r="X251" s="2116" t="s">
        <v>2174</v>
      </c>
      <c r="Y251" s="2138" t="s">
        <v>2175</v>
      </c>
      <c r="Z251" s="2496"/>
      <c r="AA251" s="2496"/>
      <c r="AB251" s="2496"/>
      <c r="AC251" s="2496"/>
      <c r="AD251" s="2496"/>
      <c r="AE251" s="2496"/>
      <c r="AF251" s="2496"/>
      <c r="AG251" s="2496"/>
      <c r="AH251" s="2496"/>
      <c r="AI251" s="2496"/>
      <c r="AJ251" s="2496"/>
      <c r="AK251" s="2496"/>
      <c r="AL251" s="2496"/>
      <c r="AM251" s="2496"/>
      <c r="AN251" s="2496"/>
      <c r="AO251" s="2496"/>
      <c r="AP251" s="2496"/>
      <c r="AQ251" s="2496"/>
      <c r="AR251" s="2496"/>
      <c r="AS251" s="2496"/>
      <c r="AT251" s="2496"/>
      <c r="AU251" s="2496"/>
      <c r="AV251" s="2496"/>
      <c r="AW251" s="2496"/>
      <c r="AX251" s="2496"/>
      <c r="AY251" s="2496"/>
      <c r="AZ251" s="2496"/>
      <c r="BA251" s="2496"/>
      <c r="BB251" s="2496"/>
      <c r="BC251" s="2496"/>
      <c r="BD251" s="2496"/>
      <c r="BE251" s="2496"/>
      <c r="BF251" s="2496"/>
      <c r="BG251" s="2879"/>
      <c r="BH251" s="2879"/>
      <c r="BI251" s="4105"/>
      <c r="BJ251" s="3008"/>
      <c r="BK251" s="3008"/>
      <c r="BL251" s="2496"/>
      <c r="BM251" s="2496"/>
      <c r="BN251" s="2496"/>
      <c r="BO251" s="2496"/>
      <c r="BP251" s="3008"/>
    </row>
    <row r="252" spans="1:68" ht="55.5" customHeight="1" x14ac:dyDescent="0.2">
      <c r="A252" s="4026"/>
      <c r="B252" s="4026"/>
      <c r="C252" s="4026"/>
      <c r="D252" s="4114"/>
      <c r="E252" s="4114"/>
      <c r="F252" s="4114"/>
      <c r="G252" s="2496"/>
      <c r="H252" s="4159"/>
      <c r="I252" s="2884"/>
      <c r="J252" s="2423"/>
      <c r="K252" s="4048"/>
      <c r="L252" s="4049"/>
      <c r="M252" s="2820"/>
      <c r="N252" s="2343"/>
      <c r="O252" s="2413"/>
      <c r="P252" s="4045"/>
      <c r="Q252" s="4047"/>
      <c r="R252" s="2463"/>
      <c r="S252" s="4150"/>
      <c r="T252" s="3907"/>
      <c r="U252" s="2134">
        <v>1150000</v>
      </c>
      <c r="V252" s="2077">
        <v>1150000</v>
      </c>
      <c r="W252" s="2079">
        <v>1150000</v>
      </c>
      <c r="X252" s="2116" t="s">
        <v>1867</v>
      </c>
      <c r="Y252" s="2138" t="s">
        <v>1824</v>
      </c>
      <c r="Z252" s="2496"/>
      <c r="AA252" s="2496"/>
      <c r="AB252" s="2496"/>
      <c r="AC252" s="2496"/>
      <c r="AD252" s="2496"/>
      <c r="AE252" s="2496"/>
      <c r="AF252" s="2496"/>
      <c r="AG252" s="2496"/>
      <c r="AH252" s="2496"/>
      <c r="AI252" s="2496"/>
      <c r="AJ252" s="2496"/>
      <c r="AK252" s="2496"/>
      <c r="AL252" s="2496"/>
      <c r="AM252" s="2496"/>
      <c r="AN252" s="2496"/>
      <c r="AO252" s="2496"/>
      <c r="AP252" s="2496"/>
      <c r="AQ252" s="2496"/>
      <c r="AR252" s="2496"/>
      <c r="AS252" s="2496"/>
      <c r="AT252" s="2496"/>
      <c r="AU252" s="2496"/>
      <c r="AV252" s="2496"/>
      <c r="AW252" s="2496"/>
      <c r="AX252" s="2496"/>
      <c r="AY252" s="2496"/>
      <c r="AZ252" s="2496"/>
      <c r="BA252" s="2496"/>
      <c r="BB252" s="2496"/>
      <c r="BC252" s="2496"/>
      <c r="BD252" s="2496"/>
      <c r="BE252" s="2496"/>
      <c r="BF252" s="2496"/>
      <c r="BG252" s="2879"/>
      <c r="BH252" s="2879"/>
      <c r="BI252" s="4105"/>
      <c r="BJ252" s="3008"/>
      <c r="BK252" s="3008"/>
      <c r="BL252" s="2496"/>
      <c r="BM252" s="2496"/>
      <c r="BN252" s="2496"/>
      <c r="BO252" s="2496"/>
      <c r="BP252" s="3008"/>
    </row>
    <row r="253" spans="1:68" ht="55.5" customHeight="1" x14ac:dyDescent="0.2">
      <c r="A253" s="4026"/>
      <c r="B253" s="4026"/>
      <c r="C253" s="4026"/>
      <c r="D253" s="4114"/>
      <c r="E253" s="4114"/>
      <c r="F253" s="4114"/>
      <c r="G253" s="2497"/>
      <c r="H253" s="4160"/>
      <c r="I253" s="2895"/>
      <c r="J253" s="2424"/>
      <c r="K253" s="4048"/>
      <c r="L253" s="4049"/>
      <c r="M253" s="2821"/>
      <c r="N253" s="2343"/>
      <c r="O253" s="2413"/>
      <c r="P253" s="4046"/>
      <c r="Q253" s="3383"/>
      <c r="R253" s="2463"/>
      <c r="S253" s="4150"/>
      <c r="T253" s="3907"/>
      <c r="U253" s="2139">
        <v>10308240</v>
      </c>
      <c r="V253" s="2077">
        <v>7000000</v>
      </c>
      <c r="W253" s="2079">
        <v>0</v>
      </c>
      <c r="X253" s="2116" t="s">
        <v>2176</v>
      </c>
      <c r="Y253" s="2127" t="s">
        <v>2177</v>
      </c>
      <c r="Z253" s="2497"/>
      <c r="AA253" s="2497"/>
      <c r="AB253" s="2497"/>
      <c r="AC253" s="2497"/>
      <c r="AD253" s="2497"/>
      <c r="AE253" s="2497"/>
      <c r="AF253" s="2497"/>
      <c r="AG253" s="2497"/>
      <c r="AH253" s="2497"/>
      <c r="AI253" s="2497"/>
      <c r="AJ253" s="2497"/>
      <c r="AK253" s="2497"/>
      <c r="AL253" s="2497"/>
      <c r="AM253" s="2497"/>
      <c r="AN253" s="2497"/>
      <c r="AO253" s="2497"/>
      <c r="AP253" s="2497"/>
      <c r="AQ253" s="2497"/>
      <c r="AR253" s="2497"/>
      <c r="AS253" s="2497"/>
      <c r="AT253" s="2497"/>
      <c r="AU253" s="2497"/>
      <c r="AV253" s="2497"/>
      <c r="AW253" s="2497"/>
      <c r="AX253" s="2497"/>
      <c r="AY253" s="2497"/>
      <c r="AZ253" s="2497"/>
      <c r="BA253" s="2497"/>
      <c r="BB253" s="2497"/>
      <c r="BC253" s="2497"/>
      <c r="BD253" s="2497"/>
      <c r="BE253" s="2497"/>
      <c r="BF253" s="2497"/>
      <c r="BG253" s="2880"/>
      <c r="BH253" s="2880"/>
      <c r="BI253" s="4106"/>
      <c r="BJ253" s="3009"/>
      <c r="BK253" s="3009"/>
      <c r="BL253" s="2497"/>
      <c r="BM253" s="2497"/>
      <c r="BN253" s="2497"/>
      <c r="BO253" s="2497"/>
      <c r="BP253" s="3009"/>
    </row>
    <row r="254" spans="1:68" ht="74.25" customHeight="1" x14ac:dyDescent="0.2">
      <c r="A254" s="4026"/>
      <c r="B254" s="4026"/>
      <c r="C254" s="4026"/>
      <c r="D254" s="4114"/>
      <c r="E254" s="4114"/>
      <c r="F254" s="4114"/>
      <c r="G254" s="2495">
        <v>1905026</v>
      </c>
      <c r="H254" s="4107">
        <v>12.1</v>
      </c>
      <c r="I254" s="2894" t="s">
        <v>2122</v>
      </c>
      <c r="J254" s="2929" t="s">
        <v>2123</v>
      </c>
      <c r="K254" s="4048">
        <v>12</v>
      </c>
      <c r="L254" s="4049">
        <v>6</v>
      </c>
      <c r="M254" s="3157" t="s">
        <v>2185</v>
      </c>
      <c r="N254" s="2307" t="s">
        <v>2186</v>
      </c>
      <c r="O254" s="2423" t="s">
        <v>2187</v>
      </c>
      <c r="P254" s="2846">
        <f>SUM(U254:U261)/Q254</f>
        <v>1</v>
      </c>
      <c r="Q254" s="4155">
        <f>SUM(U254:U261)</f>
        <v>2929870740</v>
      </c>
      <c r="R254" s="2929" t="s">
        <v>2188</v>
      </c>
      <c r="S254" s="2416" t="s">
        <v>2189</v>
      </c>
      <c r="T254" s="1920" t="s">
        <v>2190</v>
      </c>
      <c r="U254" s="2090">
        <v>50000000</v>
      </c>
      <c r="V254" s="2077">
        <v>0</v>
      </c>
      <c r="W254" s="2062">
        <v>0</v>
      </c>
      <c r="X254" s="2116" t="s">
        <v>1944</v>
      </c>
      <c r="Y254" s="2140" t="s">
        <v>7</v>
      </c>
      <c r="Z254" s="4161">
        <v>295972</v>
      </c>
      <c r="AA254" s="4161">
        <f>SUM(Z254*0.36)</f>
        <v>106549.92</v>
      </c>
      <c r="AB254" s="4161">
        <v>285580</v>
      </c>
      <c r="AC254" s="4161">
        <f>SUM(AB254*0.36)</f>
        <v>102808.8</v>
      </c>
      <c r="AD254" s="4161">
        <v>135545</v>
      </c>
      <c r="AE254" s="4161">
        <f>SUM(AD254*0.36)</f>
        <v>48796.2</v>
      </c>
      <c r="AF254" s="4161">
        <v>44254</v>
      </c>
      <c r="AG254" s="4161">
        <f>SUM(AF254*0.36)</f>
        <v>15931.439999999999</v>
      </c>
      <c r="AH254" s="4161">
        <v>309146</v>
      </c>
      <c r="AI254" s="4161">
        <f>SUM(AH254*0.36)</f>
        <v>111292.56</v>
      </c>
      <c r="AJ254" s="4161">
        <v>92607</v>
      </c>
      <c r="AK254" s="4161">
        <f>SUM(AJ254*0.36)</f>
        <v>33338.519999999997</v>
      </c>
      <c r="AL254" s="4161">
        <v>2145</v>
      </c>
      <c r="AM254" s="4161">
        <f>SUM(AL254*0.36)</f>
        <v>772.19999999999993</v>
      </c>
      <c r="AN254" s="4161">
        <v>12718</v>
      </c>
      <c r="AO254" s="4161">
        <f>SUM(AN254*0.36)</f>
        <v>4578.4799999999996</v>
      </c>
      <c r="AP254" s="4161">
        <v>26</v>
      </c>
      <c r="AQ254" s="4161">
        <f>SUM(AP254*0.36)</f>
        <v>9.36</v>
      </c>
      <c r="AR254" s="4161">
        <v>37</v>
      </c>
      <c r="AS254" s="4161">
        <f>SUM(AR254*0.36)</f>
        <v>13.32</v>
      </c>
      <c r="AT254" s="4161">
        <v>0</v>
      </c>
      <c r="AU254" s="4161">
        <f>SUM(AT254*0.36)</f>
        <v>0</v>
      </c>
      <c r="AV254" s="4161">
        <v>0</v>
      </c>
      <c r="AW254" s="4161">
        <f>SUM(AV254*0.36)</f>
        <v>0</v>
      </c>
      <c r="AX254" s="4161">
        <v>44350</v>
      </c>
      <c r="AY254" s="4161">
        <f>SUM(AX254*0.36)</f>
        <v>15966</v>
      </c>
      <c r="AZ254" s="4161">
        <v>21944</v>
      </c>
      <c r="BA254" s="4161">
        <f>SUM(AZ254*0.36)</f>
        <v>7899.84</v>
      </c>
      <c r="BB254" s="4161">
        <v>75687</v>
      </c>
      <c r="BC254" s="4161">
        <f>SUM(BB254*0.36)</f>
        <v>27247.32</v>
      </c>
      <c r="BD254" s="4161">
        <f>SUM(AQ254:AT254)</f>
        <v>59.68</v>
      </c>
      <c r="BE254" s="4161">
        <f>SUM(BD254*0.36)</f>
        <v>21.4848</v>
      </c>
      <c r="BF254" s="4161">
        <v>6</v>
      </c>
      <c r="BG254" s="2322">
        <f>SUM(V254:V261)</f>
        <v>1049213960.33</v>
      </c>
      <c r="BH254" s="2322">
        <f>SUM(W254:W261)</f>
        <v>619444375</v>
      </c>
      <c r="BI254" s="4167">
        <f>SUM(BG254/Q254)</f>
        <v>0.35810930018366616</v>
      </c>
      <c r="BJ254" s="4170" t="s">
        <v>7</v>
      </c>
      <c r="BK254" s="4170" t="s">
        <v>1974</v>
      </c>
      <c r="BL254" s="4161">
        <v>43832</v>
      </c>
      <c r="BM254" s="4161">
        <v>43832</v>
      </c>
      <c r="BN254" s="4161">
        <v>44196</v>
      </c>
      <c r="BO254" s="4161">
        <v>44196</v>
      </c>
      <c r="BP254" s="4164" t="s">
        <v>1811</v>
      </c>
    </row>
    <row r="255" spans="1:68" ht="90.75" customHeight="1" x14ac:dyDescent="0.2">
      <c r="A255" s="4026"/>
      <c r="B255" s="4026"/>
      <c r="C255" s="4026"/>
      <c r="D255" s="4114"/>
      <c r="E255" s="4114"/>
      <c r="F255" s="4114"/>
      <c r="G255" s="2496"/>
      <c r="H255" s="4157"/>
      <c r="I255" s="2884"/>
      <c r="J255" s="2993"/>
      <c r="K255" s="4048"/>
      <c r="L255" s="4049"/>
      <c r="M255" s="2879"/>
      <c r="N255" s="2307"/>
      <c r="O255" s="2423"/>
      <c r="P255" s="2847"/>
      <c r="Q255" s="4156"/>
      <c r="R255" s="2993"/>
      <c r="S255" s="2416"/>
      <c r="T255" s="1920" t="s">
        <v>2191</v>
      </c>
      <c r="U255" s="2090">
        <v>840213960</v>
      </c>
      <c r="V255" s="2077">
        <v>840213960</v>
      </c>
      <c r="W255" s="2062">
        <v>519073175</v>
      </c>
      <c r="X255" s="2116" t="s">
        <v>1944</v>
      </c>
      <c r="Y255" s="2067" t="s">
        <v>7</v>
      </c>
      <c r="Z255" s="4162"/>
      <c r="AA255" s="4162"/>
      <c r="AB255" s="4162"/>
      <c r="AC255" s="4162"/>
      <c r="AD255" s="4162"/>
      <c r="AE255" s="4162"/>
      <c r="AF255" s="4162"/>
      <c r="AG255" s="4162"/>
      <c r="AH255" s="4162"/>
      <c r="AI255" s="4162"/>
      <c r="AJ255" s="4162"/>
      <c r="AK255" s="4162"/>
      <c r="AL255" s="4162"/>
      <c r="AM255" s="4162"/>
      <c r="AN255" s="4162"/>
      <c r="AO255" s="4162"/>
      <c r="AP255" s="4162"/>
      <c r="AQ255" s="4162"/>
      <c r="AR255" s="4162"/>
      <c r="AS255" s="4162"/>
      <c r="AT255" s="4162"/>
      <c r="AU255" s="4162"/>
      <c r="AV255" s="4162"/>
      <c r="AW255" s="4162"/>
      <c r="AX255" s="4162"/>
      <c r="AY255" s="4162"/>
      <c r="AZ255" s="4162"/>
      <c r="BA255" s="4162"/>
      <c r="BB255" s="4162"/>
      <c r="BC255" s="4162"/>
      <c r="BD255" s="4162"/>
      <c r="BE255" s="4162"/>
      <c r="BF255" s="4162"/>
      <c r="BG255" s="4173"/>
      <c r="BH255" s="4173"/>
      <c r="BI255" s="4168"/>
      <c r="BJ255" s="4171"/>
      <c r="BK255" s="4171"/>
      <c r="BL255" s="4162"/>
      <c r="BM255" s="4162"/>
      <c r="BN255" s="4162"/>
      <c r="BO255" s="4162"/>
      <c r="BP255" s="4165"/>
    </row>
    <row r="256" spans="1:68" ht="74.25" customHeight="1" x14ac:dyDescent="0.2">
      <c r="A256" s="4026"/>
      <c r="B256" s="4026"/>
      <c r="C256" s="4026"/>
      <c r="D256" s="4114"/>
      <c r="E256" s="4114"/>
      <c r="F256" s="4114"/>
      <c r="G256" s="2496"/>
      <c r="H256" s="4157"/>
      <c r="I256" s="2884"/>
      <c r="J256" s="2993"/>
      <c r="K256" s="4048"/>
      <c r="L256" s="4049"/>
      <c r="M256" s="2879"/>
      <c r="N256" s="2307"/>
      <c r="O256" s="2423"/>
      <c r="P256" s="2847"/>
      <c r="Q256" s="4156"/>
      <c r="R256" s="2993"/>
      <c r="S256" s="2416"/>
      <c r="T256" s="1920" t="s">
        <v>2192</v>
      </c>
      <c r="U256" s="2090">
        <v>50000000</v>
      </c>
      <c r="V256" s="2077">
        <v>50000000</v>
      </c>
      <c r="W256" s="2062">
        <v>1011200</v>
      </c>
      <c r="X256" s="2116" t="s">
        <v>1944</v>
      </c>
      <c r="Y256" s="2067" t="s">
        <v>7</v>
      </c>
      <c r="Z256" s="4162"/>
      <c r="AA256" s="4162"/>
      <c r="AB256" s="4162"/>
      <c r="AC256" s="4162"/>
      <c r="AD256" s="4162"/>
      <c r="AE256" s="4162"/>
      <c r="AF256" s="4162"/>
      <c r="AG256" s="4162"/>
      <c r="AH256" s="4162"/>
      <c r="AI256" s="4162"/>
      <c r="AJ256" s="4162"/>
      <c r="AK256" s="4162"/>
      <c r="AL256" s="4162"/>
      <c r="AM256" s="4162"/>
      <c r="AN256" s="4162"/>
      <c r="AO256" s="4162"/>
      <c r="AP256" s="4162"/>
      <c r="AQ256" s="4162"/>
      <c r="AR256" s="4162"/>
      <c r="AS256" s="4162"/>
      <c r="AT256" s="4162"/>
      <c r="AU256" s="4162"/>
      <c r="AV256" s="4162"/>
      <c r="AW256" s="4162"/>
      <c r="AX256" s="4162"/>
      <c r="AY256" s="4162"/>
      <c r="AZ256" s="4162"/>
      <c r="BA256" s="4162"/>
      <c r="BB256" s="4162"/>
      <c r="BC256" s="4162"/>
      <c r="BD256" s="4162"/>
      <c r="BE256" s="4162"/>
      <c r="BF256" s="4162"/>
      <c r="BG256" s="4173"/>
      <c r="BH256" s="4173"/>
      <c r="BI256" s="4168"/>
      <c r="BJ256" s="4171"/>
      <c r="BK256" s="4171"/>
      <c r="BL256" s="4162"/>
      <c r="BM256" s="4162"/>
      <c r="BN256" s="4162"/>
      <c r="BO256" s="4162"/>
      <c r="BP256" s="4165"/>
    </row>
    <row r="257" spans="1:68" ht="74.25" customHeight="1" x14ac:dyDescent="0.2">
      <c r="A257" s="4026"/>
      <c r="B257" s="4026"/>
      <c r="C257" s="4026"/>
      <c r="D257" s="4114"/>
      <c r="E257" s="4114"/>
      <c r="F257" s="4114"/>
      <c r="G257" s="2496"/>
      <c r="H257" s="4157"/>
      <c r="I257" s="2884"/>
      <c r="J257" s="2993"/>
      <c r="K257" s="4048"/>
      <c r="L257" s="4049"/>
      <c r="M257" s="2879"/>
      <c r="N257" s="2307"/>
      <c r="O257" s="2423"/>
      <c r="P257" s="2847"/>
      <c r="Q257" s="4156"/>
      <c r="R257" s="2993"/>
      <c r="S257" s="2416"/>
      <c r="T257" s="1920" t="s">
        <v>2193</v>
      </c>
      <c r="U257" s="2090">
        <v>100000000</v>
      </c>
      <c r="V257" s="2077">
        <v>100000000</v>
      </c>
      <c r="W257" s="2062">
        <v>99360000</v>
      </c>
      <c r="X257" s="2116" t="s">
        <v>1944</v>
      </c>
      <c r="Y257" s="2067" t="s">
        <v>7</v>
      </c>
      <c r="Z257" s="4162"/>
      <c r="AA257" s="4162"/>
      <c r="AB257" s="4162"/>
      <c r="AC257" s="4162"/>
      <c r="AD257" s="4162"/>
      <c r="AE257" s="4162"/>
      <c r="AF257" s="4162"/>
      <c r="AG257" s="4162"/>
      <c r="AH257" s="4162"/>
      <c r="AI257" s="4162"/>
      <c r="AJ257" s="4162"/>
      <c r="AK257" s="4162"/>
      <c r="AL257" s="4162"/>
      <c r="AM257" s="4162"/>
      <c r="AN257" s="4162"/>
      <c r="AO257" s="4162"/>
      <c r="AP257" s="4162"/>
      <c r="AQ257" s="4162"/>
      <c r="AR257" s="4162"/>
      <c r="AS257" s="4162"/>
      <c r="AT257" s="4162"/>
      <c r="AU257" s="4162"/>
      <c r="AV257" s="4162"/>
      <c r="AW257" s="4162"/>
      <c r="AX257" s="4162"/>
      <c r="AY257" s="4162"/>
      <c r="AZ257" s="4162"/>
      <c r="BA257" s="4162"/>
      <c r="BB257" s="4162"/>
      <c r="BC257" s="4162"/>
      <c r="BD257" s="4162"/>
      <c r="BE257" s="4162"/>
      <c r="BF257" s="4162"/>
      <c r="BG257" s="4173"/>
      <c r="BH257" s="4173"/>
      <c r="BI257" s="4168"/>
      <c r="BJ257" s="4171"/>
      <c r="BK257" s="4171"/>
      <c r="BL257" s="4162"/>
      <c r="BM257" s="4162"/>
      <c r="BN257" s="4162"/>
      <c r="BO257" s="4162"/>
      <c r="BP257" s="4165"/>
    </row>
    <row r="258" spans="1:68" ht="74.25" customHeight="1" x14ac:dyDescent="0.2">
      <c r="A258" s="4026"/>
      <c r="B258" s="4026"/>
      <c r="C258" s="4026"/>
      <c r="D258" s="4114"/>
      <c r="E258" s="4114"/>
      <c r="F258" s="4114"/>
      <c r="G258" s="2496"/>
      <c r="H258" s="4157"/>
      <c r="I258" s="2884"/>
      <c r="J258" s="2993"/>
      <c r="K258" s="4048"/>
      <c r="L258" s="4049"/>
      <c r="M258" s="2879"/>
      <c r="N258" s="2307"/>
      <c r="O258" s="2423"/>
      <c r="P258" s="2847"/>
      <c r="Q258" s="4156"/>
      <c r="R258" s="2993"/>
      <c r="S258" s="2416"/>
      <c r="T258" s="1920" t="s">
        <v>2194</v>
      </c>
      <c r="U258" s="2090">
        <v>100000000</v>
      </c>
      <c r="V258" s="2077">
        <v>0</v>
      </c>
      <c r="W258" s="2062">
        <v>0</v>
      </c>
      <c r="X258" s="2116" t="s">
        <v>1944</v>
      </c>
      <c r="Y258" s="2067" t="s">
        <v>7</v>
      </c>
      <c r="Z258" s="4162"/>
      <c r="AA258" s="4162"/>
      <c r="AB258" s="4162"/>
      <c r="AC258" s="4162"/>
      <c r="AD258" s="4162"/>
      <c r="AE258" s="4162"/>
      <c r="AF258" s="4162"/>
      <c r="AG258" s="4162"/>
      <c r="AH258" s="4162"/>
      <c r="AI258" s="4162"/>
      <c r="AJ258" s="4162"/>
      <c r="AK258" s="4162"/>
      <c r="AL258" s="4162"/>
      <c r="AM258" s="4162"/>
      <c r="AN258" s="4162"/>
      <c r="AO258" s="4162"/>
      <c r="AP258" s="4162"/>
      <c r="AQ258" s="4162"/>
      <c r="AR258" s="4162"/>
      <c r="AS258" s="4162"/>
      <c r="AT258" s="4162"/>
      <c r="AU258" s="4162"/>
      <c r="AV258" s="4162"/>
      <c r="AW258" s="4162"/>
      <c r="AX258" s="4162"/>
      <c r="AY258" s="4162"/>
      <c r="AZ258" s="4162"/>
      <c r="BA258" s="4162"/>
      <c r="BB258" s="4162"/>
      <c r="BC258" s="4162"/>
      <c r="BD258" s="4162"/>
      <c r="BE258" s="4162"/>
      <c r="BF258" s="4162"/>
      <c r="BG258" s="4173"/>
      <c r="BH258" s="4173"/>
      <c r="BI258" s="4168"/>
      <c r="BJ258" s="4171"/>
      <c r="BK258" s="4171"/>
      <c r="BL258" s="4162"/>
      <c r="BM258" s="4162"/>
      <c r="BN258" s="4162"/>
      <c r="BO258" s="4162"/>
      <c r="BP258" s="4165"/>
    </row>
    <row r="259" spans="1:68" ht="74.25" customHeight="1" x14ac:dyDescent="0.2">
      <c r="A259" s="4026"/>
      <c r="B259" s="4026"/>
      <c r="C259" s="4026"/>
      <c r="D259" s="4114"/>
      <c r="E259" s="4114"/>
      <c r="F259" s="4114"/>
      <c r="G259" s="2496"/>
      <c r="H259" s="4157"/>
      <c r="I259" s="2884"/>
      <c r="J259" s="2993"/>
      <c r="K259" s="4048"/>
      <c r="L259" s="4049"/>
      <c r="M259" s="2879"/>
      <c r="N259" s="2307"/>
      <c r="O259" s="2423"/>
      <c r="P259" s="2847"/>
      <c r="Q259" s="4156"/>
      <c r="R259" s="2993"/>
      <c r="S259" s="2416"/>
      <c r="T259" s="1920" t="s">
        <v>2195</v>
      </c>
      <c r="U259" s="2090">
        <v>1139656780</v>
      </c>
      <c r="V259" s="2077">
        <v>35000000</v>
      </c>
      <c r="W259" s="2062">
        <v>0</v>
      </c>
      <c r="X259" s="2116" t="s">
        <v>1944</v>
      </c>
      <c r="Y259" s="2069" t="s">
        <v>7</v>
      </c>
      <c r="Z259" s="4162"/>
      <c r="AA259" s="4162"/>
      <c r="AB259" s="4162"/>
      <c r="AC259" s="4162"/>
      <c r="AD259" s="4162"/>
      <c r="AE259" s="4162"/>
      <c r="AF259" s="4162"/>
      <c r="AG259" s="4162"/>
      <c r="AH259" s="4162"/>
      <c r="AI259" s="4162"/>
      <c r="AJ259" s="4162"/>
      <c r="AK259" s="4162"/>
      <c r="AL259" s="4162"/>
      <c r="AM259" s="4162"/>
      <c r="AN259" s="4162"/>
      <c r="AO259" s="4162"/>
      <c r="AP259" s="4162"/>
      <c r="AQ259" s="4162"/>
      <c r="AR259" s="4162"/>
      <c r="AS259" s="4162"/>
      <c r="AT259" s="4162"/>
      <c r="AU259" s="4162"/>
      <c r="AV259" s="4162"/>
      <c r="AW259" s="4162"/>
      <c r="AX259" s="4162"/>
      <c r="AY259" s="4162"/>
      <c r="AZ259" s="4162"/>
      <c r="BA259" s="4162"/>
      <c r="BB259" s="4162"/>
      <c r="BC259" s="4162"/>
      <c r="BD259" s="4162"/>
      <c r="BE259" s="4162"/>
      <c r="BF259" s="4162"/>
      <c r="BG259" s="4173"/>
      <c r="BH259" s="4173"/>
      <c r="BI259" s="4168"/>
      <c r="BJ259" s="4171"/>
      <c r="BK259" s="4171"/>
      <c r="BL259" s="4162"/>
      <c r="BM259" s="4162"/>
      <c r="BN259" s="4162"/>
      <c r="BO259" s="4162"/>
      <c r="BP259" s="4165"/>
    </row>
    <row r="260" spans="1:68" ht="74.25" customHeight="1" x14ac:dyDescent="0.2">
      <c r="A260" s="4026"/>
      <c r="B260" s="4026"/>
      <c r="C260" s="4026"/>
      <c r="D260" s="4114"/>
      <c r="E260" s="4114"/>
      <c r="F260" s="4114"/>
      <c r="G260" s="2496"/>
      <c r="H260" s="4157"/>
      <c r="I260" s="2884"/>
      <c r="J260" s="2993"/>
      <c r="K260" s="4048"/>
      <c r="L260" s="4049"/>
      <c r="M260" s="2879"/>
      <c r="N260" s="2307"/>
      <c r="O260" s="2423"/>
      <c r="P260" s="2847"/>
      <c r="Q260" s="4156"/>
      <c r="R260" s="2993"/>
      <c r="S260" s="2416"/>
      <c r="T260" s="1920" t="s">
        <v>2196</v>
      </c>
      <c r="U260" s="2090">
        <v>450000000</v>
      </c>
      <c r="V260" s="2077">
        <v>0</v>
      </c>
      <c r="W260" s="2062">
        <v>0</v>
      </c>
      <c r="X260" s="2116" t="s">
        <v>1944</v>
      </c>
      <c r="Y260" s="2069" t="s">
        <v>7</v>
      </c>
      <c r="Z260" s="4162"/>
      <c r="AA260" s="4162"/>
      <c r="AB260" s="4162"/>
      <c r="AC260" s="4162"/>
      <c r="AD260" s="4162"/>
      <c r="AE260" s="4162"/>
      <c r="AF260" s="4162"/>
      <c r="AG260" s="4162"/>
      <c r="AH260" s="4162"/>
      <c r="AI260" s="4162"/>
      <c r="AJ260" s="4162"/>
      <c r="AK260" s="4162"/>
      <c r="AL260" s="4162"/>
      <c r="AM260" s="4162"/>
      <c r="AN260" s="4162"/>
      <c r="AO260" s="4162"/>
      <c r="AP260" s="4162"/>
      <c r="AQ260" s="4162"/>
      <c r="AR260" s="4162"/>
      <c r="AS260" s="4162"/>
      <c r="AT260" s="4162"/>
      <c r="AU260" s="4162"/>
      <c r="AV260" s="4162"/>
      <c r="AW260" s="4162"/>
      <c r="AX260" s="4162"/>
      <c r="AY260" s="4162"/>
      <c r="AZ260" s="4162"/>
      <c r="BA260" s="4162"/>
      <c r="BB260" s="4162"/>
      <c r="BC260" s="4162"/>
      <c r="BD260" s="4162"/>
      <c r="BE260" s="4162"/>
      <c r="BF260" s="4162"/>
      <c r="BG260" s="4173"/>
      <c r="BH260" s="4173"/>
      <c r="BI260" s="4168"/>
      <c r="BJ260" s="4171"/>
      <c r="BK260" s="4171"/>
      <c r="BL260" s="4162"/>
      <c r="BM260" s="4162"/>
      <c r="BN260" s="4162"/>
      <c r="BO260" s="4162"/>
      <c r="BP260" s="4165"/>
    </row>
    <row r="261" spans="1:68" ht="74.25" customHeight="1" x14ac:dyDescent="0.2">
      <c r="A261" s="4026"/>
      <c r="B261" s="4026"/>
      <c r="C261" s="4026"/>
      <c r="D261" s="4114"/>
      <c r="E261" s="4114"/>
      <c r="F261" s="4114"/>
      <c r="G261" s="2496"/>
      <c r="H261" s="4157"/>
      <c r="I261" s="2884"/>
      <c r="J261" s="2993"/>
      <c r="K261" s="4048"/>
      <c r="L261" s="4049"/>
      <c r="M261" s="2879"/>
      <c r="N261" s="2307"/>
      <c r="O261" s="2423"/>
      <c r="P261" s="2847"/>
      <c r="Q261" s="4156"/>
      <c r="R261" s="2993"/>
      <c r="S261" s="2584"/>
      <c r="T261" s="1920" t="s">
        <v>2197</v>
      </c>
      <c r="U261" s="2090">
        <v>200000000</v>
      </c>
      <c r="V261" s="2077">
        <v>24000000.329999998</v>
      </c>
      <c r="W261" s="2062">
        <v>0</v>
      </c>
      <c r="X261" s="2116" t="s">
        <v>1944</v>
      </c>
      <c r="Y261" s="2141" t="s">
        <v>7</v>
      </c>
      <c r="Z261" s="4163"/>
      <c r="AA261" s="4163"/>
      <c r="AB261" s="4163"/>
      <c r="AC261" s="4163"/>
      <c r="AD261" s="4163"/>
      <c r="AE261" s="4163"/>
      <c r="AF261" s="4163"/>
      <c r="AG261" s="4163"/>
      <c r="AH261" s="4163"/>
      <c r="AI261" s="4163"/>
      <c r="AJ261" s="4163"/>
      <c r="AK261" s="4163"/>
      <c r="AL261" s="4163"/>
      <c r="AM261" s="4163"/>
      <c r="AN261" s="4163"/>
      <c r="AO261" s="4163"/>
      <c r="AP261" s="4163"/>
      <c r="AQ261" s="4163"/>
      <c r="AR261" s="4163"/>
      <c r="AS261" s="4163"/>
      <c r="AT261" s="4163"/>
      <c r="AU261" s="4163"/>
      <c r="AV261" s="4163"/>
      <c r="AW261" s="4163"/>
      <c r="AX261" s="4163"/>
      <c r="AY261" s="4163"/>
      <c r="AZ261" s="4163"/>
      <c r="BA261" s="4163"/>
      <c r="BB261" s="4163"/>
      <c r="BC261" s="4163"/>
      <c r="BD261" s="4163"/>
      <c r="BE261" s="4163"/>
      <c r="BF261" s="4163"/>
      <c r="BG261" s="4174"/>
      <c r="BH261" s="4174"/>
      <c r="BI261" s="4169"/>
      <c r="BJ261" s="4172"/>
      <c r="BK261" s="4172"/>
      <c r="BL261" s="4163"/>
      <c r="BM261" s="4163"/>
      <c r="BN261" s="4163"/>
      <c r="BO261" s="4163"/>
      <c r="BP261" s="4166"/>
    </row>
    <row r="262" spans="1:68" ht="120.75" customHeight="1" x14ac:dyDescent="0.2">
      <c r="A262" s="4026"/>
      <c r="B262" s="4026"/>
      <c r="C262" s="4026"/>
      <c r="D262" s="4114"/>
      <c r="E262" s="4114"/>
      <c r="F262" s="4114"/>
      <c r="G262" s="2142">
        <v>1905029</v>
      </c>
      <c r="H262" s="2143" t="s">
        <v>2198</v>
      </c>
      <c r="I262" s="1890" t="s">
        <v>2199</v>
      </c>
      <c r="J262" s="1899" t="s">
        <v>2200</v>
      </c>
      <c r="K262" s="2094">
        <v>60</v>
      </c>
      <c r="L262" s="2095">
        <v>0</v>
      </c>
      <c r="M262" s="2494" t="s">
        <v>2201</v>
      </c>
      <c r="N262" s="2867" t="s">
        <v>2202</v>
      </c>
      <c r="O262" s="2453" t="s">
        <v>2203</v>
      </c>
      <c r="P262" s="1900">
        <f>SUM(U262)/Q262</f>
        <v>0.55555555555555558</v>
      </c>
      <c r="Q262" s="4077">
        <f>SUM(U262:U263)</f>
        <v>18000000</v>
      </c>
      <c r="R262" s="2413" t="s">
        <v>2204</v>
      </c>
      <c r="S262" s="2331" t="s">
        <v>2205</v>
      </c>
      <c r="T262" s="2009" t="s">
        <v>2206</v>
      </c>
      <c r="U262" s="2144">
        <v>10000000</v>
      </c>
      <c r="V262" s="2062">
        <v>0</v>
      </c>
      <c r="W262" s="2062">
        <v>0</v>
      </c>
      <c r="X262" s="2116" t="s">
        <v>1867</v>
      </c>
      <c r="Y262" s="2145" t="s">
        <v>2207</v>
      </c>
      <c r="Z262" s="3038">
        <v>292684</v>
      </c>
      <c r="AA262" s="3038">
        <f>SUM(Z262*0)</f>
        <v>0</v>
      </c>
      <c r="AB262" s="3038">
        <v>282326</v>
      </c>
      <c r="AC262" s="3038">
        <f>SUM(AB262*0)</f>
        <v>0</v>
      </c>
      <c r="AD262" s="3038">
        <v>135912</v>
      </c>
      <c r="AE262" s="3038">
        <f>SUM(AD262*0)</f>
        <v>0</v>
      </c>
      <c r="AF262" s="3038">
        <v>45122</v>
      </c>
      <c r="AG262" s="3038">
        <f>SUM(AF262*0)</f>
        <v>0</v>
      </c>
      <c r="AH262" s="3038">
        <v>307101</v>
      </c>
      <c r="AI262" s="3038">
        <f>SUM(AH262*0)</f>
        <v>0</v>
      </c>
      <c r="AJ262" s="3038">
        <v>86875</v>
      </c>
      <c r="AK262" s="3038">
        <f>SUM(AJ262*0)</f>
        <v>0</v>
      </c>
      <c r="AL262" s="3038">
        <v>2145</v>
      </c>
      <c r="AM262" s="3038">
        <f>SUM(AL262*0)</f>
        <v>0</v>
      </c>
      <c r="AN262" s="3038">
        <v>12718</v>
      </c>
      <c r="AO262" s="3038">
        <f>SUM(AN262*0)</f>
        <v>0</v>
      </c>
      <c r="AP262" s="3038">
        <v>26</v>
      </c>
      <c r="AQ262" s="3038">
        <f>SUM(AP262*0)</f>
        <v>0</v>
      </c>
      <c r="AR262" s="3038">
        <v>37</v>
      </c>
      <c r="AS262" s="3038">
        <f>SUM(AR262*0)</f>
        <v>0</v>
      </c>
      <c r="AT262" s="3038">
        <v>0</v>
      </c>
      <c r="AU262" s="3038">
        <f>SUM(AT262*0)</f>
        <v>0</v>
      </c>
      <c r="AV262" s="3038">
        <v>0</v>
      </c>
      <c r="AW262" s="3038">
        <f>SUM(AV262*0)</f>
        <v>0</v>
      </c>
      <c r="AX262" s="3038">
        <v>0</v>
      </c>
      <c r="AY262" s="3038">
        <f>SUM(AX262*0)</f>
        <v>0</v>
      </c>
      <c r="AZ262" s="3038">
        <v>41.542999999999999</v>
      </c>
      <c r="BA262" s="3038">
        <f>SUM(AZ262*0)</f>
        <v>0</v>
      </c>
      <c r="BB262" s="3038">
        <v>88.56</v>
      </c>
      <c r="BC262" s="3038">
        <f>SUM(BB262*0)</f>
        <v>0</v>
      </c>
      <c r="BD262" s="3038">
        <v>575010</v>
      </c>
      <c r="BE262" s="3038">
        <f>SUM(BD262*0)</f>
        <v>0</v>
      </c>
      <c r="BF262" s="3038">
        <v>0</v>
      </c>
      <c r="BG262" s="4091">
        <f>SUM(V262:V263)</f>
        <v>0</v>
      </c>
      <c r="BH262" s="4091">
        <f>SUM(W262:W263)</f>
        <v>0</v>
      </c>
      <c r="BI262" s="4094">
        <f>SUM(BG262/Q262)</f>
        <v>0</v>
      </c>
      <c r="BJ262" s="3019" t="s">
        <v>1809</v>
      </c>
      <c r="BK262" s="3019" t="s">
        <v>1810</v>
      </c>
      <c r="BL262" s="4090">
        <v>43832</v>
      </c>
      <c r="BM262" s="4090">
        <v>43832</v>
      </c>
      <c r="BN262" s="4090">
        <v>44196</v>
      </c>
      <c r="BO262" s="4090">
        <v>44196</v>
      </c>
      <c r="BP262" s="3019" t="s">
        <v>1811</v>
      </c>
    </row>
    <row r="263" spans="1:68" ht="137.25" customHeight="1" x14ac:dyDescent="0.2">
      <c r="A263" s="4026"/>
      <c r="B263" s="4026"/>
      <c r="C263" s="4026"/>
      <c r="D263" s="4114"/>
      <c r="E263" s="4114"/>
      <c r="F263" s="4114"/>
      <c r="G263" s="2142">
        <v>1905026</v>
      </c>
      <c r="H263" s="1918" t="s">
        <v>2208</v>
      </c>
      <c r="I263" s="1890" t="s">
        <v>2122</v>
      </c>
      <c r="J263" s="1899" t="s">
        <v>2123</v>
      </c>
      <c r="K263" s="2094">
        <v>12</v>
      </c>
      <c r="L263" s="2095">
        <v>6</v>
      </c>
      <c r="M263" s="2494"/>
      <c r="N263" s="2867"/>
      <c r="O263" s="2453"/>
      <c r="P263" s="1900">
        <f>SUM(U263)/Q262</f>
        <v>0.44444444444444442</v>
      </c>
      <c r="Q263" s="4077"/>
      <c r="R263" s="2413"/>
      <c r="S263" s="2331"/>
      <c r="T263" s="2146" t="s">
        <v>2209</v>
      </c>
      <c r="U263" s="2134">
        <v>8000000</v>
      </c>
      <c r="V263" s="2062">
        <v>0</v>
      </c>
      <c r="W263" s="2062">
        <v>0</v>
      </c>
      <c r="X263" s="2116" t="s">
        <v>1867</v>
      </c>
      <c r="Y263" s="2147" t="s">
        <v>2207</v>
      </c>
      <c r="Z263" s="3631"/>
      <c r="AA263" s="3631"/>
      <c r="AB263" s="3631"/>
      <c r="AC263" s="3631"/>
      <c r="AD263" s="3631"/>
      <c r="AE263" s="3631"/>
      <c r="AF263" s="3631"/>
      <c r="AG263" s="3631"/>
      <c r="AH263" s="3631"/>
      <c r="AI263" s="3631"/>
      <c r="AJ263" s="3631"/>
      <c r="AK263" s="3631"/>
      <c r="AL263" s="3631"/>
      <c r="AM263" s="3631"/>
      <c r="AN263" s="3631"/>
      <c r="AO263" s="3631"/>
      <c r="AP263" s="3631"/>
      <c r="AQ263" s="3631"/>
      <c r="AR263" s="3631"/>
      <c r="AS263" s="3631"/>
      <c r="AT263" s="3631"/>
      <c r="AU263" s="3631"/>
      <c r="AV263" s="3631"/>
      <c r="AW263" s="3631"/>
      <c r="AX263" s="3631"/>
      <c r="AY263" s="3631"/>
      <c r="AZ263" s="3631"/>
      <c r="BA263" s="3631"/>
      <c r="BB263" s="3631"/>
      <c r="BC263" s="3631"/>
      <c r="BD263" s="3631"/>
      <c r="BE263" s="3631"/>
      <c r="BF263" s="3631"/>
      <c r="BG263" s="4093"/>
      <c r="BH263" s="4093"/>
      <c r="BI263" s="4096"/>
      <c r="BJ263" s="3021"/>
      <c r="BK263" s="3021"/>
      <c r="BL263" s="3631"/>
      <c r="BM263" s="3631"/>
      <c r="BN263" s="3631"/>
      <c r="BO263" s="3631"/>
      <c r="BP263" s="3021"/>
    </row>
    <row r="264" spans="1:68" ht="69.75" customHeight="1" x14ac:dyDescent="0.2">
      <c r="A264" s="4026"/>
      <c r="B264" s="4026"/>
      <c r="C264" s="4026"/>
      <c r="D264" s="4114"/>
      <c r="E264" s="4114"/>
      <c r="F264" s="4114"/>
      <c r="G264" s="4085">
        <v>1905025</v>
      </c>
      <c r="H264" s="3767">
        <v>12.9</v>
      </c>
      <c r="I264" s="2884" t="s">
        <v>2210</v>
      </c>
      <c r="J264" s="2993" t="s">
        <v>2211</v>
      </c>
      <c r="K264" s="4048">
        <v>12</v>
      </c>
      <c r="L264" s="4049">
        <v>9</v>
      </c>
      <c r="M264" s="2879" t="s">
        <v>2212</v>
      </c>
      <c r="N264" s="2307" t="s">
        <v>2213</v>
      </c>
      <c r="O264" s="2423" t="s">
        <v>2214</v>
      </c>
      <c r="P264" s="2847">
        <f>SUM(U264:U275)/Q264</f>
        <v>1</v>
      </c>
      <c r="Q264" s="4156">
        <v>75200000</v>
      </c>
      <c r="R264" s="2423" t="s">
        <v>2215</v>
      </c>
      <c r="S264" s="2309" t="s">
        <v>2216</v>
      </c>
      <c r="T264" s="1908" t="s">
        <v>2217</v>
      </c>
      <c r="U264" s="2134">
        <v>5000000</v>
      </c>
      <c r="V264" s="2062">
        <v>5000000</v>
      </c>
      <c r="W264" s="2062">
        <v>1600000</v>
      </c>
      <c r="X264" s="2116" t="s">
        <v>1867</v>
      </c>
      <c r="Y264" s="2145" t="s">
        <v>1824</v>
      </c>
      <c r="Z264" s="2495">
        <v>292684</v>
      </c>
      <c r="AA264" s="2495">
        <f>Z264*0.8</f>
        <v>234147.20000000001</v>
      </c>
      <c r="AB264" s="2495">
        <v>282326</v>
      </c>
      <c r="AC264" s="2495">
        <f>AB264*0.8</f>
        <v>225860.80000000002</v>
      </c>
      <c r="AD264" s="2495">
        <v>135912</v>
      </c>
      <c r="AE264" s="2495">
        <f>AD264*0.8</f>
        <v>108729.60000000001</v>
      </c>
      <c r="AF264" s="2495">
        <v>45122</v>
      </c>
      <c r="AG264" s="2495">
        <f>AF264*0.8</f>
        <v>36097.599999999999</v>
      </c>
      <c r="AH264" s="2495">
        <v>0</v>
      </c>
      <c r="AI264" s="2495">
        <f>AH264*0.8</f>
        <v>0</v>
      </c>
      <c r="AJ264" s="2495">
        <v>0</v>
      </c>
      <c r="AK264" s="2495">
        <f>AJ264*0.8</f>
        <v>0</v>
      </c>
      <c r="AL264" s="2495">
        <v>2145</v>
      </c>
      <c r="AM264" s="2495">
        <f>AL264*0.8</f>
        <v>1716</v>
      </c>
      <c r="AN264" s="2495">
        <v>12718</v>
      </c>
      <c r="AO264" s="2495">
        <f>AN264*0.8</f>
        <v>10174.400000000001</v>
      </c>
      <c r="AP264" s="2495">
        <v>26</v>
      </c>
      <c r="AQ264" s="2495">
        <f>AP264*0.8</f>
        <v>20.8</v>
      </c>
      <c r="AR264" s="2495">
        <v>37</v>
      </c>
      <c r="AS264" s="2495">
        <f>AR264*0.8</f>
        <v>29.6</v>
      </c>
      <c r="AT264" s="2495">
        <v>0</v>
      </c>
      <c r="AU264" s="2495">
        <f>AT264*0.8</f>
        <v>0</v>
      </c>
      <c r="AV264" s="2495">
        <v>0</v>
      </c>
      <c r="AW264" s="2495">
        <f>AV264*0.8</f>
        <v>0</v>
      </c>
      <c r="AX264" s="2495">
        <v>53164</v>
      </c>
      <c r="AY264" s="2495">
        <f>AX264*0.8</f>
        <v>42531.200000000004</v>
      </c>
      <c r="AZ264" s="2495">
        <v>16982</v>
      </c>
      <c r="BA264" s="2495">
        <f>AZ264*0.8</f>
        <v>13585.6</v>
      </c>
      <c r="BB264" s="2495">
        <v>60013</v>
      </c>
      <c r="BC264" s="2495">
        <f>BB264*0.8</f>
        <v>48010.400000000001</v>
      </c>
      <c r="BD264" s="2495">
        <v>575010</v>
      </c>
      <c r="BE264" s="2495">
        <f>BD264*0.8</f>
        <v>460008</v>
      </c>
      <c r="BF264" s="2495">
        <v>8</v>
      </c>
      <c r="BG264" s="4099">
        <f>SUM(V264:V275)</f>
        <v>60506662</v>
      </c>
      <c r="BH264" s="4099">
        <f>SUM(W264:W275)</f>
        <v>12973331</v>
      </c>
      <c r="BI264" s="4104">
        <f>SUM(BG264/Q264)</f>
        <v>0.80460986702127657</v>
      </c>
      <c r="BJ264" s="3007" t="s">
        <v>1809</v>
      </c>
      <c r="BK264" s="3007" t="s">
        <v>1810</v>
      </c>
      <c r="BL264" s="3737">
        <v>43832</v>
      </c>
      <c r="BM264" s="3737">
        <v>43832</v>
      </c>
      <c r="BN264" s="3737">
        <v>44196</v>
      </c>
      <c r="BO264" s="3737">
        <v>44196</v>
      </c>
      <c r="BP264" s="3007" t="s">
        <v>1811</v>
      </c>
    </row>
    <row r="265" spans="1:68" ht="69.75" customHeight="1" x14ac:dyDescent="0.2">
      <c r="A265" s="4026"/>
      <c r="B265" s="4026"/>
      <c r="C265" s="4026"/>
      <c r="D265" s="4114"/>
      <c r="E265" s="4114"/>
      <c r="F265" s="4114"/>
      <c r="G265" s="2496"/>
      <c r="H265" s="3767"/>
      <c r="I265" s="2884"/>
      <c r="J265" s="2993"/>
      <c r="K265" s="4048"/>
      <c r="L265" s="4049"/>
      <c r="M265" s="2879"/>
      <c r="N265" s="2307"/>
      <c r="O265" s="2423"/>
      <c r="P265" s="2847"/>
      <c r="Q265" s="4156"/>
      <c r="R265" s="2423"/>
      <c r="S265" s="2309"/>
      <c r="T265" s="1908" t="s">
        <v>2218</v>
      </c>
      <c r="U265" s="2134">
        <v>5000000</v>
      </c>
      <c r="V265" s="2062">
        <v>5000000</v>
      </c>
      <c r="W265" s="2062">
        <v>508000</v>
      </c>
      <c r="X265" s="2116" t="s">
        <v>1867</v>
      </c>
      <c r="Y265" s="2145" t="s">
        <v>1824</v>
      </c>
      <c r="Z265" s="2496"/>
      <c r="AA265" s="2496"/>
      <c r="AB265" s="2496"/>
      <c r="AC265" s="2496"/>
      <c r="AD265" s="2496"/>
      <c r="AE265" s="2496"/>
      <c r="AF265" s="2496"/>
      <c r="AG265" s="2496"/>
      <c r="AH265" s="2496"/>
      <c r="AI265" s="2496"/>
      <c r="AJ265" s="2496"/>
      <c r="AK265" s="2496"/>
      <c r="AL265" s="2496"/>
      <c r="AM265" s="2496"/>
      <c r="AN265" s="2496"/>
      <c r="AO265" s="2496"/>
      <c r="AP265" s="2496"/>
      <c r="AQ265" s="2496"/>
      <c r="AR265" s="2496"/>
      <c r="AS265" s="2496"/>
      <c r="AT265" s="2496"/>
      <c r="AU265" s="2496"/>
      <c r="AV265" s="2496"/>
      <c r="AW265" s="2496"/>
      <c r="AX265" s="2496"/>
      <c r="AY265" s="2496"/>
      <c r="AZ265" s="2496"/>
      <c r="BA265" s="2496"/>
      <c r="BB265" s="2496"/>
      <c r="BC265" s="2496"/>
      <c r="BD265" s="2496"/>
      <c r="BE265" s="2496"/>
      <c r="BF265" s="2496"/>
      <c r="BG265" s="2879"/>
      <c r="BH265" s="2879"/>
      <c r="BI265" s="4105"/>
      <c r="BJ265" s="3008"/>
      <c r="BK265" s="3008"/>
      <c r="BL265" s="2496"/>
      <c r="BM265" s="2496"/>
      <c r="BN265" s="2496"/>
      <c r="BO265" s="2496"/>
      <c r="BP265" s="3008"/>
    </row>
    <row r="266" spans="1:68" ht="69.75" customHeight="1" x14ac:dyDescent="0.2">
      <c r="A266" s="4026"/>
      <c r="B266" s="4026"/>
      <c r="C266" s="4026"/>
      <c r="D266" s="4114"/>
      <c r="E266" s="4114"/>
      <c r="F266" s="4114"/>
      <c r="G266" s="2496"/>
      <c r="H266" s="3767"/>
      <c r="I266" s="2884"/>
      <c r="J266" s="2993"/>
      <c r="K266" s="4048"/>
      <c r="L266" s="4049"/>
      <c r="M266" s="2879"/>
      <c r="N266" s="2307"/>
      <c r="O266" s="2423"/>
      <c r="P266" s="2847"/>
      <c r="Q266" s="4156"/>
      <c r="R266" s="2423"/>
      <c r="S266" s="2309"/>
      <c r="T266" s="1908" t="s">
        <v>2219</v>
      </c>
      <c r="U266" s="2134">
        <v>5000000</v>
      </c>
      <c r="V266" s="2062">
        <v>4298666</v>
      </c>
      <c r="W266" s="2062">
        <v>2790666</v>
      </c>
      <c r="X266" s="2116" t="s">
        <v>1867</v>
      </c>
      <c r="Y266" s="2145" t="s">
        <v>1824</v>
      </c>
      <c r="Z266" s="2496"/>
      <c r="AA266" s="2496"/>
      <c r="AB266" s="2496"/>
      <c r="AC266" s="2496"/>
      <c r="AD266" s="2496"/>
      <c r="AE266" s="2496"/>
      <c r="AF266" s="2496"/>
      <c r="AG266" s="2496"/>
      <c r="AH266" s="2496"/>
      <c r="AI266" s="2496"/>
      <c r="AJ266" s="2496"/>
      <c r="AK266" s="2496"/>
      <c r="AL266" s="2496"/>
      <c r="AM266" s="2496"/>
      <c r="AN266" s="2496"/>
      <c r="AO266" s="2496"/>
      <c r="AP266" s="2496"/>
      <c r="AQ266" s="2496"/>
      <c r="AR266" s="2496"/>
      <c r="AS266" s="2496"/>
      <c r="AT266" s="2496"/>
      <c r="AU266" s="2496"/>
      <c r="AV266" s="2496"/>
      <c r="AW266" s="2496"/>
      <c r="AX266" s="2496"/>
      <c r="AY266" s="2496"/>
      <c r="AZ266" s="2496"/>
      <c r="BA266" s="2496"/>
      <c r="BB266" s="2496"/>
      <c r="BC266" s="2496"/>
      <c r="BD266" s="2496"/>
      <c r="BE266" s="2496"/>
      <c r="BF266" s="2496"/>
      <c r="BG266" s="2879"/>
      <c r="BH266" s="2879"/>
      <c r="BI266" s="4105"/>
      <c r="BJ266" s="3008"/>
      <c r="BK266" s="3008"/>
      <c r="BL266" s="2496"/>
      <c r="BM266" s="2496"/>
      <c r="BN266" s="2496"/>
      <c r="BO266" s="2496"/>
      <c r="BP266" s="3008"/>
    </row>
    <row r="267" spans="1:68" ht="69.75" customHeight="1" x14ac:dyDescent="0.2">
      <c r="A267" s="4026"/>
      <c r="B267" s="4026"/>
      <c r="C267" s="4026"/>
      <c r="D267" s="4114"/>
      <c r="E267" s="4114"/>
      <c r="F267" s="4114"/>
      <c r="G267" s="2496"/>
      <c r="H267" s="3767"/>
      <c r="I267" s="2884"/>
      <c r="J267" s="2993"/>
      <c r="K267" s="4048"/>
      <c r="L267" s="4049"/>
      <c r="M267" s="2879"/>
      <c r="N267" s="2307"/>
      <c r="O267" s="2423"/>
      <c r="P267" s="2847"/>
      <c r="Q267" s="4156"/>
      <c r="R267" s="2423"/>
      <c r="S267" s="2309"/>
      <c r="T267" s="1908" t="s">
        <v>2220</v>
      </c>
      <c r="U267" s="2134">
        <v>7000000</v>
      </c>
      <c r="V267" s="2062">
        <v>7000000</v>
      </c>
      <c r="W267" s="2062">
        <v>2000000</v>
      </c>
      <c r="X267" s="2116" t="s">
        <v>1867</v>
      </c>
      <c r="Y267" s="2145" t="s">
        <v>1824</v>
      </c>
      <c r="Z267" s="2496"/>
      <c r="AA267" s="2496"/>
      <c r="AB267" s="2496"/>
      <c r="AC267" s="2496"/>
      <c r="AD267" s="2496"/>
      <c r="AE267" s="2496"/>
      <c r="AF267" s="2496"/>
      <c r="AG267" s="2496"/>
      <c r="AH267" s="2496"/>
      <c r="AI267" s="2496"/>
      <c r="AJ267" s="2496"/>
      <c r="AK267" s="2496"/>
      <c r="AL267" s="2496"/>
      <c r="AM267" s="2496"/>
      <c r="AN267" s="2496"/>
      <c r="AO267" s="2496"/>
      <c r="AP267" s="2496"/>
      <c r="AQ267" s="2496"/>
      <c r="AR267" s="2496"/>
      <c r="AS267" s="2496"/>
      <c r="AT267" s="2496"/>
      <c r="AU267" s="2496"/>
      <c r="AV267" s="2496"/>
      <c r="AW267" s="2496"/>
      <c r="AX267" s="2496"/>
      <c r="AY267" s="2496"/>
      <c r="AZ267" s="2496"/>
      <c r="BA267" s="2496"/>
      <c r="BB267" s="2496"/>
      <c r="BC267" s="2496"/>
      <c r="BD267" s="2496"/>
      <c r="BE267" s="2496"/>
      <c r="BF267" s="2496"/>
      <c r="BG267" s="2879"/>
      <c r="BH267" s="2879"/>
      <c r="BI267" s="4105"/>
      <c r="BJ267" s="3008"/>
      <c r="BK267" s="3008"/>
      <c r="BL267" s="2496"/>
      <c r="BM267" s="2496"/>
      <c r="BN267" s="2496"/>
      <c r="BO267" s="2496"/>
      <c r="BP267" s="3008"/>
    </row>
    <row r="268" spans="1:68" ht="69.75" customHeight="1" x14ac:dyDescent="0.2">
      <c r="A268" s="4026"/>
      <c r="B268" s="4026"/>
      <c r="C268" s="4026"/>
      <c r="D268" s="4114"/>
      <c r="E268" s="4114"/>
      <c r="F268" s="4114"/>
      <c r="G268" s="2496"/>
      <c r="H268" s="3767"/>
      <c r="I268" s="2884"/>
      <c r="J268" s="2993"/>
      <c r="K268" s="4048"/>
      <c r="L268" s="4049"/>
      <c r="M268" s="2879"/>
      <c r="N268" s="2307"/>
      <c r="O268" s="2423"/>
      <c r="P268" s="2847"/>
      <c r="Q268" s="4156"/>
      <c r="R268" s="2423"/>
      <c r="S268" s="2309"/>
      <c r="T268" s="1909" t="s">
        <v>2221</v>
      </c>
      <c r="U268" s="2148">
        <v>5000000</v>
      </c>
      <c r="V268" s="2062">
        <v>5000000</v>
      </c>
      <c r="W268" s="2062">
        <v>1000000</v>
      </c>
      <c r="X268" s="2116" t="s">
        <v>1867</v>
      </c>
      <c r="Y268" s="2145" t="s">
        <v>1824</v>
      </c>
      <c r="Z268" s="2496"/>
      <c r="AA268" s="2496"/>
      <c r="AB268" s="2496"/>
      <c r="AC268" s="2496"/>
      <c r="AD268" s="2496"/>
      <c r="AE268" s="2496"/>
      <c r="AF268" s="2496"/>
      <c r="AG268" s="2496"/>
      <c r="AH268" s="2496"/>
      <c r="AI268" s="2496"/>
      <c r="AJ268" s="2496"/>
      <c r="AK268" s="2496"/>
      <c r="AL268" s="2496"/>
      <c r="AM268" s="2496"/>
      <c r="AN268" s="2496"/>
      <c r="AO268" s="2496"/>
      <c r="AP268" s="2496"/>
      <c r="AQ268" s="2496"/>
      <c r="AR268" s="2496"/>
      <c r="AS268" s="2496"/>
      <c r="AT268" s="2496"/>
      <c r="AU268" s="2496"/>
      <c r="AV268" s="2496"/>
      <c r="AW268" s="2496"/>
      <c r="AX268" s="2496"/>
      <c r="AY268" s="2496"/>
      <c r="AZ268" s="2496"/>
      <c r="BA268" s="2496"/>
      <c r="BB268" s="2496"/>
      <c r="BC268" s="2496"/>
      <c r="BD268" s="2496"/>
      <c r="BE268" s="2496"/>
      <c r="BF268" s="2496"/>
      <c r="BG268" s="2879"/>
      <c r="BH268" s="2879"/>
      <c r="BI268" s="4105"/>
      <c r="BJ268" s="3008"/>
      <c r="BK268" s="3008"/>
      <c r="BL268" s="2496"/>
      <c r="BM268" s="2496"/>
      <c r="BN268" s="2496"/>
      <c r="BO268" s="2496"/>
      <c r="BP268" s="3008"/>
    </row>
    <row r="269" spans="1:68" ht="69.75" customHeight="1" x14ac:dyDescent="0.2">
      <c r="A269" s="4026"/>
      <c r="B269" s="4026"/>
      <c r="C269" s="4026"/>
      <c r="D269" s="4114"/>
      <c r="E269" s="4114"/>
      <c r="F269" s="4114"/>
      <c r="G269" s="2496"/>
      <c r="H269" s="3767"/>
      <c r="I269" s="2884"/>
      <c r="J269" s="2993"/>
      <c r="K269" s="4048"/>
      <c r="L269" s="4049"/>
      <c r="M269" s="2879"/>
      <c r="N269" s="2307"/>
      <c r="O269" s="2423"/>
      <c r="P269" s="2847"/>
      <c r="Q269" s="4156"/>
      <c r="R269" s="2423"/>
      <c r="S269" s="2514"/>
      <c r="T269" s="1968" t="s">
        <v>2222</v>
      </c>
      <c r="U269" s="2066">
        <v>5000000</v>
      </c>
      <c r="V269" s="2062">
        <v>3808000</v>
      </c>
      <c r="W269" s="2062">
        <v>2208000</v>
      </c>
      <c r="X269" s="2116" t="s">
        <v>1867</v>
      </c>
      <c r="Y269" s="2145" t="s">
        <v>1824</v>
      </c>
      <c r="Z269" s="2496"/>
      <c r="AA269" s="2496"/>
      <c r="AB269" s="2496"/>
      <c r="AC269" s="2496"/>
      <c r="AD269" s="2496"/>
      <c r="AE269" s="2496"/>
      <c r="AF269" s="2496"/>
      <c r="AG269" s="2496"/>
      <c r="AH269" s="2496"/>
      <c r="AI269" s="2496"/>
      <c r="AJ269" s="2496"/>
      <c r="AK269" s="2496"/>
      <c r="AL269" s="2496"/>
      <c r="AM269" s="2496"/>
      <c r="AN269" s="2496"/>
      <c r="AO269" s="2496"/>
      <c r="AP269" s="2496"/>
      <c r="AQ269" s="2496"/>
      <c r="AR269" s="2496"/>
      <c r="AS269" s="2496"/>
      <c r="AT269" s="2496"/>
      <c r="AU269" s="2496"/>
      <c r="AV269" s="2496"/>
      <c r="AW269" s="2496"/>
      <c r="AX269" s="2496"/>
      <c r="AY269" s="2496"/>
      <c r="AZ269" s="2496"/>
      <c r="BA269" s="2496"/>
      <c r="BB269" s="2496"/>
      <c r="BC269" s="2496"/>
      <c r="BD269" s="2496"/>
      <c r="BE269" s="2496"/>
      <c r="BF269" s="2496"/>
      <c r="BG269" s="2879"/>
      <c r="BH269" s="2879"/>
      <c r="BI269" s="4105"/>
      <c r="BJ269" s="3008"/>
      <c r="BK269" s="3008"/>
      <c r="BL269" s="2496"/>
      <c r="BM269" s="2496"/>
      <c r="BN269" s="2496"/>
      <c r="BO269" s="2496"/>
      <c r="BP269" s="3008"/>
    </row>
    <row r="270" spans="1:68" ht="69.75" customHeight="1" x14ac:dyDescent="0.2">
      <c r="A270" s="4026"/>
      <c r="B270" s="4026"/>
      <c r="C270" s="4026"/>
      <c r="D270" s="4114"/>
      <c r="E270" s="4114"/>
      <c r="F270" s="4114"/>
      <c r="G270" s="2496"/>
      <c r="H270" s="3767"/>
      <c r="I270" s="2884"/>
      <c r="J270" s="2993"/>
      <c r="K270" s="4048"/>
      <c r="L270" s="4049"/>
      <c r="M270" s="2879"/>
      <c r="N270" s="2307"/>
      <c r="O270" s="2423"/>
      <c r="P270" s="2847"/>
      <c r="Q270" s="4156"/>
      <c r="R270" s="2423"/>
      <c r="S270" s="2514"/>
      <c r="T270" s="1920" t="s">
        <v>2223</v>
      </c>
      <c r="U270" s="2149">
        <v>8000000</v>
      </c>
      <c r="V270" s="2062">
        <v>6066665</v>
      </c>
      <c r="W270" s="2062">
        <v>400000</v>
      </c>
      <c r="X270" s="2116" t="s">
        <v>1867</v>
      </c>
      <c r="Y270" s="2145" t="s">
        <v>1824</v>
      </c>
      <c r="Z270" s="2496"/>
      <c r="AA270" s="2496"/>
      <c r="AB270" s="2496"/>
      <c r="AC270" s="2496"/>
      <c r="AD270" s="2496"/>
      <c r="AE270" s="2496"/>
      <c r="AF270" s="2496"/>
      <c r="AG270" s="2496"/>
      <c r="AH270" s="2496"/>
      <c r="AI270" s="2496"/>
      <c r="AJ270" s="2496"/>
      <c r="AK270" s="2496"/>
      <c r="AL270" s="2496"/>
      <c r="AM270" s="2496"/>
      <c r="AN270" s="2496"/>
      <c r="AO270" s="2496"/>
      <c r="AP270" s="2496"/>
      <c r="AQ270" s="2496"/>
      <c r="AR270" s="2496"/>
      <c r="AS270" s="2496"/>
      <c r="AT270" s="2496"/>
      <c r="AU270" s="2496"/>
      <c r="AV270" s="2496"/>
      <c r="AW270" s="2496"/>
      <c r="AX270" s="2496"/>
      <c r="AY270" s="2496"/>
      <c r="AZ270" s="2496"/>
      <c r="BA270" s="2496"/>
      <c r="BB270" s="2496"/>
      <c r="BC270" s="2496"/>
      <c r="BD270" s="2496"/>
      <c r="BE270" s="2496"/>
      <c r="BF270" s="2496"/>
      <c r="BG270" s="2879"/>
      <c r="BH270" s="2879"/>
      <c r="BI270" s="4105"/>
      <c r="BJ270" s="3008"/>
      <c r="BK270" s="3008"/>
      <c r="BL270" s="2496"/>
      <c r="BM270" s="2496"/>
      <c r="BN270" s="2496"/>
      <c r="BO270" s="2496"/>
      <c r="BP270" s="3008"/>
    </row>
    <row r="271" spans="1:68" ht="69.75" customHeight="1" x14ac:dyDescent="0.2">
      <c r="A271" s="4026"/>
      <c r="B271" s="4026"/>
      <c r="C271" s="4026"/>
      <c r="D271" s="4114"/>
      <c r="E271" s="4114"/>
      <c r="F271" s="4114"/>
      <c r="G271" s="2496"/>
      <c r="H271" s="3767"/>
      <c r="I271" s="2884"/>
      <c r="J271" s="2993"/>
      <c r="K271" s="4048"/>
      <c r="L271" s="4049"/>
      <c r="M271" s="2879"/>
      <c r="N271" s="2307"/>
      <c r="O271" s="2423"/>
      <c r="P271" s="2847"/>
      <c r="Q271" s="4156"/>
      <c r="R271" s="2423"/>
      <c r="S271" s="2309"/>
      <c r="T271" s="1917" t="s">
        <v>2224</v>
      </c>
      <c r="U271" s="2150">
        <v>7200000</v>
      </c>
      <c r="V271" s="2062">
        <v>0</v>
      </c>
      <c r="W271" s="2062">
        <v>0</v>
      </c>
      <c r="X271" s="2116" t="s">
        <v>1867</v>
      </c>
      <c r="Y271" s="2145" t="s">
        <v>1824</v>
      </c>
      <c r="Z271" s="2496"/>
      <c r="AA271" s="2496"/>
      <c r="AB271" s="2496"/>
      <c r="AC271" s="2496"/>
      <c r="AD271" s="2496"/>
      <c r="AE271" s="2496"/>
      <c r="AF271" s="2496"/>
      <c r="AG271" s="2496"/>
      <c r="AH271" s="2496"/>
      <c r="AI271" s="2496"/>
      <c r="AJ271" s="2496"/>
      <c r="AK271" s="2496"/>
      <c r="AL271" s="2496"/>
      <c r="AM271" s="2496"/>
      <c r="AN271" s="2496"/>
      <c r="AO271" s="2496"/>
      <c r="AP271" s="2496"/>
      <c r="AQ271" s="2496"/>
      <c r="AR271" s="2496"/>
      <c r="AS271" s="2496"/>
      <c r="AT271" s="2496"/>
      <c r="AU271" s="2496"/>
      <c r="AV271" s="2496"/>
      <c r="AW271" s="2496"/>
      <c r="AX271" s="2496"/>
      <c r="AY271" s="2496"/>
      <c r="AZ271" s="2496"/>
      <c r="BA271" s="2496"/>
      <c r="BB271" s="2496"/>
      <c r="BC271" s="2496"/>
      <c r="BD271" s="2496"/>
      <c r="BE271" s="2496"/>
      <c r="BF271" s="2496"/>
      <c r="BG271" s="2879"/>
      <c r="BH271" s="2879"/>
      <c r="BI271" s="4105"/>
      <c r="BJ271" s="3008"/>
      <c r="BK271" s="3008"/>
      <c r="BL271" s="2496"/>
      <c r="BM271" s="2496"/>
      <c r="BN271" s="2496"/>
      <c r="BO271" s="2496"/>
      <c r="BP271" s="3008"/>
    </row>
    <row r="272" spans="1:68" ht="69.75" customHeight="1" x14ac:dyDescent="0.2">
      <c r="A272" s="4026"/>
      <c r="B272" s="4026"/>
      <c r="C272" s="4026"/>
      <c r="D272" s="4114"/>
      <c r="E272" s="4114"/>
      <c r="F272" s="4114"/>
      <c r="G272" s="2496"/>
      <c r="H272" s="3767"/>
      <c r="I272" s="2884"/>
      <c r="J272" s="2993"/>
      <c r="K272" s="4048"/>
      <c r="L272" s="4049"/>
      <c r="M272" s="2879"/>
      <c r="N272" s="2307"/>
      <c r="O272" s="2423"/>
      <c r="P272" s="2847"/>
      <c r="Q272" s="4156"/>
      <c r="R272" s="2423"/>
      <c r="S272" s="2514"/>
      <c r="T272" s="1920" t="s">
        <v>2225</v>
      </c>
      <c r="U272" s="2066">
        <v>8000000</v>
      </c>
      <c r="V272" s="2062">
        <v>8000000</v>
      </c>
      <c r="W272" s="2062">
        <v>1200000</v>
      </c>
      <c r="X272" s="2116" t="s">
        <v>1867</v>
      </c>
      <c r="Y272" s="2145" t="s">
        <v>1824</v>
      </c>
      <c r="Z272" s="2496"/>
      <c r="AA272" s="2496"/>
      <c r="AB272" s="2496"/>
      <c r="AC272" s="2496"/>
      <c r="AD272" s="2496"/>
      <c r="AE272" s="2496"/>
      <c r="AF272" s="2496"/>
      <c r="AG272" s="2496"/>
      <c r="AH272" s="2496"/>
      <c r="AI272" s="2496"/>
      <c r="AJ272" s="2496"/>
      <c r="AK272" s="2496"/>
      <c r="AL272" s="2496"/>
      <c r="AM272" s="2496"/>
      <c r="AN272" s="2496"/>
      <c r="AO272" s="2496"/>
      <c r="AP272" s="2496"/>
      <c r="AQ272" s="2496"/>
      <c r="AR272" s="2496"/>
      <c r="AS272" s="2496"/>
      <c r="AT272" s="2496"/>
      <c r="AU272" s="2496"/>
      <c r="AV272" s="2496"/>
      <c r="AW272" s="2496"/>
      <c r="AX272" s="2496"/>
      <c r="AY272" s="2496"/>
      <c r="AZ272" s="2496"/>
      <c r="BA272" s="2496"/>
      <c r="BB272" s="2496"/>
      <c r="BC272" s="2496"/>
      <c r="BD272" s="2496"/>
      <c r="BE272" s="2496"/>
      <c r="BF272" s="2496"/>
      <c r="BG272" s="2879"/>
      <c r="BH272" s="2879"/>
      <c r="BI272" s="4105"/>
      <c r="BJ272" s="3008"/>
      <c r="BK272" s="3008"/>
      <c r="BL272" s="2496"/>
      <c r="BM272" s="2496"/>
      <c r="BN272" s="2496"/>
      <c r="BO272" s="2496"/>
      <c r="BP272" s="3008"/>
    </row>
    <row r="273" spans="1:68" ht="69.75" customHeight="1" x14ac:dyDescent="0.2">
      <c r="A273" s="4026"/>
      <c r="B273" s="4026"/>
      <c r="C273" s="4026"/>
      <c r="D273" s="4114"/>
      <c r="E273" s="4114"/>
      <c r="F273" s="4114"/>
      <c r="G273" s="2496"/>
      <c r="H273" s="3767"/>
      <c r="I273" s="2884"/>
      <c r="J273" s="2993"/>
      <c r="K273" s="4048"/>
      <c r="L273" s="4049"/>
      <c r="M273" s="2879"/>
      <c r="N273" s="2307"/>
      <c r="O273" s="2423"/>
      <c r="P273" s="2847"/>
      <c r="Q273" s="4156"/>
      <c r="R273" s="2423"/>
      <c r="S273" s="2514"/>
      <c r="T273" s="1920" t="s">
        <v>2226</v>
      </c>
      <c r="U273" s="2066">
        <v>8000000</v>
      </c>
      <c r="V273" s="2062">
        <v>8000000</v>
      </c>
      <c r="W273" s="2062">
        <v>800000</v>
      </c>
      <c r="X273" s="2116" t="s">
        <v>1867</v>
      </c>
      <c r="Y273" s="2145" t="s">
        <v>1824</v>
      </c>
      <c r="Z273" s="2496"/>
      <c r="AA273" s="2496"/>
      <c r="AB273" s="2496"/>
      <c r="AC273" s="2496"/>
      <c r="AD273" s="2496"/>
      <c r="AE273" s="2496"/>
      <c r="AF273" s="2496"/>
      <c r="AG273" s="2496"/>
      <c r="AH273" s="2496"/>
      <c r="AI273" s="2496"/>
      <c r="AJ273" s="2496"/>
      <c r="AK273" s="2496"/>
      <c r="AL273" s="2496"/>
      <c r="AM273" s="2496"/>
      <c r="AN273" s="2496"/>
      <c r="AO273" s="2496"/>
      <c r="AP273" s="2496"/>
      <c r="AQ273" s="2496"/>
      <c r="AR273" s="2496"/>
      <c r="AS273" s="2496"/>
      <c r="AT273" s="2496"/>
      <c r="AU273" s="2496"/>
      <c r="AV273" s="2496"/>
      <c r="AW273" s="2496"/>
      <c r="AX273" s="2496"/>
      <c r="AY273" s="2496"/>
      <c r="AZ273" s="2496"/>
      <c r="BA273" s="2496"/>
      <c r="BB273" s="2496"/>
      <c r="BC273" s="2496"/>
      <c r="BD273" s="2496"/>
      <c r="BE273" s="2496"/>
      <c r="BF273" s="2496"/>
      <c r="BG273" s="2879"/>
      <c r="BH273" s="2879"/>
      <c r="BI273" s="4105"/>
      <c r="BJ273" s="3008"/>
      <c r="BK273" s="3008"/>
      <c r="BL273" s="2496"/>
      <c r="BM273" s="2496"/>
      <c r="BN273" s="2496"/>
      <c r="BO273" s="2496"/>
      <c r="BP273" s="3008"/>
    </row>
    <row r="274" spans="1:68" ht="69.75" customHeight="1" x14ac:dyDescent="0.2">
      <c r="A274" s="4026"/>
      <c r="B274" s="4026"/>
      <c r="C274" s="4026"/>
      <c r="D274" s="4114"/>
      <c r="E274" s="4114"/>
      <c r="F274" s="4114"/>
      <c r="G274" s="2496"/>
      <c r="H274" s="3767"/>
      <c r="I274" s="2884"/>
      <c r="J274" s="2993"/>
      <c r="K274" s="4048"/>
      <c r="L274" s="4049"/>
      <c r="M274" s="2879"/>
      <c r="N274" s="2307"/>
      <c r="O274" s="2423"/>
      <c r="P274" s="2847"/>
      <c r="Q274" s="4156"/>
      <c r="R274" s="2423"/>
      <c r="S274" s="2309"/>
      <c r="T274" s="1910" t="s">
        <v>2221</v>
      </c>
      <c r="U274" s="2131">
        <v>6000000</v>
      </c>
      <c r="V274" s="2062">
        <v>2800000</v>
      </c>
      <c r="W274" s="2062">
        <v>400000</v>
      </c>
      <c r="X274" s="2116" t="s">
        <v>1867</v>
      </c>
      <c r="Y274" s="2145" t="s">
        <v>1824</v>
      </c>
      <c r="Z274" s="2496"/>
      <c r="AA274" s="2496"/>
      <c r="AB274" s="2496"/>
      <c r="AC274" s="2496"/>
      <c r="AD274" s="2496"/>
      <c r="AE274" s="2496"/>
      <c r="AF274" s="2496"/>
      <c r="AG274" s="2496"/>
      <c r="AH274" s="2496"/>
      <c r="AI274" s="2496"/>
      <c r="AJ274" s="2496"/>
      <c r="AK274" s="2496"/>
      <c r="AL274" s="2496"/>
      <c r="AM274" s="2496"/>
      <c r="AN274" s="2496"/>
      <c r="AO274" s="2496"/>
      <c r="AP274" s="2496"/>
      <c r="AQ274" s="2496"/>
      <c r="AR274" s="2496"/>
      <c r="AS274" s="2496"/>
      <c r="AT274" s="2496"/>
      <c r="AU274" s="2496"/>
      <c r="AV274" s="2496"/>
      <c r="AW274" s="2496"/>
      <c r="AX274" s="2496"/>
      <c r="AY274" s="2496"/>
      <c r="AZ274" s="2496"/>
      <c r="BA274" s="2496"/>
      <c r="BB274" s="2496"/>
      <c r="BC274" s="2496"/>
      <c r="BD274" s="2496"/>
      <c r="BE274" s="2496"/>
      <c r="BF274" s="2496"/>
      <c r="BG274" s="2879"/>
      <c r="BH274" s="2879"/>
      <c r="BI274" s="4105"/>
      <c r="BJ274" s="3008"/>
      <c r="BK274" s="3008"/>
      <c r="BL274" s="2496"/>
      <c r="BM274" s="2496"/>
      <c r="BN274" s="2496"/>
      <c r="BO274" s="2496"/>
      <c r="BP274" s="3008"/>
    </row>
    <row r="275" spans="1:68" ht="69.75" customHeight="1" x14ac:dyDescent="0.2">
      <c r="A275" s="4026"/>
      <c r="B275" s="4026"/>
      <c r="C275" s="4026"/>
      <c r="D275" s="4114"/>
      <c r="E275" s="4114"/>
      <c r="F275" s="4114"/>
      <c r="G275" s="2496"/>
      <c r="H275" s="3767"/>
      <c r="I275" s="2884"/>
      <c r="J275" s="2993"/>
      <c r="K275" s="4048"/>
      <c r="L275" s="4049"/>
      <c r="M275" s="2879"/>
      <c r="N275" s="2307"/>
      <c r="O275" s="2423"/>
      <c r="P275" s="2847"/>
      <c r="Q275" s="4156"/>
      <c r="R275" s="2423"/>
      <c r="S275" s="2309"/>
      <c r="T275" s="1908" t="s">
        <v>2227</v>
      </c>
      <c r="U275" s="2134">
        <v>6000000</v>
      </c>
      <c r="V275" s="2062">
        <v>5533331</v>
      </c>
      <c r="W275" s="2062">
        <v>66665</v>
      </c>
      <c r="X275" s="2116" t="s">
        <v>1867</v>
      </c>
      <c r="Y275" s="2145" t="s">
        <v>1824</v>
      </c>
      <c r="Z275" s="2497"/>
      <c r="AA275" s="2497"/>
      <c r="AB275" s="2497"/>
      <c r="AC275" s="2497"/>
      <c r="AD275" s="2497"/>
      <c r="AE275" s="2497"/>
      <c r="AF275" s="2497"/>
      <c r="AG275" s="2497"/>
      <c r="AH275" s="2497"/>
      <c r="AI275" s="2497"/>
      <c r="AJ275" s="2497"/>
      <c r="AK275" s="2497"/>
      <c r="AL275" s="2497"/>
      <c r="AM275" s="2497"/>
      <c r="AN275" s="2497"/>
      <c r="AO275" s="2497"/>
      <c r="AP275" s="2497"/>
      <c r="AQ275" s="2497"/>
      <c r="AR275" s="2497"/>
      <c r="AS275" s="2497"/>
      <c r="AT275" s="2497"/>
      <c r="AU275" s="2497"/>
      <c r="AV275" s="2497"/>
      <c r="AW275" s="2497"/>
      <c r="AX275" s="2497"/>
      <c r="AY275" s="2497"/>
      <c r="AZ275" s="2497"/>
      <c r="BA275" s="2497"/>
      <c r="BB275" s="2497"/>
      <c r="BC275" s="2497"/>
      <c r="BD275" s="2497"/>
      <c r="BE275" s="2497"/>
      <c r="BF275" s="2497"/>
      <c r="BG275" s="2880"/>
      <c r="BH275" s="2880"/>
      <c r="BI275" s="4106"/>
      <c r="BJ275" s="3009"/>
      <c r="BK275" s="3009"/>
      <c r="BL275" s="2497"/>
      <c r="BM275" s="2497"/>
      <c r="BN275" s="2497"/>
      <c r="BO275" s="2497"/>
      <c r="BP275" s="3009"/>
    </row>
    <row r="276" spans="1:68" ht="80.25" customHeight="1" x14ac:dyDescent="0.2">
      <c r="A276" s="4026"/>
      <c r="B276" s="4026"/>
      <c r="C276" s="4026"/>
      <c r="D276" s="4114"/>
      <c r="E276" s="4114"/>
      <c r="F276" s="4114"/>
      <c r="G276" s="2341">
        <v>1905015</v>
      </c>
      <c r="H276" s="3670">
        <v>12.3</v>
      </c>
      <c r="I276" s="2413" t="s">
        <v>12</v>
      </c>
      <c r="J276" s="3215" t="s">
        <v>2228</v>
      </c>
      <c r="K276" s="4048">
        <v>15</v>
      </c>
      <c r="L276" s="4049">
        <v>7</v>
      </c>
      <c r="M276" s="4179" t="s">
        <v>2229</v>
      </c>
      <c r="N276" s="2343" t="s">
        <v>1918</v>
      </c>
      <c r="O276" s="2413" t="s">
        <v>1919</v>
      </c>
      <c r="P276" s="2854">
        <f>SUM(U276:U278)/(Q77+Q276)</f>
        <v>0.13601760101813307</v>
      </c>
      <c r="Q276" s="4077">
        <f>SUM(U276:U278)</f>
        <v>100126107.14</v>
      </c>
      <c r="R276" s="4175" t="s">
        <v>1920</v>
      </c>
      <c r="S276" s="4177" t="s">
        <v>2230</v>
      </c>
      <c r="T276" s="2146" t="s">
        <v>2231</v>
      </c>
      <c r="U276" s="2089">
        <f>20126107.14</f>
        <v>20126107.140000001</v>
      </c>
      <c r="V276" s="2062">
        <v>0</v>
      </c>
      <c r="W276" s="2062">
        <v>0</v>
      </c>
      <c r="X276" s="2116" t="s">
        <v>2232</v>
      </c>
      <c r="Y276" s="2145" t="s">
        <v>1909</v>
      </c>
      <c r="Z276" s="3038">
        <v>292684</v>
      </c>
      <c r="AA276" s="2447">
        <f>SUM(Z276*0)</f>
        <v>0</v>
      </c>
      <c r="AB276" s="3038">
        <v>282326</v>
      </c>
      <c r="AC276" s="2447">
        <f>SUM(AB276*0)</f>
        <v>0</v>
      </c>
      <c r="AD276" s="3038">
        <v>135912</v>
      </c>
      <c r="AE276" s="2447">
        <f>SUM(AD276*0)</f>
        <v>0</v>
      </c>
      <c r="AF276" s="3038">
        <v>45122</v>
      </c>
      <c r="AG276" s="2447">
        <f>SUM(AF276*0)</f>
        <v>0</v>
      </c>
      <c r="AH276" s="3038">
        <v>365607</v>
      </c>
      <c r="AI276" s="2447">
        <f>SUM(AH276*0)</f>
        <v>0</v>
      </c>
      <c r="AJ276" s="3038">
        <v>75612</v>
      </c>
      <c r="AK276" s="2447">
        <f>SUM(AJ276*0)</f>
        <v>0</v>
      </c>
      <c r="AL276" s="3038">
        <v>2145</v>
      </c>
      <c r="AM276" s="2447">
        <f>SUM(AL276*0)</f>
        <v>0</v>
      </c>
      <c r="AN276" s="3038">
        <v>12718</v>
      </c>
      <c r="AO276" s="2447">
        <f>SUM(AN276*0)</f>
        <v>0</v>
      </c>
      <c r="AP276" s="3038">
        <v>26</v>
      </c>
      <c r="AQ276" s="2447">
        <f>SUM(AP276*0)</f>
        <v>0</v>
      </c>
      <c r="AR276" s="3038">
        <v>37</v>
      </c>
      <c r="AS276" s="2447">
        <f>SUM(AR276*0)</f>
        <v>0</v>
      </c>
      <c r="AT276" s="3038">
        <v>0</v>
      </c>
      <c r="AU276" s="2447">
        <f>SUM(AT276*0)</f>
        <v>0</v>
      </c>
      <c r="AV276" s="3038">
        <v>0</v>
      </c>
      <c r="AW276" s="2447">
        <f>SUM(AV276*0)</f>
        <v>0</v>
      </c>
      <c r="AX276" s="3038">
        <v>53164</v>
      </c>
      <c r="AY276" s="2447">
        <f>SUM(AX276*0)</f>
        <v>0</v>
      </c>
      <c r="AZ276" s="3038">
        <v>16982</v>
      </c>
      <c r="BA276" s="2447">
        <f>SUM(AZ276*0)</f>
        <v>0</v>
      </c>
      <c r="BB276" s="3038">
        <v>60013</v>
      </c>
      <c r="BC276" s="2447">
        <f>SUM(BB276*0)</f>
        <v>0</v>
      </c>
      <c r="BD276" s="3038">
        <v>575010</v>
      </c>
      <c r="BE276" s="2447">
        <f>SUM(BD276*0)</f>
        <v>0</v>
      </c>
      <c r="BF276" s="3038">
        <v>30</v>
      </c>
      <c r="BG276" s="4091">
        <f>SUM(V276:V278)</f>
        <v>0</v>
      </c>
      <c r="BH276" s="4091">
        <f>SUM(W276:W278)</f>
        <v>0</v>
      </c>
      <c r="BI276" s="4094">
        <f>SUM(BG276/Q276)</f>
        <v>0</v>
      </c>
      <c r="BJ276" s="3019" t="s">
        <v>1809</v>
      </c>
      <c r="BK276" s="3019" t="s">
        <v>1810</v>
      </c>
      <c r="BL276" s="4090">
        <v>43832</v>
      </c>
      <c r="BM276" s="4090">
        <v>43832</v>
      </c>
      <c r="BN276" s="4090">
        <v>44196</v>
      </c>
      <c r="BO276" s="4090">
        <v>44196</v>
      </c>
      <c r="BP276" s="3019" t="s">
        <v>1811</v>
      </c>
    </row>
    <row r="277" spans="1:68" ht="76.5" customHeight="1" x14ac:dyDescent="0.2">
      <c r="A277" s="4026"/>
      <c r="B277" s="4026"/>
      <c r="C277" s="4026"/>
      <c r="D277" s="4114"/>
      <c r="E277" s="4114"/>
      <c r="F277" s="4114"/>
      <c r="G277" s="2341"/>
      <c r="H277" s="3670"/>
      <c r="I277" s="2413"/>
      <c r="J277" s="3215"/>
      <c r="K277" s="4048"/>
      <c r="L277" s="4049"/>
      <c r="M277" s="4179"/>
      <c r="N277" s="2343"/>
      <c r="O277" s="2413"/>
      <c r="P277" s="2854"/>
      <c r="Q277" s="4077"/>
      <c r="R277" s="4175"/>
      <c r="S277" s="4177"/>
      <c r="T277" s="2146" t="s">
        <v>2233</v>
      </c>
      <c r="U277" s="2089">
        <f>50000000</f>
        <v>50000000</v>
      </c>
      <c r="V277" s="2062">
        <v>0</v>
      </c>
      <c r="W277" s="2062">
        <v>0</v>
      </c>
      <c r="X277" s="2116" t="s">
        <v>2232</v>
      </c>
      <c r="Y277" s="2147" t="s">
        <v>1909</v>
      </c>
      <c r="Z277" s="3039"/>
      <c r="AA277" s="2448"/>
      <c r="AB277" s="3039"/>
      <c r="AC277" s="2448"/>
      <c r="AD277" s="3039"/>
      <c r="AE277" s="2448"/>
      <c r="AF277" s="3039"/>
      <c r="AG277" s="2448"/>
      <c r="AH277" s="3039"/>
      <c r="AI277" s="2448"/>
      <c r="AJ277" s="3039"/>
      <c r="AK277" s="2448"/>
      <c r="AL277" s="3039"/>
      <c r="AM277" s="2448"/>
      <c r="AN277" s="3039"/>
      <c r="AO277" s="2448"/>
      <c r="AP277" s="3039"/>
      <c r="AQ277" s="2448"/>
      <c r="AR277" s="3039"/>
      <c r="AS277" s="2448"/>
      <c r="AT277" s="3039"/>
      <c r="AU277" s="2448"/>
      <c r="AV277" s="3039"/>
      <c r="AW277" s="2448"/>
      <c r="AX277" s="3039"/>
      <c r="AY277" s="2448"/>
      <c r="AZ277" s="3039"/>
      <c r="BA277" s="2448"/>
      <c r="BB277" s="3039"/>
      <c r="BC277" s="2448"/>
      <c r="BD277" s="3039"/>
      <c r="BE277" s="2448"/>
      <c r="BF277" s="3039"/>
      <c r="BG277" s="4092"/>
      <c r="BH277" s="4092"/>
      <c r="BI277" s="4095"/>
      <c r="BJ277" s="3020"/>
      <c r="BK277" s="3020"/>
      <c r="BL277" s="3039"/>
      <c r="BM277" s="3039"/>
      <c r="BN277" s="3039"/>
      <c r="BO277" s="3039"/>
      <c r="BP277" s="3020"/>
    </row>
    <row r="278" spans="1:68" ht="75" customHeight="1" x14ac:dyDescent="0.2">
      <c r="A278" s="4026"/>
      <c r="B278" s="4026"/>
      <c r="C278" s="4026"/>
      <c r="D278" s="4114"/>
      <c r="E278" s="4114"/>
      <c r="F278" s="4114"/>
      <c r="G278" s="2933"/>
      <c r="H278" s="3639"/>
      <c r="I278" s="2493"/>
      <c r="J278" s="2508"/>
      <c r="K278" s="4048"/>
      <c r="L278" s="4049"/>
      <c r="M278" s="4000"/>
      <c r="N278" s="2491"/>
      <c r="O278" s="2493"/>
      <c r="P278" s="2924"/>
      <c r="Q278" s="4078"/>
      <c r="R278" s="4176"/>
      <c r="S278" s="4178"/>
      <c r="T278" s="2004" t="s">
        <v>2234</v>
      </c>
      <c r="U278" s="2089">
        <f>30000000</f>
        <v>30000000</v>
      </c>
      <c r="V278" s="2062">
        <v>0</v>
      </c>
      <c r="W278" s="2062">
        <v>0</v>
      </c>
      <c r="X278" s="2116" t="s">
        <v>2232</v>
      </c>
      <c r="Y278" s="2147" t="s">
        <v>1909</v>
      </c>
      <c r="Z278" s="3631"/>
      <c r="AA278" s="2449"/>
      <c r="AB278" s="3631"/>
      <c r="AC278" s="2449"/>
      <c r="AD278" s="3631"/>
      <c r="AE278" s="2449"/>
      <c r="AF278" s="3631"/>
      <c r="AG278" s="2449"/>
      <c r="AH278" s="3631"/>
      <c r="AI278" s="2449"/>
      <c r="AJ278" s="3631"/>
      <c r="AK278" s="2449"/>
      <c r="AL278" s="3631"/>
      <c r="AM278" s="2449"/>
      <c r="AN278" s="3631"/>
      <c r="AO278" s="2449"/>
      <c r="AP278" s="3631"/>
      <c r="AQ278" s="2449"/>
      <c r="AR278" s="3631"/>
      <c r="AS278" s="2449"/>
      <c r="AT278" s="3631"/>
      <c r="AU278" s="2449"/>
      <c r="AV278" s="3631"/>
      <c r="AW278" s="2449"/>
      <c r="AX278" s="3631"/>
      <c r="AY278" s="2449"/>
      <c r="AZ278" s="3631"/>
      <c r="BA278" s="2449"/>
      <c r="BB278" s="3631"/>
      <c r="BC278" s="2449"/>
      <c r="BD278" s="3631"/>
      <c r="BE278" s="2449"/>
      <c r="BF278" s="3631"/>
      <c r="BG278" s="4093"/>
      <c r="BH278" s="4093"/>
      <c r="BI278" s="4096"/>
      <c r="BJ278" s="3021"/>
      <c r="BK278" s="3021"/>
      <c r="BL278" s="3631"/>
      <c r="BM278" s="3631"/>
      <c r="BN278" s="3631"/>
      <c r="BO278" s="3631"/>
      <c r="BP278" s="3021"/>
    </row>
    <row r="279" spans="1:68" ht="48.75" customHeight="1" x14ac:dyDescent="0.2">
      <c r="A279" s="4026"/>
      <c r="B279" s="4026"/>
      <c r="C279" s="4026"/>
      <c r="D279" s="4114"/>
      <c r="E279" s="4114"/>
      <c r="F279" s="4114"/>
      <c r="G279" s="2341" t="s">
        <v>208</v>
      </c>
      <c r="H279" s="3670">
        <v>12.15</v>
      </c>
      <c r="I279" s="2416" t="s">
        <v>2235</v>
      </c>
      <c r="J279" s="3215" t="s">
        <v>2236</v>
      </c>
      <c r="K279" s="4048">
        <v>1</v>
      </c>
      <c r="L279" s="4049">
        <v>0.5</v>
      </c>
      <c r="M279" s="2494" t="s">
        <v>2237</v>
      </c>
      <c r="N279" s="2343" t="s">
        <v>2238</v>
      </c>
      <c r="O279" s="2413" t="s">
        <v>2239</v>
      </c>
      <c r="P279" s="4180">
        <f>U279:U288/Q279</f>
        <v>0.53380780444444442</v>
      </c>
      <c r="Q279" s="4077">
        <f>SUM(U279:U288)</f>
        <v>450000000</v>
      </c>
      <c r="R279" s="4181" t="s">
        <v>2240</v>
      </c>
      <c r="S279" s="4182" t="s">
        <v>2241</v>
      </c>
      <c r="T279" s="3091" t="s">
        <v>2242</v>
      </c>
      <c r="U279" s="2151">
        <f>90213512+150000000</f>
        <v>240213512</v>
      </c>
      <c r="V279" s="2062">
        <v>53486666</v>
      </c>
      <c r="W279" s="2062">
        <v>10500000</v>
      </c>
      <c r="X279" s="2116" t="s">
        <v>1942</v>
      </c>
      <c r="Y279" s="2147" t="s">
        <v>780</v>
      </c>
      <c r="Z279" s="3038">
        <v>292684</v>
      </c>
      <c r="AA279" s="3038">
        <f>SUM(Z279*0.41)</f>
        <v>120000.43999999999</v>
      </c>
      <c r="AB279" s="3038">
        <v>282326</v>
      </c>
      <c r="AC279" s="3038">
        <f>SUM(AB279*0.41)</f>
        <v>115753.65999999999</v>
      </c>
      <c r="AD279" s="3038">
        <v>135912</v>
      </c>
      <c r="AE279" s="3038">
        <f>SUM(AD279*0.41)</f>
        <v>55723.92</v>
      </c>
      <c r="AF279" s="3038">
        <v>45122</v>
      </c>
      <c r="AG279" s="3038">
        <f>SUM(AF279*0.41)</f>
        <v>18500.02</v>
      </c>
      <c r="AH279" s="3038">
        <v>365607</v>
      </c>
      <c r="AI279" s="3038">
        <f>SUM(AH279*0.41)</f>
        <v>149898.87</v>
      </c>
      <c r="AJ279" s="3038">
        <v>86875</v>
      </c>
      <c r="AK279" s="3038">
        <f>SUM(AJ279*0.41)</f>
        <v>35618.75</v>
      </c>
      <c r="AL279" s="3038">
        <v>2145</v>
      </c>
      <c r="AM279" s="3038">
        <f>SUM(AL279*0.41)</f>
        <v>879.44999999999993</v>
      </c>
      <c r="AN279" s="3038">
        <v>12718</v>
      </c>
      <c r="AO279" s="3038">
        <f>SUM(AN279*0.41)</f>
        <v>5214.38</v>
      </c>
      <c r="AP279" s="3038">
        <v>26</v>
      </c>
      <c r="AQ279" s="3038">
        <f>SUM(AP279*0.41)</f>
        <v>10.66</v>
      </c>
      <c r="AR279" s="3038">
        <v>37</v>
      </c>
      <c r="AS279" s="3038">
        <f>SUM(AR279*0.41)</f>
        <v>15.17</v>
      </c>
      <c r="AT279" s="3038">
        <v>0</v>
      </c>
      <c r="AU279" s="3038">
        <f>SUM(AT279*0.41)</f>
        <v>0</v>
      </c>
      <c r="AV279" s="3038">
        <v>0</v>
      </c>
      <c r="AW279" s="3038">
        <f>SUM(AV279*0.41)</f>
        <v>0</v>
      </c>
      <c r="AX279" s="3038">
        <v>53164</v>
      </c>
      <c r="AY279" s="3038">
        <f>SUM(AX279*0.41)</f>
        <v>21797.239999999998</v>
      </c>
      <c r="AZ279" s="3038">
        <v>16982</v>
      </c>
      <c r="BA279" s="3038">
        <f>SUM(AZ279*0.41)</f>
        <v>6962.62</v>
      </c>
      <c r="BB279" s="3038">
        <v>60013</v>
      </c>
      <c r="BC279" s="3038">
        <f>SUM(BB279*0.41)</f>
        <v>24605.329999999998</v>
      </c>
      <c r="BD279" s="3038">
        <v>575010</v>
      </c>
      <c r="BE279" s="3038">
        <f>SUM(BD279*0.41)</f>
        <v>235754.09999999998</v>
      </c>
      <c r="BF279" s="3038">
        <v>18</v>
      </c>
      <c r="BG279" s="4091">
        <f>SUM(V279:V288)</f>
        <v>185105150</v>
      </c>
      <c r="BH279" s="4091">
        <f>SUM(W279:W288)</f>
        <v>106553170</v>
      </c>
      <c r="BI279" s="4094">
        <f>SUM(BG279/Q279)</f>
        <v>0.41134477777777778</v>
      </c>
      <c r="BJ279" s="3019" t="s">
        <v>7</v>
      </c>
      <c r="BK279" s="3019" t="s">
        <v>1943</v>
      </c>
      <c r="BL279" s="4090">
        <v>43832</v>
      </c>
      <c r="BM279" s="4090">
        <v>43832</v>
      </c>
      <c r="BN279" s="4090">
        <v>44196</v>
      </c>
      <c r="BO279" s="4090">
        <v>44196</v>
      </c>
      <c r="BP279" s="3019" t="s">
        <v>1811</v>
      </c>
    </row>
    <row r="280" spans="1:68" ht="48.75" customHeight="1" x14ac:dyDescent="0.2">
      <c r="A280" s="4026"/>
      <c r="B280" s="4026"/>
      <c r="C280" s="4026"/>
      <c r="D280" s="4114"/>
      <c r="E280" s="4114"/>
      <c r="F280" s="4114"/>
      <c r="G280" s="2341"/>
      <c r="H280" s="3670"/>
      <c r="I280" s="2416"/>
      <c r="J280" s="3215"/>
      <c r="K280" s="4048"/>
      <c r="L280" s="4049"/>
      <c r="M280" s="2494"/>
      <c r="N280" s="2343"/>
      <c r="O280" s="2413"/>
      <c r="P280" s="4180"/>
      <c r="Q280" s="4077"/>
      <c r="R280" s="4181"/>
      <c r="S280" s="4182"/>
      <c r="T280" s="3091"/>
      <c r="U280" s="2151">
        <v>65786488</v>
      </c>
      <c r="V280" s="2062">
        <v>65786488</v>
      </c>
      <c r="W280" s="2062">
        <v>50221174</v>
      </c>
      <c r="X280" s="2116" t="s">
        <v>1944</v>
      </c>
      <c r="Y280" s="2147" t="s">
        <v>7</v>
      </c>
      <c r="Z280" s="3039"/>
      <c r="AA280" s="3039"/>
      <c r="AB280" s="3039"/>
      <c r="AC280" s="3039"/>
      <c r="AD280" s="3039"/>
      <c r="AE280" s="3039"/>
      <c r="AF280" s="3039"/>
      <c r="AG280" s="3039"/>
      <c r="AH280" s="3039"/>
      <c r="AI280" s="3039"/>
      <c r="AJ280" s="3039"/>
      <c r="AK280" s="3039"/>
      <c r="AL280" s="3039"/>
      <c r="AM280" s="3039"/>
      <c r="AN280" s="3039"/>
      <c r="AO280" s="3039"/>
      <c r="AP280" s="3039"/>
      <c r="AQ280" s="3039"/>
      <c r="AR280" s="3039"/>
      <c r="AS280" s="3039"/>
      <c r="AT280" s="3039"/>
      <c r="AU280" s="3039"/>
      <c r="AV280" s="3039"/>
      <c r="AW280" s="3039"/>
      <c r="AX280" s="3039"/>
      <c r="AY280" s="3039"/>
      <c r="AZ280" s="3039"/>
      <c r="BA280" s="3039"/>
      <c r="BB280" s="3039"/>
      <c r="BC280" s="3039"/>
      <c r="BD280" s="3039"/>
      <c r="BE280" s="3039"/>
      <c r="BF280" s="3039"/>
      <c r="BG280" s="4092"/>
      <c r="BH280" s="4092"/>
      <c r="BI280" s="4095"/>
      <c r="BJ280" s="3020"/>
      <c r="BK280" s="3020"/>
      <c r="BL280" s="3039"/>
      <c r="BM280" s="3039"/>
      <c r="BN280" s="3039"/>
      <c r="BO280" s="3039"/>
      <c r="BP280" s="3020"/>
    </row>
    <row r="281" spans="1:68" ht="48.75" customHeight="1" x14ac:dyDescent="0.2">
      <c r="A281" s="4026"/>
      <c r="B281" s="4026"/>
      <c r="C281" s="4026"/>
      <c r="D281" s="4114"/>
      <c r="E281" s="4114"/>
      <c r="F281" s="4114"/>
      <c r="G281" s="2341"/>
      <c r="H281" s="3670"/>
      <c r="I281" s="2416"/>
      <c r="J281" s="3215"/>
      <c r="K281" s="4048"/>
      <c r="L281" s="4049"/>
      <c r="M281" s="2494"/>
      <c r="N281" s="2343"/>
      <c r="O281" s="2413"/>
      <c r="P281" s="4180"/>
      <c r="Q281" s="4077"/>
      <c r="R281" s="4181"/>
      <c r="S281" s="4182"/>
      <c r="T281" s="3091" t="s">
        <v>2243</v>
      </c>
      <c r="U281" s="2151">
        <v>27718668</v>
      </c>
      <c r="V281" s="2062">
        <v>20000000</v>
      </c>
      <c r="W281" s="2062"/>
      <c r="X281" s="2116" t="s">
        <v>1942</v>
      </c>
      <c r="Y281" s="2147" t="s">
        <v>780</v>
      </c>
      <c r="Z281" s="3039"/>
      <c r="AA281" s="3039"/>
      <c r="AB281" s="3039"/>
      <c r="AC281" s="3039"/>
      <c r="AD281" s="3039"/>
      <c r="AE281" s="3039"/>
      <c r="AF281" s="3039"/>
      <c r="AG281" s="3039"/>
      <c r="AH281" s="3039"/>
      <c r="AI281" s="3039"/>
      <c r="AJ281" s="3039"/>
      <c r="AK281" s="3039"/>
      <c r="AL281" s="3039"/>
      <c r="AM281" s="3039"/>
      <c r="AN281" s="3039"/>
      <c r="AO281" s="3039"/>
      <c r="AP281" s="3039"/>
      <c r="AQ281" s="3039"/>
      <c r="AR281" s="3039"/>
      <c r="AS281" s="3039"/>
      <c r="AT281" s="3039"/>
      <c r="AU281" s="3039"/>
      <c r="AV281" s="3039"/>
      <c r="AW281" s="3039"/>
      <c r="AX281" s="3039"/>
      <c r="AY281" s="3039"/>
      <c r="AZ281" s="3039"/>
      <c r="BA281" s="3039"/>
      <c r="BB281" s="3039"/>
      <c r="BC281" s="3039"/>
      <c r="BD281" s="3039"/>
      <c r="BE281" s="3039"/>
      <c r="BF281" s="3039"/>
      <c r="BG281" s="4092"/>
      <c r="BH281" s="4092"/>
      <c r="BI281" s="4095"/>
      <c r="BJ281" s="3020"/>
      <c r="BK281" s="3020"/>
      <c r="BL281" s="3039"/>
      <c r="BM281" s="3039"/>
      <c r="BN281" s="3039"/>
      <c r="BO281" s="3039"/>
      <c r="BP281" s="3020"/>
    </row>
    <row r="282" spans="1:68" ht="48.75" customHeight="1" x14ac:dyDescent="0.2">
      <c r="A282" s="4026"/>
      <c r="B282" s="4026"/>
      <c r="C282" s="4026"/>
      <c r="D282" s="4114"/>
      <c r="E282" s="4114"/>
      <c r="F282" s="4114"/>
      <c r="G282" s="2341"/>
      <c r="H282" s="3670"/>
      <c r="I282" s="2416"/>
      <c r="J282" s="3215"/>
      <c r="K282" s="4048"/>
      <c r="L282" s="4049"/>
      <c r="M282" s="2494"/>
      <c r="N282" s="2343"/>
      <c r="O282" s="2413"/>
      <c r="P282" s="4180"/>
      <c r="Q282" s="4077"/>
      <c r="R282" s="4181"/>
      <c r="S282" s="4182"/>
      <c r="T282" s="3091"/>
      <c r="U282" s="2151">
        <v>12281332</v>
      </c>
      <c r="V282" s="2062">
        <v>12281332</v>
      </c>
      <c r="W282" s="2062">
        <v>12281332</v>
      </c>
      <c r="X282" s="2116" t="s">
        <v>1944</v>
      </c>
      <c r="Y282" s="2147" t="s">
        <v>7</v>
      </c>
      <c r="Z282" s="3039"/>
      <c r="AA282" s="3039"/>
      <c r="AB282" s="3039"/>
      <c r="AC282" s="3039"/>
      <c r="AD282" s="3039"/>
      <c r="AE282" s="3039"/>
      <c r="AF282" s="3039"/>
      <c r="AG282" s="3039"/>
      <c r="AH282" s="3039"/>
      <c r="AI282" s="3039"/>
      <c r="AJ282" s="3039"/>
      <c r="AK282" s="3039"/>
      <c r="AL282" s="3039"/>
      <c r="AM282" s="3039"/>
      <c r="AN282" s="3039"/>
      <c r="AO282" s="3039"/>
      <c r="AP282" s="3039"/>
      <c r="AQ282" s="3039"/>
      <c r="AR282" s="3039"/>
      <c r="AS282" s="3039"/>
      <c r="AT282" s="3039"/>
      <c r="AU282" s="3039"/>
      <c r="AV282" s="3039"/>
      <c r="AW282" s="3039"/>
      <c r="AX282" s="3039"/>
      <c r="AY282" s="3039"/>
      <c r="AZ282" s="3039"/>
      <c r="BA282" s="3039"/>
      <c r="BB282" s="3039"/>
      <c r="BC282" s="3039"/>
      <c r="BD282" s="3039"/>
      <c r="BE282" s="3039"/>
      <c r="BF282" s="3039"/>
      <c r="BG282" s="4092"/>
      <c r="BH282" s="4092"/>
      <c r="BI282" s="4095"/>
      <c r="BJ282" s="3020"/>
      <c r="BK282" s="3020"/>
      <c r="BL282" s="3039"/>
      <c r="BM282" s="3039"/>
      <c r="BN282" s="3039"/>
      <c r="BO282" s="3039"/>
      <c r="BP282" s="3020"/>
    </row>
    <row r="283" spans="1:68" ht="48.75" customHeight="1" x14ac:dyDescent="0.2">
      <c r="A283" s="4026"/>
      <c r="B283" s="4026"/>
      <c r="C283" s="4026"/>
      <c r="D283" s="4114"/>
      <c r="E283" s="4114"/>
      <c r="F283" s="4114"/>
      <c r="G283" s="2341"/>
      <c r="H283" s="3670"/>
      <c r="I283" s="2416"/>
      <c r="J283" s="3215"/>
      <c r="K283" s="4048"/>
      <c r="L283" s="4049"/>
      <c r="M283" s="2494"/>
      <c r="N283" s="2343"/>
      <c r="O283" s="2413"/>
      <c r="P283" s="4180"/>
      <c r="Q283" s="4077"/>
      <c r="R283" s="4181"/>
      <c r="S283" s="4183"/>
      <c r="T283" s="2152" t="s">
        <v>2244</v>
      </c>
      <c r="U283" s="2151">
        <v>42000000</v>
      </c>
      <c r="V283" s="2062">
        <v>0</v>
      </c>
      <c r="W283" s="2062"/>
      <c r="X283" s="2116" t="s">
        <v>1942</v>
      </c>
      <c r="Y283" s="2147" t="s">
        <v>780</v>
      </c>
      <c r="Z283" s="3039"/>
      <c r="AA283" s="3039"/>
      <c r="AB283" s="3039"/>
      <c r="AC283" s="3039"/>
      <c r="AD283" s="3039"/>
      <c r="AE283" s="3039"/>
      <c r="AF283" s="3039"/>
      <c r="AG283" s="3039"/>
      <c r="AH283" s="3039"/>
      <c r="AI283" s="3039"/>
      <c r="AJ283" s="3039"/>
      <c r="AK283" s="3039"/>
      <c r="AL283" s="3039"/>
      <c r="AM283" s="3039"/>
      <c r="AN283" s="3039"/>
      <c r="AO283" s="3039"/>
      <c r="AP283" s="3039"/>
      <c r="AQ283" s="3039"/>
      <c r="AR283" s="3039"/>
      <c r="AS283" s="3039"/>
      <c r="AT283" s="3039"/>
      <c r="AU283" s="3039"/>
      <c r="AV283" s="3039"/>
      <c r="AW283" s="3039"/>
      <c r="AX283" s="3039"/>
      <c r="AY283" s="3039"/>
      <c r="AZ283" s="3039"/>
      <c r="BA283" s="3039"/>
      <c r="BB283" s="3039"/>
      <c r="BC283" s="3039"/>
      <c r="BD283" s="3039"/>
      <c r="BE283" s="3039"/>
      <c r="BF283" s="3039"/>
      <c r="BG283" s="4092"/>
      <c r="BH283" s="4092"/>
      <c r="BI283" s="4095"/>
      <c r="BJ283" s="3020"/>
      <c r="BK283" s="3020"/>
      <c r="BL283" s="3039"/>
      <c r="BM283" s="3039"/>
      <c r="BN283" s="3039"/>
      <c r="BO283" s="3039"/>
      <c r="BP283" s="3020"/>
    </row>
    <row r="284" spans="1:68" ht="48.75" customHeight="1" x14ac:dyDescent="0.2">
      <c r="A284" s="4026"/>
      <c r="B284" s="4026"/>
      <c r="C284" s="4026"/>
      <c r="D284" s="4114"/>
      <c r="E284" s="4114"/>
      <c r="F284" s="4114"/>
      <c r="G284" s="2341"/>
      <c r="H284" s="3670"/>
      <c r="I284" s="2416"/>
      <c r="J284" s="3215"/>
      <c r="K284" s="4048"/>
      <c r="L284" s="4049"/>
      <c r="M284" s="2494"/>
      <c r="N284" s="2343"/>
      <c r="O284" s="2413"/>
      <c r="P284" s="4180"/>
      <c r="Q284" s="4077"/>
      <c r="R284" s="4181"/>
      <c r="S284" s="4182"/>
      <c r="T284" s="3091" t="s">
        <v>2245</v>
      </c>
      <c r="U284" s="2151">
        <v>9924668</v>
      </c>
      <c r="V284" s="2062">
        <v>0</v>
      </c>
      <c r="W284" s="2062"/>
      <c r="X284" s="2116" t="s">
        <v>1942</v>
      </c>
      <c r="Y284" s="2147" t="s">
        <v>780</v>
      </c>
      <c r="Z284" s="3039"/>
      <c r="AA284" s="3039"/>
      <c r="AB284" s="3039"/>
      <c r="AC284" s="3039"/>
      <c r="AD284" s="3039"/>
      <c r="AE284" s="3039"/>
      <c r="AF284" s="3039"/>
      <c r="AG284" s="3039"/>
      <c r="AH284" s="3039"/>
      <c r="AI284" s="3039"/>
      <c r="AJ284" s="3039"/>
      <c r="AK284" s="3039"/>
      <c r="AL284" s="3039"/>
      <c r="AM284" s="3039"/>
      <c r="AN284" s="3039"/>
      <c r="AO284" s="3039"/>
      <c r="AP284" s="3039"/>
      <c r="AQ284" s="3039"/>
      <c r="AR284" s="3039"/>
      <c r="AS284" s="3039"/>
      <c r="AT284" s="3039"/>
      <c r="AU284" s="3039"/>
      <c r="AV284" s="3039"/>
      <c r="AW284" s="3039"/>
      <c r="AX284" s="3039"/>
      <c r="AY284" s="3039"/>
      <c r="AZ284" s="3039"/>
      <c r="BA284" s="3039"/>
      <c r="BB284" s="3039"/>
      <c r="BC284" s="3039"/>
      <c r="BD284" s="3039"/>
      <c r="BE284" s="3039"/>
      <c r="BF284" s="3039"/>
      <c r="BG284" s="4092"/>
      <c r="BH284" s="4092"/>
      <c r="BI284" s="4095"/>
      <c r="BJ284" s="3020"/>
      <c r="BK284" s="3020"/>
      <c r="BL284" s="3039"/>
      <c r="BM284" s="3039"/>
      <c r="BN284" s="3039"/>
      <c r="BO284" s="3039"/>
      <c r="BP284" s="3020"/>
    </row>
    <row r="285" spans="1:68" ht="48.75" customHeight="1" x14ac:dyDescent="0.2">
      <c r="A285" s="4026"/>
      <c r="B285" s="4026"/>
      <c r="C285" s="4026"/>
      <c r="D285" s="4114"/>
      <c r="E285" s="4114"/>
      <c r="F285" s="4114"/>
      <c r="G285" s="2341"/>
      <c r="H285" s="3670"/>
      <c r="I285" s="2416"/>
      <c r="J285" s="3215"/>
      <c r="K285" s="4048"/>
      <c r="L285" s="4049"/>
      <c r="M285" s="2494"/>
      <c r="N285" s="2343"/>
      <c r="O285" s="2413"/>
      <c r="P285" s="4180"/>
      <c r="Q285" s="4077"/>
      <c r="R285" s="4181"/>
      <c r="S285" s="4182"/>
      <c r="T285" s="3091"/>
      <c r="U285" s="2151">
        <v>20075332</v>
      </c>
      <c r="V285" s="2062">
        <v>20075332</v>
      </c>
      <c r="W285" s="2062">
        <v>20075332</v>
      </c>
      <c r="X285" s="2116" t="s">
        <v>1944</v>
      </c>
      <c r="Y285" s="2147" t="s">
        <v>7</v>
      </c>
      <c r="Z285" s="3039"/>
      <c r="AA285" s="3039"/>
      <c r="AB285" s="3039"/>
      <c r="AC285" s="3039"/>
      <c r="AD285" s="3039"/>
      <c r="AE285" s="3039"/>
      <c r="AF285" s="3039"/>
      <c r="AG285" s="3039"/>
      <c r="AH285" s="3039"/>
      <c r="AI285" s="3039"/>
      <c r="AJ285" s="3039"/>
      <c r="AK285" s="3039"/>
      <c r="AL285" s="3039"/>
      <c r="AM285" s="3039"/>
      <c r="AN285" s="3039"/>
      <c r="AO285" s="3039"/>
      <c r="AP285" s="3039"/>
      <c r="AQ285" s="3039"/>
      <c r="AR285" s="3039"/>
      <c r="AS285" s="3039"/>
      <c r="AT285" s="3039"/>
      <c r="AU285" s="3039"/>
      <c r="AV285" s="3039"/>
      <c r="AW285" s="3039"/>
      <c r="AX285" s="3039"/>
      <c r="AY285" s="3039"/>
      <c r="AZ285" s="3039"/>
      <c r="BA285" s="3039"/>
      <c r="BB285" s="3039"/>
      <c r="BC285" s="3039"/>
      <c r="BD285" s="3039"/>
      <c r="BE285" s="3039"/>
      <c r="BF285" s="3039"/>
      <c r="BG285" s="4092"/>
      <c r="BH285" s="4092"/>
      <c r="BI285" s="4095"/>
      <c r="BJ285" s="3020"/>
      <c r="BK285" s="3020"/>
      <c r="BL285" s="3039"/>
      <c r="BM285" s="3039"/>
      <c r="BN285" s="3039"/>
      <c r="BO285" s="3039"/>
      <c r="BP285" s="3020"/>
    </row>
    <row r="286" spans="1:68" ht="48.75" customHeight="1" x14ac:dyDescent="0.2">
      <c r="A286" s="4026"/>
      <c r="B286" s="4026"/>
      <c r="C286" s="4026"/>
      <c r="D286" s="4114"/>
      <c r="E286" s="4114"/>
      <c r="F286" s="4114"/>
      <c r="G286" s="2341"/>
      <c r="H286" s="3670"/>
      <c r="I286" s="2416"/>
      <c r="J286" s="3215"/>
      <c r="K286" s="4048"/>
      <c r="L286" s="4049"/>
      <c r="M286" s="2494"/>
      <c r="N286" s="2343"/>
      <c r="O286" s="2413"/>
      <c r="P286" s="4180"/>
      <c r="Q286" s="4077"/>
      <c r="R286" s="4181"/>
      <c r="S286" s="4182"/>
      <c r="T286" s="3091" t="s">
        <v>2246</v>
      </c>
      <c r="U286" s="2151">
        <v>16524668</v>
      </c>
      <c r="V286" s="2062"/>
      <c r="W286" s="2062"/>
      <c r="X286" s="2116" t="s">
        <v>1942</v>
      </c>
      <c r="Y286" s="2147" t="s">
        <v>780</v>
      </c>
      <c r="Z286" s="3039"/>
      <c r="AA286" s="3039"/>
      <c r="AB286" s="3039"/>
      <c r="AC286" s="3039"/>
      <c r="AD286" s="3039"/>
      <c r="AE286" s="3039"/>
      <c r="AF286" s="3039"/>
      <c r="AG286" s="3039"/>
      <c r="AH286" s="3039"/>
      <c r="AI286" s="3039"/>
      <c r="AJ286" s="3039"/>
      <c r="AK286" s="3039"/>
      <c r="AL286" s="3039"/>
      <c r="AM286" s="3039"/>
      <c r="AN286" s="3039"/>
      <c r="AO286" s="3039"/>
      <c r="AP286" s="3039"/>
      <c r="AQ286" s="3039"/>
      <c r="AR286" s="3039"/>
      <c r="AS286" s="3039"/>
      <c r="AT286" s="3039"/>
      <c r="AU286" s="3039"/>
      <c r="AV286" s="3039"/>
      <c r="AW286" s="3039"/>
      <c r="AX286" s="3039"/>
      <c r="AY286" s="3039"/>
      <c r="AZ286" s="3039"/>
      <c r="BA286" s="3039"/>
      <c r="BB286" s="3039"/>
      <c r="BC286" s="3039"/>
      <c r="BD286" s="3039"/>
      <c r="BE286" s="3039"/>
      <c r="BF286" s="3039"/>
      <c r="BG286" s="4092"/>
      <c r="BH286" s="4092"/>
      <c r="BI286" s="4095"/>
      <c r="BJ286" s="3020"/>
      <c r="BK286" s="3020"/>
      <c r="BL286" s="3039"/>
      <c r="BM286" s="3039"/>
      <c r="BN286" s="3039"/>
      <c r="BO286" s="3039"/>
      <c r="BP286" s="3020"/>
    </row>
    <row r="287" spans="1:68" ht="48.75" customHeight="1" x14ac:dyDescent="0.2">
      <c r="A287" s="4026"/>
      <c r="B287" s="4026"/>
      <c r="C287" s="4026"/>
      <c r="D287" s="4114"/>
      <c r="E287" s="4114"/>
      <c r="F287" s="4114"/>
      <c r="G287" s="2341"/>
      <c r="H287" s="3670"/>
      <c r="I287" s="2416"/>
      <c r="J287" s="3215"/>
      <c r="K287" s="4048"/>
      <c r="L287" s="4049"/>
      <c r="M287" s="2494"/>
      <c r="N287" s="2343"/>
      <c r="O287" s="2413"/>
      <c r="P287" s="4180"/>
      <c r="Q287" s="4077"/>
      <c r="R287" s="4181"/>
      <c r="S287" s="4182"/>
      <c r="T287" s="3091"/>
      <c r="U287" s="2151">
        <v>13475332</v>
      </c>
      <c r="V287" s="2062">
        <v>13475332</v>
      </c>
      <c r="W287" s="2062">
        <v>13475332</v>
      </c>
      <c r="X287" s="2116" t="s">
        <v>1944</v>
      </c>
      <c r="Y287" s="2147" t="s">
        <v>7</v>
      </c>
      <c r="Z287" s="3039"/>
      <c r="AA287" s="3039"/>
      <c r="AB287" s="3039"/>
      <c r="AC287" s="3039"/>
      <c r="AD287" s="3039"/>
      <c r="AE287" s="3039"/>
      <c r="AF287" s="3039"/>
      <c r="AG287" s="3039"/>
      <c r="AH287" s="3039"/>
      <c r="AI287" s="3039"/>
      <c r="AJ287" s="3039"/>
      <c r="AK287" s="3039"/>
      <c r="AL287" s="3039"/>
      <c r="AM287" s="3039"/>
      <c r="AN287" s="3039"/>
      <c r="AO287" s="3039"/>
      <c r="AP287" s="3039"/>
      <c r="AQ287" s="3039"/>
      <c r="AR287" s="3039"/>
      <c r="AS287" s="3039"/>
      <c r="AT287" s="3039"/>
      <c r="AU287" s="3039"/>
      <c r="AV287" s="3039"/>
      <c r="AW287" s="3039"/>
      <c r="AX287" s="3039"/>
      <c r="AY287" s="3039"/>
      <c r="AZ287" s="3039"/>
      <c r="BA287" s="3039"/>
      <c r="BB287" s="3039"/>
      <c r="BC287" s="3039"/>
      <c r="BD287" s="3039"/>
      <c r="BE287" s="3039"/>
      <c r="BF287" s="3039"/>
      <c r="BG287" s="4092"/>
      <c r="BH287" s="4092"/>
      <c r="BI287" s="4095"/>
      <c r="BJ287" s="3020"/>
      <c r="BK287" s="3020"/>
      <c r="BL287" s="3039"/>
      <c r="BM287" s="3039"/>
      <c r="BN287" s="3039"/>
      <c r="BO287" s="3039"/>
      <c r="BP287" s="3020"/>
    </row>
    <row r="288" spans="1:68" ht="48.75" customHeight="1" x14ac:dyDescent="0.2">
      <c r="A288" s="4026"/>
      <c r="B288" s="4026"/>
      <c r="C288" s="4026"/>
      <c r="D288" s="4114"/>
      <c r="E288" s="4114"/>
      <c r="F288" s="4114"/>
      <c r="G288" s="2341"/>
      <c r="H288" s="3670"/>
      <c r="I288" s="2416"/>
      <c r="J288" s="3215"/>
      <c r="K288" s="4048"/>
      <c r="L288" s="4049"/>
      <c r="M288" s="2494"/>
      <c r="N288" s="2343"/>
      <c r="O288" s="2413"/>
      <c r="P288" s="4180"/>
      <c r="Q288" s="4077"/>
      <c r="R288" s="4181"/>
      <c r="S288" s="4183"/>
      <c r="T288" s="1913" t="s">
        <v>2247</v>
      </c>
      <c r="U288" s="2093">
        <v>2000000</v>
      </c>
      <c r="V288" s="2062">
        <v>0</v>
      </c>
      <c r="W288" s="2062">
        <v>0</v>
      </c>
      <c r="X288" s="2116" t="s">
        <v>1942</v>
      </c>
      <c r="Y288" s="2153" t="s">
        <v>780</v>
      </c>
      <c r="Z288" s="3631"/>
      <c r="AA288" s="3631"/>
      <c r="AB288" s="3631"/>
      <c r="AC288" s="3631"/>
      <c r="AD288" s="3631"/>
      <c r="AE288" s="3631"/>
      <c r="AF288" s="3631"/>
      <c r="AG288" s="3631"/>
      <c r="AH288" s="3631"/>
      <c r="AI288" s="3631"/>
      <c r="AJ288" s="3631"/>
      <c r="AK288" s="3631"/>
      <c r="AL288" s="3631"/>
      <c r="AM288" s="3631"/>
      <c r="AN288" s="3631"/>
      <c r="AO288" s="3631"/>
      <c r="AP288" s="3631"/>
      <c r="AQ288" s="3631"/>
      <c r="AR288" s="3631"/>
      <c r="AS288" s="3631"/>
      <c r="AT288" s="3631"/>
      <c r="AU288" s="3631"/>
      <c r="AV288" s="3631"/>
      <c r="AW288" s="3631"/>
      <c r="AX288" s="3631"/>
      <c r="AY288" s="3631"/>
      <c r="AZ288" s="3631"/>
      <c r="BA288" s="3631"/>
      <c r="BB288" s="3631"/>
      <c r="BC288" s="3631"/>
      <c r="BD288" s="3631"/>
      <c r="BE288" s="3631"/>
      <c r="BF288" s="3631"/>
      <c r="BG288" s="4093"/>
      <c r="BH288" s="4093"/>
      <c r="BI288" s="4096"/>
      <c r="BJ288" s="3021"/>
      <c r="BK288" s="3021"/>
      <c r="BL288" s="3631"/>
      <c r="BM288" s="3631"/>
      <c r="BN288" s="3631"/>
      <c r="BO288" s="3631"/>
      <c r="BP288" s="3021"/>
    </row>
    <row r="289" spans="1:68" ht="42.75" customHeight="1" x14ac:dyDescent="0.2">
      <c r="A289" s="4026"/>
      <c r="B289" s="4026"/>
      <c r="C289" s="4026"/>
      <c r="D289" s="4114"/>
      <c r="E289" s="4114"/>
      <c r="F289" s="4114"/>
      <c r="G289" s="3011">
        <v>1905031</v>
      </c>
      <c r="H289" s="3767">
        <v>12.14</v>
      </c>
      <c r="I289" s="2884" t="s">
        <v>2000</v>
      </c>
      <c r="J289" s="2993" t="s">
        <v>2001</v>
      </c>
      <c r="K289" s="4185">
        <v>12</v>
      </c>
      <c r="L289" s="4049">
        <v>10</v>
      </c>
      <c r="M289" s="2823" t="s">
        <v>2248</v>
      </c>
      <c r="N289" s="2342" t="s">
        <v>2249</v>
      </c>
      <c r="O289" s="3008" t="s">
        <v>2250</v>
      </c>
      <c r="P289" s="2847">
        <f>SUM(U289:U296)/Q289</f>
        <v>1</v>
      </c>
      <c r="Q289" s="4156">
        <f>SUM(U289:U296)</f>
        <v>1400126107.49</v>
      </c>
      <c r="R289" s="2423" t="s">
        <v>2251</v>
      </c>
      <c r="S289" s="2514" t="s">
        <v>2252</v>
      </c>
      <c r="T289" s="1925" t="s">
        <v>2253</v>
      </c>
      <c r="U289" s="2154">
        <v>265848107</v>
      </c>
      <c r="V289" s="2062">
        <v>74592000</v>
      </c>
      <c r="W289" s="2062">
        <v>0</v>
      </c>
      <c r="X289" s="2116" t="s">
        <v>1867</v>
      </c>
      <c r="Y289" s="2138" t="s">
        <v>1868</v>
      </c>
      <c r="Z289" s="3038">
        <v>289394</v>
      </c>
      <c r="AA289" s="3038">
        <f>SUM(Z289*0.39)</f>
        <v>112863.66</v>
      </c>
      <c r="AB289" s="3038">
        <v>279112</v>
      </c>
      <c r="AC289" s="3038">
        <f>SUM(AB289*0.39)</f>
        <v>108853.68000000001</v>
      </c>
      <c r="AD289" s="3038">
        <v>63164</v>
      </c>
      <c r="AE289" s="3038">
        <f>SUM(AD289*0.39)</f>
        <v>24633.96</v>
      </c>
      <c r="AF289" s="3038">
        <v>45607</v>
      </c>
      <c r="AG289" s="3038">
        <f>SUM(AF289*0.39)</f>
        <v>17786.73</v>
      </c>
      <c r="AH289" s="3038">
        <v>365607</v>
      </c>
      <c r="AI289" s="3038">
        <f>SUM(AH289*0.39)</f>
        <v>142586.73000000001</v>
      </c>
      <c r="AJ289" s="3038">
        <v>75612</v>
      </c>
      <c r="AK289" s="3038">
        <f>SUM(AJ289*0.39)</f>
        <v>29488.68</v>
      </c>
      <c r="AL289" s="3038">
        <v>2145</v>
      </c>
      <c r="AM289" s="3038">
        <f>SUM(AL289*0.39)</f>
        <v>836.55000000000007</v>
      </c>
      <c r="AN289" s="3038">
        <v>12718</v>
      </c>
      <c r="AO289" s="3038">
        <f>SUM(AN289*0.39)</f>
        <v>4960.0200000000004</v>
      </c>
      <c r="AP289" s="3038">
        <v>26</v>
      </c>
      <c r="AQ289" s="3038">
        <f>SUM(AP289*0.39)</f>
        <v>10.14</v>
      </c>
      <c r="AR289" s="3038">
        <v>37</v>
      </c>
      <c r="AS289" s="3038">
        <f>SUM(AR289*0.39)</f>
        <v>14.43</v>
      </c>
      <c r="AT289" s="3038">
        <v>0</v>
      </c>
      <c r="AU289" s="3038">
        <f>SUM(AT289*0.39)</f>
        <v>0</v>
      </c>
      <c r="AV289" s="3038">
        <v>0</v>
      </c>
      <c r="AW289" s="3038">
        <f>SUM(AV289*0.39)</f>
        <v>0</v>
      </c>
      <c r="AX289" s="3038">
        <v>78</v>
      </c>
      <c r="AY289" s="3038">
        <f>SUM(AX289*0.39)</f>
        <v>30.42</v>
      </c>
      <c r="AZ289" s="3038">
        <v>16897</v>
      </c>
      <c r="BA289" s="3038">
        <f>SUM(AZ289*0.39)</f>
        <v>6589.83</v>
      </c>
      <c r="BB289" s="3038">
        <v>852</v>
      </c>
      <c r="BC289" s="3038">
        <f>SUM(BB289*0.39)</f>
        <v>332.28000000000003</v>
      </c>
      <c r="BD289" s="3038">
        <v>568506</v>
      </c>
      <c r="BE289" s="3038">
        <f>SUM(BD289*0.39)</f>
        <v>221717.34</v>
      </c>
      <c r="BF289" s="3038">
        <v>19</v>
      </c>
      <c r="BG289" s="4091">
        <f>SUM(V289:V296)</f>
        <v>539370666</v>
      </c>
      <c r="BH289" s="4091">
        <f>SUM(W289:W296)</f>
        <v>19632666</v>
      </c>
      <c r="BI289" s="4094">
        <f>SUM(BG289/Q289)</f>
        <v>0.38523006114565456</v>
      </c>
      <c r="BJ289" s="3019" t="s">
        <v>1809</v>
      </c>
      <c r="BK289" s="3019" t="s">
        <v>1810</v>
      </c>
      <c r="BL289" s="4090">
        <v>43832</v>
      </c>
      <c r="BM289" s="4090">
        <v>43832</v>
      </c>
      <c r="BN289" s="4090">
        <v>44196</v>
      </c>
      <c r="BO289" s="4090">
        <v>44196</v>
      </c>
      <c r="BP289" s="3019" t="s">
        <v>1811</v>
      </c>
    </row>
    <row r="290" spans="1:68" ht="42.75" customHeight="1" x14ac:dyDescent="0.2">
      <c r="A290" s="4026"/>
      <c r="B290" s="4026"/>
      <c r="C290" s="4026"/>
      <c r="D290" s="4114"/>
      <c r="E290" s="4114"/>
      <c r="F290" s="4114"/>
      <c r="G290" s="3011"/>
      <c r="H290" s="3767"/>
      <c r="I290" s="2884"/>
      <c r="J290" s="2993"/>
      <c r="K290" s="4186"/>
      <c r="L290" s="4049"/>
      <c r="M290" s="2823"/>
      <c r="N290" s="2343"/>
      <c r="O290" s="3008"/>
      <c r="P290" s="2847"/>
      <c r="Q290" s="4156"/>
      <c r="R290" s="2423"/>
      <c r="S290" s="2514"/>
      <c r="T290" s="1925" t="s">
        <v>2254</v>
      </c>
      <c r="U290" s="2154">
        <v>37200000</v>
      </c>
      <c r="V290" s="2062">
        <v>0</v>
      </c>
      <c r="W290" s="2062">
        <v>0</v>
      </c>
      <c r="X290" s="2116" t="s">
        <v>1867</v>
      </c>
      <c r="Y290" s="2138" t="s">
        <v>1868</v>
      </c>
      <c r="Z290" s="3039"/>
      <c r="AA290" s="3039"/>
      <c r="AB290" s="3039"/>
      <c r="AC290" s="3039"/>
      <c r="AD290" s="3039"/>
      <c r="AE290" s="3039"/>
      <c r="AF290" s="3039"/>
      <c r="AG290" s="3039"/>
      <c r="AH290" s="3039"/>
      <c r="AI290" s="3039"/>
      <c r="AJ290" s="3039"/>
      <c r="AK290" s="3039"/>
      <c r="AL290" s="3039"/>
      <c r="AM290" s="3039"/>
      <c r="AN290" s="3039"/>
      <c r="AO290" s="3039"/>
      <c r="AP290" s="3039"/>
      <c r="AQ290" s="3039"/>
      <c r="AR290" s="3039"/>
      <c r="AS290" s="3039"/>
      <c r="AT290" s="3039"/>
      <c r="AU290" s="3039"/>
      <c r="AV290" s="3039"/>
      <c r="AW290" s="3039"/>
      <c r="AX290" s="3039"/>
      <c r="AY290" s="3039"/>
      <c r="AZ290" s="3039"/>
      <c r="BA290" s="3039"/>
      <c r="BB290" s="3039"/>
      <c r="BC290" s="3039"/>
      <c r="BD290" s="3039"/>
      <c r="BE290" s="3039"/>
      <c r="BF290" s="3039"/>
      <c r="BG290" s="4092"/>
      <c r="BH290" s="4092"/>
      <c r="BI290" s="4095"/>
      <c r="BJ290" s="3020"/>
      <c r="BK290" s="3020"/>
      <c r="BL290" s="3039"/>
      <c r="BM290" s="3039"/>
      <c r="BN290" s="3039"/>
      <c r="BO290" s="3039"/>
      <c r="BP290" s="3020"/>
    </row>
    <row r="291" spans="1:68" ht="42.75" customHeight="1" x14ac:dyDescent="0.2">
      <c r="A291" s="4026"/>
      <c r="B291" s="4026"/>
      <c r="C291" s="4026"/>
      <c r="D291" s="4114"/>
      <c r="E291" s="4114"/>
      <c r="F291" s="4114"/>
      <c r="G291" s="3011"/>
      <c r="H291" s="3767"/>
      <c r="I291" s="2884"/>
      <c r="J291" s="2993"/>
      <c r="K291" s="4186"/>
      <c r="L291" s="4049"/>
      <c r="M291" s="2823"/>
      <c r="N291" s="2343"/>
      <c r="O291" s="3008"/>
      <c r="P291" s="2847"/>
      <c r="Q291" s="4156"/>
      <c r="R291" s="2423"/>
      <c r="S291" s="2309"/>
      <c r="T291" s="1925" t="s">
        <v>2255</v>
      </c>
      <c r="U291" s="2096">
        <v>326500000</v>
      </c>
      <c r="V291" s="2062">
        <v>0</v>
      </c>
      <c r="W291" s="2062">
        <v>0</v>
      </c>
      <c r="X291" s="2116" t="s">
        <v>1867</v>
      </c>
      <c r="Y291" s="2138" t="s">
        <v>1868</v>
      </c>
      <c r="Z291" s="3039"/>
      <c r="AA291" s="3039"/>
      <c r="AB291" s="3039"/>
      <c r="AC291" s="3039"/>
      <c r="AD291" s="3039"/>
      <c r="AE291" s="3039"/>
      <c r="AF291" s="3039"/>
      <c r="AG291" s="3039"/>
      <c r="AH291" s="3039"/>
      <c r="AI291" s="3039"/>
      <c r="AJ291" s="3039"/>
      <c r="AK291" s="3039"/>
      <c r="AL291" s="3039"/>
      <c r="AM291" s="3039"/>
      <c r="AN291" s="3039"/>
      <c r="AO291" s="3039"/>
      <c r="AP291" s="3039"/>
      <c r="AQ291" s="3039"/>
      <c r="AR291" s="3039"/>
      <c r="AS291" s="3039"/>
      <c r="AT291" s="3039"/>
      <c r="AU291" s="3039"/>
      <c r="AV291" s="3039"/>
      <c r="AW291" s="3039"/>
      <c r="AX291" s="3039"/>
      <c r="AY291" s="3039"/>
      <c r="AZ291" s="3039"/>
      <c r="BA291" s="3039"/>
      <c r="BB291" s="3039"/>
      <c r="BC291" s="3039"/>
      <c r="BD291" s="3039"/>
      <c r="BE291" s="3039"/>
      <c r="BF291" s="3039"/>
      <c r="BG291" s="4092"/>
      <c r="BH291" s="4092"/>
      <c r="BI291" s="4095"/>
      <c r="BJ291" s="3020"/>
      <c r="BK291" s="3020"/>
      <c r="BL291" s="3039"/>
      <c r="BM291" s="3039"/>
      <c r="BN291" s="3039"/>
      <c r="BO291" s="3039"/>
      <c r="BP291" s="3020"/>
    </row>
    <row r="292" spans="1:68" ht="42.75" customHeight="1" x14ac:dyDescent="0.2">
      <c r="A292" s="4026"/>
      <c r="B292" s="4026"/>
      <c r="C292" s="4026"/>
      <c r="D292" s="4114"/>
      <c r="E292" s="4114"/>
      <c r="F292" s="4114"/>
      <c r="G292" s="3011"/>
      <c r="H292" s="3767"/>
      <c r="I292" s="2884"/>
      <c r="J292" s="2993"/>
      <c r="K292" s="4186"/>
      <c r="L292" s="4049"/>
      <c r="M292" s="2823"/>
      <c r="N292" s="2343"/>
      <c r="O292" s="3008"/>
      <c r="P292" s="2847"/>
      <c r="Q292" s="4156"/>
      <c r="R292" s="2423"/>
      <c r="S292" s="2309"/>
      <c r="T292" s="1925" t="s">
        <v>2256</v>
      </c>
      <c r="U292" s="2096">
        <v>130000000</v>
      </c>
      <c r="V292" s="2062">
        <v>0</v>
      </c>
      <c r="W292" s="2062">
        <v>0</v>
      </c>
      <c r="X292" s="2116" t="s">
        <v>1867</v>
      </c>
      <c r="Y292" s="2138" t="s">
        <v>1868</v>
      </c>
      <c r="Z292" s="3039"/>
      <c r="AA292" s="3039"/>
      <c r="AB292" s="3039"/>
      <c r="AC292" s="3039"/>
      <c r="AD292" s="3039"/>
      <c r="AE292" s="3039"/>
      <c r="AF292" s="3039"/>
      <c r="AG292" s="3039"/>
      <c r="AH292" s="3039"/>
      <c r="AI292" s="3039"/>
      <c r="AJ292" s="3039"/>
      <c r="AK292" s="3039"/>
      <c r="AL292" s="3039"/>
      <c r="AM292" s="3039"/>
      <c r="AN292" s="3039"/>
      <c r="AO292" s="3039"/>
      <c r="AP292" s="3039"/>
      <c r="AQ292" s="3039"/>
      <c r="AR292" s="3039"/>
      <c r="AS292" s="3039"/>
      <c r="AT292" s="3039"/>
      <c r="AU292" s="3039"/>
      <c r="AV292" s="3039"/>
      <c r="AW292" s="3039"/>
      <c r="AX292" s="3039"/>
      <c r="AY292" s="3039"/>
      <c r="AZ292" s="3039"/>
      <c r="BA292" s="3039"/>
      <c r="BB292" s="3039"/>
      <c r="BC292" s="3039"/>
      <c r="BD292" s="3039"/>
      <c r="BE292" s="3039"/>
      <c r="BF292" s="3039"/>
      <c r="BG292" s="4092"/>
      <c r="BH292" s="4092"/>
      <c r="BI292" s="4095"/>
      <c r="BJ292" s="3020"/>
      <c r="BK292" s="3020"/>
      <c r="BL292" s="3039"/>
      <c r="BM292" s="3039"/>
      <c r="BN292" s="3039"/>
      <c r="BO292" s="3039"/>
      <c r="BP292" s="3020"/>
    </row>
    <row r="293" spans="1:68" ht="42.75" customHeight="1" x14ac:dyDescent="0.2">
      <c r="A293" s="4026"/>
      <c r="B293" s="4026"/>
      <c r="C293" s="4026"/>
      <c r="D293" s="4114"/>
      <c r="E293" s="4114"/>
      <c r="F293" s="4114"/>
      <c r="G293" s="3011"/>
      <c r="H293" s="3767"/>
      <c r="I293" s="2884"/>
      <c r="J293" s="2993"/>
      <c r="K293" s="4186"/>
      <c r="L293" s="4049"/>
      <c r="M293" s="2823"/>
      <c r="N293" s="2343"/>
      <c r="O293" s="3008"/>
      <c r="P293" s="2847"/>
      <c r="Q293" s="4156"/>
      <c r="R293" s="2423"/>
      <c r="S293" s="2309"/>
      <c r="T293" s="3908" t="s">
        <v>2257</v>
      </c>
      <c r="U293" s="2096">
        <v>40241227</v>
      </c>
      <c r="V293" s="2062">
        <v>27960000</v>
      </c>
      <c r="W293" s="2062">
        <v>0</v>
      </c>
      <c r="X293" s="2116" t="s">
        <v>1867</v>
      </c>
      <c r="Y293" s="2138" t="s">
        <v>1868</v>
      </c>
      <c r="Z293" s="3039"/>
      <c r="AA293" s="3039"/>
      <c r="AB293" s="3039"/>
      <c r="AC293" s="3039"/>
      <c r="AD293" s="3039"/>
      <c r="AE293" s="3039"/>
      <c r="AF293" s="3039"/>
      <c r="AG293" s="3039"/>
      <c r="AH293" s="3039"/>
      <c r="AI293" s="3039"/>
      <c r="AJ293" s="3039"/>
      <c r="AK293" s="3039"/>
      <c r="AL293" s="3039"/>
      <c r="AM293" s="3039"/>
      <c r="AN293" s="3039"/>
      <c r="AO293" s="3039"/>
      <c r="AP293" s="3039"/>
      <c r="AQ293" s="3039"/>
      <c r="AR293" s="3039"/>
      <c r="AS293" s="3039"/>
      <c r="AT293" s="3039"/>
      <c r="AU293" s="3039"/>
      <c r="AV293" s="3039"/>
      <c r="AW293" s="3039"/>
      <c r="AX293" s="3039"/>
      <c r="AY293" s="3039"/>
      <c r="AZ293" s="3039"/>
      <c r="BA293" s="3039"/>
      <c r="BB293" s="3039"/>
      <c r="BC293" s="3039"/>
      <c r="BD293" s="3039"/>
      <c r="BE293" s="3039"/>
      <c r="BF293" s="3039"/>
      <c r="BG293" s="4092"/>
      <c r="BH293" s="4092"/>
      <c r="BI293" s="4095"/>
      <c r="BJ293" s="3020"/>
      <c r="BK293" s="3020"/>
      <c r="BL293" s="3039"/>
      <c r="BM293" s="3039"/>
      <c r="BN293" s="3039"/>
      <c r="BO293" s="3039"/>
      <c r="BP293" s="3020"/>
    </row>
    <row r="294" spans="1:68" ht="42.75" customHeight="1" x14ac:dyDescent="0.2">
      <c r="A294" s="4026"/>
      <c r="B294" s="4026"/>
      <c r="C294" s="4026"/>
      <c r="D294" s="4114"/>
      <c r="E294" s="4114"/>
      <c r="F294" s="4114"/>
      <c r="G294" s="3011"/>
      <c r="H294" s="3767"/>
      <c r="I294" s="2884"/>
      <c r="J294" s="2993"/>
      <c r="K294" s="4186"/>
      <c r="L294" s="4049"/>
      <c r="M294" s="2823"/>
      <c r="N294" s="2343"/>
      <c r="O294" s="3008"/>
      <c r="P294" s="2847"/>
      <c r="Q294" s="4156"/>
      <c r="R294" s="2423"/>
      <c r="S294" s="2309"/>
      <c r="T294" s="3137"/>
      <c r="U294" s="2096">
        <v>100126107.48999999</v>
      </c>
      <c r="V294" s="2062">
        <v>0</v>
      </c>
      <c r="W294" s="2062">
        <v>0</v>
      </c>
      <c r="X294" s="2116" t="s">
        <v>2232</v>
      </c>
      <c r="Y294" s="2138" t="s">
        <v>1909</v>
      </c>
      <c r="Z294" s="3039"/>
      <c r="AA294" s="3039"/>
      <c r="AB294" s="3039"/>
      <c r="AC294" s="3039"/>
      <c r="AD294" s="3039"/>
      <c r="AE294" s="3039"/>
      <c r="AF294" s="3039"/>
      <c r="AG294" s="3039"/>
      <c r="AH294" s="3039"/>
      <c r="AI294" s="3039"/>
      <c r="AJ294" s="3039"/>
      <c r="AK294" s="3039"/>
      <c r="AL294" s="3039"/>
      <c r="AM294" s="3039"/>
      <c r="AN294" s="3039"/>
      <c r="AO294" s="3039"/>
      <c r="AP294" s="3039"/>
      <c r="AQ294" s="3039"/>
      <c r="AR294" s="3039"/>
      <c r="AS294" s="3039"/>
      <c r="AT294" s="3039"/>
      <c r="AU294" s="3039"/>
      <c r="AV294" s="3039"/>
      <c r="AW294" s="3039"/>
      <c r="AX294" s="3039"/>
      <c r="AY294" s="3039"/>
      <c r="AZ294" s="3039"/>
      <c r="BA294" s="3039"/>
      <c r="BB294" s="3039"/>
      <c r="BC294" s="3039"/>
      <c r="BD294" s="3039"/>
      <c r="BE294" s="3039"/>
      <c r="BF294" s="3039"/>
      <c r="BG294" s="4092"/>
      <c r="BH294" s="4092"/>
      <c r="BI294" s="4095"/>
      <c r="BJ294" s="3020"/>
      <c r="BK294" s="3020"/>
      <c r="BL294" s="3039"/>
      <c r="BM294" s="3039"/>
      <c r="BN294" s="3039"/>
      <c r="BO294" s="3039"/>
      <c r="BP294" s="3020"/>
    </row>
    <row r="295" spans="1:68" ht="42.75" customHeight="1" x14ac:dyDescent="0.2">
      <c r="A295" s="4026"/>
      <c r="B295" s="4026"/>
      <c r="C295" s="4026"/>
      <c r="D295" s="4114"/>
      <c r="E295" s="4114"/>
      <c r="F295" s="4114"/>
      <c r="G295" s="3011"/>
      <c r="H295" s="3767"/>
      <c r="I295" s="2884"/>
      <c r="J295" s="2993"/>
      <c r="K295" s="4186"/>
      <c r="L295" s="4049"/>
      <c r="M295" s="2823"/>
      <c r="N295" s="2343"/>
      <c r="O295" s="3008"/>
      <c r="P295" s="2847"/>
      <c r="Q295" s="4156"/>
      <c r="R295" s="2423"/>
      <c r="S295" s="2309"/>
      <c r="T295" s="1911" t="s">
        <v>2258</v>
      </c>
      <c r="U295" s="2096">
        <v>19632666</v>
      </c>
      <c r="V295" s="2062">
        <v>19632666</v>
      </c>
      <c r="W295" s="2062">
        <v>19632666</v>
      </c>
      <c r="X295" s="2116" t="s">
        <v>1867</v>
      </c>
      <c r="Y295" s="2138" t="s">
        <v>1868</v>
      </c>
      <c r="Z295" s="3039"/>
      <c r="AA295" s="3039"/>
      <c r="AB295" s="3039"/>
      <c r="AC295" s="3039"/>
      <c r="AD295" s="3039"/>
      <c r="AE295" s="3039"/>
      <c r="AF295" s="3039"/>
      <c r="AG295" s="3039"/>
      <c r="AH295" s="3039"/>
      <c r="AI295" s="3039"/>
      <c r="AJ295" s="3039"/>
      <c r="AK295" s="3039"/>
      <c r="AL295" s="3039"/>
      <c r="AM295" s="3039"/>
      <c r="AN295" s="3039"/>
      <c r="AO295" s="3039"/>
      <c r="AP295" s="3039"/>
      <c r="AQ295" s="3039"/>
      <c r="AR295" s="3039"/>
      <c r="AS295" s="3039"/>
      <c r="AT295" s="3039"/>
      <c r="AU295" s="3039"/>
      <c r="AV295" s="3039"/>
      <c r="AW295" s="3039"/>
      <c r="AX295" s="3039"/>
      <c r="AY295" s="3039"/>
      <c r="AZ295" s="3039"/>
      <c r="BA295" s="3039"/>
      <c r="BB295" s="3039"/>
      <c r="BC295" s="3039"/>
      <c r="BD295" s="3039"/>
      <c r="BE295" s="3039"/>
      <c r="BF295" s="3039"/>
      <c r="BG295" s="4092"/>
      <c r="BH295" s="4092"/>
      <c r="BI295" s="4095"/>
      <c r="BJ295" s="3020"/>
      <c r="BK295" s="3020"/>
      <c r="BL295" s="3039"/>
      <c r="BM295" s="3039"/>
      <c r="BN295" s="3039"/>
      <c r="BO295" s="3039"/>
      <c r="BP295" s="3020"/>
    </row>
    <row r="296" spans="1:68" ht="42.75" customHeight="1" x14ac:dyDescent="0.2">
      <c r="A296" s="4026"/>
      <c r="B296" s="4026"/>
      <c r="C296" s="4026"/>
      <c r="D296" s="4114"/>
      <c r="E296" s="4114"/>
      <c r="F296" s="4114"/>
      <c r="G296" s="3012"/>
      <c r="H296" s="3110"/>
      <c r="I296" s="2895"/>
      <c r="J296" s="2930"/>
      <c r="K296" s="4187"/>
      <c r="L296" s="4049"/>
      <c r="M296" s="2824"/>
      <c r="N296" s="2343"/>
      <c r="O296" s="3009"/>
      <c r="P296" s="2943"/>
      <c r="Q296" s="4184"/>
      <c r="R296" s="2424"/>
      <c r="S296" s="3202"/>
      <c r="T296" s="1908" t="s">
        <v>2259</v>
      </c>
      <c r="U296" s="2134">
        <f>417186000+63392000</f>
        <v>480578000</v>
      </c>
      <c r="V296" s="2062">
        <v>417186000</v>
      </c>
      <c r="W296" s="2062">
        <v>0</v>
      </c>
      <c r="X296" s="2116" t="s">
        <v>1867</v>
      </c>
      <c r="Y296" s="2067" t="s">
        <v>1868</v>
      </c>
      <c r="Z296" s="3631"/>
      <c r="AA296" s="3631"/>
      <c r="AB296" s="3631"/>
      <c r="AC296" s="3631"/>
      <c r="AD296" s="3631"/>
      <c r="AE296" s="3631"/>
      <c r="AF296" s="3631"/>
      <c r="AG296" s="3631"/>
      <c r="AH296" s="3631"/>
      <c r="AI296" s="3631"/>
      <c r="AJ296" s="3631"/>
      <c r="AK296" s="3631"/>
      <c r="AL296" s="3631"/>
      <c r="AM296" s="3631"/>
      <c r="AN296" s="3631"/>
      <c r="AO296" s="3631"/>
      <c r="AP296" s="3631"/>
      <c r="AQ296" s="3631"/>
      <c r="AR296" s="3631"/>
      <c r="AS296" s="3631"/>
      <c r="AT296" s="3631"/>
      <c r="AU296" s="3631"/>
      <c r="AV296" s="3631"/>
      <c r="AW296" s="3631"/>
      <c r="AX296" s="3631"/>
      <c r="AY296" s="3631"/>
      <c r="AZ296" s="3631"/>
      <c r="BA296" s="3631"/>
      <c r="BB296" s="3631"/>
      <c r="BC296" s="3631"/>
      <c r="BD296" s="3631"/>
      <c r="BE296" s="3631"/>
      <c r="BF296" s="3631"/>
      <c r="BG296" s="4093"/>
      <c r="BH296" s="4093"/>
      <c r="BI296" s="4096"/>
      <c r="BJ296" s="3021"/>
      <c r="BK296" s="3021"/>
      <c r="BL296" s="3631"/>
      <c r="BM296" s="3631"/>
      <c r="BN296" s="3631"/>
      <c r="BO296" s="3631"/>
      <c r="BP296" s="3021"/>
    </row>
    <row r="297" spans="1:68" ht="26.25" customHeight="1" x14ac:dyDescent="0.2">
      <c r="A297" s="4026"/>
      <c r="B297" s="4026"/>
      <c r="C297" s="4026"/>
      <c r="D297" s="1265">
        <v>13</v>
      </c>
      <c r="E297" s="1196" t="s">
        <v>886</v>
      </c>
      <c r="F297" s="112"/>
      <c r="G297" s="47"/>
      <c r="H297" s="47"/>
      <c r="I297" s="46"/>
      <c r="J297" s="46"/>
      <c r="K297" s="2155"/>
      <c r="L297" s="1073"/>
      <c r="M297" s="1073"/>
      <c r="N297" s="111"/>
      <c r="O297" s="2156"/>
      <c r="P297" s="2157"/>
      <c r="Q297" s="47"/>
      <c r="R297" s="2158"/>
      <c r="S297" s="2156"/>
      <c r="T297" s="46"/>
      <c r="U297" s="2159"/>
      <c r="V297" s="2160"/>
      <c r="W297" s="2160"/>
      <c r="X297" s="2161"/>
      <c r="Y297" s="2162"/>
      <c r="Z297" s="2163"/>
      <c r="AA297" s="2163"/>
      <c r="AB297" s="2163"/>
      <c r="AC297" s="2163"/>
      <c r="AD297" s="2163"/>
      <c r="AE297" s="2163"/>
      <c r="AF297" s="2163"/>
      <c r="AG297" s="2163"/>
      <c r="AH297" s="2163"/>
      <c r="AI297" s="2163"/>
      <c r="AJ297" s="2163"/>
      <c r="AK297" s="2163"/>
      <c r="AL297" s="2163"/>
      <c r="AM297" s="2163"/>
      <c r="AN297" s="2163"/>
      <c r="AO297" s="2163"/>
      <c r="AP297" s="2163"/>
      <c r="AQ297" s="2163"/>
      <c r="AR297" s="2163"/>
      <c r="AS297" s="2163"/>
      <c r="AT297" s="2163"/>
      <c r="AU297" s="2163"/>
      <c r="AV297" s="2163"/>
      <c r="AW297" s="2163"/>
      <c r="AX297" s="2163"/>
      <c r="AY297" s="2163"/>
      <c r="AZ297" s="2163"/>
      <c r="BA297" s="2163"/>
      <c r="BB297" s="2163"/>
      <c r="BC297" s="2163"/>
      <c r="BD297" s="2163"/>
      <c r="BE297" s="2163"/>
      <c r="BF297" s="2163"/>
      <c r="BG297" s="2163"/>
      <c r="BH297" s="2163"/>
      <c r="BI297" s="2164"/>
      <c r="BJ297" s="2158"/>
      <c r="BK297" s="2158"/>
      <c r="BL297" s="2163"/>
      <c r="BM297" s="2163"/>
      <c r="BN297" s="2163"/>
      <c r="BO297" s="2163"/>
      <c r="BP297" s="2165"/>
    </row>
    <row r="298" spans="1:68" ht="108.75" customHeight="1" x14ac:dyDescent="0.2">
      <c r="A298" s="4026"/>
      <c r="B298" s="4026"/>
      <c r="C298" s="4026"/>
      <c r="D298" s="4188"/>
      <c r="E298" s="4188"/>
      <c r="F298" s="3999"/>
      <c r="G298" s="1880">
        <v>1906032</v>
      </c>
      <c r="H298" s="1957">
        <v>13.7</v>
      </c>
      <c r="I298" s="1888" t="s">
        <v>2260</v>
      </c>
      <c r="J298" s="1888" t="s">
        <v>2261</v>
      </c>
      <c r="K298" s="2094">
        <v>1500</v>
      </c>
      <c r="L298" s="2095">
        <v>1200</v>
      </c>
      <c r="M298" s="2306" t="s">
        <v>2262</v>
      </c>
      <c r="N298" s="2315" t="s">
        <v>2263</v>
      </c>
      <c r="O298" s="2463" t="s">
        <v>2264</v>
      </c>
      <c r="P298" s="2072">
        <f>SUM(U298)/Q298</f>
        <v>0</v>
      </c>
      <c r="Q298" s="4047">
        <f>SUM(U298:U301)</f>
        <v>21660622878.040001</v>
      </c>
      <c r="R298" s="2463" t="s">
        <v>2265</v>
      </c>
      <c r="S298" s="2308" t="s">
        <v>2266</v>
      </c>
      <c r="T298" s="1908" t="s">
        <v>2267</v>
      </c>
      <c r="U298" s="2166">
        <v>0</v>
      </c>
      <c r="V298" s="2062">
        <v>0</v>
      </c>
      <c r="W298" s="2062">
        <v>0</v>
      </c>
      <c r="X298" s="2116" t="s">
        <v>1944</v>
      </c>
      <c r="Y298" s="2167" t="s">
        <v>7</v>
      </c>
      <c r="Z298" s="2306">
        <v>292684</v>
      </c>
      <c r="AA298" s="2306">
        <f>SUM(Z298*0.92)</f>
        <v>269269.28000000003</v>
      </c>
      <c r="AB298" s="2306">
        <v>282326</v>
      </c>
      <c r="AC298" s="2306">
        <f>SUM(AB298*0.92)</f>
        <v>259739.92</v>
      </c>
      <c r="AD298" s="2306">
        <v>135912</v>
      </c>
      <c r="AE298" s="2306">
        <f>SUM(AD298*0.92)</f>
        <v>125039.04000000001</v>
      </c>
      <c r="AF298" s="2306">
        <v>45122</v>
      </c>
      <c r="AG298" s="2306">
        <f>SUM(AF298*0.92)</f>
        <v>41512.240000000005</v>
      </c>
      <c r="AH298" s="2306">
        <v>365607</v>
      </c>
      <c r="AI298" s="2306">
        <f>SUM(AH298*0.92)</f>
        <v>336358.44</v>
      </c>
      <c r="AJ298" s="2306">
        <v>75612</v>
      </c>
      <c r="AK298" s="2306">
        <f>SUM(AJ298*0.92)</f>
        <v>69563.040000000008</v>
      </c>
      <c r="AL298" s="2306">
        <v>2145</v>
      </c>
      <c r="AM298" s="2306">
        <f>SUM(AL298*0.92)</f>
        <v>1973.4</v>
      </c>
      <c r="AN298" s="2306">
        <v>12718</v>
      </c>
      <c r="AO298" s="2306">
        <f>SUM(AN298*0.92)</f>
        <v>11700.560000000001</v>
      </c>
      <c r="AP298" s="2306">
        <v>26</v>
      </c>
      <c r="AQ298" s="2306">
        <f>SUM(AP298*0.92)</f>
        <v>23.92</v>
      </c>
      <c r="AR298" s="2306">
        <v>37</v>
      </c>
      <c r="AS298" s="2306">
        <f>SUM(AR298*0.92)</f>
        <v>34.04</v>
      </c>
      <c r="AT298" s="2306">
        <v>0</v>
      </c>
      <c r="AU298" s="2306">
        <f>SUM(AT298*0.92)</f>
        <v>0</v>
      </c>
      <c r="AV298" s="2306">
        <v>0</v>
      </c>
      <c r="AW298" s="2306">
        <f>SUM(AV298*0.92)</f>
        <v>0</v>
      </c>
      <c r="AX298" s="2306">
        <v>53164</v>
      </c>
      <c r="AY298" s="2306">
        <f>SUM(AX298*0.92)</f>
        <v>48910.880000000005</v>
      </c>
      <c r="AZ298" s="2306">
        <v>16982</v>
      </c>
      <c r="BA298" s="2306">
        <f>SUM(AZ298*0.92)</f>
        <v>15623.44</v>
      </c>
      <c r="BB298" s="2306">
        <v>60013</v>
      </c>
      <c r="BC298" s="2306">
        <f>SUM(BB298*0.92)</f>
        <v>55211.96</v>
      </c>
      <c r="BD298" s="2306">
        <v>575010</v>
      </c>
      <c r="BE298" s="2306">
        <f>SUM(BD298*0.92)</f>
        <v>529009.20000000007</v>
      </c>
      <c r="BF298" s="2306">
        <v>13</v>
      </c>
      <c r="BG298" s="4039">
        <f>SUM(V298:V301)</f>
        <v>19911514812</v>
      </c>
      <c r="BH298" s="4039">
        <f>SUM(W298:W301)</f>
        <v>9566818409.5</v>
      </c>
      <c r="BI298" s="3031">
        <f>SUM(BG298/Q298)</f>
        <v>0.91924941051379994</v>
      </c>
      <c r="BJ298" s="2422" t="s">
        <v>2268</v>
      </c>
      <c r="BK298" s="2422" t="s">
        <v>1943</v>
      </c>
      <c r="BL298" s="3719">
        <v>43832</v>
      </c>
      <c r="BM298" s="3719">
        <v>43832</v>
      </c>
      <c r="BN298" s="3719">
        <v>44196</v>
      </c>
      <c r="BO298" s="3719">
        <v>44196</v>
      </c>
      <c r="BP298" s="2422" t="s">
        <v>1811</v>
      </c>
    </row>
    <row r="299" spans="1:68" ht="61.5" customHeight="1" x14ac:dyDescent="0.2">
      <c r="A299" s="4026"/>
      <c r="B299" s="4026"/>
      <c r="C299" s="4026"/>
      <c r="D299" s="3785"/>
      <c r="E299" s="3785"/>
      <c r="F299" s="3473"/>
      <c r="G299" s="2314" t="s">
        <v>208</v>
      </c>
      <c r="H299" s="3109">
        <v>13.8</v>
      </c>
      <c r="I299" s="2463" t="s">
        <v>2269</v>
      </c>
      <c r="J299" s="2463" t="s">
        <v>2270</v>
      </c>
      <c r="K299" s="3550">
        <v>19899</v>
      </c>
      <c r="L299" s="2315">
        <v>17952</v>
      </c>
      <c r="M299" s="2307"/>
      <c r="N299" s="2315"/>
      <c r="O299" s="2463"/>
      <c r="P299" s="4189">
        <f>SUM(U299:U301)/Q298</f>
        <v>1</v>
      </c>
      <c r="Q299" s="3383"/>
      <c r="R299" s="2463"/>
      <c r="S299" s="2309"/>
      <c r="T299" s="3061" t="s">
        <v>2271</v>
      </c>
      <c r="U299" s="2089">
        <f>19900314812+1734282386</f>
        <v>21634597198</v>
      </c>
      <c r="V299" s="2062">
        <v>19900314812</v>
      </c>
      <c r="W299" s="2062">
        <v>9555618409.5</v>
      </c>
      <c r="X299" s="2116" t="s">
        <v>2272</v>
      </c>
      <c r="Y299" s="2168" t="s">
        <v>2273</v>
      </c>
      <c r="Z299" s="2307"/>
      <c r="AA299" s="2307"/>
      <c r="AB299" s="2307"/>
      <c r="AC299" s="2307"/>
      <c r="AD299" s="2307"/>
      <c r="AE299" s="2307"/>
      <c r="AF299" s="2307"/>
      <c r="AG299" s="2307"/>
      <c r="AH299" s="2307"/>
      <c r="AI299" s="2307"/>
      <c r="AJ299" s="2307"/>
      <c r="AK299" s="2307"/>
      <c r="AL299" s="2307"/>
      <c r="AM299" s="2307"/>
      <c r="AN299" s="2307"/>
      <c r="AO299" s="2307"/>
      <c r="AP299" s="2307"/>
      <c r="AQ299" s="2307"/>
      <c r="AR299" s="2307"/>
      <c r="AS299" s="2307"/>
      <c r="AT299" s="2307"/>
      <c r="AU299" s="2307"/>
      <c r="AV299" s="2307"/>
      <c r="AW299" s="2307"/>
      <c r="AX299" s="2307"/>
      <c r="AY299" s="2307"/>
      <c r="AZ299" s="2307"/>
      <c r="BA299" s="2307"/>
      <c r="BB299" s="2307"/>
      <c r="BC299" s="2307"/>
      <c r="BD299" s="2307"/>
      <c r="BE299" s="2307"/>
      <c r="BF299" s="2307"/>
      <c r="BG299" s="2567"/>
      <c r="BH299" s="2567"/>
      <c r="BI299" s="3032"/>
      <c r="BJ299" s="2423"/>
      <c r="BK299" s="2423"/>
      <c r="BL299" s="2307"/>
      <c r="BM299" s="2307"/>
      <c r="BN299" s="2307"/>
      <c r="BO299" s="2307"/>
      <c r="BP299" s="2423"/>
    </row>
    <row r="300" spans="1:68" ht="44.25" customHeight="1" x14ac:dyDescent="0.2">
      <c r="A300" s="4026"/>
      <c r="B300" s="4026"/>
      <c r="C300" s="4026"/>
      <c r="D300" s="3785"/>
      <c r="E300" s="3785"/>
      <c r="F300" s="3473"/>
      <c r="G300" s="2314"/>
      <c r="H300" s="3767"/>
      <c r="I300" s="2463"/>
      <c r="J300" s="2463"/>
      <c r="K300" s="3550"/>
      <c r="L300" s="2315"/>
      <c r="M300" s="2307"/>
      <c r="N300" s="2315"/>
      <c r="O300" s="2463"/>
      <c r="P300" s="4189"/>
      <c r="Q300" s="3383"/>
      <c r="R300" s="2463"/>
      <c r="S300" s="2309"/>
      <c r="T300" s="3062"/>
      <c r="U300" s="2169">
        <v>14825680.039999999</v>
      </c>
      <c r="V300" s="2062">
        <v>0</v>
      </c>
      <c r="W300" s="2062">
        <v>0</v>
      </c>
      <c r="X300" s="2116" t="s">
        <v>2274</v>
      </c>
      <c r="Y300" s="2170" t="s">
        <v>2275</v>
      </c>
      <c r="Z300" s="2307"/>
      <c r="AA300" s="2307"/>
      <c r="AB300" s="2307"/>
      <c r="AC300" s="2307"/>
      <c r="AD300" s="2307"/>
      <c r="AE300" s="2307"/>
      <c r="AF300" s="2307"/>
      <c r="AG300" s="2307"/>
      <c r="AH300" s="2307"/>
      <c r="AI300" s="2307"/>
      <c r="AJ300" s="2307"/>
      <c r="AK300" s="2307"/>
      <c r="AL300" s="2307"/>
      <c r="AM300" s="2307"/>
      <c r="AN300" s="2307"/>
      <c r="AO300" s="2307"/>
      <c r="AP300" s="2307"/>
      <c r="AQ300" s="2307"/>
      <c r="AR300" s="2307"/>
      <c r="AS300" s="2307"/>
      <c r="AT300" s="2307"/>
      <c r="AU300" s="2307"/>
      <c r="AV300" s="2307"/>
      <c r="AW300" s="2307"/>
      <c r="AX300" s="2307"/>
      <c r="AY300" s="2307"/>
      <c r="AZ300" s="2307"/>
      <c r="BA300" s="2307"/>
      <c r="BB300" s="2307"/>
      <c r="BC300" s="2307"/>
      <c r="BD300" s="2307"/>
      <c r="BE300" s="2307"/>
      <c r="BF300" s="2307"/>
      <c r="BG300" s="2567"/>
      <c r="BH300" s="2567"/>
      <c r="BI300" s="3032"/>
      <c r="BJ300" s="2423"/>
      <c r="BK300" s="2423"/>
      <c r="BL300" s="2307"/>
      <c r="BM300" s="2307"/>
      <c r="BN300" s="2307"/>
      <c r="BO300" s="2307"/>
      <c r="BP300" s="2423"/>
    </row>
    <row r="301" spans="1:68" ht="108" customHeight="1" x14ac:dyDescent="0.2">
      <c r="A301" s="4026"/>
      <c r="B301" s="4026"/>
      <c r="C301" s="4026"/>
      <c r="D301" s="3785"/>
      <c r="E301" s="3785"/>
      <c r="F301" s="3473"/>
      <c r="G301" s="2314"/>
      <c r="H301" s="3767"/>
      <c r="I301" s="2422"/>
      <c r="J301" s="2422"/>
      <c r="K301" s="3109"/>
      <c r="L301" s="2306"/>
      <c r="M301" s="2307"/>
      <c r="N301" s="2306"/>
      <c r="O301" s="2422"/>
      <c r="P301" s="2885"/>
      <c r="Q301" s="3383"/>
      <c r="R301" s="2463"/>
      <c r="S301" s="3202"/>
      <c r="T301" s="1909" t="s">
        <v>2276</v>
      </c>
      <c r="U301" s="2139">
        <v>11200000</v>
      </c>
      <c r="V301" s="2062">
        <v>11200000</v>
      </c>
      <c r="W301" s="2062">
        <v>11200000</v>
      </c>
      <c r="X301" s="2116" t="s">
        <v>1944</v>
      </c>
      <c r="Y301" s="2170" t="s">
        <v>7</v>
      </c>
      <c r="Z301" s="2467"/>
      <c r="AA301" s="2467"/>
      <c r="AB301" s="2467"/>
      <c r="AC301" s="2467"/>
      <c r="AD301" s="2467"/>
      <c r="AE301" s="2467"/>
      <c r="AF301" s="2467"/>
      <c r="AG301" s="2467"/>
      <c r="AH301" s="2467"/>
      <c r="AI301" s="2467"/>
      <c r="AJ301" s="2467"/>
      <c r="AK301" s="2467"/>
      <c r="AL301" s="2467"/>
      <c r="AM301" s="2467"/>
      <c r="AN301" s="2467"/>
      <c r="AO301" s="2467"/>
      <c r="AP301" s="2467"/>
      <c r="AQ301" s="2467"/>
      <c r="AR301" s="2467"/>
      <c r="AS301" s="2467"/>
      <c r="AT301" s="2467"/>
      <c r="AU301" s="2467"/>
      <c r="AV301" s="2467"/>
      <c r="AW301" s="2467"/>
      <c r="AX301" s="2467"/>
      <c r="AY301" s="2467"/>
      <c r="AZ301" s="2467"/>
      <c r="BA301" s="2467"/>
      <c r="BB301" s="2467"/>
      <c r="BC301" s="2467"/>
      <c r="BD301" s="2467"/>
      <c r="BE301" s="2467"/>
      <c r="BF301" s="2467"/>
      <c r="BG301" s="2969"/>
      <c r="BH301" s="2969"/>
      <c r="BI301" s="3033"/>
      <c r="BJ301" s="2424"/>
      <c r="BK301" s="2424"/>
      <c r="BL301" s="2467"/>
      <c r="BM301" s="2467"/>
      <c r="BN301" s="2467"/>
      <c r="BO301" s="2467"/>
      <c r="BP301" s="2424"/>
    </row>
    <row r="302" spans="1:68" ht="50.25" customHeight="1" x14ac:dyDescent="0.2">
      <c r="A302" s="4026"/>
      <c r="B302" s="4026"/>
      <c r="C302" s="4026"/>
      <c r="D302" s="3785"/>
      <c r="E302" s="3785"/>
      <c r="F302" s="3473"/>
      <c r="G302" s="2447" t="s">
        <v>208</v>
      </c>
      <c r="H302" s="3639">
        <v>13.5</v>
      </c>
      <c r="I302" s="2493" t="s">
        <v>2277</v>
      </c>
      <c r="J302" s="3091" t="s">
        <v>2278</v>
      </c>
      <c r="K302" s="3670">
        <v>60</v>
      </c>
      <c r="L302" s="3670">
        <v>33</v>
      </c>
      <c r="M302" s="3639" t="s">
        <v>2279</v>
      </c>
      <c r="N302" s="3670" t="s">
        <v>2280</v>
      </c>
      <c r="O302" s="3091" t="s">
        <v>2281</v>
      </c>
      <c r="P302" s="2924">
        <f>SUM(U302:U303)/Q302</f>
        <v>0.17500760055202511</v>
      </c>
      <c r="Q302" s="4192">
        <f>SUM(U302:U317)</f>
        <v>7639959611.9399986</v>
      </c>
      <c r="R302" s="3980" t="s">
        <v>2282</v>
      </c>
      <c r="S302" s="4190" t="s">
        <v>2283</v>
      </c>
      <c r="T302" s="3141" t="s">
        <v>2284</v>
      </c>
      <c r="U302" s="2066">
        <f>1530716729-208772729</f>
        <v>1321944000</v>
      </c>
      <c r="V302" s="2062">
        <v>1317894840</v>
      </c>
      <c r="W302" s="2062">
        <v>616456440</v>
      </c>
      <c r="X302" s="2116" t="s">
        <v>2285</v>
      </c>
      <c r="Y302" s="2067" t="s">
        <v>2286</v>
      </c>
      <c r="Z302" s="2495">
        <v>292684</v>
      </c>
      <c r="AA302" s="2495">
        <f>SUM(Z302*0.4)</f>
        <v>117073.60000000001</v>
      </c>
      <c r="AB302" s="2495">
        <v>282326</v>
      </c>
      <c r="AC302" s="2495">
        <f>SUM(AB302*0.4)</f>
        <v>112930.40000000001</v>
      </c>
      <c r="AD302" s="2495">
        <v>135912</v>
      </c>
      <c r="AE302" s="2495">
        <f>SUM(AD302*0.4)</f>
        <v>54364.800000000003</v>
      </c>
      <c r="AF302" s="2495">
        <v>45122</v>
      </c>
      <c r="AG302" s="2495">
        <f>SUM(AF302*0.4)</f>
        <v>18048.8</v>
      </c>
      <c r="AH302" s="2495">
        <v>365607</v>
      </c>
      <c r="AI302" s="2495">
        <f>SUM(AH302*0.4)</f>
        <v>146242.80000000002</v>
      </c>
      <c r="AJ302" s="2495">
        <v>75612</v>
      </c>
      <c r="AK302" s="2495">
        <f>SUM(AJ302*0.4)</f>
        <v>30244.800000000003</v>
      </c>
      <c r="AL302" s="2495">
        <v>2145</v>
      </c>
      <c r="AM302" s="2495">
        <f>SUM(AL302*0.4)</f>
        <v>858</v>
      </c>
      <c r="AN302" s="2495">
        <v>12718</v>
      </c>
      <c r="AO302" s="2495">
        <f>SUM(AN302*0.4)</f>
        <v>5087.2000000000007</v>
      </c>
      <c r="AP302" s="2495">
        <v>26</v>
      </c>
      <c r="AQ302" s="2495">
        <f>SUM(AP302*0.4)</f>
        <v>10.4</v>
      </c>
      <c r="AR302" s="2495">
        <v>37</v>
      </c>
      <c r="AS302" s="2495">
        <f>SUM(AR302*0.4)</f>
        <v>14.8</v>
      </c>
      <c r="AT302" s="2495">
        <v>0</v>
      </c>
      <c r="AU302" s="2495">
        <f>SUM(AT302*0.4)</f>
        <v>0</v>
      </c>
      <c r="AV302" s="2495">
        <v>0</v>
      </c>
      <c r="AW302" s="2495">
        <f>SUM(AV302*0.4)</f>
        <v>0</v>
      </c>
      <c r="AX302" s="2495">
        <v>53164</v>
      </c>
      <c r="AY302" s="2495">
        <f>SUM(AX302*0.4)</f>
        <v>21265.600000000002</v>
      </c>
      <c r="AZ302" s="2495">
        <v>16982</v>
      </c>
      <c r="BA302" s="2495">
        <f>SUM(AZ302*0.4)</f>
        <v>6792.8</v>
      </c>
      <c r="BB302" s="2495">
        <v>60013</v>
      </c>
      <c r="BC302" s="2495">
        <f>SUM(BB302*0.4)</f>
        <v>24005.200000000001</v>
      </c>
      <c r="BD302" s="2495">
        <v>575010</v>
      </c>
      <c r="BE302" s="2495">
        <f>SUM(BD302*0.4)</f>
        <v>230004</v>
      </c>
      <c r="BF302" s="2495">
        <v>8</v>
      </c>
      <c r="BG302" s="4099">
        <f>SUM(V302:V317)</f>
        <v>3092559944</v>
      </c>
      <c r="BH302" s="4099">
        <f>SUM(W302:W317)</f>
        <v>2391121544</v>
      </c>
      <c r="BI302" s="4104">
        <f>SUM(BG302/Q302)</f>
        <v>0.40478747285088235</v>
      </c>
      <c r="BJ302" s="3007" t="s">
        <v>2268</v>
      </c>
      <c r="BK302" s="3007" t="s">
        <v>1943</v>
      </c>
      <c r="BL302" s="3737">
        <v>43832</v>
      </c>
      <c r="BM302" s="3737">
        <v>43832</v>
      </c>
      <c r="BN302" s="3737">
        <v>44196</v>
      </c>
      <c r="BO302" s="3737">
        <v>44196</v>
      </c>
      <c r="BP302" s="3007" t="s">
        <v>1811</v>
      </c>
    </row>
    <row r="303" spans="1:68" ht="66" customHeight="1" x14ac:dyDescent="0.2">
      <c r="A303" s="4026"/>
      <c r="B303" s="4026"/>
      <c r="C303" s="4026"/>
      <c r="D303" s="3785"/>
      <c r="E303" s="3785"/>
      <c r="F303" s="3473"/>
      <c r="G303" s="2448"/>
      <c r="H303" s="3640"/>
      <c r="I303" s="2526"/>
      <c r="J303" s="3091"/>
      <c r="K303" s="3670"/>
      <c r="L303" s="3670"/>
      <c r="M303" s="3640"/>
      <c r="N303" s="3670"/>
      <c r="O303" s="3091"/>
      <c r="P303" s="2994"/>
      <c r="Q303" s="3145"/>
      <c r="R303" s="3980"/>
      <c r="S303" s="3136"/>
      <c r="T303" s="3857"/>
      <c r="U303" s="2066">
        <f>39149969-24042969</f>
        <v>15107000</v>
      </c>
      <c r="V303" s="2062">
        <v>0</v>
      </c>
      <c r="W303" s="2062">
        <v>0</v>
      </c>
      <c r="X303" s="2116" t="s">
        <v>2287</v>
      </c>
      <c r="Y303" s="2067" t="s">
        <v>2288</v>
      </c>
      <c r="Z303" s="2496"/>
      <c r="AA303" s="2496"/>
      <c r="AB303" s="2496"/>
      <c r="AC303" s="2496"/>
      <c r="AD303" s="2496"/>
      <c r="AE303" s="2496"/>
      <c r="AF303" s="2496"/>
      <c r="AG303" s="2496"/>
      <c r="AH303" s="2496"/>
      <c r="AI303" s="2496"/>
      <c r="AJ303" s="2496"/>
      <c r="AK303" s="2496"/>
      <c r="AL303" s="2496"/>
      <c r="AM303" s="2496"/>
      <c r="AN303" s="2496"/>
      <c r="AO303" s="2496"/>
      <c r="AP303" s="2496"/>
      <c r="AQ303" s="2496"/>
      <c r="AR303" s="2496"/>
      <c r="AS303" s="2496"/>
      <c r="AT303" s="2496"/>
      <c r="AU303" s="2496"/>
      <c r="AV303" s="2496"/>
      <c r="AW303" s="2496"/>
      <c r="AX303" s="2496"/>
      <c r="AY303" s="2496"/>
      <c r="AZ303" s="2496"/>
      <c r="BA303" s="2496"/>
      <c r="BB303" s="2496"/>
      <c r="BC303" s="2496"/>
      <c r="BD303" s="2496"/>
      <c r="BE303" s="2496"/>
      <c r="BF303" s="2496"/>
      <c r="BG303" s="2879"/>
      <c r="BH303" s="2879"/>
      <c r="BI303" s="4105"/>
      <c r="BJ303" s="3008"/>
      <c r="BK303" s="3008"/>
      <c r="BL303" s="2496"/>
      <c r="BM303" s="2496"/>
      <c r="BN303" s="2496"/>
      <c r="BO303" s="2496"/>
      <c r="BP303" s="3008"/>
    </row>
    <row r="304" spans="1:68" ht="85.5" customHeight="1" x14ac:dyDescent="0.2">
      <c r="A304" s="4026"/>
      <c r="B304" s="4026"/>
      <c r="C304" s="4026"/>
      <c r="D304" s="3785"/>
      <c r="E304" s="3785"/>
      <c r="F304" s="3473"/>
      <c r="G304" s="2449"/>
      <c r="H304" s="3697"/>
      <c r="I304" s="2492"/>
      <c r="J304" s="1968" t="s">
        <v>2289</v>
      </c>
      <c r="K304" s="1919">
        <v>40</v>
      </c>
      <c r="L304" s="1919"/>
      <c r="M304" s="3697"/>
      <c r="N304" s="3670"/>
      <c r="O304" s="3091"/>
      <c r="P304" s="2923"/>
      <c r="Q304" s="3145"/>
      <c r="R304" s="3980"/>
      <c r="S304" s="3136"/>
      <c r="T304" s="2152"/>
      <c r="U304" s="2066"/>
      <c r="V304" s="2062"/>
      <c r="W304" s="2062"/>
      <c r="X304" s="2116"/>
      <c r="Y304" s="2067"/>
      <c r="Z304" s="2496"/>
      <c r="AA304" s="2496"/>
      <c r="AB304" s="2496"/>
      <c r="AC304" s="2496"/>
      <c r="AD304" s="2496"/>
      <c r="AE304" s="2496"/>
      <c r="AF304" s="2496"/>
      <c r="AG304" s="2496"/>
      <c r="AH304" s="2496"/>
      <c r="AI304" s="2496"/>
      <c r="AJ304" s="2496"/>
      <c r="AK304" s="2496"/>
      <c r="AL304" s="2496"/>
      <c r="AM304" s="2496"/>
      <c r="AN304" s="2496"/>
      <c r="AO304" s="2496"/>
      <c r="AP304" s="2496"/>
      <c r="AQ304" s="2496"/>
      <c r="AR304" s="2496"/>
      <c r="AS304" s="2496"/>
      <c r="AT304" s="2496"/>
      <c r="AU304" s="2496"/>
      <c r="AV304" s="2496"/>
      <c r="AW304" s="2496"/>
      <c r="AX304" s="2496"/>
      <c r="AY304" s="2496"/>
      <c r="AZ304" s="2496"/>
      <c r="BA304" s="2496"/>
      <c r="BB304" s="2496"/>
      <c r="BC304" s="2496"/>
      <c r="BD304" s="2496"/>
      <c r="BE304" s="2496"/>
      <c r="BF304" s="2496"/>
      <c r="BG304" s="2879"/>
      <c r="BH304" s="2879"/>
      <c r="BI304" s="4105"/>
      <c r="BJ304" s="3008"/>
      <c r="BK304" s="3008"/>
      <c r="BL304" s="2496"/>
      <c r="BM304" s="2496"/>
      <c r="BN304" s="2496"/>
      <c r="BO304" s="2496"/>
      <c r="BP304" s="3008"/>
    </row>
    <row r="305" spans="1:68" ht="49.5" customHeight="1" x14ac:dyDescent="0.2">
      <c r="A305" s="4026"/>
      <c r="B305" s="4026"/>
      <c r="C305" s="4026"/>
      <c r="D305" s="3785"/>
      <c r="E305" s="3785"/>
      <c r="F305" s="3473"/>
      <c r="G305" s="2447" t="s">
        <v>208</v>
      </c>
      <c r="H305" s="3639">
        <v>13.9</v>
      </c>
      <c r="I305" s="2493" t="s">
        <v>2290</v>
      </c>
      <c r="J305" s="3141" t="s">
        <v>2291</v>
      </c>
      <c r="K305" s="3639">
        <v>100</v>
      </c>
      <c r="L305" s="3639">
        <v>0</v>
      </c>
      <c r="M305" s="3845" t="s">
        <v>2292</v>
      </c>
      <c r="N305" s="3670"/>
      <c r="O305" s="3091"/>
      <c r="P305" s="2924">
        <f>SUM(U305:U306)/Q298</f>
        <v>6.9081438305129639E-2</v>
      </c>
      <c r="Q305" s="3145"/>
      <c r="R305" s="3980"/>
      <c r="S305" s="3136"/>
      <c r="T305" s="3141" t="s">
        <v>2293</v>
      </c>
      <c r="U305" s="2066">
        <f>1496346983-1496346983</f>
        <v>0</v>
      </c>
      <c r="V305" s="2062"/>
      <c r="W305" s="2062"/>
      <c r="X305" s="2116" t="s">
        <v>2294</v>
      </c>
      <c r="Y305" s="2067" t="s">
        <v>2295</v>
      </c>
      <c r="Z305" s="2496"/>
      <c r="AA305" s="2496"/>
      <c r="AB305" s="2496"/>
      <c r="AC305" s="2496"/>
      <c r="AD305" s="2496"/>
      <c r="AE305" s="2496"/>
      <c r="AF305" s="2496"/>
      <c r="AG305" s="2496"/>
      <c r="AH305" s="2496"/>
      <c r="AI305" s="2496"/>
      <c r="AJ305" s="2496"/>
      <c r="AK305" s="2496"/>
      <c r="AL305" s="2496"/>
      <c r="AM305" s="2496"/>
      <c r="AN305" s="2496"/>
      <c r="AO305" s="2496"/>
      <c r="AP305" s="2496"/>
      <c r="AQ305" s="2496"/>
      <c r="AR305" s="2496"/>
      <c r="AS305" s="2496"/>
      <c r="AT305" s="2496"/>
      <c r="AU305" s="2496"/>
      <c r="AV305" s="2496"/>
      <c r="AW305" s="2496"/>
      <c r="AX305" s="2496"/>
      <c r="AY305" s="2496"/>
      <c r="AZ305" s="2496"/>
      <c r="BA305" s="2496"/>
      <c r="BB305" s="2496"/>
      <c r="BC305" s="2496"/>
      <c r="BD305" s="2496"/>
      <c r="BE305" s="2496"/>
      <c r="BF305" s="2496"/>
      <c r="BG305" s="2879"/>
      <c r="BH305" s="2879"/>
      <c r="BI305" s="4105"/>
      <c r="BJ305" s="3008"/>
      <c r="BK305" s="3008"/>
      <c r="BL305" s="2496"/>
      <c r="BM305" s="2496"/>
      <c r="BN305" s="2496"/>
      <c r="BO305" s="2496"/>
      <c r="BP305" s="3008"/>
    </row>
    <row r="306" spans="1:68" ht="57" customHeight="1" x14ac:dyDescent="0.2">
      <c r="A306" s="4026"/>
      <c r="B306" s="4026"/>
      <c r="C306" s="4026"/>
      <c r="D306" s="3785"/>
      <c r="E306" s="3785"/>
      <c r="F306" s="3473"/>
      <c r="G306" s="2449"/>
      <c r="H306" s="3697"/>
      <c r="I306" s="2492"/>
      <c r="J306" s="3857"/>
      <c r="K306" s="3697"/>
      <c r="L306" s="3697"/>
      <c r="M306" s="3960"/>
      <c r="N306" s="3670"/>
      <c r="O306" s="3091"/>
      <c r="P306" s="2923"/>
      <c r="Q306" s="3145"/>
      <c r="R306" s="3980"/>
      <c r="S306" s="3136"/>
      <c r="T306" s="3857"/>
      <c r="U306" s="2066">
        <f>0+1496346983</f>
        <v>1496346983</v>
      </c>
      <c r="V306" s="2062"/>
      <c r="W306" s="2062"/>
      <c r="X306" s="2116" t="s">
        <v>2296</v>
      </c>
      <c r="Y306" s="2145" t="s">
        <v>2297</v>
      </c>
      <c r="Z306" s="2496"/>
      <c r="AA306" s="2496"/>
      <c r="AB306" s="2496"/>
      <c r="AC306" s="2496"/>
      <c r="AD306" s="2496"/>
      <c r="AE306" s="2496"/>
      <c r="AF306" s="2496"/>
      <c r="AG306" s="2496"/>
      <c r="AH306" s="2496"/>
      <c r="AI306" s="2496"/>
      <c r="AJ306" s="2496"/>
      <c r="AK306" s="2496"/>
      <c r="AL306" s="2496"/>
      <c r="AM306" s="2496"/>
      <c r="AN306" s="2496"/>
      <c r="AO306" s="2496"/>
      <c r="AP306" s="2496"/>
      <c r="AQ306" s="2496"/>
      <c r="AR306" s="2496"/>
      <c r="AS306" s="2496"/>
      <c r="AT306" s="2496"/>
      <c r="AU306" s="2496"/>
      <c r="AV306" s="2496"/>
      <c r="AW306" s="2496"/>
      <c r="AX306" s="2496"/>
      <c r="AY306" s="2496"/>
      <c r="AZ306" s="2496"/>
      <c r="BA306" s="2496"/>
      <c r="BB306" s="2496"/>
      <c r="BC306" s="2496"/>
      <c r="BD306" s="2496"/>
      <c r="BE306" s="2496"/>
      <c r="BF306" s="2496"/>
      <c r="BG306" s="2879"/>
      <c r="BH306" s="2879"/>
      <c r="BI306" s="4105"/>
      <c r="BJ306" s="3008"/>
      <c r="BK306" s="3008"/>
      <c r="BL306" s="2496"/>
      <c r="BM306" s="2496"/>
      <c r="BN306" s="2496"/>
      <c r="BO306" s="2496"/>
      <c r="BP306" s="3008"/>
    </row>
    <row r="307" spans="1:68" ht="40.5" customHeight="1" x14ac:dyDescent="0.2">
      <c r="A307" s="4026"/>
      <c r="B307" s="4026"/>
      <c r="C307" s="4026"/>
      <c r="D307" s="3785"/>
      <c r="E307" s="3785"/>
      <c r="F307" s="3473"/>
      <c r="G307" s="4194" t="s">
        <v>208</v>
      </c>
      <c r="H307" s="4195">
        <v>13.1</v>
      </c>
      <c r="I307" s="2413" t="s">
        <v>2298</v>
      </c>
      <c r="J307" s="3091" t="s">
        <v>2299</v>
      </c>
      <c r="K307" s="3670">
        <v>100</v>
      </c>
      <c r="L307" s="3670">
        <v>37</v>
      </c>
      <c r="M307" s="3960"/>
      <c r="N307" s="3670"/>
      <c r="O307" s="3091"/>
      <c r="P307" s="2854">
        <f>SUM(U307:U317)/Q302</f>
        <v>0.62913442911767969</v>
      </c>
      <c r="Q307" s="3145"/>
      <c r="R307" s="3980"/>
      <c r="S307" s="3136"/>
      <c r="T307" s="3091" t="s">
        <v>2300</v>
      </c>
      <c r="U307" s="2149">
        <v>68256639</v>
      </c>
      <c r="V307" s="2077"/>
      <c r="W307" s="2077"/>
      <c r="X307" s="2135" t="s">
        <v>2157</v>
      </c>
      <c r="Y307" s="2171" t="s">
        <v>2301</v>
      </c>
      <c r="Z307" s="2496"/>
      <c r="AA307" s="2496"/>
      <c r="AB307" s="2496"/>
      <c r="AC307" s="2496"/>
      <c r="AD307" s="2496"/>
      <c r="AE307" s="2496"/>
      <c r="AF307" s="2496"/>
      <c r="AG307" s="2496"/>
      <c r="AH307" s="2496"/>
      <c r="AI307" s="2496"/>
      <c r="AJ307" s="2496"/>
      <c r="AK307" s="2496"/>
      <c r="AL307" s="2496"/>
      <c r="AM307" s="2496"/>
      <c r="AN307" s="2496"/>
      <c r="AO307" s="2496"/>
      <c r="AP307" s="2496"/>
      <c r="AQ307" s="2496"/>
      <c r="AR307" s="2496"/>
      <c r="AS307" s="2496"/>
      <c r="AT307" s="2496"/>
      <c r="AU307" s="2496"/>
      <c r="AV307" s="2496"/>
      <c r="AW307" s="2496"/>
      <c r="AX307" s="2496"/>
      <c r="AY307" s="2496"/>
      <c r="AZ307" s="2496"/>
      <c r="BA307" s="2496"/>
      <c r="BB307" s="2496"/>
      <c r="BC307" s="2496"/>
      <c r="BD307" s="2496"/>
      <c r="BE307" s="2496"/>
      <c r="BF307" s="2496"/>
      <c r="BG307" s="2879"/>
      <c r="BH307" s="2879"/>
      <c r="BI307" s="4105"/>
      <c r="BJ307" s="3008"/>
      <c r="BK307" s="3008"/>
      <c r="BL307" s="2496"/>
      <c r="BM307" s="2496"/>
      <c r="BN307" s="2496"/>
      <c r="BO307" s="2496"/>
      <c r="BP307" s="3008"/>
    </row>
    <row r="308" spans="1:68" ht="40.5" customHeight="1" x14ac:dyDescent="0.2">
      <c r="A308" s="4026"/>
      <c r="B308" s="4026"/>
      <c r="C308" s="4026"/>
      <c r="D308" s="3785"/>
      <c r="E308" s="3785"/>
      <c r="F308" s="3473"/>
      <c r="G308" s="4194"/>
      <c r="H308" s="4195"/>
      <c r="I308" s="2413"/>
      <c r="J308" s="3091"/>
      <c r="K308" s="3670"/>
      <c r="L308" s="3670"/>
      <c r="M308" s="3960"/>
      <c r="N308" s="3670"/>
      <c r="O308" s="3091"/>
      <c r="P308" s="2854"/>
      <c r="Q308" s="3145"/>
      <c r="R308" s="3980"/>
      <c r="S308" s="3136"/>
      <c r="T308" s="3091"/>
      <c r="U308" s="2149">
        <f>1200096.53+51987321.83</f>
        <v>53187418.359999999</v>
      </c>
      <c r="V308" s="2077"/>
      <c r="W308" s="2077"/>
      <c r="X308" s="2135" t="s">
        <v>2302</v>
      </c>
      <c r="Y308" s="2171" t="s">
        <v>2303</v>
      </c>
      <c r="Z308" s="2496"/>
      <c r="AA308" s="2496"/>
      <c r="AB308" s="2496"/>
      <c r="AC308" s="2496"/>
      <c r="AD308" s="2496"/>
      <c r="AE308" s="2496"/>
      <c r="AF308" s="2496"/>
      <c r="AG308" s="2496"/>
      <c r="AH308" s="2496"/>
      <c r="AI308" s="2496"/>
      <c r="AJ308" s="2496"/>
      <c r="AK308" s="2496"/>
      <c r="AL308" s="2496"/>
      <c r="AM308" s="2496"/>
      <c r="AN308" s="2496"/>
      <c r="AO308" s="2496"/>
      <c r="AP308" s="2496"/>
      <c r="AQ308" s="2496"/>
      <c r="AR308" s="2496"/>
      <c r="AS308" s="2496"/>
      <c r="AT308" s="2496"/>
      <c r="AU308" s="2496"/>
      <c r="AV308" s="2496"/>
      <c r="AW308" s="2496"/>
      <c r="AX308" s="2496"/>
      <c r="AY308" s="2496"/>
      <c r="AZ308" s="2496"/>
      <c r="BA308" s="2496"/>
      <c r="BB308" s="2496"/>
      <c r="BC308" s="2496"/>
      <c r="BD308" s="2496"/>
      <c r="BE308" s="2496"/>
      <c r="BF308" s="2496"/>
      <c r="BG308" s="2879"/>
      <c r="BH308" s="2879"/>
      <c r="BI308" s="4105"/>
      <c r="BJ308" s="3008"/>
      <c r="BK308" s="3008"/>
      <c r="BL308" s="2496"/>
      <c r="BM308" s="2496"/>
      <c r="BN308" s="2496"/>
      <c r="BO308" s="2496"/>
      <c r="BP308" s="3008"/>
    </row>
    <row r="309" spans="1:68" ht="40.5" customHeight="1" x14ac:dyDescent="0.2">
      <c r="A309" s="4026"/>
      <c r="B309" s="4026"/>
      <c r="C309" s="4026"/>
      <c r="D309" s="3785"/>
      <c r="E309" s="3785"/>
      <c r="F309" s="3473"/>
      <c r="G309" s="4194"/>
      <c r="H309" s="4195"/>
      <c r="I309" s="2413"/>
      <c r="J309" s="3091"/>
      <c r="K309" s="3670"/>
      <c r="L309" s="3670"/>
      <c r="M309" s="3960"/>
      <c r="N309" s="3670"/>
      <c r="O309" s="3091"/>
      <c r="P309" s="2854"/>
      <c r="Q309" s="3145"/>
      <c r="R309" s="3980"/>
      <c r="S309" s="3136"/>
      <c r="T309" s="3091"/>
      <c r="U309" s="2149">
        <v>4427083.08</v>
      </c>
      <c r="V309" s="2077"/>
      <c r="W309" s="2077"/>
      <c r="X309" s="2135" t="s">
        <v>2304</v>
      </c>
      <c r="Y309" s="2171" t="s">
        <v>2305</v>
      </c>
      <c r="Z309" s="2496"/>
      <c r="AA309" s="2496"/>
      <c r="AB309" s="2496"/>
      <c r="AC309" s="2496"/>
      <c r="AD309" s="2496"/>
      <c r="AE309" s="2496"/>
      <c r="AF309" s="2496"/>
      <c r="AG309" s="2496"/>
      <c r="AH309" s="2496"/>
      <c r="AI309" s="2496"/>
      <c r="AJ309" s="2496"/>
      <c r="AK309" s="2496"/>
      <c r="AL309" s="2496"/>
      <c r="AM309" s="2496"/>
      <c r="AN309" s="2496"/>
      <c r="AO309" s="2496"/>
      <c r="AP309" s="2496"/>
      <c r="AQ309" s="2496"/>
      <c r="AR309" s="2496"/>
      <c r="AS309" s="2496"/>
      <c r="AT309" s="2496"/>
      <c r="AU309" s="2496"/>
      <c r="AV309" s="2496"/>
      <c r="AW309" s="2496"/>
      <c r="AX309" s="2496"/>
      <c r="AY309" s="2496"/>
      <c r="AZ309" s="2496"/>
      <c r="BA309" s="2496"/>
      <c r="BB309" s="2496"/>
      <c r="BC309" s="2496"/>
      <c r="BD309" s="2496"/>
      <c r="BE309" s="2496"/>
      <c r="BF309" s="2496"/>
      <c r="BG309" s="2879"/>
      <c r="BH309" s="2879"/>
      <c r="BI309" s="4105"/>
      <c r="BJ309" s="3008"/>
      <c r="BK309" s="3008"/>
      <c r="BL309" s="2496"/>
      <c r="BM309" s="2496"/>
      <c r="BN309" s="2496"/>
      <c r="BO309" s="2496"/>
      <c r="BP309" s="3008"/>
    </row>
    <row r="310" spans="1:68" ht="40.5" customHeight="1" x14ac:dyDescent="0.2">
      <c r="A310" s="4026"/>
      <c r="B310" s="4026"/>
      <c r="C310" s="4026"/>
      <c r="D310" s="3785"/>
      <c r="E310" s="3785"/>
      <c r="F310" s="3473"/>
      <c r="G310" s="4194"/>
      <c r="H310" s="4195"/>
      <c r="I310" s="2413"/>
      <c r="J310" s="3091"/>
      <c r="K310" s="3670"/>
      <c r="L310" s="3670"/>
      <c r="M310" s="3960"/>
      <c r="N310" s="3670"/>
      <c r="O310" s="3091"/>
      <c r="P310" s="2854"/>
      <c r="Q310" s="3145"/>
      <c r="R310" s="3980"/>
      <c r="S310" s="3136"/>
      <c r="T310" s="3091"/>
      <c r="U310" s="2149">
        <v>6409080.2000000002</v>
      </c>
      <c r="V310" s="2077"/>
      <c r="W310" s="2077"/>
      <c r="X310" s="2135" t="s">
        <v>2306</v>
      </c>
      <c r="Y310" s="2171" t="s">
        <v>2307</v>
      </c>
      <c r="Z310" s="2496"/>
      <c r="AA310" s="2496"/>
      <c r="AB310" s="2496"/>
      <c r="AC310" s="2496"/>
      <c r="AD310" s="2496"/>
      <c r="AE310" s="2496"/>
      <c r="AF310" s="2496"/>
      <c r="AG310" s="2496"/>
      <c r="AH310" s="2496"/>
      <c r="AI310" s="2496"/>
      <c r="AJ310" s="2496"/>
      <c r="AK310" s="2496"/>
      <c r="AL310" s="2496"/>
      <c r="AM310" s="2496"/>
      <c r="AN310" s="2496"/>
      <c r="AO310" s="2496"/>
      <c r="AP310" s="2496"/>
      <c r="AQ310" s="2496"/>
      <c r="AR310" s="2496"/>
      <c r="AS310" s="2496"/>
      <c r="AT310" s="2496"/>
      <c r="AU310" s="2496"/>
      <c r="AV310" s="2496"/>
      <c r="AW310" s="2496"/>
      <c r="AX310" s="2496"/>
      <c r="AY310" s="2496"/>
      <c r="AZ310" s="2496"/>
      <c r="BA310" s="2496"/>
      <c r="BB310" s="2496"/>
      <c r="BC310" s="2496"/>
      <c r="BD310" s="2496"/>
      <c r="BE310" s="2496"/>
      <c r="BF310" s="2496"/>
      <c r="BG310" s="2879"/>
      <c r="BH310" s="2879"/>
      <c r="BI310" s="4105"/>
      <c r="BJ310" s="3008"/>
      <c r="BK310" s="3008"/>
      <c r="BL310" s="2496"/>
      <c r="BM310" s="2496"/>
      <c r="BN310" s="2496"/>
      <c r="BO310" s="2496"/>
      <c r="BP310" s="3008"/>
    </row>
    <row r="311" spans="1:68" ht="40.5" customHeight="1" x14ac:dyDescent="0.2">
      <c r="A311" s="4026"/>
      <c r="B311" s="4026"/>
      <c r="C311" s="4026"/>
      <c r="D311" s="3785"/>
      <c r="E311" s="3785"/>
      <c r="F311" s="3473"/>
      <c r="G311" s="4194"/>
      <c r="H311" s="4195"/>
      <c r="I311" s="2413"/>
      <c r="J311" s="3091"/>
      <c r="K311" s="3670"/>
      <c r="L311" s="3670"/>
      <c r="M311" s="3960"/>
      <c r="N311" s="3670"/>
      <c r="O311" s="3091"/>
      <c r="P311" s="2854"/>
      <c r="Q311" s="3145"/>
      <c r="R311" s="3980"/>
      <c r="S311" s="3136"/>
      <c r="T311" s="3091"/>
      <c r="U311" s="2149">
        <v>3298588097</v>
      </c>
      <c r="V311" s="2077">
        <v>862024013</v>
      </c>
      <c r="W311" s="2077">
        <v>862024013</v>
      </c>
      <c r="X311" s="2135" t="s">
        <v>2308</v>
      </c>
      <c r="Y311" s="2171" t="s">
        <v>2309</v>
      </c>
      <c r="Z311" s="2496"/>
      <c r="AA311" s="2496"/>
      <c r="AB311" s="2496"/>
      <c r="AC311" s="2496"/>
      <c r="AD311" s="2496"/>
      <c r="AE311" s="2496"/>
      <c r="AF311" s="2496"/>
      <c r="AG311" s="2496"/>
      <c r="AH311" s="2496"/>
      <c r="AI311" s="2496"/>
      <c r="AJ311" s="2496"/>
      <c r="AK311" s="2496"/>
      <c r="AL311" s="2496"/>
      <c r="AM311" s="2496"/>
      <c r="AN311" s="2496"/>
      <c r="AO311" s="2496"/>
      <c r="AP311" s="2496"/>
      <c r="AQ311" s="2496"/>
      <c r="AR311" s="2496"/>
      <c r="AS311" s="2496"/>
      <c r="AT311" s="2496"/>
      <c r="AU311" s="2496"/>
      <c r="AV311" s="2496"/>
      <c r="AW311" s="2496"/>
      <c r="AX311" s="2496"/>
      <c r="AY311" s="2496"/>
      <c r="AZ311" s="2496"/>
      <c r="BA311" s="2496"/>
      <c r="BB311" s="2496"/>
      <c r="BC311" s="2496"/>
      <c r="BD311" s="2496"/>
      <c r="BE311" s="2496"/>
      <c r="BF311" s="2496"/>
      <c r="BG311" s="2879"/>
      <c r="BH311" s="2879"/>
      <c r="BI311" s="4105"/>
      <c r="BJ311" s="3008"/>
      <c r="BK311" s="3008"/>
      <c r="BL311" s="2496"/>
      <c r="BM311" s="2496"/>
      <c r="BN311" s="2496"/>
      <c r="BO311" s="2496"/>
      <c r="BP311" s="3008"/>
    </row>
    <row r="312" spans="1:68" ht="40.5" customHeight="1" x14ac:dyDescent="0.2">
      <c r="A312" s="4026"/>
      <c r="B312" s="4026"/>
      <c r="C312" s="4026"/>
      <c r="D312" s="3785"/>
      <c r="E312" s="3785"/>
      <c r="F312" s="3473"/>
      <c r="G312" s="4194"/>
      <c r="H312" s="4195"/>
      <c r="I312" s="2413"/>
      <c r="J312" s="3091"/>
      <c r="K312" s="3670"/>
      <c r="L312" s="3670"/>
      <c r="M312" s="3960"/>
      <c r="N312" s="3670"/>
      <c r="O312" s="3091"/>
      <c r="P312" s="2854"/>
      <c r="Q312" s="3145"/>
      <c r="R312" s="3980"/>
      <c r="S312" s="3136"/>
      <c r="T312" s="3091"/>
      <c r="U312" s="2149">
        <v>680251497</v>
      </c>
      <c r="V312" s="2077">
        <v>653194793</v>
      </c>
      <c r="W312" s="2077">
        <v>653194793</v>
      </c>
      <c r="X312" s="2135" t="s">
        <v>2310</v>
      </c>
      <c r="Y312" s="2171" t="s">
        <v>2311</v>
      </c>
      <c r="Z312" s="2496"/>
      <c r="AA312" s="2496"/>
      <c r="AB312" s="2496"/>
      <c r="AC312" s="2496"/>
      <c r="AD312" s="2496"/>
      <c r="AE312" s="2496"/>
      <c r="AF312" s="2496"/>
      <c r="AG312" s="2496"/>
      <c r="AH312" s="2496"/>
      <c r="AI312" s="2496"/>
      <c r="AJ312" s="2496"/>
      <c r="AK312" s="2496"/>
      <c r="AL312" s="2496"/>
      <c r="AM312" s="2496"/>
      <c r="AN312" s="2496"/>
      <c r="AO312" s="2496"/>
      <c r="AP312" s="2496"/>
      <c r="AQ312" s="2496"/>
      <c r="AR312" s="2496"/>
      <c r="AS312" s="2496"/>
      <c r="AT312" s="2496"/>
      <c r="AU312" s="2496"/>
      <c r="AV312" s="2496"/>
      <c r="AW312" s="2496"/>
      <c r="AX312" s="2496"/>
      <c r="AY312" s="2496"/>
      <c r="AZ312" s="2496"/>
      <c r="BA312" s="2496"/>
      <c r="BB312" s="2496"/>
      <c r="BC312" s="2496"/>
      <c r="BD312" s="2496"/>
      <c r="BE312" s="2496"/>
      <c r="BF312" s="2496"/>
      <c r="BG312" s="2879"/>
      <c r="BH312" s="2879"/>
      <c r="BI312" s="4105"/>
      <c r="BJ312" s="3008"/>
      <c r="BK312" s="3008"/>
      <c r="BL312" s="2496"/>
      <c r="BM312" s="2496"/>
      <c r="BN312" s="2496"/>
      <c r="BO312" s="2496"/>
      <c r="BP312" s="3008"/>
    </row>
    <row r="313" spans="1:68" ht="40.5" customHeight="1" x14ac:dyDescent="0.2">
      <c r="A313" s="4026"/>
      <c r="B313" s="4026"/>
      <c r="C313" s="4026"/>
      <c r="D313" s="3785"/>
      <c r="E313" s="3785"/>
      <c r="F313" s="3473"/>
      <c r="G313" s="4194"/>
      <c r="H313" s="4195"/>
      <c r="I313" s="2413"/>
      <c r="J313" s="3091"/>
      <c r="K313" s="3670"/>
      <c r="L313" s="3670"/>
      <c r="M313" s="3960"/>
      <c r="N313" s="3670"/>
      <c r="O313" s="3091"/>
      <c r="P313" s="2854"/>
      <c r="Q313" s="3145"/>
      <c r="R313" s="3980"/>
      <c r="S313" s="3136"/>
      <c r="T313" s="3091"/>
      <c r="U313" s="2149">
        <v>7852620.4400000004</v>
      </c>
      <c r="V313" s="2077"/>
      <c r="W313" s="2077"/>
      <c r="X313" s="2135" t="s">
        <v>2312</v>
      </c>
      <c r="Y313" s="2171" t="s">
        <v>2313</v>
      </c>
      <c r="Z313" s="2496"/>
      <c r="AA313" s="2496"/>
      <c r="AB313" s="2496"/>
      <c r="AC313" s="2496"/>
      <c r="AD313" s="2496"/>
      <c r="AE313" s="2496"/>
      <c r="AF313" s="2496"/>
      <c r="AG313" s="2496"/>
      <c r="AH313" s="2496"/>
      <c r="AI313" s="2496"/>
      <c r="AJ313" s="2496"/>
      <c r="AK313" s="2496"/>
      <c r="AL313" s="2496"/>
      <c r="AM313" s="2496"/>
      <c r="AN313" s="2496"/>
      <c r="AO313" s="2496"/>
      <c r="AP313" s="2496"/>
      <c r="AQ313" s="2496"/>
      <c r="AR313" s="2496"/>
      <c r="AS313" s="2496"/>
      <c r="AT313" s="2496"/>
      <c r="AU313" s="2496"/>
      <c r="AV313" s="2496"/>
      <c r="AW313" s="2496"/>
      <c r="AX313" s="2496"/>
      <c r="AY313" s="2496"/>
      <c r="AZ313" s="2496"/>
      <c r="BA313" s="2496"/>
      <c r="BB313" s="2496"/>
      <c r="BC313" s="2496"/>
      <c r="BD313" s="2496"/>
      <c r="BE313" s="2496"/>
      <c r="BF313" s="2496"/>
      <c r="BG313" s="2879"/>
      <c r="BH313" s="2879"/>
      <c r="BI313" s="4105"/>
      <c r="BJ313" s="3008"/>
      <c r="BK313" s="3008"/>
      <c r="BL313" s="2496"/>
      <c r="BM313" s="2496"/>
      <c r="BN313" s="2496"/>
      <c r="BO313" s="2496"/>
      <c r="BP313" s="3008"/>
    </row>
    <row r="314" spans="1:68" ht="40.5" customHeight="1" x14ac:dyDescent="0.2">
      <c r="A314" s="4026"/>
      <c r="B314" s="4026"/>
      <c r="C314" s="4026"/>
      <c r="D314" s="3785"/>
      <c r="E314" s="3785"/>
      <c r="F314" s="3473"/>
      <c r="G314" s="4194"/>
      <c r="H314" s="4195"/>
      <c r="I314" s="2413"/>
      <c r="J314" s="3091"/>
      <c r="K314" s="3670"/>
      <c r="L314" s="3670"/>
      <c r="M314" s="3960"/>
      <c r="N314" s="3670"/>
      <c r="O314" s="3091"/>
      <c r="P314" s="2854"/>
      <c r="Q314" s="3145"/>
      <c r="R314" s="3980"/>
      <c r="S314" s="3136"/>
      <c r="T314" s="3091"/>
      <c r="U314" s="2149">
        <v>241539752.22</v>
      </c>
      <c r="V314" s="2077">
        <v>241532702</v>
      </c>
      <c r="W314" s="2077">
        <v>241532702</v>
      </c>
      <c r="X314" s="2135" t="s">
        <v>2274</v>
      </c>
      <c r="Y314" s="2171" t="s">
        <v>2314</v>
      </c>
      <c r="Z314" s="2496"/>
      <c r="AA314" s="2496"/>
      <c r="AB314" s="2496"/>
      <c r="AC314" s="2496"/>
      <c r="AD314" s="2496"/>
      <c r="AE314" s="2496"/>
      <c r="AF314" s="2496"/>
      <c r="AG314" s="2496"/>
      <c r="AH314" s="2496"/>
      <c r="AI314" s="2496"/>
      <c r="AJ314" s="2496"/>
      <c r="AK314" s="2496"/>
      <c r="AL314" s="2496"/>
      <c r="AM314" s="2496"/>
      <c r="AN314" s="2496"/>
      <c r="AO314" s="2496"/>
      <c r="AP314" s="2496"/>
      <c r="AQ314" s="2496"/>
      <c r="AR314" s="2496"/>
      <c r="AS314" s="2496"/>
      <c r="AT314" s="2496"/>
      <c r="AU314" s="2496"/>
      <c r="AV314" s="2496"/>
      <c r="AW314" s="2496"/>
      <c r="AX314" s="2496"/>
      <c r="AY314" s="2496"/>
      <c r="AZ314" s="2496"/>
      <c r="BA314" s="2496"/>
      <c r="BB314" s="2496"/>
      <c r="BC314" s="2496"/>
      <c r="BD314" s="2496"/>
      <c r="BE314" s="2496"/>
      <c r="BF314" s="2496"/>
      <c r="BG314" s="2879"/>
      <c r="BH314" s="2879"/>
      <c r="BI314" s="4105"/>
      <c r="BJ314" s="3008"/>
      <c r="BK314" s="3008"/>
      <c r="BL314" s="2496"/>
      <c r="BM314" s="2496"/>
      <c r="BN314" s="2496"/>
      <c r="BO314" s="2496"/>
      <c r="BP314" s="3008"/>
    </row>
    <row r="315" spans="1:68" ht="40.5" customHeight="1" x14ac:dyDescent="0.2">
      <c r="A315" s="4026"/>
      <c r="B315" s="4026"/>
      <c r="C315" s="4026"/>
      <c r="D315" s="3785"/>
      <c r="E315" s="3785"/>
      <c r="F315" s="3473"/>
      <c r="G315" s="4194"/>
      <c r="H315" s="4195"/>
      <c r="I315" s="2413"/>
      <c r="J315" s="3091"/>
      <c r="K315" s="3670"/>
      <c r="L315" s="3670"/>
      <c r="M315" s="3960"/>
      <c r="N315" s="3670"/>
      <c r="O315" s="3091"/>
      <c r="P315" s="2854"/>
      <c r="Q315" s="3145"/>
      <c r="R315" s="3980"/>
      <c r="S315" s="3136"/>
      <c r="T315" s="3091"/>
      <c r="U315" s="2172">
        <f>17913596.87</f>
        <v>17913596.870000001</v>
      </c>
      <c r="V315" s="2077">
        <v>17913596</v>
      </c>
      <c r="W315" s="2077">
        <v>17913596</v>
      </c>
      <c r="X315" s="1905">
        <v>97</v>
      </c>
      <c r="Y315" s="2171" t="s">
        <v>2315</v>
      </c>
      <c r="Z315" s="2496"/>
      <c r="AA315" s="2496"/>
      <c r="AB315" s="2496"/>
      <c r="AC315" s="2496"/>
      <c r="AD315" s="2496"/>
      <c r="AE315" s="2496"/>
      <c r="AF315" s="2496"/>
      <c r="AG315" s="2496"/>
      <c r="AH315" s="2496"/>
      <c r="AI315" s="2496"/>
      <c r="AJ315" s="2496"/>
      <c r="AK315" s="2496"/>
      <c r="AL315" s="2496"/>
      <c r="AM315" s="2496"/>
      <c r="AN315" s="2496"/>
      <c r="AO315" s="2496"/>
      <c r="AP315" s="2496"/>
      <c r="AQ315" s="2496"/>
      <c r="AR315" s="2496"/>
      <c r="AS315" s="2496"/>
      <c r="AT315" s="2496"/>
      <c r="AU315" s="2496"/>
      <c r="AV315" s="2496"/>
      <c r="AW315" s="2496"/>
      <c r="AX315" s="2496"/>
      <c r="AY315" s="2496"/>
      <c r="AZ315" s="2496"/>
      <c r="BA315" s="2496"/>
      <c r="BB315" s="2496"/>
      <c r="BC315" s="2496"/>
      <c r="BD315" s="2496"/>
      <c r="BE315" s="2496"/>
      <c r="BF315" s="2496"/>
      <c r="BG315" s="2879"/>
      <c r="BH315" s="2879"/>
      <c r="BI315" s="4105"/>
      <c r="BJ315" s="3008"/>
      <c r="BK315" s="3008"/>
      <c r="BL315" s="2496"/>
      <c r="BM315" s="2496"/>
      <c r="BN315" s="2496"/>
      <c r="BO315" s="2496"/>
      <c r="BP315" s="3008"/>
    </row>
    <row r="316" spans="1:68" ht="40.5" customHeight="1" x14ac:dyDescent="0.2">
      <c r="A316" s="4026"/>
      <c r="B316" s="4026"/>
      <c r="C316" s="4026"/>
      <c r="D316" s="3785"/>
      <c r="E316" s="3785"/>
      <c r="F316" s="3473"/>
      <c r="G316" s="4194"/>
      <c r="H316" s="4195"/>
      <c r="I316" s="2413"/>
      <c r="J316" s="3091"/>
      <c r="K316" s="3670"/>
      <c r="L316" s="3670"/>
      <c r="M316" s="3960"/>
      <c r="N316" s="3670"/>
      <c r="O316" s="3091"/>
      <c r="P316" s="2854"/>
      <c r="Q316" s="4193"/>
      <c r="R316" s="3061"/>
      <c r="S316" s="3136"/>
      <c r="T316" s="3091"/>
      <c r="U316" s="2172">
        <v>815624.25</v>
      </c>
      <c r="V316" s="2077"/>
      <c r="W316" s="2077"/>
      <c r="X316" s="1905">
        <v>102</v>
      </c>
      <c r="Y316" s="2171" t="s">
        <v>2316</v>
      </c>
      <c r="Z316" s="2496"/>
      <c r="AA316" s="2496"/>
      <c r="AB316" s="2496"/>
      <c r="AC316" s="2496"/>
      <c r="AD316" s="2496"/>
      <c r="AE316" s="2496"/>
      <c r="AF316" s="2496"/>
      <c r="AG316" s="2496"/>
      <c r="AH316" s="2496"/>
      <c r="AI316" s="2496"/>
      <c r="AJ316" s="2496"/>
      <c r="AK316" s="2496"/>
      <c r="AL316" s="2496"/>
      <c r="AM316" s="2496"/>
      <c r="AN316" s="2496"/>
      <c r="AO316" s="2496"/>
      <c r="AP316" s="2496"/>
      <c r="AQ316" s="2496"/>
      <c r="AR316" s="2496"/>
      <c r="AS316" s="2496"/>
      <c r="AT316" s="2496"/>
      <c r="AU316" s="2496"/>
      <c r="AV316" s="2496"/>
      <c r="AW316" s="2496"/>
      <c r="AX316" s="2496"/>
      <c r="AY316" s="2496"/>
      <c r="AZ316" s="2496"/>
      <c r="BA316" s="2496"/>
      <c r="BB316" s="2496"/>
      <c r="BC316" s="2496"/>
      <c r="BD316" s="2496"/>
      <c r="BE316" s="2496"/>
      <c r="BF316" s="2496"/>
      <c r="BG316" s="2879"/>
      <c r="BH316" s="2879"/>
      <c r="BI316" s="4105"/>
      <c r="BJ316" s="3008"/>
      <c r="BK316" s="3008"/>
      <c r="BL316" s="2496"/>
      <c r="BM316" s="2496"/>
      <c r="BN316" s="2496"/>
      <c r="BO316" s="2496"/>
      <c r="BP316" s="3008"/>
    </row>
    <row r="317" spans="1:68" ht="40.5" customHeight="1" x14ac:dyDescent="0.2">
      <c r="A317" s="4026"/>
      <c r="B317" s="4026"/>
      <c r="C317" s="4026"/>
      <c r="D317" s="3785"/>
      <c r="E317" s="3785"/>
      <c r="F317" s="3473"/>
      <c r="G317" s="4194"/>
      <c r="H317" s="4195"/>
      <c r="I317" s="2413"/>
      <c r="J317" s="3091"/>
      <c r="K317" s="3670"/>
      <c r="L317" s="3670"/>
      <c r="M317" s="3961"/>
      <c r="N317" s="3670"/>
      <c r="O317" s="3091"/>
      <c r="P317" s="2854"/>
      <c r="Q317" s="4193"/>
      <c r="R317" s="3061"/>
      <c r="S317" s="4191"/>
      <c r="T317" s="3091"/>
      <c r="U317" s="2149">
        <f>428092534.45-772313.93</f>
        <v>427320220.51999998</v>
      </c>
      <c r="V317" s="2077"/>
      <c r="W317" s="2077"/>
      <c r="X317" s="1905">
        <v>96</v>
      </c>
      <c r="Y317" s="2067" t="s">
        <v>2317</v>
      </c>
      <c r="Z317" s="2497"/>
      <c r="AA317" s="2497"/>
      <c r="AB317" s="2497"/>
      <c r="AC317" s="2497"/>
      <c r="AD317" s="2497"/>
      <c r="AE317" s="2497"/>
      <c r="AF317" s="2497"/>
      <c r="AG317" s="2497"/>
      <c r="AH317" s="2497"/>
      <c r="AI317" s="2497"/>
      <c r="AJ317" s="2497"/>
      <c r="AK317" s="2497"/>
      <c r="AL317" s="2497"/>
      <c r="AM317" s="2497"/>
      <c r="AN317" s="2497"/>
      <c r="AO317" s="2497"/>
      <c r="AP317" s="2497"/>
      <c r="AQ317" s="2497"/>
      <c r="AR317" s="2497"/>
      <c r="AS317" s="2497"/>
      <c r="AT317" s="2497"/>
      <c r="AU317" s="2497"/>
      <c r="AV317" s="2497"/>
      <c r="AW317" s="2497"/>
      <c r="AX317" s="2497"/>
      <c r="AY317" s="2497"/>
      <c r="AZ317" s="2497"/>
      <c r="BA317" s="2497"/>
      <c r="BB317" s="2497"/>
      <c r="BC317" s="2497"/>
      <c r="BD317" s="2497"/>
      <c r="BE317" s="2497"/>
      <c r="BF317" s="2497"/>
      <c r="BG317" s="2880"/>
      <c r="BH317" s="2880"/>
      <c r="BI317" s="4106"/>
      <c r="BJ317" s="3009"/>
      <c r="BK317" s="3009"/>
      <c r="BL317" s="2497"/>
      <c r="BM317" s="2497"/>
      <c r="BN317" s="2497"/>
      <c r="BO317" s="2497"/>
      <c r="BP317" s="3009"/>
    </row>
    <row r="318" spans="1:68" ht="49.5" customHeight="1" x14ac:dyDescent="0.2">
      <c r="A318" s="4026"/>
      <c r="B318" s="4026"/>
      <c r="C318" s="4026"/>
      <c r="D318" s="3785"/>
      <c r="E318" s="3785"/>
      <c r="F318" s="3473"/>
      <c r="G318" s="4194">
        <v>1906029</v>
      </c>
      <c r="H318" s="3670">
        <v>13.6</v>
      </c>
      <c r="I318" s="2413" t="s">
        <v>2318</v>
      </c>
      <c r="J318" s="2413" t="s">
        <v>2319</v>
      </c>
      <c r="K318" s="3670">
        <v>40</v>
      </c>
      <c r="L318" s="2343">
        <v>20</v>
      </c>
      <c r="M318" s="2343" t="s">
        <v>2320</v>
      </c>
      <c r="N318" s="2343" t="s">
        <v>2321</v>
      </c>
      <c r="O318" s="2413" t="s">
        <v>2322</v>
      </c>
      <c r="P318" s="2854">
        <v>1</v>
      </c>
      <c r="Q318" s="4143">
        <f>SUM(U318:U324)</f>
        <v>1397936000</v>
      </c>
      <c r="R318" s="2463" t="s">
        <v>2323</v>
      </c>
      <c r="S318" s="2513" t="s">
        <v>2324</v>
      </c>
      <c r="T318" s="3091" t="s">
        <v>2325</v>
      </c>
      <c r="U318" s="2173">
        <v>54790000</v>
      </c>
      <c r="V318" s="2062">
        <v>11200000</v>
      </c>
      <c r="W318" s="2062">
        <v>0</v>
      </c>
      <c r="X318" s="1912">
        <v>88</v>
      </c>
      <c r="Y318" s="2174" t="s">
        <v>4</v>
      </c>
      <c r="Z318" s="2306">
        <v>292684</v>
      </c>
      <c r="AA318" s="2306">
        <f>SUM(Z318*0.6)</f>
        <v>175610.4</v>
      </c>
      <c r="AB318" s="2306">
        <v>282326</v>
      </c>
      <c r="AC318" s="2306">
        <f>SUM(AB318*0.6)</f>
        <v>169395.6</v>
      </c>
      <c r="AD318" s="2306">
        <v>135912</v>
      </c>
      <c r="AE318" s="2306">
        <f>SUM(AD318*0.6)</f>
        <v>81547.199999999997</v>
      </c>
      <c r="AF318" s="2306">
        <v>45122</v>
      </c>
      <c r="AG318" s="2306">
        <f>SUM(AF318*0.6)</f>
        <v>27073.200000000001</v>
      </c>
      <c r="AH318" s="2306">
        <v>365607</v>
      </c>
      <c r="AI318" s="2306">
        <f>SUM(AH318*0.6)</f>
        <v>219364.19999999998</v>
      </c>
      <c r="AJ318" s="2306">
        <v>86875</v>
      </c>
      <c r="AK318" s="2306">
        <f>SUM(AJ318*0.6)</f>
        <v>52125</v>
      </c>
      <c r="AL318" s="2306">
        <v>2145</v>
      </c>
      <c r="AM318" s="2306">
        <f>SUM(AL318*0.6)</f>
        <v>1287</v>
      </c>
      <c r="AN318" s="2306">
        <v>12718</v>
      </c>
      <c r="AO318" s="2306">
        <f>SUM(AN318*0.6)</f>
        <v>7630.7999999999993</v>
      </c>
      <c r="AP318" s="2306">
        <v>26</v>
      </c>
      <c r="AQ318" s="2306">
        <f>SUM(AP318*0.6)</f>
        <v>15.6</v>
      </c>
      <c r="AR318" s="2306">
        <v>37</v>
      </c>
      <c r="AS318" s="2306">
        <f>SUM(AR318*0.6)</f>
        <v>22.2</v>
      </c>
      <c r="AT318" s="2306">
        <v>0</v>
      </c>
      <c r="AU318" s="2306">
        <f>SUM(AT318*0.6)</f>
        <v>0</v>
      </c>
      <c r="AV318" s="2306">
        <v>0</v>
      </c>
      <c r="AW318" s="2306">
        <f>SUM(AV318*0.6)</f>
        <v>0</v>
      </c>
      <c r="AX318" s="2306">
        <v>53164</v>
      </c>
      <c r="AY318" s="2306">
        <f>SUM(AX318*0.6)</f>
        <v>31898.399999999998</v>
      </c>
      <c r="AZ318" s="2306">
        <v>16982</v>
      </c>
      <c r="BA318" s="2306">
        <f>SUM(AZ318*0.6)</f>
        <v>10189.199999999999</v>
      </c>
      <c r="BB318" s="2306">
        <v>60013</v>
      </c>
      <c r="BC318" s="2306">
        <f>SUM(BB318*0.6)</f>
        <v>36007.799999999996</v>
      </c>
      <c r="BD318" s="2306">
        <v>575010</v>
      </c>
      <c r="BE318" s="2306">
        <f>SUM(BD318*0.6)</f>
        <v>345006</v>
      </c>
      <c r="BF318" s="2306">
        <v>10</v>
      </c>
      <c r="BG318" s="4039">
        <f>SUM(V318:V324)</f>
        <v>833333333</v>
      </c>
      <c r="BH318" s="4039">
        <f>SUM(W318:W324)</f>
        <v>415200000</v>
      </c>
      <c r="BI318" s="3031">
        <f>SUM(BG318/Q318)</f>
        <v>0.59611694169117901</v>
      </c>
      <c r="BJ318" s="2422" t="s">
        <v>7</v>
      </c>
      <c r="BK318" s="2422" t="s">
        <v>1943</v>
      </c>
      <c r="BL318" s="3719">
        <v>43832</v>
      </c>
      <c r="BM318" s="3719">
        <v>43832</v>
      </c>
      <c r="BN318" s="3719">
        <v>44196</v>
      </c>
      <c r="BO318" s="3719">
        <v>44196</v>
      </c>
      <c r="BP318" s="2422" t="s">
        <v>1811</v>
      </c>
    </row>
    <row r="319" spans="1:68" ht="49.5" customHeight="1" x14ac:dyDescent="0.2">
      <c r="A319" s="4026"/>
      <c r="B319" s="4026"/>
      <c r="C319" s="4026"/>
      <c r="D319" s="3785"/>
      <c r="E319" s="3785"/>
      <c r="F319" s="3473"/>
      <c r="G319" s="4194"/>
      <c r="H319" s="3670"/>
      <c r="I319" s="2413"/>
      <c r="J319" s="2413"/>
      <c r="K319" s="3670"/>
      <c r="L319" s="2343"/>
      <c r="M319" s="2343"/>
      <c r="N319" s="2343"/>
      <c r="O319" s="2413"/>
      <c r="P319" s="2854"/>
      <c r="Q319" s="4143"/>
      <c r="R319" s="2463"/>
      <c r="S319" s="2514"/>
      <c r="T319" s="3091"/>
      <c r="U319" s="2173">
        <v>5600000</v>
      </c>
      <c r="V319" s="2062">
        <v>5600000</v>
      </c>
      <c r="W319" s="2062">
        <v>5600000</v>
      </c>
      <c r="X319" s="1912">
        <v>20</v>
      </c>
      <c r="Y319" s="2174" t="s">
        <v>7</v>
      </c>
      <c r="Z319" s="2307"/>
      <c r="AA319" s="2307"/>
      <c r="AB319" s="2307"/>
      <c r="AC319" s="2307"/>
      <c r="AD319" s="2307"/>
      <c r="AE319" s="2307"/>
      <c r="AF319" s="2307"/>
      <c r="AG319" s="2307"/>
      <c r="AH319" s="2307"/>
      <c r="AI319" s="2307"/>
      <c r="AJ319" s="2307"/>
      <c r="AK319" s="2307"/>
      <c r="AL319" s="2307"/>
      <c r="AM319" s="2307"/>
      <c r="AN319" s="2307"/>
      <c r="AO319" s="2307"/>
      <c r="AP319" s="2307"/>
      <c r="AQ319" s="2307"/>
      <c r="AR319" s="2307"/>
      <c r="AS319" s="2307"/>
      <c r="AT319" s="2307"/>
      <c r="AU319" s="2307"/>
      <c r="AV319" s="2307"/>
      <c r="AW319" s="2307"/>
      <c r="AX319" s="2307"/>
      <c r="AY319" s="2307"/>
      <c r="AZ319" s="2307"/>
      <c r="BA319" s="2307"/>
      <c r="BB319" s="2307"/>
      <c r="BC319" s="2307"/>
      <c r="BD319" s="2307"/>
      <c r="BE319" s="2307"/>
      <c r="BF319" s="2307"/>
      <c r="BG319" s="2567"/>
      <c r="BH319" s="2567"/>
      <c r="BI319" s="3032"/>
      <c r="BJ319" s="2423"/>
      <c r="BK319" s="2423"/>
      <c r="BL319" s="2307"/>
      <c r="BM319" s="2307"/>
      <c r="BN319" s="2307"/>
      <c r="BO319" s="2307"/>
      <c r="BP319" s="2423"/>
    </row>
    <row r="320" spans="1:68" ht="49.5" customHeight="1" x14ac:dyDescent="0.2">
      <c r="A320" s="4026"/>
      <c r="B320" s="4026"/>
      <c r="C320" s="4026"/>
      <c r="D320" s="3785"/>
      <c r="E320" s="3785"/>
      <c r="F320" s="3473"/>
      <c r="G320" s="4194"/>
      <c r="H320" s="3670"/>
      <c r="I320" s="2413"/>
      <c r="J320" s="2413"/>
      <c r="K320" s="3670"/>
      <c r="L320" s="2343"/>
      <c r="M320" s="2343"/>
      <c r="N320" s="2343"/>
      <c r="O320" s="2413"/>
      <c r="P320" s="2854"/>
      <c r="Q320" s="4143"/>
      <c r="R320" s="2463"/>
      <c r="S320" s="2309"/>
      <c r="T320" s="1917" t="s">
        <v>2326</v>
      </c>
      <c r="U320" s="2175">
        <v>30000000</v>
      </c>
      <c r="V320" s="2062">
        <v>11200000</v>
      </c>
      <c r="W320" s="2062">
        <v>0</v>
      </c>
      <c r="X320" s="1912">
        <v>88</v>
      </c>
      <c r="Y320" s="2174" t="s">
        <v>4</v>
      </c>
      <c r="Z320" s="2307"/>
      <c r="AA320" s="2307"/>
      <c r="AB320" s="2307"/>
      <c r="AC320" s="2307"/>
      <c r="AD320" s="2307"/>
      <c r="AE320" s="2307"/>
      <c r="AF320" s="2307"/>
      <c r="AG320" s="2307"/>
      <c r="AH320" s="2307"/>
      <c r="AI320" s="2307"/>
      <c r="AJ320" s="2307"/>
      <c r="AK320" s="2307"/>
      <c r="AL320" s="2307"/>
      <c r="AM320" s="2307"/>
      <c r="AN320" s="2307"/>
      <c r="AO320" s="2307"/>
      <c r="AP320" s="2307"/>
      <c r="AQ320" s="2307"/>
      <c r="AR320" s="2307"/>
      <c r="AS320" s="2307"/>
      <c r="AT320" s="2307"/>
      <c r="AU320" s="2307"/>
      <c r="AV320" s="2307"/>
      <c r="AW320" s="2307"/>
      <c r="AX320" s="2307"/>
      <c r="AY320" s="2307"/>
      <c r="AZ320" s="2307"/>
      <c r="BA320" s="2307"/>
      <c r="BB320" s="2307"/>
      <c r="BC320" s="2307"/>
      <c r="BD320" s="2307"/>
      <c r="BE320" s="2307"/>
      <c r="BF320" s="2307"/>
      <c r="BG320" s="2567"/>
      <c r="BH320" s="2567"/>
      <c r="BI320" s="3032"/>
      <c r="BJ320" s="2423"/>
      <c r="BK320" s="2423"/>
      <c r="BL320" s="2307"/>
      <c r="BM320" s="2307"/>
      <c r="BN320" s="2307"/>
      <c r="BO320" s="2307"/>
      <c r="BP320" s="2423"/>
    </row>
    <row r="321" spans="1:68" ht="49.5" customHeight="1" x14ac:dyDescent="0.2">
      <c r="A321" s="4026"/>
      <c r="B321" s="4026"/>
      <c r="C321" s="4026"/>
      <c r="D321" s="3785"/>
      <c r="E321" s="3785"/>
      <c r="F321" s="3473"/>
      <c r="G321" s="4194"/>
      <c r="H321" s="3670"/>
      <c r="I321" s="2413"/>
      <c r="J321" s="2413"/>
      <c r="K321" s="3670"/>
      <c r="L321" s="2343"/>
      <c r="M321" s="2343"/>
      <c r="N321" s="2343"/>
      <c r="O321" s="2413"/>
      <c r="P321" s="2854"/>
      <c r="Q321" s="4143"/>
      <c r="R321" s="2463"/>
      <c r="S321" s="2514"/>
      <c r="T321" s="1920" t="s">
        <v>2327</v>
      </c>
      <c r="U321" s="2078">
        <v>30000000</v>
      </c>
      <c r="V321" s="2062">
        <v>12600000</v>
      </c>
      <c r="W321" s="2062">
        <v>0</v>
      </c>
      <c r="X321" s="2116" t="s">
        <v>1942</v>
      </c>
      <c r="Y321" s="2133" t="s">
        <v>4</v>
      </c>
      <c r="Z321" s="2307"/>
      <c r="AA321" s="2307"/>
      <c r="AB321" s="2307"/>
      <c r="AC321" s="2307"/>
      <c r="AD321" s="2307"/>
      <c r="AE321" s="2307"/>
      <c r="AF321" s="2307"/>
      <c r="AG321" s="2307"/>
      <c r="AH321" s="2307"/>
      <c r="AI321" s="2307"/>
      <c r="AJ321" s="2307"/>
      <c r="AK321" s="2307"/>
      <c r="AL321" s="2307"/>
      <c r="AM321" s="2307"/>
      <c r="AN321" s="2307"/>
      <c r="AO321" s="2307"/>
      <c r="AP321" s="2307"/>
      <c r="AQ321" s="2307"/>
      <c r="AR321" s="2307"/>
      <c r="AS321" s="2307"/>
      <c r="AT321" s="2307"/>
      <c r="AU321" s="2307"/>
      <c r="AV321" s="2307"/>
      <c r="AW321" s="2307"/>
      <c r="AX321" s="2307"/>
      <c r="AY321" s="2307"/>
      <c r="AZ321" s="2307"/>
      <c r="BA321" s="2307"/>
      <c r="BB321" s="2307"/>
      <c r="BC321" s="2307"/>
      <c r="BD321" s="2307"/>
      <c r="BE321" s="2307"/>
      <c r="BF321" s="2307"/>
      <c r="BG321" s="2567"/>
      <c r="BH321" s="2567"/>
      <c r="BI321" s="3032"/>
      <c r="BJ321" s="2423"/>
      <c r="BK321" s="2423"/>
      <c r="BL321" s="2307"/>
      <c r="BM321" s="2307"/>
      <c r="BN321" s="2307"/>
      <c r="BO321" s="2307"/>
      <c r="BP321" s="2423"/>
    </row>
    <row r="322" spans="1:68" ht="49.5" customHeight="1" x14ac:dyDescent="0.2">
      <c r="A322" s="4026"/>
      <c r="B322" s="4026"/>
      <c r="C322" s="4026"/>
      <c r="D322" s="3785"/>
      <c r="E322" s="3785"/>
      <c r="F322" s="3473"/>
      <c r="G322" s="4194"/>
      <c r="H322" s="3670"/>
      <c r="I322" s="2413"/>
      <c r="J322" s="2413"/>
      <c r="K322" s="3670"/>
      <c r="L322" s="2343"/>
      <c r="M322" s="2343"/>
      <c r="N322" s="2343"/>
      <c r="O322" s="2413"/>
      <c r="P322" s="2854"/>
      <c r="Q322" s="4143"/>
      <c r="R322" s="2463"/>
      <c r="S322" s="2514"/>
      <c r="T322" s="1920" t="s">
        <v>2328</v>
      </c>
      <c r="U322" s="2078">
        <v>30000000</v>
      </c>
      <c r="V322" s="2062">
        <v>12733333</v>
      </c>
      <c r="W322" s="2062">
        <v>0</v>
      </c>
      <c r="X322" s="2116" t="s">
        <v>1942</v>
      </c>
      <c r="Y322" s="2136" t="s">
        <v>4</v>
      </c>
      <c r="Z322" s="2307"/>
      <c r="AA322" s="2307"/>
      <c r="AB322" s="2307"/>
      <c r="AC322" s="2307"/>
      <c r="AD322" s="2307"/>
      <c r="AE322" s="2307"/>
      <c r="AF322" s="2307"/>
      <c r="AG322" s="2307"/>
      <c r="AH322" s="2307"/>
      <c r="AI322" s="2307"/>
      <c r="AJ322" s="2307"/>
      <c r="AK322" s="2307"/>
      <c r="AL322" s="2307"/>
      <c r="AM322" s="2307"/>
      <c r="AN322" s="2307"/>
      <c r="AO322" s="2307"/>
      <c r="AP322" s="2307"/>
      <c r="AQ322" s="2307"/>
      <c r="AR322" s="2307"/>
      <c r="AS322" s="2307"/>
      <c r="AT322" s="2307"/>
      <c r="AU322" s="2307"/>
      <c r="AV322" s="2307"/>
      <c r="AW322" s="2307"/>
      <c r="AX322" s="2307"/>
      <c r="AY322" s="2307"/>
      <c r="AZ322" s="2307"/>
      <c r="BA322" s="2307"/>
      <c r="BB322" s="2307"/>
      <c r="BC322" s="2307"/>
      <c r="BD322" s="2307"/>
      <c r="BE322" s="2307"/>
      <c r="BF322" s="2307"/>
      <c r="BG322" s="2567"/>
      <c r="BH322" s="2567"/>
      <c r="BI322" s="3032"/>
      <c r="BJ322" s="2423"/>
      <c r="BK322" s="2423"/>
      <c r="BL322" s="2307"/>
      <c r="BM322" s="2307"/>
      <c r="BN322" s="2307"/>
      <c r="BO322" s="2307"/>
      <c r="BP322" s="2423"/>
    </row>
    <row r="323" spans="1:68" ht="49.5" customHeight="1" x14ac:dyDescent="0.2">
      <c r="A323" s="4026"/>
      <c r="B323" s="4026"/>
      <c r="C323" s="4026"/>
      <c r="D323" s="3785"/>
      <c r="E323" s="3785"/>
      <c r="F323" s="3473"/>
      <c r="G323" s="4194"/>
      <c r="H323" s="3670"/>
      <c r="I323" s="2413"/>
      <c r="J323" s="2413"/>
      <c r="K323" s="3670"/>
      <c r="L323" s="2343"/>
      <c r="M323" s="2343"/>
      <c r="N323" s="2343"/>
      <c r="O323" s="2413"/>
      <c r="P323" s="2854"/>
      <c r="Q323" s="4143"/>
      <c r="R323" s="2463"/>
      <c r="S323" s="2514"/>
      <c r="T323" s="3091" t="s">
        <v>2329</v>
      </c>
      <c r="U323" s="2070">
        <v>467546000</v>
      </c>
      <c r="V323" s="2062">
        <v>0</v>
      </c>
      <c r="W323" s="2062">
        <v>0</v>
      </c>
      <c r="X323" s="2116" t="s">
        <v>2330</v>
      </c>
      <c r="Y323" s="2145" t="s">
        <v>2331</v>
      </c>
      <c r="Z323" s="2496"/>
      <c r="AA323" s="2496"/>
      <c r="AB323" s="2496"/>
      <c r="AC323" s="2496"/>
      <c r="AD323" s="2496"/>
      <c r="AE323" s="2496"/>
      <c r="AF323" s="2496"/>
      <c r="AG323" s="2496"/>
      <c r="AH323" s="2496"/>
      <c r="AI323" s="2496"/>
      <c r="AJ323" s="2496"/>
      <c r="AK323" s="2496"/>
      <c r="AL323" s="2496"/>
      <c r="AM323" s="2496"/>
      <c r="AN323" s="2496"/>
      <c r="AO323" s="2496"/>
      <c r="AP323" s="2496"/>
      <c r="AQ323" s="2496"/>
      <c r="AR323" s="2496"/>
      <c r="AS323" s="2496"/>
      <c r="AT323" s="2496"/>
      <c r="AU323" s="2496"/>
      <c r="AV323" s="2496"/>
      <c r="AW323" s="2496"/>
      <c r="AX323" s="2496"/>
      <c r="AY323" s="2496"/>
      <c r="AZ323" s="2496"/>
      <c r="BA323" s="2496"/>
      <c r="BB323" s="2496"/>
      <c r="BC323" s="2496"/>
      <c r="BD323" s="2496"/>
      <c r="BE323" s="2496"/>
      <c r="BF323" s="2496"/>
      <c r="BG323" s="2879"/>
      <c r="BH323" s="2879"/>
      <c r="BI323" s="4105"/>
      <c r="BJ323" s="3008"/>
      <c r="BK323" s="3008"/>
      <c r="BL323" s="2496"/>
      <c r="BM323" s="2496"/>
      <c r="BN323" s="2496"/>
      <c r="BO323" s="2496"/>
      <c r="BP323" s="3008"/>
    </row>
    <row r="324" spans="1:68" ht="49.5" customHeight="1" x14ac:dyDescent="0.2">
      <c r="A324" s="4026"/>
      <c r="B324" s="4026"/>
      <c r="C324" s="4026"/>
      <c r="D324" s="3785"/>
      <c r="E324" s="3785"/>
      <c r="F324" s="3473"/>
      <c r="G324" s="4194"/>
      <c r="H324" s="3670"/>
      <c r="I324" s="2413"/>
      <c r="J324" s="2413"/>
      <c r="K324" s="3670"/>
      <c r="L324" s="2343"/>
      <c r="M324" s="2343"/>
      <c r="N324" s="2343"/>
      <c r="O324" s="2413"/>
      <c r="P324" s="2854"/>
      <c r="Q324" s="4143"/>
      <c r="R324" s="2463"/>
      <c r="S324" s="2514"/>
      <c r="T324" s="3091"/>
      <c r="U324" s="2070">
        <f>0+780000000</f>
        <v>780000000</v>
      </c>
      <c r="V324" s="2062">
        <v>780000000</v>
      </c>
      <c r="W324" s="2062">
        <v>409600000</v>
      </c>
      <c r="X324" s="2116" t="s">
        <v>1942</v>
      </c>
      <c r="Y324" s="2136" t="s">
        <v>4</v>
      </c>
      <c r="Z324" s="2496"/>
      <c r="AA324" s="2496"/>
      <c r="AB324" s="2496"/>
      <c r="AC324" s="2496"/>
      <c r="AD324" s="2496"/>
      <c r="AE324" s="2496"/>
      <c r="AF324" s="2496"/>
      <c r="AG324" s="2496"/>
      <c r="AH324" s="2496"/>
      <c r="AI324" s="2496"/>
      <c r="AJ324" s="2496"/>
      <c r="AK324" s="2496"/>
      <c r="AL324" s="2496"/>
      <c r="AM324" s="2496"/>
      <c r="AN324" s="2496"/>
      <c r="AO324" s="2496"/>
      <c r="AP324" s="2496"/>
      <c r="AQ324" s="2496"/>
      <c r="AR324" s="2496"/>
      <c r="AS324" s="2496"/>
      <c r="AT324" s="2496"/>
      <c r="AU324" s="2496"/>
      <c r="AV324" s="2496"/>
      <c r="AW324" s="2496"/>
      <c r="AX324" s="2496"/>
      <c r="AY324" s="2496"/>
      <c r="AZ324" s="2496"/>
      <c r="BA324" s="2496"/>
      <c r="BB324" s="2496"/>
      <c r="BC324" s="2496"/>
      <c r="BD324" s="2496"/>
      <c r="BE324" s="2496"/>
      <c r="BF324" s="2496"/>
      <c r="BG324" s="2879"/>
      <c r="BH324" s="2879"/>
      <c r="BI324" s="4105"/>
      <c r="BJ324" s="3008"/>
      <c r="BK324" s="3008"/>
      <c r="BL324" s="2496"/>
      <c r="BM324" s="2496"/>
      <c r="BN324" s="2496"/>
      <c r="BO324" s="2496"/>
      <c r="BP324" s="3009"/>
    </row>
    <row r="325" spans="1:68" ht="29.25" customHeight="1" x14ac:dyDescent="0.2">
      <c r="A325" s="4026"/>
      <c r="B325" s="4026"/>
      <c r="C325" s="4026"/>
      <c r="D325" s="3813"/>
      <c r="E325" s="3813"/>
      <c r="F325" s="3474"/>
      <c r="G325" s="470"/>
      <c r="H325" s="1926"/>
      <c r="I325" s="1889"/>
      <c r="J325" s="1889"/>
      <c r="K325" s="1892"/>
      <c r="L325" s="1892"/>
      <c r="M325" s="1889"/>
      <c r="N325" s="1892"/>
      <c r="O325" s="1889"/>
      <c r="P325" s="1891"/>
      <c r="Q325" s="2176">
        <f>SUM(Q12:Q324)</f>
        <v>40878834321.080002</v>
      </c>
      <c r="R325" s="2177"/>
      <c r="S325" s="2177"/>
      <c r="T325" s="2178"/>
      <c r="U325" s="2179">
        <f>SUM(U12:U324)</f>
        <v>40878834321.080002</v>
      </c>
      <c r="V325" s="2180">
        <f>SUM(V12:V324)</f>
        <v>28027173458.330002</v>
      </c>
      <c r="W325" s="2180">
        <f>SUM(W12:W324)</f>
        <v>14487638149.5</v>
      </c>
      <c r="X325" s="2181"/>
      <c r="Y325" s="2182"/>
      <c r="Z325" s="682"/>
      <c r="AA325" s="682"/>
      <c r="AB325" s="682"/>
      <c r="AC325" s="682"/>
      <c r="AD325" s="682"/>
      <c r="AE325" s="682"/>
      <c r="AF325" s="682"/>
      <c r="AG325" s="682"/>
      <c r="AH325" s="682"/>
      <c r="AI325" s="682"/>
      <c r="AJ325" s="682"/>
      <c r="AK325" s="682"/>
      <c r="AL325" s="682"/>
      <c r="AM325" s="682"/>
      <c r="AN325" s="682"/>
      <c r="AO325" s="682"/>
      <c r="AP325" s="682"/>
      <c r="AQ325" s="682"/>
      <c r="AR325" s="682"/>
      <c r="AS325" s="682"/>
      <c r="AT325" s="682"/>
      <c r="AU325" s="682"/>
      <c r="AV325" s="682"/>
      <c r="AW325" s="682"/>
      <c r="AX325" s="682"/>
      <c r="AY325" s="682"/>
      <c r="AZ325" s="682"/>
      <c r="BA325" s="682"/>
      <c r="BB325" s="682"/>
      <c r="BC325" s="682"/>
      <c r="BD325" s="682"/>
      <c r="BE325" s="682"/>
      <c r="BF325" s="682"/>
      <c r="BG325" s="2183">
        <f>SUM(BG12+BG17+BG42+BG63+BG77+BG89+BG95+BG108+BG114+BG126+BG144+BG167+BG183+BG194+BG216+BG234+BG254+BG262+BG264+BG276+BG279+BG289+BG298+BG302+BG318)</f>
        <v>28027173458.330002</v>
      </c>
      <c r="BH325" s="2183">
        <f>SUM(BH12+BH17+BH42+BH63+BH77+BH89+BH95+BH108+BH114+BH126+BH144+BH167+BH183+BH194+BH216+BH234+BH254+BH262+BH264+BH276+BH279+BH289+BH298+BH302+BH318)</f>
        <v>14487638149.5</v>
      </c>
      <c r="BI325" s="1893">
        <f>SUM(BG325/Q325)</f>
        <v>0.68561576972064542</v>
      </c>
      <c r="BJ325" s="2184"/>
      <c r="BK325" s="2184"/>
      <c r="BL325" s="682"/>
      <c r="BM325" s="682"/>
      <c r="BN325" s="682"/>
      <c r="BO325" s="682"/>
      <c r="BP325" s="682"/>
    </row>
    <row r="326" spans="1:68" x14ac:dyDescent="0.2">
      <c r="M326" s="1894"/>
      <c r="N326" s="1011"/>
      <c r="O326" s="1894"/>
      <c r="P326" s="1015"/>
      <c r="Q326" s="164"/>
      <c r="R326" s="1894"/>
      <c r="S326" s="1894"/>
      <c r="T326" s="1894"/>
      <c r="U326" s="2186"/>
      <c r="BL326" s="630"/>
    </row>
    <row r="327" spans="1:68" x14ac:dyDescent="0.2">
      <c r="BG327" s="2191"/>
      <c r="BH327" s="2191"/>
      <c r="BL327" s="630"/>
    </row>
    <row r="328" spans="1:68" x14ac:dyDescent="0.2">
      <c r="U328" s="2192"/>
      <c r="BL328" s="630"/>
    </row>
    <row r="329" spans="1:68" x14ac:dyDescent="0.2">
      <c r="BG329" s="2193"/>
      <c r="BH329" s="2193"/>
      <c r="BL329" s="630"/>
    </row>
    <row r="330" spans="1:68" x14ac:dyDescent="0.2">
      <c r="BL330" s="630"/>
    </row>
    <row r="331" spans="1:68" x14ac:dyDescent="0.2">
      <c r="U331" s="2192"/>
      <c r="BL331" s="630"/>
    </row>
    <row r="332" spans="1:68" x14ac:dyDescent="0.2">
      <c r="BL332" s="630"/>
    </row>
    <row r="333" spans="1:68" x14ac:dyDescent="0.2">
      <c r="BL333" s="630"/>
    </row>
    <row r="334" spans="1:68" x14ac:dyDescent="0.2">
      <c r="BL334" s="630"/>
    </row>
    <row r="335" spans="1:68" x14ac:dyDescent="0.2">
      <c r="BL335" s="630"/>
    </row>
  </sheetData>
  <sheetProtection password="A60F" sheet="1" objects="1" scenarios="1"/>
  <mergeCells count="1663">
    <mergeCell ref="BN318:BN324"/>
    <mergeCell ref="BO318:BO324"/>
    <mergeCell ref="BP318:BP324"/>
    <mergeCell ref="T323:T324"/>
    <mergeCell ref="BH318:BH324"/>
    <mergeCell ref="BI318:BI324"/>
    <mergeCell ref="BJ318:BJ324"/>
    <mergeCell ref="BK318:BK324"/>
    <mergeCell ref="BL318:BL324"/>
    <mergeCell ref="BM318:BM324"/>
    <mergeCell ref="BB318:BB324"/>
    <mergeCell ref="BC318:BC324"/>
    <mergeCell ref="BD318:BD324"/>
    <mergeCell ref="BE318:BE324"/>
    <mergeCell ref="BF318:BF324"/>
    <mergeCell ref="BG318:BG324"/>
    <mergeCell ref="AV318:AV324"/>
    <mergeCell ref="AW318:AW324"/>
    <mergeCell ref="AX318:AX324"/>
    <mergeCell ref="AY318:AY324"/>
    <mergeCell ref="AZ318:AZ324"/>
    <mergeCell ref="BA318:BA324"/>
    <mergeCell ref="AP318:AP324"/>
    <mergeCell ref="AQ318:AQ324"/>
    <mergeCell ref="AR318:AR324"/>
    <mergeCell ref="AS318:AS324"/>
    <mergeCell ref="AT318:AT324"/>
    <mergeCell ref="AU318:AU324"/>
    <mergeCell ref="AJ318:AJ324"/>
    <mergeCell ref="AK318:AK324"/>
    <mergeCell ref="AL318:AL324"/>
    <mergeCell ref="AM318:AM324"/>
    <mergeCell ref="AN318:AN324"/>
    <mergeCell ref="AO318:AO324"/>
    <mergeCell ref="AD318:AD324"/>
    <mergeCell ref="AE318:AE324"/>
    <mergeCell ref="AF318:AF324"/>
    <mergeCell ref="AG318:AG324"/>
    <mergeCell ref="AH318:AH324"/>
    <mergeCell ref="AI318:AI324"/>
    <mergeCell ref="S318:S324"/>
    <mergeCell ref="T318:T319"/>
    <mergeCell ref="Z318:Z324"/>
    <mergeCell ref="AA318:AA324"/>
    <mergeCell ref="AB318:AB324"/>
    <mergeCell ref="AC318:AC324"/>
    <mergeCell ref="M318:M324"/>
    <mergeCell ref="N318:N324"/>
    <mergeCell ref="O318:O324"/>
    <mergeCell ref="P318:P324"/>
    <mergeCell ref="Q318:Q324"/>
    <mergeCell ref="R318:R324"/>
    <mergeCell ref="G318:G324"/>
    <mergeCell ref="H318:H324"/>
    <mergeCell ref="I318:I324"/>
    <mergeCell ref="J318:J324"/>
    <mergeCell ref="K318:K324"/>
    <mergeCell ref="L318:L324"/>
    <mergeCell ref="G307:G317"/>
    <mergeCell ref="H307:H317"/>
    <mergeCell ref="I307:I317"/>
    <mergeCell ref="J307:J317"/>
    <mergeCell ref="K307:K317"/>
    <mergeCell ref="L307:L317"/>
    <mergeCell ref="BN302:BN317"/>
    <mergeCell ref="BO302:BO317"/>
    <mergeCell ref="BP302:BP317"/>
    <mergeCell ref="G305:G306"/>
    <mergeCell ref="H305:H306"/>
    <mergeCell ref="I305:I306"/>
    <mergeCell ref="J305:J306"/>
    <mergeCell ref="K305:K306"/>
    <mergeCell ref="L305:L306"/>
    <mergeCell ref="M305:M317"/>
    <mergeCell ref="BH302:BH317"/>
    <mergeCell ref="BI302:BI317"/>
    <mergeCell ref="BJ302:BJ317"/>
    <mergeCell ref="BK302:BK317"/>
    <mergeCell ref="BL302:BL317"/>
    <mergeCell ref="BM302:BM317"/>
    <mergeCell ref="BB302:BB317"/>
    <mergeCell ref="BC302:BC317"/>
    <mergeCell ref="BD302:BD317"/>
    <mergeCell ref="BE302:BE317"/>
    <mergeCell ref="BF302:BF317"/>
    <mergeCell ref="BG302:BG317"/>
    <mergeCell ref="AV302:AV317"/>
    <mergeCell ref="AW302:AW317"/>
    <mergeCell ref="AX302:AX317"/>
    <mergeCell ref="AY302:AY317"/>
    <mergeCell ref="AZ302:AZ317"/>
    <mergeCell ref="BA302:BA317"/>
    <mergeCell ref="AP302:AP317"/>
    <mergeCell ref="AQ302:AQ317"/>
    <mergeCell ref="AR302:AR317"/>
    <mergeCell ref="AS302:AS317"/>
    <mergeCell ref="AT302:AT317"/>
    <mergeCell ref="AU302:AU317"/>
    <mergeCell ref="AJ302:AJ317"/>
    <mergeCell ref="AK302:AK317"/>
    <mergeCell ref="AL302:AL317"/>
    <mergeCell ref="AM302:AM317"/>
    <mergeCell ref="AN302:AN317"/>
    <mergeCell ref="AO302:AO317"/>
    <mergeCell ref="AD302:AD317"/>
    <mergeCell ref="AE302:AE317"/>
    <mergeCell ref="AF302:AF317"/>
    <mergeCell ref="AG302:AG317"/>
    <mergeCell ref="AH302:AH317"/>
    <mergeCell ref="AI302:AI317"/>
    <mergeCell ref="S302:S317"/>
    <mergeCell ref="T302:T303"/>
    <mergeCell ref="Z302:Z317"/>
    <mergeCell ref="AA302:AA317"/>
    <mergeCell ref="AB302:AB317"/>
    <mergeCell ref="AC302:AC317"/>
    <mergeCell ref="T305:T306"/>
    <mergeCell ref="T307:T317"/>
    <mergeCell ref="M302:M304"/>
    <mergeCell ref="N302:N317"/>
    <mergeCell ref="O302:O317"/>
    <mergeCell ref="P302:P304"/>
    <mergeCell ref="Q302:Q317"/>
    <mergeCell ref="R302:R317"/>
    <mergeCell ref="P305:P306"/>
    <mergeCell ref="P307:P317"/>
    <mergeCell ref="G302:G304"/>
    <mergeCell ref="H302:H304"/>
    <mergeCell ref="I302:I304"/>
    <mergeCell ref="J302:J303"/>
    <mergeCell ref="K302:K303"/>
    <mergeCell ref="L302:L303"/>
    <mergeCell ref="BP298:BP301"/>
    <mergeCell ref="G299:G301"/>
    <mergeCell ref="H299:H301"/>
    <mergeCell ref="I299:I301"/>
    <mergeCell ref="J299:J301"/>
    <mergeCell ref="K299:K301"/>
    <mergeCell ref="L299:L301"/>
    <mergeCell ref="P299:P301"/>
    <mergeCell ref="T299:T300"/>
    <mergeCell ref="BJ298:BJ301"/>
    <mergeCell ref="BK298:BK301"/>
    <mergeCell ref="BL298:BL301"/>
    <mergeCell ref="BM298:BM301"/>
    <mergeCell ref="BN298:BN301"/>
    <mergeCell ref="BO298:BO301"/>
    <mergeCell ref="BD298:BD301"/>
    <mergeCell ref="BE298:BE301"/>
    <mergeCell ref="BF298:BF301"/>
    <mergeCell ref="BG298:BG301"/>
    <mergeCell ref="BH298:BH301"/>
    <mergeCell ref="BI298:BI301"/>
    <mergeCell ref="AX298:AX301"/>
    <mergeCell ref="AY298:AY301"/>
    <mergeCell ref="AZ298:AZ301"/>
    <mergeCell ref="BA298:BA301"/>
    <mergeCell ref="BB298:BB301"/>
    <mergeCell ref="BC298:BC301"/>
    <mergeCell ref="AR298:AR301"/>
    <mergeCell ref="AS298:AS301"/>
    <mergeCell ref="AT298:AT301"/>
    <mergeCell ref="AU298:AU301"/>
    <mergeCell ref="AV298:AV301"/>
    <mergeCell ref="AW298:AW301"/>
    <mergeCell ref="AL298:AL301"/>
    <mergeCell ref="AM298:AM301"/>
    <mergeCell ref="AN298:AN301"/>
    <mergeCell ref="AO298:AO301"/>
    <mergeCell ref="AP298:AP301"/>
    <mergeCell ref="AQ298:AQ301"/>
    <mergeCell ref="AF298:AF301"/>
    <mergeCell ref="AG298:AG301"/>
    <mergeCell ref="AH298:AH301"/>
    <mergeCell ref="AI298:AI301"/>
    <mergeCell ref="AJ298:AJ301"/>
    <mergeCell ref="AK298:AK301"/>
    <mergeCell ref="Z298:Z301"/>
    <mergeCell ref="AA298:AA301"/>
    <mergeCell ref="AB298:AB301"/>
    <mergeCell ref="AC298:AC301"/>
    <mergeCell ref="AD298:AD301"/>
    <mergeCell ref="AE298:AE301"/>
    <mergeCell ref="BO289:BO296"/>
    <mergeCell ref="BP289:BP296"/>
    <mergeCell ref="T293:T294"/>
    <mergeCell ref="D298:F325"/>
    <mergeCell ref="M298:M301"/>
    <mergeCell ref="N298:N301"/>
    <mergeCell ref="O298:O301"/>
    <mergeCell ref="Q298:Q301"/>
    <mergeCell ref="R298:R301"/>
    <mergeCell ref="S298:S301"/>
    <mergeCell ref="BI289:BI296"/>
    <mergeCell ref="BJ289:BJ296"/>
    <mergeCell ref="BK289:BK296"/>
    <mergeCell ref="BL289:BL296"/>
    <mergeCell ref="BM289:BM296"/>
    <mergeCell ref="BN289:BN296"/>
    <mergeCell ref="BC289:BC296"/>
    <mergeCell ref="BD289:BD296"/>
    <mergeCell ref="BE289:BE296"/>
    <mergeCell ref="BF289:BF296"/>
    <mergeCell ref="BG289:BG296"/>
    <mergeCell ref="BH289:BH296"/>
    <mergeCell ref="AW289:AW296"/>
    <mergeCell ref="AX289:AX296"/>
    <mergeCell ref="AY289:AY296"/>
    <mergeCell ref="AZ289:AZ296"/>
    <mergeCell ref="BA289:BA296"/>
    <mergeCell ref="BB289:BB296"/>
    <mergeCell ref="AQ289:AQ296"/>
    <mergeCell ref="AR289:AR296"/>
    <mergeCell ref="AS289:AS296"/>
    <mergeCell ref="AT289:AT296"/>
    <mergeCell ref="AU289:AU296"/>
    <mergeCell ref="AV289:AV296"/>
    <mergeCell ref="AK289:AK296"/>
    <mergeCell ref="AL289:AL296"/>
    <mergeCell ref="AM289:AM296"/>
    <mergeCell ref="AN289:AN296"/>
    <mergeCell ref="AO289:AO296"/>
    <mergeCell ref="AP289:AP296"/>
    <mergeCell ref="AE289:AE296"/>
    <mergeCell ref="AF289:AF296"/>
    <mergeCell ref="AG289:AG296"/>
    <mergeCell ref="AH289:AH296"/>
    <mergeCell ref="AI289:AI296"/>
    <mergeCell ref="AJ289:AJ296"/>
    <mergeCell ref="S289:S296"/>
    <mergeCell ref="Z289:Z296"/>
    <mergeCell ref="AA289:AA296"/>
    <mergeCell ref="AB289:AB296"/>
    <mergeCell ref="AC289:AC296"/>
    <mergeCell ref="AD289:AD296"/>
    <mergeCell ref="M289:M296"/>
    <mergeCell ref="N289:N296"/>
    <mergeCell ref="O289:O296"/>
    <mergeCell ref="P289:P296"/>
    <mergeCell ref="Q289:Q296"/>
    <mergeCell ref="R289:R296"/>
    <mergeCell ref="G289:G296"/>
    <mergeCell ref="H289:H296"/>
    <mergeCell ref="I289:I296"/>
    <mergeCell ref="J289:J296"/>
    <mergeCell ref="K289:K296"/>
    <mergeCell ref="L289:L296"/>
    <mergeCell ref="BK279:BK288"/>
    <mergeCell ref="BL279:BL288"/>
    <mergeCell ref="BM279:BM288"/>
    <mergeCell ref="BN279:BN288"/>
    <mergeCell ref="BO279:BO288"/>
    <mergeCell ref="BP279:BP288"/>
    <mergeCell ref="BE279:BE288"/>
    <mergeCell ref="BF279:BF288"/>
    <mergeCell ref="BG279:BG288"/>
    <mergeCell ref="BH279:BH288"/>
    <mergeCell ref="BI279:BI288"/>
    <mergeCell ref="BJ279:BJ288"/>
    <mergeCell ref="AY279:AY288"/>
    <mergeCell ref="AZ279:AZ288"/>
    <mergeCell ref="BA279:BA288"/>
    <mergeCell ref="BB279:BB288"/>
    <mergeCell ref="BC279:BC288"/>
    <mergeCell ref="BD279:BD288"/>
    <mergeCell ref="AS279:AS288"/>
    <mergeCell ref="AT279:AT288"/>
    <mergeCell ref="AU279:AU288"/>
    <mergeCell ref="AV279:AV288"/>
    <mergeCell ref="AW279:AW288"/>
    <mergeCell ref="AX279:AX288"/>
    <mergeCell ref="AM279:AM288"/>
    <mergeCell ref="AN279:AN288"/>
    <mergeCell ref="AO279:AO288"/>
    <mergeCell ref="AP279:AP288"/>
    <mergeCell ref="AQ279:AQ288"/>
    <mergeCell ref="AR279:AR288"/>
    <mergeCell ref="AG279:AG288"/>
    <mergeCell ref="AH279:AH288"/>
    <mergeCell ref="AI279:AI288"/>
    <mergeCell ref="AJ279:AJ288"/>
    <mergeCell ref="AK279:AK288"/>
    <mergeCell ref="AL279:AL288"/>
    <mergeCell ref="AA279:AA288"/>
    <mergeCell ref="AB279:AB288"/>
    <mergeCell ref="AC279:AC288"/>
    <mergeCell ref="AD279:AD288"/>
    <mergeCell ref="AE279:AE288"/>
    <mergeCell ref="AF279:AF288"/>
    <mergeCell ref="P279:P288"/>
    <mergeCell ref="Q279:Q288"/>
    <mergeCell ref="R279:R288"/>
    <mergeCell ref="S279:S288"/>
    <mergeCell ref="T279:T280"/>
    <mergeCell ref="Z279:Z288"/>
    <mergeCell ref="T281:T282"/>
    <mergeCell ref="T284:T285"/>
    <mergeCell ref="T286:T287"/>
    <mergeCell ref="BP276:BP278"/>
    <mergeCell ref="G279:G288"/>
    <mergeCell ref="H279:H288"/>
    <mergeCell ref="I279:I288"/>
    <mergeCell ref="J279:J288"/>
    <mergeCell ref="K279:K288"/>
    <mergeCell ref="L279:L288"/>
    <mergeCell ref="M279:M288"/>
    <mergeCell ref="N279:N288"/>
    <mergeCell ref="O279:O288"/>
    <mergeCell ref="BJ276:BJ278"/>
    <mergeCell ref="BK276:BK278"/>
    <mergeCell ref="BL276:BL278"/>
    <mergeCell ref="BM276:BM278"/>
    <mergeCell ref="BN276:BN278"/>
    <mergeCell ref="BO276:BO278"/>
    <mergeCell ref="BD276:BD278"/>
    <mergeCell ref="BE276:BE278"/>
    <mergeCell ref="BF276:BF278"/>
    <mergeCell ref="BG276:BG278"/>
    <mergeCell ref="BH276:BH278"/>
    <mergeCell ref="BI276:BI278"/>
    <mergeCell ref="AX276:AX278"/>
    <mergeCell ref="AY276:AY278"/>
    <mergeCell ref="AZ276:AZ278"/>
    <mergeCell ref="BA276:BA278"/>
    <mergeCell ref="BB276:BB278"/>
    <mergeCell ref="BC276:BC278"/>
    <mergeCell ref="AR276:AR278"/>
    <mergeCell ref="AS276:AS278"/>
    <mergeCell ref="AT276:AT278"/>
    <mergeCell ref="AU276:AU278"/>
    <mergeCell ref="AV276:AV278"/>
    <mergeCell ref="AW276:AW278"/>
    <mergeCell ref="BN264:BN275"/>
    <mergeCell ref="BO264:BO275"/>
    <mergeCell ref="BP264:BP275"/>
    <mergeCell ref="G276:G278"/>
    <mergeCell ref="H276:H278"/>
    <mergeCell ref="I276:I278"/>
    <mergeCell ref="J276:J278"/>
    <mergeCell ref="K276:K278"/>
    <mergeCell ref="L276:L278"/>
    <mergeCell ref="M276:M278"/>
    <mergeCell ref="BH264:BH275"/>
    <mergeCell ref="BI264:BI275"/>
    <mergeCell ref="BJ264:BJ275"/>
    <mergeCell ref="BK264:BK275"/>
    <mergeCell ref="BL264:BL275"/>
    <mergeCell ref="BM264:BM275"/>
    <mergeCell ref="BB264:BB275"/>
    <mergeCell ref="BC264:BC275"/>
    <mergeCell ref="BD264:BD275"/>
    <mergeCell ref="BE264:BE275"/>
    <mergeCell ref="BF264:BF275"/>
    <mergeCell ref="BG264:BG275"/>
    <mergeCell ref="AV264:AV275"/>
    <mergeCell ref="AW264:AW275"/>
    <mergeCell ref="AX264:AX275"/>
    <mergeCell ref="AY264:AY275"/>
    <mergeCell ref="AL276:AL278"/>
    <mergeCell ref="AM276:AM278"/>
    <mergeCell ref="AN276:AN278"/>
    <mergeCell ref="AO276:AO278"/>
    <mergeCell ref="AP276:AP278"/>
    <mergeCell ref="AQ276:AQ278"/>
    <mergeCell ref="AT264:AT275"/>
    <mergeCell ref="AU264:AU275"/>
    <mergeCell ref="AJ264:AJ275"/>
    <mergeCell ref="AK264:AK275"/>
    <mergeCell ref="AL264:AL275"/>
    <mergeCell ref="AM264:AM275"/>
    <mergeCell ref="AN264:AN275"/>
    <mergeCell ref="AO264:AO275"/>
    <mergeCell ref="AD264:AD275"/>
    <mergeCell ref="AE264:AE275"/>
    <mergeCell ref="AF264:AF275"/>
    <mergeCell ref="AG264:AG275"/>
    <mergeCell ref="AH264:AH275"/>
    <mergeCell ref="AI264:AI275"/>
    <mergeCell ref="N276:N278"/>
    <mergeCell ref="O276:O278"/>
    <mergeCell ref="P276:P278"/>
    <mergeCell ref="Q276:Q278"/>
    <mergeCell ref="R276:R278"/>
    <mergeCell ref="S276:S278"/>
    <mergeCell ref="AF276:AF278"/>
    <mergeCell ref="AG276:AG278"/>
    <mergeCell ref="AH276:AH278"/>
    <mergeCell ref="AI276:AI278"/>
    <mergeCell ref="AJ276:AJ278"/>
    <mergeCell ref="AK276:AK278"/>
    <mergeCell ref="Z276:Z278"/>
    <mergeCell ref="AA276:AA278"/>
    <mergeCell ref="AB276:AB278"/>
    <mergeCell ref="AC276:AC278"/>
    <mergeCell ref="AD276:AD278"/>
    <mergeCell ref="AE276:AE278"/>
    <mergeCell ref="R264:R275"/>
    <mergeCell ref="S264:S275"/>
    <mergeCell ref="Z264:Z275"/>
    <mergeCell ref="AA264:AA275"/>
    <mergeCell ref="AB264:AB275"/>
    <mergeCell ref="AC264:AC275"/>
    <mergeCell ref="L264:L275"/>
    <mergeCell ref="M264:M275"/>
    <mergeCell ref="N264:N275"/>
    <mergeCell ref="O264:O275"/>
    <mergeCell ref="P264:P275"/>
    <mergeCell ref="Q264:Q275"/>
    <mergeCell ref="BL262:BL263"/>
    <mergeCell ref="BM262:BM263"/>
    <mergeCell ref="BN262:BN263"/>
    <mergeCell ref="BO262:BO263"/>
    <mergeCell ref="BP262:BP263"/>
    <mergeCell ref="AK262:AK263"/>
    <mergeCell ref="AL262:AL263"/>
    <mergeCell ref="AM262:AM263"/>
    <mergeCell ref="AB262:AB263"/>
    <mergeCell ref="AC262:AC263"/>
    <mergeCell ref="AD262:AD263"/>
    <mergeCell ref="AE262:AE263"/>
    <mergeCell ref="AF262:AF263"/>
    <mergeCell ref="AG262:AG263"/>
    <mergeCell ref="AZ264:AZ275"/>
    <mergeCell ref="BA264:BA275"/>
    <mergeCell ref="AP264:AP275"/>
    <mergeCell ref="AQ264:AQ275"/>
    <mergeCell ref="AR264:AR275"/>
    <mergeCell ref="AS264:AS275"/>
    <mergeCell ref="G264:G275"/>
    <mergeCell ref="H264:H275"/>
    <mergeCell ref="I264:I275"/>
    <mergeCell ref="J264:J275"/>
    <mergeCell ref="K264:K275"/>
    <mergeCell ref="BF262:BF263"/>
    <mergeCell ref="BG262:BG263"/>
    <mergeCell ref="BH262:BH263"/>
    <mergeCell ref="BI262:BI263"/>
    <mergeCell ref="BJ262:BJ263"/>
    <mergeCell ref="BK262:BK263"/>
    <mergeCell ref="AZ262:AZ263"/>
    <mergeCell ref="BA262:BA263"/>
    <mergeCell ref="BB262:BB263"/>
    <mergeCell ref="BC262:BC263"/>
    <mergeCell ref="BD262:BD263"/>
    <mergeCell ref="BE262:BE263"/>
    <mergeCell ref="AT262:AT263"/>
    <mergeCell ref="AU262:AU263"/>
    <mergeCell ref="AV262:AV263"/>
    <mergeCell ref="AW262:AW263"/>
    <mergeCell ref="AX262:AX263"/>
    <mergeCell ref="AY262:AY263"/>
    <mergeCell ref="AN262:AN263"/>
    <mergeCell ref="AO262:AO263"/>
    <mergeCell ref="AP262:AP263"/>
    <mergeCell ref="AQ262:AQ263"/>
    <mergeCell ref="AR262:AR263"/>
    <mergeCell ref="AS262:AS263"/>
    <mergeCell ref="AH262:AH263"/>
    <mergeCell ref="AI262:AI263"/>
    <mergeCell ref="AJ262:AJ263"/>
    <mergeCell ref="BO254:BO261"/>
    <mergeCell ref="BP254:BP261"/>
    <mergeCell ref="M262:M263"/>
    <mergeCell ref="N262:N263"/>
    <mergeCell ref="O262:O263"/>
    <mergeCell ref="Q262:Q263"/>
    <mergeCell ref="R262:R263"/>
    <mergeCell ref="S262:S263"/>
    <mergeCell ref="Z262:Z263"/>
    <mergeCell ref="AA262:AA263"/>
    <mergeCell ref="BI254:BI261"/>
    <mergeCell ref="BJ254:BJ261"/>
    <mergeCell ref="BK254:BK261"/>
    <mergeCell ref="BL254:BL261"/>
    <mergeCell ref="BM254:BM261"/>
    <mergeCell ref="BN254:BN261"/>
    <mergeCell ref="BC254:BC261"/>
    <mergeCell ref="BD254:BD261"/>
    <mergeCell ref="BE254:BE261"/>
    <mergeCell ref="BF254:BF261"/>
    <mergeCell ref="BG254:BG261"/>
    <mergeCell ref="BH254:BH261"/>
    <mergeCell ref="AW254:AW261"/>
    <mergeCell ref="AX254:AX261"/>
    <mergeCell ref="AY254:AY261"/>
    <mergeCell ref="AZ254:AZ261"/>
    <mergeCell ref="BA254:BA261"/>
    <mergeCell ref="BB254:BB261"/>
    <mergeCell ref="AQ254:AQ261"/>
    <mergeCell ref="AR254:AR261"/>
    <mergeCell ref="AS254:AS261"/>
    <mergeCell ref="AT254:AT261"/>
    <mergeCell ref="AU254:AU261"/>
    <mergeCell ref="AV254:AV261"/>
    <mergeCell ref="AK254:AK261"/>
    <mergeCell ref="AL254:AL261"/>
    <mergeCell ref="AM254:AM261"/>
    <mergeCell ref="AN254:AN261"/>
    <mergeCell ref="AO254:AO261"/>
    <mergeCell ref="AP254:AP261"/>
    <mergeCell ref="AE254:AE261"/>
    <mergeCell ref="AF254:AF261"/>
    <mergeCell ref="AG254:AG261"/>
    <mergeCell ref="AH254:AH261"/>
    <mergeCell ref="AI254:AI261"/>
    <mergeCell ref="AJ254:AJ261"/>
    <mergeCell ref="S254:S261"/>
    <mergeCell ref="Z254:Z261"/>
    <mergeCell ref="AA254:AA261"/>
    <mergeCell ref="AB254:AB261"/>
    <mergeCell ref="AC254:AC261"/>
    <mergeCell ref="AD254:AD261"/>
    <mergeCell ref="M254:M261"/>
    <mergeCell ref="N254:N261"/>
    <mergeCell ref="O254:O261"/>
    <mergeCell ref="P254:P261"/>
    <mergeCell ref="Q254:Q261"/>
    <mergeCell ref="R254:R261"/>
    <mergeCell ref="T241:T243"/>
    <mergeCell ref="T244:T246"/>
    <mergeCell ref="T248:T250"/>
    <mergeCell ref="T251:T253"/>
    <mergeCell ref="G254:G261"/>
    <mergeCell ref="H254:H261"/>
    <mergeCell ref="I254:I261"/>
    <mergeCell ref="J254:J261"/>
    <mergeCell ref="K254:K261"/>
    <mergeCell ref="L254:L261"/>
    <mergeCell ref="BP234:BP253"/>
    <mergeCell ref="G235:G253"/>
    <mergeCell ref="H235:H253"/>
    <mergeCell ref="I235:I253"/>
    <mergeCell ref="J235:J253"/>
    <mergeCell ref="K235:K253"/>
    <mergeCell ref="L235:L253"/>
    <mergeCell ref="P235:P253"/>
    <mergeCell ref="T235:T236"/>
    <mergeCell ref="T238:T240"/>
    <mergeCell ref="BJ234:BJ253"/>
    <mergeCell ref="BK234:BK253"/>
    <mergeCell ref="BL234:BL253"/>
    <mergeCell ref="BM234:BM253"/>
    <mergeCell ref="BN234:BN253"/>
    <mergeCell ref="BO234:BO253"/>
    <mergeCell ref="BD234:BD253"/>
    <mergeCell ref="BE234:BE253"/>
    <mergeCell ref="BF234:BF253"/>
    <mergeCell ref="BG234:BG253"/>
    <mergeCell ref="BH234:BH253"/>
    <mergeCell ref="BI234:BI253"/>
    <mergeCell ref="AX234:AX253"/>
    <mergeCell ref="AY234:AY253"/>
    <mergeCell ref="AZ234:AZ253"/>
    <mergeCell ref="BA234:BA253"/>
    <mergeCell ref="BB234:BB253"/>
    <mergeCell ref="BC234:BC253"/>
    <mergeCell ref="AR234:AR253"/>
    <mergeCell ref="AS234:AS253"/>
    <mergeCell ref="AT234:AT253"/>
    <mergeCell ref="AU234:AU253"/>
    <mergeCell ref="AV234:AV253"/>
    <mergeCell ref="AW234:AW253"/>
    <mergeCell ref="AL234:AL253"/>
    <mergeCell ref="AM234:AM253"/>
    <mergeCell ref="AN234:AN253"/>
    <mergeCell ref="AO234:AO253"/>
    <mergeCell ref="AP234:AP253"/>
    <mergeCell ref="AQ234:AQ253"/>
    <mergeCell ref="AF234:AF253"/>
    <mergeCell ref="AG234:AG253"/>
    <mergeCell ref="AH234:AH253"/>
    <mergeCell ref="AI234:AI253"/>
    <mergeCell ref="AJ234:AJ253"/>
    <mergeCell ref="AK234:AK253"/>
    <mergeCell ref="Z234:Z253"/>
    <mergeCell ref="AA234:AA253"/>
    <mergeCell ref="AB234:AB253"/>
    <mergeCell ref="AC234:AC253"/>
    <mergeCell ref="AD234:AD253"/>
    <mergeCell ref="AE234:AE253"/>
    <mergeCell ref="M234:M253"/>
    <mergeCell ref="N234:N253"/>
    <mergeCell ref="O234:O253"/>
    <mergeCell ref="Q234:Q253"/>
    <mergeCell ref="R234:R253"/>
    <mergeCell ref="S234:S253"/>
    <mergeCell ref="BN216:BN233"/>
    <mergeCell ref="BO216:BO233"/>
    <mergeCell ref="BP216:BP233"/>
    <mergeCell ref="T220:T221"/>
    <mergeCell ref="G225:G233"/>
    <mergeCell ref="H225:H233"/>
    <mergeCell ref="I225:I233"/>
    <mergeCell ref="J225:J233"/>
    <mergeCell ref="K225:K233"/>
    <mergeCell ref="L225:L233"/>
    <mergeCell ref="BH216:BH233"/>
    <mergeCell ref="BI216:BI233"/>
    <mergeCell ref="BJ216:BJ233"/>
    <mergeCell ref="BK216:BK233"/>
    <mergeCell ref="BL216:BL233"/>
    <mergeCell ref="BM216:BM233"/>
    <mergeCell ref="BB216:BB233"/>
    <mergeCell ref="BC216:BC233"/>
    <mergeCell ref="BD216:BD233"/>
    <mergeCell ref="BE216:BE233"/>
    <mergeCell ref="BF216:BF233"/>
    <mergeCell ref="BG216:BG233"/>
    <mergeCell ref="AV216:AV233"/>
    <mergeCell ref="AW216:AW233"/>
    <mergeCell ref="AX216:AX233"/>
    <mergeCell ref="AY216:AY233"/>
    <mergeCell ref="AZ216:AZ233"/>
    <mergeCell ref="BA216:BA233"/>
    <mergeCell ref="AP216:AP233"/>
    <mergeCell ref="AQ216:AQ233"/>
    <mergeCell ref="AR216:AR233"/>
    <mergeCell ref="AS216:AS233"/>
    <mergeCell ref="AT216:AT233"/>
    <mergeCell ref="AU216:AU233"/>
    <mergeCell ref="AJ216:AJ233"/>
    <mergeCell ref="AK216:AK233"/>
    <mergeCell ref="AL216:AL233"/>
    <mergeCell ref="AM216:AM233"/>
    <mergeCell ref="AN216:AN233"/>
    <mergeCell ref="AO216:AO233"/>
    <mergeCell ref="AD216:AD233"/>
    <mergeCell ref="AE216:AE233"/>
    <mergeCell ref="AF216:AF233"/>
    <mergeCell ref="AG216:AG233"/>
    <mergeCell ref="AH216:AH233"/>
    <mergeCell ref="AI216:AI233"/>
    <mergeCell ref="S216:S233"/>
    <mergeCell ref="T216:T218"/>
    <mergeCell ref="Z216:Z233"/>
    <mergeCell ref="AA216:AA233"/>
    <mergeCell ref="AB216:AB233"/>
    <mergeCell ref="AC216:AC233"/>
    <mergeCell ref="T225:T229"/>
    <mergeCell ref="M216:M233"/>
    <mergeCell ref="N216:N233"/>
    <mergeCell ref="O216:O233"/>
    <mergeCell ref="P216:P224"/>
    <mergeCell ref="Q216:Q233"/>
    <mergeCell ref="R216:R233"/>
    <mergeCell ref="P225:P233"/>
    <mergeCell ref="G216:G224"/>
    <mergeCell ref="H216:H224"/>
    <mergeCell ref="I216:I224"/>
    <mergeCell ref="J216:J224"/>
    <mergeCell ref="K216:K224"/>
    <mergeCell ref="L216:L224"/>
    <mergeCell ref="BO194:BO215"/>
    <mergeCell ref="BP194:BP215"/>
    <mergeCell ref="G199:G204"/>
    <mergeCell ref="H199:H204"/>
    <mergeCell ref="I199:I204"/>
    <mergeCell ref="J199:J204"/>
    <mergeCell ref="K199:K204"/>
    <mergeCell ref="L199:L204"/>
    <mergeCell ref="P199:P204"/>
    <mergeCell ref="G205:G215"/>
    <mergeCell ref="BI194:BI215"/>
    <mergeCell ref="BJ194:BJ215"/>
    <mergeCell ref="BK194:BK215"/>
    <mergeCell ref="BL194:BL215"/>
    <mergeCell ref="BM194:BM215"/>
    <mergeCell ref="BN194:BN215"/>
    <mergeCell ref="BC194:BC215"/>
    <mergeCell ref="BD194:BD215"/>
    <mergeCell ref="BE194:BE215"/>
    <mergeCell ref="BF194:BF215"/>
    <mergeCell ref="BG194:BG215"/>
    <mergeCell ref="BH194:BH215"/>
    <mergeCell ref="AW194:AW215"/>
    <mergeCell ref="AX194:AX215"/>
    <mergeCell ref="AY194:AY215"/>
    <mergeCell ref="AZ194:AZ215"/>
    <mergeCell ref="BA194:BA215"/>
    <mergeCell ref="BB194:BB215"/>
    <mergeCell ref="AQ194:AQ215"/>
    <mergeCell ref="AR194:AR215"/>
    <mergeCell ref="AS194:AS215"/>
    <mergeCell ref="AT194:AT215"/>
    <mergeCell ref="AU194:AU215"/>
    <mergeCell ref="AV194:AV215"/>
    <mergeCell ref="AK194:AK215"/>
    <mergeCell ref="AL194:AL215"/>
    <mergeCell ref="AM194:AM215"/>
    <mergeCell ref="AN194:AN215"/>
    <mergeCell ref="AO194:AO215"/>
    <mergeCell ref="AP194:AP215"/>
    <mergeCell ref="AE194:AE215"/>
    <mergeCell ref="AF194:AF215"/>
    <mergeCell ref="AG194:AG215"/>
    <mergeCell ref="AH194:AH215"/>
    <mergeCell ref="AI194:AI215"/>
    <mergeCell ref="AJ194:AJ215"/>
    <mergeCell ref="S194:S215"/>
    <mergeCell ref="Z194:Z215"/>
    <mergeCell ref="AA194:AA215"/>
    <mergeCell ref="AB194:AB215"/>
    <mergeCell ref="AC194:AC215"/>
    <mergeCell ref="AD194:AD215"/>
    <mergeCell ref="M194:M215"/>
    <mergeCell ref="N194:N215"/>
    <mergeCell ref="O194:O215"/>
    <mergeCell ref="P194:P198"/>
    <mergeCell ref="Q194:Q215"/>
    <mergeCell ref="R194:R215"/>
    <mergeCell ref="G194:G198"/>
    <mergeCell ref="H194:H198"/>
    <mergeCell ref="I194:I198"/>
    <mergeCell ref="J194:J198"/>
    <mergeCell ref="K194:K198"/>
    <mergeCell ref="L194:L198"/>
    <mergeCell ref="H205:H215"/>
    <mergeCell ref="I205:I215"/>
    <mergeCell ref="J205:J215"/>
    <mergeCell ref="K205:K215"/>
    <mergeCell ref="L205:L215"/>
    <mergeCell ref="P205:P215"/>
    <mergeCell ref="BO183:BO193"/>
    <mergeCell ref="BP183:BP193"/>
    <mergeCell ref="G188:G193"/>
    <mergeCell ref="H188:H193"/>
    <mergeCell ref="I188:I193"/>
    <mergeCell ref="J188:J193"/>
    <mergeCell ref="K188:K193"/>
    <mergeCell ref="L188:L193"/>
    <mergeCell ref="P188:P193"/>
    <mergeCell ref="BI183:BI193"/>
    <mergeCell ref="BJ183:BJ193"/>
    <mergeCell ref="BK183:BK193"/>
    <mergeCell ref="BL183:BL193"/>
    <mergeCell ref="BM183:BM193"/>
    <mergeCell ref="BN183:BN193"/>
    <mergeCell ref="BC183:BC193"/>
    <mergeCell ref="BD183:BD193"/>
    <mergeCell ref="BE183:BE193"/>
    <mergeCell ref="BF183:BF193"/>
    <mergeCell ref="BG183:BG193"/>
    <mergeCell ref="BH183:BH193"/>
    <mergeCell ref="AW183:AW193"/>
    <mergeCell ref="AX183:AX193"/>
    <mergeCell ref="AY183:AY193"/>
    <mergeCell ref="AZ183:AZ193"/>
    <mergeCell ref="BA183:BA193"/>
    <mergeCell ref="BB183:BB193"/>
    <mergeCell ref="AQ183:AQ193"/>
    <mergeCell ref="AR183:AR193"/>
    <mergeCell ref="AS183:AS193"/>
    <mergeCell ref="AT183:AT193"/>
    <mergeCell ref="AU183:AU193"/>
    <mergeCell ref="AV183:AV193"/>
    <mergeCell ref="AK183:AK193"/>
    <mergeCell ref="AL183:AL193"/>
    <mergeCell ref="AM183:AM193"/>
    <mergeCell ref="AN183:AN193"/>
    <mergeCell ref="AO183:AO193"/>
    <mergeCell ref="AP183:AP193"/>
    <mergeCell ref="AE183:AE193"/>
    <mergeCell ref="AF183:AF193"/>
    <mergeCell ref="AG183:AG193"/>
    <mergeCell ref="AH183:AH193"/>
    <mergeCell ref="AI183:AI193"/>
    <mergeCell ref="AJ183:AJ193"/>
    <mergeCell ref="S183:S193"/>
    <mergeCell ref="Z183:Z193"/>
    <mergeCell ref="AA183:AA193"/>
    <mergeCell ref="AB183:AB193"/>
    <mergeCell ref="AC183:AC193"/>
    <mergeCell ref="AD183:AD193"/>
    <mergeCell ref="M183:M193"/>
    <mergeCell ref="N183:N193"/>
    <mergeCell ref="O183:O193"/>
    <mergeCell ref="P183:P187"/>
    <mergeCell ref="Q183:Q193"/>
    <mergeCell ref="R183:R193"/>
    <mergeCell ref="G183:G187"/>
    <mergeCell ref="H183:H187"/>
    <mergeCell ref="I183:I187"/>
    <mergeCell ref="J183:J187"/>
    <mergeCell ref="K183:K187"/>
    <mergeCell ref="L183:L187"/>
    <mergeCell ref="H176:H182"/>
    <mergeCell ref="I176:I182"/>
    <mergeCell ref="J176:J182"/>
    <mergeCell ref="K176:K182"/>
    <mergeCell ref="L176:L182"/>
    <mergeCell ref="P176:P182"/>
    <mergeCell ref="M167:M182"/>
    <mergeCell ref="N167:N182"/>
    <mergeCell ref="O167:O182"/>
    <mergeCell ref="P167:P170"/>
    <mergeCell ref="Q167:Q182"/>
    <mergeCell ref="R167:R182"/>
    <mergeCell ref="G167:G170"/>
    <mergeCell ref="H167:H170"/>
    <mergeCell ref="I167:I170"/>
    <mergeCell ref="J167:J170"/>
    <mergeCell ref="K167:K170"/>
    <mergeCell ref="L167:L170"/>
    <mergeCell ref="BO167:BO182"/>
    <mergeCell ref="BP167:BP182"/>
    <mergeCell ref="G171:G175"/>
    <mergeCell ref="H171:H175"/>
    <mergeCell ref="I171:I175"/>
    <mergeCell ref="J171:J175"/>
    <mergeCell ref="K171:K175"/>
    <mergeCell ref="L171:L175"/>
    <mergeCell ref="P171:P175"/>
    <mergeCell ref="G176:G182"/>
    <mergeCell ref="BI167:BI182"/>
    <mergeCell ref="BJ167:BJ182"/>
    <mergeCell ref="BK167:BK182"/>
    <mergeCell ref="BL167:BL182"/>
    <mergeCell ref="BM167:BM182"/>
    <mergeCell ref="BN167:BN182"/>
    <mergeCell ref="BC167:BC182"/>
    <mergeCell ref="BD167:BD182"/>
    <mergeCell ref="BE167:BE182"/>
    <mergeCell ref="BF167:BF182"/>
    <mergeCell ref="BG167:BG182"/>
    <mergeCell ref="BH167:BH182"/>
    <mergeCell ref="AW167:AW182"/>
    <mergeCell ref="AX167:AX182"/>
    <mergeCell ref="AY167:AY182"/>
    <mergeCell ref="AZ167:AZ182"/>
    <mergeCell ref="BA167:BA182"/>
    <mergeCell ref="BB167:BB182"/>
    <mergeCell ref="AQ167:AQ182"/>
    <mergeCell ref="AR167:AR182"/>
    <mergeCell ref="AS167:AS182"/>
    <mergeCell ref="AT167:AT182"/>
    <mergeCell ref="AU167:AU182"/>
    <mergeCell ref="AV167:AV182"/>
    <mergeCell ref="AK167:AK182"/>
    <mergeCell ref="AL167:AL182"/>
    <mergeCell ref="AM167:AM182"/>
    <mergeCell ref="AN167:AN182"/>
    <mergeCell ref="AO167:AO182"/>
    <mergeCell ref="AP167:AP182"/>
    <mergeCell ref="AE167:AE182"/>
    <mergeCell ref="AF167:AF182"/>
    <mergeCell ref="AG167:AG182"/>
    <mergeCell ref="AH167:AH182"/>
    <mergeCell ref="AI167:AI182"/>
    <mergeCell ref="AJ167:AJ182"/>
    <mergeCell ref="S167:S182"/>
    <mergeCell ref="Z167:Z182"/>
    <mergeCell ref="AA167:AA182"/>
    <mergeCell ref="AB167:AB182"/>
    <mergeCell ref="AC167:AC182"/>
    <mergeCell ref="AD167:AD182"/>
    <mergeCell ref="BO144:BO166"/>
    <mergeCell ref="BP144:BP166"/>
    <mergeCell ref="G157:G166"/>
    <mergeCell ref="H157:H166"/>
    <mergeCell ref="I157:I166"/>
    <mergeCell ref="J157:J166"/>
    <mergeCell ref="K157:K166"/>
    <mergeCell ref="L157:L166"/>
    <mergeCell ref="P157:P166"/>
    <mergeCell ref="BI144:BI166"/>
    <mergeCell ref="BJ144:BJ166"/>
    <mergeCell ref="BK144:BK166"/>
    <mergeCell ref="BL144:BL166"/>
    <mergeCell ref="BM144:BM166"/>
    <mergeCell ref="BN144:BN166"/>
    <mergeCell ref="BC144:BC166"/>
    <mergeCell ref="BD144:BD166"/>
    <mergeCell ref="BE144:BE166"/>
    <mergeCell ref="BF144:BF166"/>
    <mergeCell ref="BG144:BG166"/>
    <mergeCell ref="BH144:BH166"/>
    <mergeCell ref="AW144:AW166"/>
    <mergeCell ref="AX144:AX166"/>
    <mergeCell ref="AY144:AY166"/>
    <mergeCell ref="AZ144:AZ166"/>
    <mergeCell ref="BA144:BA166"/>
    <mergeCell ref="BB144:BB166"/>
    <mergeCell ref="AQ144:AQ166"/>
    <mergeCell ref="AR144:AR166"/>
    <mergeCell ref="AS144:AS166"/>
    <mergeCell ref="AT144:AT166"/>
    <mergeCell ref="AU144:AU166"/>
    <mergeCell ref="AV144:AV166"/>
    <mergeCell ref="AK144:AK166"/>
    <mergeCell ref="AL144:AL166"/>
    <mergeCell ref="AM144:AM166"/>
    <mergeCell ref="AN144:AN166"/>
    <mergeCell ref="AO144:AO166"/>
    <mergeCell ref="AP144:AP166"/>
    <mergeCell ref="AE144:AE166"/>
    <mergeCell ref="AF144:AF166"/>
    <mergeCell ref="AG144:AG166"/>
    <mergeCell ref="AH144:AH166"/>
    <mergeCell ref="AI144:AI166"/>
    <mergeCell ref="AJ144:AJ166"/>
    <mergeCell ref="S144:S166"/>
    <mergeCell ref="Z144:Z166"/>
    <mergeCell ref="AA144:AA166"/>
    <mergeCell ref="AB144:AB166"/>
    <mergeCell ref="AC144:AC166"/>
    <mergeCell ref="AD144:AD166"/>
    <mergeCell ref="M144:M166"/>
    <mergeCell ref="N144:N166"/>
    <mergeCell ref="O144:O166"/>
    <mergeCell ref="P144:P156"/>
    <mergeCell ref="Q144:Q166"/>
    <mergeCell ref="R144:R166"/>
    <mergeCell ref="G144:G156"/>
    <mergeCell ref="H144:H156"/>
    <mergeCell ref="I144:I156"/>
    <mergeCell ref="J144:J156"/>
    <mergeCell ref="K144:K156"/>
    <mergeCell ref="L144:L156"/>
    <mergeCell ref="G142:G143"/>
    <mergeCell ref="H142:H143"/>
    <mergeCell ref="I142:I143"/>
    <mergeCell ref="J142:J143"/>
    <mergeCell ref="K142:K143"/>
    <mergeCell ref="L142:L143"/>
    <mergeCell ref="Q126:Q143"/>
    <mergeCell ref="R126:R143"/>
    <mergeCell ref="I136:I138"/>
    <mergeCell ref="J136:J138"/>
    <mergeCell ref="K136:K138"/>
    <mergeCell ref="L136:L138"/>
    <mergeCell ref="P136:P138"/>
    <mergeCell ref="L129:L130"/>
    <mergeCell ref="P129:P130"/>
    <mergeCell ref="G131:G135"/>
    <mergeCell ref="H131:H135"/>
    <mergeCell ref="I131:I135"/>
    <mergeCell ref="J131:J135"/>
    <mergeCell ref="K131:K135"/>
    <mergeCell ref="L131:L135"/>
    <mergeCell ref="P131:P135"/>
    <mergeCell ref="M126:M143"/>
    <mergeCell ref="N126:N143"/>
    <mergeCell ref="O126:O143"/>
    <mergeCell ref="BP126:BP143"/>
    <mergeCell ref="G127:G128"/>
    <mergeCell ref="H127:H128"/>
    <mergeCell ref="I127:I128"/>
    <mergeCell ref="J127:J128"/>
    <mergeCell ref="K127:K128"/>
    <mergeCell ref="L127:L128"/>
    <mergeCell ref="P127:P128"/>
    <mergeCell ref="G129:G130"/>
    <mergeCell ref="H129:H130"/>
    <mergeCell ref="BJ126:BJ143"/>
    <mergeCell ref="BK126:BK143"/>
    <mergeCell ref="BL126:BL143"/>
    <mergeCell ref="BM126:BM143"/>
    <mergeCell ref="BN126:BN143"/>
    <mergeCell ref="BO126:BO143"/>
    <mergeCell ref="BD126:BD143"/>
    <mergeCell ref="BE126:BE143"/>
    <mergeCell ref="BF126:BF143"/>
    <mergeCell ref="BG126:BG143"/>
    <mergeCell ref="BH126:BH143"/>
    <mergeCell ref="BI126:BI143"/>
    <mergeCell ref="AX126:AX143"/>
    <mergeCell ref="AY126:AY143"/>
    <mergeCell ref="AZ126:AZ143"/>
    <mergeCell ref="BA126:BA143"/>
    <mergeCell ref="BB126:BB143"/>
    <mergeCell ref="BC126:BC143"/>
    <mergeCell ref="AR126:AR143"/>
    <mergeCell ref="AS126:AS143"/>
    <mergeCell ref="AT126:AT143"/>
    <mergeCell ref="AU126:AU143"/>
    <mergeCell ref="AV126:AV143"/>
    <mergeCell ref="AW126:AW143"/>
    <mergeCell ref="AL126:AL143"/>
    <mergeCell ref="AM126:AM143"/>
    <mergeCell ref="AN126:AN143"/>
    <mergeCell ref="AO126:AO143"/>
    <mergeCell ref="AP126:AP143"/>
    <mergeCell ref="AQ126:AQ143"/>
    <mergeCell ref="AF126:AF143"/>
    <mergeCell ref="AG126:AG143"/>
    <mergeCell ref="AH126:AH143"/>
    <mergeCell ref="AI126:AI143"/>
    <mergeCell ref="AJ126:AJ143"/>
    <mergeCell ref="AK126:AK143"/>
    <mergeCell ref="Z126:Z143"/>
    <mergeCell ref="AA126:AA143"/>
    <mergeCell ref="AB126:AB143"/>
    <mergeCell ref="AC126:AC143"/>
    <mergeCell ref="AD126:AD143"/>
    <mergeCell ref="AE126:AE143"/>
    <mergeCell ref="BN114:BN125"/>
    <mergeCell ref="BO114:BO125"/>
    <mergeCell ref="BP114:BP125"/>
    <mergeCell ref="G121:G125"/>
    <mergeCell ref="H121:H125"/>
    <mergeCell ref="I121:I125"/>
    <mergeCell ref="J121:J125"/>
    <mergeCell ref="K121:K125"/>
    <mergeCell ref="L121:L125"/>
    <mergeCell ref="P121:P125"/>
    <mergeCell ref="BH114:BH125"/>
    <mergeCell ref="BI114:BI125"/>
    <mergeCell ref="BJ114:BJ125"/>
    <mergeCell ref="BK114:BK125"/>
    <mergeCell ref="BL114:BL125"/>
    <mergeCell ref="BM114:BM125"/>
    <mergeCell ref="BB114:BB125"/>
    <mergeCell ref="BC114:BC125"/>
    <mergeCell ref="BD114:BD125"/>
    <mergeCell ref="BE114:BE125"/>
    <mergeCell ref="BF114:BF125"/>
    <mergeCell ref="BG114:BG125"/>
    <mergeCell ref="AV114:AV125"/>
    <mergeCell ref="AW114:AW125"/>
    <mergeCell ref="AX114:AX125"/>
    <mergeCell ref="AY114:AY125"/>
    <mergeCell ref="AZ114:AZ125"/>
    <mergeCell ref="BA114:BA125"/>
    <mergeCell ref="AP114:AP125"/>
    <mergeCell ref="AQ114:AQ125"/>
    <mergeCell ref="AR114:AR125"/>
    <mergeCell ref="AS114:AS125"/>
    <mergeCell ref="AT114:AT125"/>
    <mergeCell ref="AU114:AU125"/>
    <mergeCell ref="AJ114:AJ125"/>
    <mergeCell ref="AK114:AK125"/>
    <mergeCell ref="AL114:AL125"/>
    <mergeCell ref="AM114:AM125"/>
    <mergeCell ref="AN114:AN125"/>
    <mergeCell ref="AO114:AO125"/>
    <mergeCell ref="AD114:AD125"/>
    <mergeCell ref="AE114:AE125"/>
    <mergeCell ref="AF114:AF125"/>
    <mergeCell ref="AG114:AG125"/>
    <mergeCell ref="AH114:AH125"/>
    <mergeCell ref="AI114:AI125"/>
    <mergeCell ref="R114:R125"/>
    <mergeCell ref="S114:S125"/>
    <mergeCell ref="Z114:Z125"/>
    <mergeCell ref="AA114:AA125"/>
    <mergeCell ref="AB114:AB125"/>
    <mergeCell ref="AC114:AC125"/>
    <mergeCell ref="L114:L120"/>
    <mergeCell ref="M114:M125"/>
    <mergeCell ref="N114:N125"/>
    <mergeCell ref="O114:O125"/>
    <mergeCell ref="P114:P120"/>
    <mergeCell ref="Q114:Q125"/>
    <mergeCell ref="D114:F296"/>
    <mergeCell ref="G114:G120"/>
    <mergeCell ref="H114:H120"/>
    <mergeCell ref="I114:I120"/>
    <mergeCell ref="J114:J120"/>
    <mergeCell ref="K114:K120"/>
    <mergeCell ref="I129:I130"/>
    <mergeCell ref="J129:J130"/>
    <mergeCell ref="K129:K130"/>
    <mergeCell ref="G136:G138"/>
    <mergeCell ref="S126:S143"/>
    <mergeCell ref="P139:P141"/>
    <mergeCell ref="P142:P143"/>
    <mergeCell ref="G139:G141"/>
    <mergeCell ref="H139:H141"/>
    <mergeCell ref="I139:I141"/>
    <mergeCell ref="J139:J141"/>
    <mergeCell ref="K139:K141"/>
    <mergeCell ref="L139:L141"/>
    <mergeCell ref="H136:H138"/>
    <mergeCell ref="BP108:BP112"/>
    <mergeCell ref="G111:G112"/>
    <mergeCell ref="H111:H112"/>
    <mergeCell ref="I111:I112"/>
    <mergeCell ref="J111:J112"/>
    <mergeCell ref="K111:K112"/>
    <mergeCell ref="L111:L112"/>
    <mergeCell ref="P111:P112"/>
    <mergeCell ref="BJ108:BJ112"/>
    <mergeCell ref="BK108:BK112"/>
    <mergeCell ref="BL108:BL112"/>
    <mergeCell ref="BM108:BM112"/>
    <mergeCell ref="BN108:BN112"/>
    <mergeCell ref="BO108:BO112"/>
    <mergeCell ref="BD108:BD112"/>
    <mergeCell ref="BE108:BE112"/>
    <mergeCell ref="BF108:BF112"/>
    <mergeCell ref="BG108:BG112"/>
    <mergeCell ref="BH108:BH112"/>
    <mergeCell ref="BI108:BI112"/>
    <mergeCell ref="AX108:AX112"/>
    <mergeCell ref="AY108:AY112"/>
    <mergeCell ref="AZ108:AZ112"/>
    <mergeCell ref="BA108:BA112"/>
    <mergeCell ref="BB108:BB112"/>
    <mergeCell ref="BC108:BC112"/>
    <mergeCell ref="AR108:AR112"/>
    <mergeCell ref="AS108:AS112"/>
    <mergeCell ref="AT108:AT112"/>
    <mergeCell ref="AU108:AU112"/>
    <mergeCell ref="AV108:AV112"/>
    <mergeCell ref="AW108:AW112"/>
    <mergeCell ref="AL108:AL112"/>
    <mergeCell ref="AM108:AM112"/>
    <mergeCell ref="AN108:AN112"/>
    <mergeCell ref="AO108:AO112"/>
    <mergeCell ref="AP108:AP112"/>
    <mergeCell ref="AQ108:AQ112"/>
    <mergeCell ref="AF108:AF112"/>
    <mergeCell ref="AG108:AG112"/>
    <mergeCell ref="AH108:AH112"/>
    <mergeCell ref="AI108:AI112"/>
    <mergeCell ref="AJ108:AJ112"/>
    <mergeCell ref="AK108:AK112"/>
    <mergeCell ref="Z108:Z112"/>
    <mergeCell ref="AA108:AA112"/>
    <mergeCell ref="AB108:AB112"/>
    <mergeCell ref="AC108:AC112"/>
    <mergeCell ref="AD108:AD112"/>
    <mergeCell ref="AE108:AE112"/>
    <mergeCell ref="M108:M112"/>
    <mergeCell ref="N108:N112"/>
    <mergeCell ref="O108:O112"/>
    <mergeCell ref="Q108:Q112"/>
    <mergeCell ref="R108:R112"/>
    <mergeCell ref="S108:S112"/>
    <mergeCell ref="G105:G107"/>
    <mergeCell ref="H105:H107"/>
    <mergeCell ref="I105:I107"/>
    <mergeCell ref="J105:J107"/>
    <mergeCell ref="K105:K107"/>
    <mergeCell ref="L105:L107"/>
    <mergeCell ref="BO95:BO107"/>
    <mergeCell ref="BP95:BP107"/>
    <mergeCell ref="G98:G104"/>
    <mergeCell ref="H98:H104"/>
    <mergeCell ref="I98:I104"/>
    <mergeCell ref="J98:J104"/>
    <mergeCell ref="K98:K104"/>
    <mergeCell ref="L98:L104"/>
    <mergeCell ref="P98:P104"/>
    <mergeCell ref="T98:T99"/>
    <mergeCell ref="BI95:BI107"/>
    <mergeCell ref="BJ95:BJ107"/>
    <mergeCell ref="BK95:BK107"/>
    <mergeCell ref="BL95:BL107"/>
    <mergeCell ref="BM95:BM107"/>
    <mergeCell ref="BN95:BN107"/>
    <mergeCell ref="BC95:BC107"/>
    <mergeCell ref="BD95:BD107"/>
    <mergeCell ref="BE95:BE107"/>
    <mergeCell ref="BF95:BF107"/>
    <mergeCell ref="BG95:BG107"/>
    <mergeCell ref="BH95:BH107"/>
    <mergeCell ref="AW95:AW107"/>
    <mergeCell ref="AX95:AX107"/>
    <mergeCell ref="AY95:AY107"/>
    <mergeCell ref="AZ95:AZ107"/>
    <mergeCell ref="BA95:BA107"/>
    <mergeCell ref="BB95:BB107"/>
    <mergeCell ref="AQ95:AQ107"/>
    <mergeCell ref="AR95:AR107"/>
    <mergeCell ref="AS95:AS107"/>
    <mergeCell ref="AT95:AT107"/>
    <mergeCell ref="AU95:AU107"/>
    <mergeCell ref="AV95:AV107"/>
    <mergeCell ref="AK95:AK107"/>
    <mergeCell ref="AL95:AL107"/>
    <mergeCell ref="AM95:AM107"/>
    <mergeCell ref="AN95:AN107"/>
    <mergeCell ref="AO95:AO107"/>
    <mergeCell ref="AP95:AP107"/>
    <mergeCell ref="AE95:AE107"/>
    <mergeCell ref="AF95:AF107"/>
    <mergeCell ref="AG95:AG107"/>
    <mergeCell ref="AH95:AH107"/>
    <mergeCell ref="AI95:AI107"/>
    <mergeCell ref="AJ95:AJ107"/>
    <mergeCell ref="T95:T96"/>
    <mergeCell ref="Z95:Z107"/>
    <mergeCell ref="AA95:AA107"/>
    <mergeCell ref="AB95:AB107"/>
    <mergeCell ref="AC95:AC107"/>
    <mergeCell ref="AD95:AD107"/>
    <mergeCell ref="T100:T101"/>
    <mergeCell ref="T102:T103"/>
    <mergeCell ref="T106:T107"/>
    <mergeCell ref="N95:N107"/>
    <mergeCell ref="O95:O107"/>
    <mergeCell ref="P95:P96"/>
    <mergeCell ref="Q95:Q107"/>
    <mergeCell ref="R95:R107"/>
    <mergeCell ref="S95:S107"/>
    <mergeCell ref="P105:P107"/>
    <mergeCell ref="BP89:BP94"/>
    <mergeCell ref="T91:T92"/>
    <mergeCell ref="T93:T94"/>
    <mergeCell ref="G95:G96"/>
    <mergeCell ref="H95:H96"/>
    <mergeCell ref="I95:I96"/>
    <mergeCell ref="J95:J96"/>
    <mergeCell ref="K95:K96"/>
    <mergeCell ref="L95:L96"/>
    <mergeCell ref="M95:M107"/>
    <mergeCell ref="BJ89:BJ94"/>
    <mergeCell ref="BK89:BK94"/>
    <mergeCell ref="BL89:BL94"/>
    <mergeCell ref="BM89:BM94"/>
    <mergeCell ref="BN89:BN94"/>
    <mergeCell ref="BO89:BO94"/>
    <mergeCell ref="BD89:BD94"/>
    <mergeCell ref="BE89:BE94"/>
    <mergeCell ref="BF89:BF94"/>
    <mergeCell ref="BG89:BG94"/>
    <mergeCell ref="BH89:BH94"/>
    <mergeCell ref="BI89:BI94"/>
    <mergeCell ref="AX89:AX94"/>
    <mergeCell ref="AY89:AY94"/>
    <mergeCell ref="AZ89:AZ94"/>
    <mergeCell ref="BA89:BA94"/>
    <mergeCell ref="BB89:BB94"/>
    <mergeCell ref="BC89:BC94"/>
    <mergeCell ref="AR89:AR94"/>
    <mergeCell ref="AS89:AS94"/>
    <mergeCell ref="AT89:AT94"/>
    <mergeCell ref="AU89:AU94"/>
    <mergeCell ref="AV89:AV94"/>
    <mergeCell ref="AW89:AW94"/>
    <mergeCell ref="AL89:AL94"/>
    <mergeCell ref="AM89:AM94"/>
    <mergeCell ref="AN89:AN94"/>
    <mergeCell ref="AO89:AO94"/>
    <mergeCell ref="AP89:AP94"/>
    <mergeCell ref="AQ89:AQ94"/>
    <mergeCell ref="AF89:AF94"/>
    <mergeCell ref="AG89:AG94"/>
    <mergeCell ref="AH89:AH94"/>
    <mergeCell ref="AI89:AI94"/>
    <mergeCell ref="AJ89:AJ94"/>
    <mergeCell ref="AK89:AK94"/>
    <mergeCell ref="Z89:Z94"/>
    <mergeCell ref="AA89:AA94"/>
    <mergeCell ref="AB89:AB94"/>
    <mergeCell ref="AC89:AC94"/>
    <mergeCell ref="AD89:AD94"/>
    <mergeCell ref="AE89:AE94"/>
    <mergeCell ref="O89:O94"/>
    <mergeCell ref="P89:P94"/>
    <mergeCell ref="Q89:Q94"/>
    <mergeCell ref="R89:R94"/>
    <mergeCell ref="S89:S94"/>
    <mergeCell ref="T89:T90"/>
    <mergeCell ref="BO77:BO88"/>
    <mergeCell ref="BP77:BP88"/>
    <mergeCell ref="G89:G94"/>
    <mergeCell ref="H89:H94"/>
    <mergeCell ref="I89:I94"/>
    <mergeCell ref="J89:J94"/>
    <mergeCell ref="K89:K94"/>
    <mergeCell ref="L89:L94"/>
    <mergeCell ref="M89:M94"/>
    <mergeCell ref="N89:N94"/>
    <mergeCell ref="BI77:BI88"/>
    <mergeCell ref="BJ77:BJ88"/>
    <mergeCell ref="BK77:BK88"/>
    <mergeCell ref="BL77:BL88"/>
    <mergeCell ref="BM77:BM88"/>
    <mergeCell ref="BN77:BN88"/>
    <mergeCell ref="BC77:BC88"/>
    <mergeCell ref="BD77:BD88"/>
    <mergeCell ref="BE77:BE88"/>
    <mergeCell ref="BF77:BF88"/>
    <mergeCell ref="BG77:BG88"/>
    <mergeCell ref="BH77:BH88"/>
    <mergeCell ref="AW77:AW88"/>
    <mergeCell ref="AX77:AX88"/>
    <mergeCell ref="AY77:AY88"/>
    <mergeCell ref="AZ77:AZ88"/>
    <mergeCell ref="BA77:BA88"/>
    <mergeCell ref="BB77:BB88"/>
    <mergeCell ref="AQ77:AQ88"/>
    <mergeCell ref="AR77:AR88"/>
    <mergeCell ref="AS77:AS88"/>
    <mergeCell ref="AT77:AT88"/>
    <mergeCell ref="AU77:AU88"/>
    <mergeCell ref="AV77:AV88"/>
    <mergeCell ref="AK77:AK88"/>
    <mergeCell ref="AL77:AL88"/>
    <mergeCell ref="AM77:AM88"/>
    <mergeCell ref="AN77:AN88"/>
    <mergeCell ref="AO77:AO88"/>
    <mergeCell ref="AP77:AP88"/>
    <mergeCell ref="AE77:AE88"/>
    <mergeCell ref="AF77:AF88"/>
    <mergeCell ref="AG77:AG88"/>
    <mergeCell ref="AH77:AH88"/>
    <mergeCell ref="AI77:AI88"/>
    <mergeCell ref="AJ77:AJ88"/>
    <mergeCell ref="S77:S88"/>
    <mergeCell ref="Z77:Z88"/>
    <mergeCell ref="AA77:AA88"/>
    <mergeCell ref="AB77:AB88"/>
    <mergeCell ref="AC77:AC88"/>
    <mergeCell ref="AD77:AD88"/>
    <mergeCell ref="M77:M88"/>
    <mergeCell ref="N77:N88"/>
    <mergeCell ref="O77:O88"/>
    <mergeCell ref="P77:P88"/>
    <mergeCell ref="Q77:Q88"/>
    <mergeCell ref="R77:R88"/>
    <mergeCell ref="G77:G88"/>
    <mergeCell ref="H77:H88"/>
    <mergeCell ref="I77:I88"/>
    <mergeCell ref="J77:J88"/>
    <mergeCell ref="K77:K88"/>
    <mergeCell ref="L77:L88"/>
    <mergeCell ref="BO63:BO76"/>
    <mergeCell ref="BP63:BP76"/>
    <mergeCell ref="T64:T65"/>
    <mergeCell ref="T67:T68"/>
    <mergeCell ref="G71:G74"/>
    <mergeCell ref="H71:H74"/>
    <mergeCell ref="I71:I74"/>
    <mergeCell ref="J71:J74"/>
    <mergeCell ref="K71:K74"/>
    <mergeCell ref="L71:L74"/>
    <mergeCell ref="BI63:BI76"/>
    <mergeCell ref="BJ63:BJ76"/>
    <mergeCell ref="BK63:BK76"/>
    <mergeCell ref="BL63:BL76"/>
    <mergeCell ref="BM63:BM76"/>
    <mergeCell ref="BN63:BN76"/>
    <mergeCell ref="BC63:BC76"/>
    <mergeCell ref="BD63:BD76"/>
    <mergeCell ref="BE63:BE76"/>
    <mergeCell ref="BF63:BF76"/>
    <mergeCell ref="BG63:BG76"/>
    <mergeCell ref="BH63:BH76"/>
    <mergeCell ref="AW63:AW76"/>
    <mergeCell ref="AX63:AX76"/>
    <mergeCell ref="AY63:AY76"/>
    <mergeCell ref="AZ63:AZ76"/>
    <mergeCell ref="BA63:BA76"/>
    <mergeCell ref="BB63:BB76"/>
    <mergeCell ref="AQ63:AQ76"/>
    <mergeCell ref="AR63:AR76"/>
    <mergeCell ref="AS63:AS76"/>
    <mergeCell ref="AT63:AT76"/>
    <mergeCell ref="AU63:AU76"/>
    <mergeCell ref="AV63:AV76"/>
    <mergeCell ref="AK63:AK76"/>
    <mergeCell ref="AL63:AL76"/>
    <mergeCell ref="AM63:AM76"/>
    <mergeCell ref="AN63:AN76"/>
    <mergeCell ref="AO63:AO76"/>
    <mergeCell ref="AP63:AP76"/>
    <mergeCell ref="AE63:AE76"/>
    <mergeCell ref="AF63:AF76"/>
    <mergeCell ref="AG63:AG76"/>
    <mergeCell ref="AH63:AH76"/>
    <mergeCell ref="AI63:AI76"/>
    <mergeCell ref="AJ63:AJ76"/>
    <mergeCell ref="S63:S76"/>
    <mergeCell ref="Z63:Z76"/>
    <mergeCell ref="AA63:AA76"/>
    <mergeCell ref="AB63:AB76"/>
    <mergeCell ref="AC63:AC76"/>
    <mergeCell ref="AD63:AD76"/>
    <mergeCell ref="T71:T72"/>
    <mergeCell ref="M63:M76"/>
    <mergeCell ref="N63:N76"/>
    <mergeCell ref="O63:O76"/>
    <mergeCell ref="P63:P70"/>
    <mergeCell ref="Q63:Q76"/>
    <mergeCell ref="R63:R76"/>
    <mergeCell ref="P71:P74"/>
    <mergeCell ref="P75:P76"/>
    <mergeCell ref="G63:G70"/>
    <mergeCell ref="H63:H70"/>
    <mergeCell ref="I63:I70"/>
    <mergeCell ref="J63:J70"/>
    <mergeCell ref="K63:K70"/>
    <mergeCell ref="L63:L70"/>
    <mergeCell ref="G75:G76"/>
    <mergeCell ref="H75:H76"/>
    <mergeCell ref="I75:I76"/>
    <mergeCell ref="J75:J76"/>
    <mergeCell ref="K75:K76"/>
    <mergeCell ref="L75:L76"/>
    <mergeCell ref="BO42:BO62"/>
    <mergeCell ref="BP42:BP62"/>
    <mergeCell ref="G49:G62"/>
    <mergeCell ref="H49:H62"/>
    <mergeCell ref="I49:I62"/>
    <mergeCell ref="J49:J62"/>
    <mergeCell ref="K49:K62"/>
    <mergeCell ref="L49:L62"/>
    <mergeCell ref="P49:P62"/>
    <mergeCell ref="BI42:BI62"/>
    <mergeCell ref="BJ42:BJ62"/>
    <mergeCell ref="BK42:BK62"/>
    <mergeCell ref="BL42:BL62"/>
    <mergeCell ref="BM42:BM62"/>
    <mergeCell ref="BN42:BN62"/>
    <mergeCell ref="BC42:BC62"/>
    <mergeCell ref="BD42:BD62"/>
    <mergeCell ref="BE42:BE62"/>
    <mergeCell ref="BF42:BF62"/>
    <mergeCell ref="BG42:BG62"/>
    <mergeCell ref="BH42:BH62"/>
    <mergeCell ref="AW42:AW62"/>
    <mergeCell ref="AX42:AX62"/>
    <mergeCell ref="AY42:AY62"/>
    <mergeCell ref="AZ42:AZ62"/>
    <mergeCell ref="BA42:BA62"/>
    <mergeCell ref="BB42:BB62"/>
    <mergeCell ref="AQ42:AQ62"/>
    <mergeCell ref="AR42:AR62"/>
    <mergeCell ref="AS42:AS62"/>
    <mergeCell ref="AT42:AT62"/>
    <mergeCell ref="AU42:AU62"/>
    <mergeCell ref="J35:J38"/>
    <mergeCell ref="K35:K38"/>
    <mergeCell ref="AV42:AV62"/>
    <mergeCell ref="AK42:AK62"/>
    <mergeCell ref="AL42:AL62"/>
    <mergeCell ref="AM42:AM62"/>
    <mergeCell ref="AN42:AN62"/>
    <mergeCell ref="AO42:AO62"/>
    <mergeCell ref="AP42:AP62"/>
    <mergeCell ref="AE42:AE62"/>
    <mergeCell ref="AF42:AF62"/>
    <mergeCell ref="AG42:AG62"/>
    <mergeCell ref="AH42:AH62"/>
    <mergeCell ref="AI42:AI62"/>
    <mergeCell ref="AJ42:AJ62"/>
    <mergeCell ref="S42:S62"/>
    <mergeCell ref="Z42:Z62"/>
    <mergeCell ref="AA42:AA62"/>
    <mergeCell ref="AB42:AB62"/>
    <mergeCell ref="AC42:AC62"/>
    <mergeCell ref="AD42:AD62"/>
    <mergeCell ref="BD17:BD41"/>
    <mergeCell ref="BE17:BE41"/>
    <mergeCell ref="M42:M62"/>
    <mergeCell ref="N42:N62"/>
    <mergeCell ref="O42:O62"/>
    <mergeCell ref="P42:P48"/>
    <mergeCell ref="Q42:Q62"/>
    <mergeCell ref="R42:R62"/>
    <mergeCell ref="G42:G48"/>
    <mergeCell ref="H42:H48"/>
    <mergeCell ref="I42:I48"/>
    <mergeCell ref="J42:J48"/>
    <mergeCell ref="K42:K48"/>
    <mergeCell ref="L42:L48"/>
    <mergeCell ref="G39:G41"/>
    <mergeCell ref="H39:H41"/>
    <mergeCell ref="I39:I41"/>
    <mergeCell ref="J39:J41"/>
    <mergeCell ref="K39:K41"/>
    <mergeCell ref="L39:L41"/>
    <mergeCell ref="M17:M41"/>
    <mergeCell ref="N17:N41"/>
    <mergeCell ref="O17:O41"/>
    <mergeCell ref="P17:P19"/>
    <mergeCell ref="Q17:Q41"/>
    <mergeCell ref="R17:R41"/>
    <mergeCell ref="P27:P33"/>
    <mergeCell ref="P35:P38"/>
    <mergeCell ref="P39:P41"/>
    <mergeCell ref="G35:G38"/>
    <mergeCell ref="H35:H38"/>
    <mergeCell ref="I35:I38"/>
    <mergeCell ref="AO17:AO41"/>
    <mergeCell ref="AP17:AP41"/>
    <mergeCell ref="L35:L38"/>
    <mergeCell ref="G27:G33"/>
    <mergeCell ref="H27:H33"/>
    <mergeCell ref="I27:I33"/>
    <mergeCell ref="J27:J33"/>
    <mergeCell ref="K27:K33"/>
    <mergeCell ref="L27:L33"/>
    <mergeCell ref="H23:H26"/>
    <mergeCell ref="I23:I26"/>
    <mergeCell ref="J23:J26"/>
    <mergeCell ref="K23:K26"/>
    <mergeCell ref="L23:L26"/>
    <mergeCell ref="P23:P26"/>
    <mergeCell ref="BO17:BO41"/>
    <mergeCell ref="BP17:BP41"/>
    <mergeCell ref="G20:G22"/>
    <mergeCell ref="H20:H22"/>
    <mergeCell ref="I20:I22"/>
    <mergeCell ref="J20:J22"/>
    <mergeCell ref="K20:K22"/>
    <mergeCell ref="L20:L22"/>
    <mergeCell ref="P20:P22"/>
    <mergeCell ref="G23:G26"/>
    <mergeCell ref="BI17:BI41"/>
    <mergeCell ref="BJ17:BJ41"/>
    <mergeCell ref="BK17:BK41"/>
    <mergeCell ref="BL17:BL41"/>
    <mergeCell ref="BM17:BM41"/>
    <mergeCell ref="BN17:BN41"/>
    <mergeCell ref="BC17:BC41"/>
    <mergeCell ref="AI17:AI41"/>
    <mergeCell ref="AJ17:AJ41"/>
    <mergeCell ref="S17:S41"/>
    <mergeCell ref="Z17:Z41"/>
    <mergeCell ref="AA17:AA41"/>
    <mergeCell ref="AB17:AB41"/>
    <mergeCell ref="AC17:AC41"/>
    <mergeCell ref="AD17:AD41"/>
    <mergeCell ref="T31:T32"/>
    <mergeCell ref="BM12:BM16"/>
    <mergeCell ref="BN12:BN16"/>
    <mergeCell ref="BO12:BO16"/>
    <mergeCell ref="BP12:BP16"/>
    <mergeCell ref="BF17:BF41"/>
    <mergeCell ref="BG17:BG41"/>
    <mergeCell ref="BH17:BH41"/>
    <mergeCell ref="AW17:AW41"/>
    <mergeCell ref="AX17:AX41"/>
    <mergeCell ref="AY17:AY41"/>
    <mergeCell ref="AZ17:AZ41"/>
    <mergeCell ref="BA17:BA41"/>
    <mergeCell ref="BB17:BB41"/>
    <mergeCell ref="AQ17:AQ41"/>
    <mergeCell ref="AR17:AR41"/>
    <mergeCell ref="AS17:AS41"/>
    <mergeCell ref="AT17:AT41"/>
    <mergeCell ref="AU17:AU41"/>
    <mergeCell ref="AV17:AV41"/>
    <mergeCell ref="AK17:AK41"/>
    <mergeCell ref="AL17:AL41"/>
    <mergeCell ref="AM17:AM41"/>
    <mergeCell ref="AN17:AN41"/>
    <mergeCell ref="G17:G19"/>
    <mergeCell ref="H17:H19"/>
    <mergeCell ref="I17:I19"/>
    <mergeCell ref="J17:J19"/>
    <mergeCell ref="K17:K19"/>
    <mergeCell ref="L17:L19"/>
    <mergeCell ref="BG12:BG16"/>
    <mergeCell ref="BH12:BH16"/>
    <mergeCell ref="BI12:BI16"/>
    <mergeCell ref="BJ12:BJ16"/>
    <mergeCell ref="BK12:BK16"/>
    <mergeCell ref="BL12:BL16"/>
    <mergeCell ref="BA12:BA16"/>
    <mergeCell ref="BB12:BB16"/>
    <mergeCell ref="BC12:BC16"/>
    <mergeCell ref="BD12:BD16"/>
    <mergeCell ref="BE12:BE16"/>
    <mergeCell ref="BF12:BF16"/>
    <mergeCell ref="AU12:AU16"/>
    <mergeCell ref="AV12:AV16"/>
    <mergeCell ref="AW12:AW16"/>
    <mergeCell ref="AX12:AX16"/>
    <mergeCell ref="AY12:AY16"/>
    <mergeCell ref="AZ12:AZ16"/>
    <mergeCell ref="AO12:AO16"/>
    <mergeCell ref="AP12:AP16"/>
    <mergeCell ref="AQ12:AQ16"/>
    <mergeCell ref="AR12:AR16"/>
    <mergeCell ref="AE17:AE41"/>
    <mergeCell ref="AF17:AF41"/>
    <mergeCell ref="AG17:AG41"/>
    <mergeCell ref="AH17:AH41"/>
    <mergeCell ref="BJ8:BJ9"/>
    <mergeCell ref="BK8:BK9"/>
    <mergeCell ref="A11:C325"/>
    <mergeCell ref="D12:F112"/>
    <mergeCell ref="G12:G16"/>
    <mergeCell ref="H12:H16"/>
    <mergeCell ref="I12:I16"/>
    <mergeCell ref="J12:J16"/>
    <mergeCell ref="AV8:AW8"/>
    <mergeCell ref="AX8:AY8"/>
    <mergeCell ref="AZ8:BA8"/>
    <mergeCell ref="BB8:BC8"/>
    <mergeCell ref="BF8:BF9"/>
    <mergeCell ref="BG8:BG9"/>
    <mergeCell ref="AJ8:AK8"/>
    <mergeCell ref="AL8:AM8"/>
    <mergeCell ref="AN8:AO8"/>
    <mergeCell ref="AP8:AQ8"/>
    <mergeCell ref="AR8:AS8"/>
    <mergeCell ref="AT8:AU8"/>
    <mergeCell ref="J7:J9"/>
    <mergeCell ref="AS12:AS16"/>
    <mergeCell ref="AT12:AT16"/>
    <mergeCell ref="AI12:AI16"/>
    <mergeCell ref="AJ12:AJ16"/>
    <mergeCell ref="AK12:AK16"/>
    <mergeCell ref="AL12:AL16"/>
    <mergeCell ref="AM12:AM16"/>
    <mergeCell ref="AN12:AN16"/>
    <mergeCell ref="AC12:AC16"/>
    <mergeCell ref="AD12:AD16"/>
    <mergeCell ref="AE12:AE16"/>
    <mergeCell ref="S7:S9"/>
    <mergeCell ref="T7:T9"/>
    <mergeCell ref="U7:W7"/>
    <mergeCell ref="X7:X9"/>
    <mergeCell ref="K7:L7"/>
    <mergeCell ref="M7:M9"/>
    <mergeCell ref="N7:N9"/>
    <mergeCell ref="O7:O9"/>
    <mergeCell ref="P7:P9"/>
    <mergeCell ref="K12:K16"/>
    <mergeCell ref="L12:L16"/>
    <mergeCell ref="M12:M16"/>
    <mergeCell ref="N12:N16"/>
    <mergeCell ref="O12:O16"/>
    <mergeCell ref="P12:P16"/>
    <mergeCell ref="BH8:BH9"/>
    <mergeCell ref="BI8:BI9"/>
    <mergeCell ref="AF12:AF16"/>
    <mergeCell ref="AG12:AG16"/>
    <mergeCell ref="AH12:AH16"/>
    <mergeCell ref="Q12:Q16"/>
    <mergeCell ref="R12:R16"/>
    <mergeCell ref="S12:S16"/>
    <mergeCell ref="Z12:Z16"/>
    <mergeCell ref="AA12:AA16"/>
    <mergeCell ref="AB12:AB16"/>
    <mergeCell ref="A1:BM4"/>
    <mergeCell ref="A5:M6"/>
    <mergeCell ref="N5:BP6"/>
    <mergeCell ref="A7:A9"/>
    <mergeCell ref="B7:C9"/>
    <mergeCell ref="D7:D9"/>
    <mergeCell ref="E7:F9"/>
    <mergeCell ref="G7:G9"/>
    <mergeCell ref="H7:H9"/>
    <mergeCell ref="I7:I9"/>
    <mergeCell ref="BF7:BK7"/>
    <mergeCell ref="BL7:BM8"/>
    <mergeCell ref="BN7:BO8"/>
    <mergeCell ref="BP7:BP9"/>
    <mergeCell ref="K8:K9"/>
    <mergeCell ref="L8:L9"/>
    <mergeCell ref="U8:U9"/>
    <mergeCell ref="V8:V9"/>
    <mergeCell ref="W8:W9"/>
    <mergeCell ref="Z8:AA8"/>
    <mergeCell ref="Y7:Y9"/>
    <mergeCell ref="Z7:AC7"/>
    <mergeCell ref="AD7:AK7"/>
    <mergeCell ref="AL7:AW7"/>
    <mergeCell ref="AX7:BC7"/>
    <mergeCell ref="BD7:BE8"/>
    <mergeCell ref="AB8:AC8"/>
    <mergeCell ref="AD8:AE8"/>
    <mergeCell ref="AF8:AG8"/>
    <mergeCell ref="AH8:AI8"/>
    <mergeCell ref="Q7:Q9"/>
    <mergeCell ref="R7:R9"/>
  </mergeCells>
  <conditionalFormatting sqref="T105">
    <cfRule type="duplicateValues" dxfId="0"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W44"/>
  <sheetViews>
    <sheetView showGridLines="0" zoomScale="50" zoomScaleNormal="50" workbookViewId="0">
      <selection activeCell="D15" sqref="D15"/>
    </sheetView>
  </sheetViews>
  <sheetFormatPr baseColWidth="10" defaultRowHeight="15" x14ac:dyDescent="0.25"/>
  <cols>
    <col min="1" max="1" width="14" customWidth="1"/>
    <col min="4" max="4" width="13.28515625" customWidth="1"/>
    <col min="7" max="7" width="14.7109375" customWidth="1"/>
    <col min="8" max="8" width="16" customWidth="1"/>
    <col min="9" max="9" width="31.85546875" style="166" customWidth="1"/>
    <col min="10" max="10" width="34.5703125" style="166" customWidth="1"/>
    <col min="11" max="12" width="25.85546875" customWidth="1"/>
    <col min="13" max="13" width="34.85546875" customWidth="1"/>
    <col min="14" max="14" width="23.85546875" customWidth="1"/>
    <col min="15" max="15" width="42.42578125" customWidth="1"/>
    <col min="16" max="16" width="19" customWidth="1"/>
    <col min="17" max="17" width="26.42578125" customWidth="1"/>
    <col min="18" max="18" width="37" customWidth="1"/>
    <col min="19" max="19" width="47.85546875" customWidth="1"/>
    <col min="20" max="20" width="42.140625" customWidth="1"/>
    <col min="21" max="23" width="33.28515625" customWidth="1"/>
    <col min="24" max="24" width="21.28515625" style="1537" customWidth="1"/>
    <col min="25" max="25" width="25.28515625" customWidth="1"/>
    <col min="26" max="26" width="10.85546875" customWidth="1"/>
    <col min="27" max="27" width="9.85546875" customWidth="1"/>
    <col min="28" max="28" width="11.28515625" customWidth="1"/>
    <col min="29" max="29" width="11" customWidth="1"/>
    <col min="30" max="33" width="9.140625" customWidth="1"/>
    <col min="34" max="34" width="10.28515625" customWidth="1"/>
    <col min="35" max="35" width="10.5703125" customWidth="1"/>
    <col min="36" max="55" width="9.140625" customWidth="1"/>
    <col min="56" max="56" width="11.5703125" customWidth="1"/>
    <col min="57" max="57" width="11.7109375" customWidth="1"/>
    <col min="58" max="58" width="24.5703125" customWidth="1"/>
    <col min="59" max="59" width="24.42578125" customWidth="1"/>
    <col min="60" max="60" width="25" customWidth="1"/>
    <col min="61" max="61" width="21.28515625" customWidth="1"/>
    <col min="62" max="62" width="22.5703125" customWidth="1"/>
    <col min="63" max="63" width="32.28515625" customWidth="1"/>
    <col min="64" max="64" width="17.85546875" customWidth="1"/>
    <col min="65" max="66" width="16.140625" customWidth="1"/>
    <col min="67" max="67" width="20" customWidth="1"/>
    <col min="68" max="68" width="36.7109375" customWidth="1"/>
  </cols>
  <sheetData>
    <row r="1" spans="1:101" ht="18" customHeight="1" x14ac:dyDescent="0.25">
      <c r="A1" s="3185" t="s">
        <v>1323</v>
      </c>
      <c r="B1" s="3185"/>
      <c r="C1" s="3185"/>
      <c r="D1" s="3185"/>
      <c r="E1" s="3185"/>
      <c r="F1" s="3185"/>
      <c r="G1" s="3185"/>
      <c r="H1" s="3185"/>
      <c r="I1" s="3185"/>
      <c r="J1" s="3185"/>
      <c r="K1" s="3185"/>
      <c r="L1" s="3185"/>
      <c r="M1" s="3185"/>
      <c r="N1" s="3185"/>
      <c r="O1" s="3185"/>
      <c r="P1" s="3185"/>
      <c r="Q1" s="3185"/>
      <c r="R1" s="3185"/>
      <c r="S1" s="3185"/>
      <c r="T1" s="3185"/>
      <c r="U1" s="3185"/>
      <c r="V1" s="3185"/>
      <c r="W1" s="3185"/>
      <c r="X1" s="3185"/>
      <c r="Y1" s="3185"/>
      <c r="Z1" s="3185"/>
      <c r="AA1" s="3185"/>
      <c r="AB1" s="3185"/>
      <c r="AC1" s="3185"/>
      <c r="AD1" s="3185"/>
      <c r="AE1" s="3185"/>
      <c r="AF1" s="3185"/>
      <c r="AG1" s="3185"/>
      <c r="AH1" s="3185"/>
      <c r="AI1" s="3185"/>
      <c r="AJ1" s="3185"/>
      <c r="AK1" s="3185"/>
      <c r="AL1" s="3185"/>
      <c r="AM1" s="3185"/>
      <c r="AN1" s="3185"/>
      <c r="AO1" s="3185"/>
      <c r="AP1" s="3185"/>
      <c r="AQ1" s="3185"/>
      <c r="AR1" s="3185"/>
      <c r="AS1" s="3185"/>
      <c r="AT1" s="3185"/>
      <c r="AU1" s="3185"/>
      <c r="AV1" s="3185"/>
      <c r="AW1" s="3185"/>
      <c r="AX1" s="3185"/>
      <c r="AY1" s="3185"/>
      <c r="AZ1" s="3185"/>
      <c r="BA1" s="3185"/>
      <c r="BB1" s="3185"/>
      <c r="BC1" s="3185"/>
      <c r="BD1" s="3185"/>
      <c r="BE1" s="3185"/>
      <c r="BF1" s="3185"/>
      <c r="BG1" s="3185"/>
      <c r="BH1" s="3185"/>
      <c r="BI1" s="3185"/>
      <c r="BJ1" s="3185"/>
      <c r="BK1" s="3185"/>
      <c r="BL1" s="3185"/>
      <c r="BM1" s="3185"/>
      <c r="BN1" s="3186"/>
      <c r="BO1" s="1450" t="s">
        <v>29</v>
      </c>
      <c r="BP1" s="14" t="s">
        <v>336</v>
      </c>
      <c r="BQ1" s="15"/>
      <c r="BR1" s="15"/>
      <c r="BS1" s="15"/>
      <c r="BT1" s="15"/>
      <c r="BU1" s="15"/>
      <c r="BV1" s="15"/>
      <c r="BW1" s="15"/>
      <c r="BX1" s="15"/>
      <c r="BY1" s="15"/>
      <c r="BZ1" s="15"/>
      <c r="CA1" s="15"/>
      <c r="CB1" s="15"/>
      <c r="CC1" s="15"/>
      <c r="CD1" s="15"/>
      <c r="CE1" s="15"/>
      <c r="CF1" s="15"/>
      <c r="CG1" s="15"/>
      <c r="CH1" s="15"/>
      <c r="CI1" s="15"/>
    </row>
    <row r="2" spans="1:101" ht="18" customHeight="1" x14ac:dyDescent="0.25">
      <c r="A2" s="3185"/>
      <c r="B2" s="3185"/>
      <c r="C2" s="3185"/>
      <c r="D2" s="3185"/>
      <c r="E2" s="3185"/>
      <c r="F2" s="3185"/>
      <c r="G2" s="3185"/>
      <c r="H2" s="3185"/>
      <c r="I2" s="3185"/>
      <c r="J2" s="3185"/>
      <c r="K2" s="3185"/>
      <c r="L2" s="3185"/>
      <c r="M2" s="3185"/>
      <c r="N2" s="3185"/>
      <c r="O2" s="3185"/>
      <c r="P2" s="3185"/>
      <c r="Q2" s="3185"/>
      <c r="R2" s="3185"/>
      <c r="S2" s="3185"/>
      <c r="T2" s="3185"/>
      <c r="U2" s="3185"/>
      <c r="V2" s="3185"/>
      <c r="W2" s="3185"/>
      <c r="X2" s="3185"/>
      <c r="Y2" s="3185"/>
      <c r="Z2" s="3185"/>
      <c r="AA2" s="3185"/>
      <c r="AB2" s="3185"/>
      <c r="AC2" s="3185"/>
      <c r="AD2" s="3185"/>
      <c r="AE2" s="3185"/>
      <c r="AF2" s="3185"/>
      <c r="AG2" s="3185"/>
      <c r="AH2" s="3185"/>
      <c r="AI2" s="3185"/>
      <c r="AJ2" s="3185"/>
      <c r="AK2" s="3185"/>
      <c r="AL2" s="3185"/>
      <c r="AM2" s="3185"/>
      <c r="AN2" s="3185"/>
      <c r="AO2" s="3185"/>
      <c r="AP2" s="3185"/>
      <c r="AQ2" s="3185"/>
      <c r="AR2" s="3185"/>
      <c r="AS2" s="3185"/>
      <c r="AT2" s="3185"/>
      <c r="AU2" s="3185"/>
      <c r="AV2" s="3185"/>
      <c r="AW2" s="3185"/>
      <c r="AX2" s="3185"/>
      <c r="AY2" s="3185"/>
      <c r="AZ2" s="3185"/>
      <c r="BA2" s="3185"/>
      <c r="BB2" s="3185"/>
      <c r="BC2" s="3185"/>
      <c r="BD2" s="3185"/>
      <c r="BE2" s="3185"/>
      <c r="BF2" s="3185"/>
      <c r="BG2" s="3185"/>
      <c r="BH2" s="3185"/>
      <c r="BI2" s="3185"/>
      <c r="BJ2" s="3185"/>
      <c r="BK2" s="3185"/>
      <c r="BL2" s="3185"/>
      <c r="BM2" s="3185"/>
      <c r="BN2" s="3186"/>
      <c r="BO2" s="1451" t="s">
        <v>30</v>
      </c>
      <c r="BP2" s="14" t="s">
        <v>31</v>
      </c>
      <c r="BQ2" s="15"/>
      <c r="BR2" s="15"/>
      <c r="BS2" s="15"/>
      <c r="BT2" s="15"/>
      <c r="BU2" s="15"/>
      <c r="BV2" s="15"/>
      <c r="BW2" s="15"/>
      <c r="BX2" s="15"/>
      <c r="BY2" s="15"/>
      <c r="BZ2" s="15"/>
      <c r="CA2" s="15"/>
      <c r="CB2" s="15"/>
      <c r="CC2" s="15"/>
      <c r="CD2" s="15"/>
      <c r="CE2" s="15"/>
      <c r="CF2" s="15"/>
      <c r="CG2" s="15"/>
      <c r="CH2" s="15"/>
      <c r="CI2" s="15"/>
    </row>
    <row r="3" spans="1:101" ht="18" customHeight="1" x14ac:dyDescent="0.25">
      <c r="A3" s="3185"/>
      <c r="B3" s="3185"/>
      <c r="C3" s="3185"/>
      <c r="D3" s="3185"/>
      <c r="E3" s="3185"/>
      <c r="F3" s="3185"/>
      <c r="G3" s="3185"/>
      <c r="H3" s="3185"/>
      <c r="I3" s="3185"/>
      <c r="J3" s="3185"/>
      <c r="K3" s="3185"/>
      <c r="L3" s="3185"/>
      <c r="M3" s="3185"/>
      <c r="N3" s="3185"/>
      <c r="O3" s="3185"/>
      <c r="P3" s="3185"/>
      <c r="Q3" s="3185"/>
      <c r="R3" s="3185"/>
      <c r="S3" s="3185"/>
      <c r="T3" s="3185"/>
      <c r="U3" s="3185"/>
      <c r="V3" s="3185"/>
      <c r="W3" s="3185"/>
      <c r="X3" s="3185"/>
      <c r="Y3" s="3185"/>
      <c r="Z3" s="3185"/>
      <c r="AA3" s="3185"/>
      <c r="AB3" s="3185"/>
      <c r="AC3" s="3185"/>
      <c r="AD3" s="3185"/>
      <c r="AE3" s="3185"/>
      <c r="AF3" s="3185"/>
      <c r="AG3" s="3185"/>
      <c r="AH3" s="3185"/>
      <c r="AI3" s="3185"/>
      <c r="AJ3" s="3185"/>
      <c r="AK3" s="3185"/>
      <c r="AL3" s="3185"/>
      <c r="AM3" s="3185"/>
      <c r="AN3" s="3185"/>
      <c r="AO3" s="3185"/>
      <c r="AP3" s="3185"/>
      <c r="AQ3" s="3185"/>
      <c r="AR3" s="3185"/>
      <c r="AS3" s="3185"/>
      <c r="AT3" s="3185"/>
      <c r="AU3" s="3185"/>
      <c r="AV3" s="3185"/>
      <c r="AW3" s="3185"/>
      <c r="AX3" s="3185"/>
      <c r="AY3" s="3185"/>
      <c r="AZ3" s="3185"/>
      <c r="BA3" s="3185"/>
      <c r="BB3" s="3185"/>
      <c r="BC3" s="3185"/>
      <c r="BD3" s="3185"/>
      <c r="BE3" s="3185"/>
      <c r="BF3" s="3185"/>
      <c r="BG3" s="3185"/>
      <c r="BH3" s="3185"/>
      <c r="BI3" s="3185"/>
      <c r="BJ3" s="3185"/>
      <c r="BK3" s="3185"/>
      <c r="BL3" s="3185"/>
      <c r="BM3" s="3185"/>
      <c r="BN3" s="3186"/>
      <c r="BO3" s="1450" t="s">
        <v>32</v>
      </c>
      <c r="BP3" s="16" t="s">
        <v>33</v>
      </c>
      <c r="BQ3" s="15"/>
      <c r="BR3" s="15"/>
      <c r="BS3" s="15"/>
      <c r="BT3" s="15"/>
      <c r="BU3" s="15"/>
      <c r="BV3" s="15"/>
      <c r="BW3" s="15"/>
      <c r="BX3" s="15"/>
      <c r="BY3" s="15"/>
      <c r="BZ3" s="15"/>
      <c r="CA3" s="15"/>
      <c r="CB3" s="15"/>
      <c r="CC3" s="15"/>
      <c r="CD3" s="15"/>
      <c r="CE3" s="15"/>
      <c r="CF3" s="15"/>
      <c r="CG3" s="15"/>
      <c r="CH3" s="15"/>
      <c r="CI3" s="15"/>
    </row>
    <row r="4" spans="1:101" ht="18" customHeight="1" x14ac:dyDescent="0.25">
      <c r="A4" s="3187"/>
      <c r="B4" s="3187"/>
      <c r="C4" s="3187"/>
      <c r="D4" s="3187"/>
      <c r="E4" s="3187"/>
      <c r="F4" s="3187"/>
      <c r="G4" s="3187"/>
      <c r="H4" s="3187"/>
      <c r="I4" s="3187"/>
      <c r="J4" s="3187"/>
      <c r="K4" s="3187"/>
      <c r="L4" s="3187"/>
      <c r="M4" s="3187"/>
      <c r="N4" s="3187"/>
      <c r="O4" s="3187"/>
      <c r="P4" s="3187"/>
      <c r="Q4" s="3187"/>
      <c r="R4" s="3187"/>
      <c r="S4" s="3187"/>
      <c r="T4" s="3187"/>
      <c r="U4" s="3187"/>
      <c r="V4" s="3187"/>
      <c r="W4" s="3187"/>
      <c r="X4" s="3187"/>
      <c r="Y4" s="3187"/>
      <c r="Z4" s="3187"/>
      <c r="AA4" s="3187"/>
      <c r="AB4" s="3187"/>
      <c r="AC4" s="3187"/>
      <c r="AD4" s="3187"/>
      <c r="AE4" s="3187"/>
      <c r="AF4" s="3187"/>
      <c r="AG4" s="3187"/>
      <c r="AH4" s="3187"/>
      <c r="AI4" s="3187"/>
      <c r="AJ4" s="3187"/>
      <c r="AK4" s="3187"/>
      <c r="AL4" s="3187"/>
      <c r="AM4" s="3187"/>
      <c r="AN4" s="3187"/>
      <c r="AO4" s="3187"/>
      <c r="AP4" s="3187"/>
      <c r="AQ4" s="3187"/>
      <c r="AR4" s="3187"/>
      <c r="AS4" s="3187"/>
      <c r="AT4" s="3187"/>
      <c r="AU4" s="3187"/>
      <c r="AV4" s="3187"/>
      <c r="AW4" s="3187"/>
      <c r="AX4" s="3187"/>
      <c r="AY4" s="3187"/>
      <c r="AZ4" s="3187"/>
      <c r="BA4" s="3187"/>
      <c r="BB4" s="3187"/>
      <c r="BC4" s="3187"/>
      <c r="BD4" s="3187"/>
      <c r="BE4" s="3187"/>
      <c r="BF4" s="3187"/>
      <c r="BG4" s="3187"/>
      <c r="BH4" s="3187"/>
      <c r="BI4" s="3187"/>
      <c r="BJ4" s="3187"/>
      <c r="BK4" s="3187"/>
      <c r="BL4" s="3187"/>
      <c r="BM4" s="3187"/>
      <c r="BN4" s="3188"/>
      <c r="BO4" s="1450" t="s">
        <v>34</v>
      </c>
      <c r="BP4" s="17" t="s">
        <v>35</v>
      </c>
      <c r="BQ4" s="15"/>
      <c r="BR4" s="15"/>
      <c r="BS4" s="15"/>
      <c r="BT4" s="15"/>
      <c r="BU4" s="15"/>
      <c r="BV4" s="15"/>
      <c r="BW4" s="15"/>
      <c r="BX4" s="15"/>
      <c r="BY4" s="15"/>
      <c r="BZ4" s="15"/>
      <c r="CA4" s="15"/>
      <c r="CB4" s="15"/>
      <c r="CC4" s="15"/>
      <c r="CD4" s="15"/>
      <c r="CE4" s="15"/>
      <c r="CF4" s="15"/>
      <c r="CG4" s="15"/>
      <c r="CH4" s="15"/>
      <c r="CI4" s="15"/>
    </row>
    <row r="5" spans="1:101" ht="36" customHeight="1" x14ac:dyDescent="0.25">
      <c r="A5" s="2381" t="s">
        <v>36</v>
      </c>
      <c r="B5" s="2381"/>
      <c r="C5" s="2381"/>
      <c r="D5" s="2381"/>
      <c r="E5" s="2381"/>
      <c r="F5" s="2381"/>
      <c r="G5" s="2381"/>
      <c r="H5" s="2381"/>
      <c r="I5" s="2381"/>
      <c r="J5" s="2381"/>
      <c r="K5" s="2381"/>
      <c r="L5" s="1434"/>
      <c r="M5" s="2383" t="s">
        <v>37</v>
      </c>
      <c r="N5" s="2383"/>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383"/>
      <c r="AR5" s="2383"/>
      <c r="AS5" s="2383"/>
      <c r="AT5" s="2383"/>
      <c r="AU5" s="2383"/>
      <c r="AV5" s="2383"/>
      <c r="AW5" s="2383"/>
      <c r="AX5" s="2383"/>
      <c r="AY5" s="2383"/>
      <c r="AZ5" s="2383"/>
      <c r="BA5" s="2383"/>
      <c r="BB5" s="2383"/>
      <c r="BC5" s="2383"/>
      <c r="BD5" s="2383"/>
      <c r="BE5" s="2383"/>
      <c r="BF5" s="2383"/>
      <c r="BG5" s="2383"/>
      <c r="BH5" s="2383"/>
      <c r="BI5" s="2383"/>
      <c r="BJ5" s="2383"/>
      <c r="BK5" s="2383"/>
      <c r="BL5" s="2383"/>
      <c r="BM5" s="2383"/>
      <c r="BN5" s="2383"/>
      <c r="BO5" s="2383"/>
      <c r="BP5" s="2383"/>
      <c r="BQ5" s="18"/>
      <c r="BR5" s="18"/>
      <c r="BS5" s="18"/>
      <c r="BT5" s="18"/>
      <c r="BU5" s="18"/>
      <c r="BV5" s="18"/>
      <c r="BW5" s="18"/>
      <c r="BX5" s="18"/>
      <c r="BY5" s="18"/>
      <c r="BZ5" s="18"/>
      <c r="CA5" s="18"/>
      <c r="CB5" s="18"/>
      <c r="CC5" s="18"/>
      <c r="CD5" s="18"/>
      <c r="CE5" s="18"/>
      <c r="CF5" s="18"/>
      <c r="CG5" s="18"/>
      <c r="CH5" s="18"/>
      <c r="CI5" s="18"/>
    </row>
    <row r="6" spans="1:101" ht="25.5" customHeight="1" thickBot="1" x14ac:dyDescent="0.3">
      <c r="A6" s="2382"/>
      <c r="B6" s="2382"/>
      <c r="C6" s="2382"/>
      <c r="D6" s="2382"/>
      <c r="E6" s="2382"/>
      <c r="F6" s="2382"/>
      <c r="G6" s="2382"/>
      <c r="H6" s="2382"/>
      <c r="I6" s="2382"/>
      <c r="J6" s="2382"/>
      <c r="K6" s="2382"/>
      <c r="L6" s="1435"/>
      <c r="M6" s="1452"/>
      <c r="N6" s="20"/>
      <c r="O6" s="20"/>
      <c r="P6" s="20"/>
      <c r="Q6" s="20"/>
      <c r="R6" s="20"/>
      <c r="S6" s="20"/>
      <c r="T6" s="20"/>
      <c r="U6" s="20"/>
      <c r="V6" s="20"/>
      <c r="W6" s="20"/>
      <c r="X6" s="1435"/>
      <c r="Y6" s="20"/>
      <c r="Z6" s="2649" t="s">
        <v>38</v>
      </c>
      <c r="AA6" s="3189"/>
      <c r="AB6" s="3189"/>
      <c r="AC6" s="3189"/>
      <c r="AD6" s="3189"/>
      <c r="AE6" s="3189"/>
      <c r="AF6" s="3189"/>
      <c r="AG6" s="3189"/>
      <c r="AH6" s="3189"/>
      <c r="AI6" s="3189"/>
      <c r="AJ6" s="3189"/>
      <c r="AK6" s="3189"/>
      <c r="AL6" s="3189"/>
      <c r="AM6" s="3189"/>
      <c r="AN6" s="3189"/>
      <c r="AO6" s="3189"/>
      <c r="AP6" s="3189"/>
      <c r="AQ6" s="3189"/>
      <c r="AR6" s="3189"/>
      <c r="AS6" s="3189"/>
      <c r="AT6" s="3189"/>
      <c r="AU6" s="3189"/>
      <c r="AV6" s="3189"/>
      <c r="AW6" s="3189"/>
      <c r="AX6" s="3189"/>
      <c r="AY6" s="3189"/>
      <c r="AZ6" s="3189"/>
      <c r="BA6" s="3189"/>
      <c r="BB6" s="3189"/>
      <c r="BC6" s="3189"/>
      <c r="BD6" s="3189"/>
      <c r="BE6" s="1435"/>
      <c r="BF6" s="1435"/>
      <c r="BG6" s="1435"/>
      <c r="BH6" s="1435"/>
      <c r="BI6" s="1435"/>
      <c r="BJ6" s="1435"/>
      <c r="BK6" s="1435"/>
      <c r="BL6" s="20"/>
      <c r="BM6" s="20"/>
      <c r="BN6" s="20"/>
      <c r="BO6" s="20"/>
      <c r="BP6" s="23"/>
      <c r="BQ6" s="18"/>
      <c r="BR6" s="18"/>
      <c r="BS6" s="18"/>
      <c r="BT6" s="18"/>
      <c r="BU6" s="18"/>
      <c r="BV6" s="18"/>
      <c r="BW6" s="18"/>
      <c r="BX6" s="18"/>
      <c r="BY6" s="18"/>
      <c r="BZ6" s="18"/>
      <c r="CA6" s="18"/>
      <c r="CB6" s="18"/>
      <c r="CC6" s="18"/>
      <c r="CD6" s="18"/>
      <c r="CE6" s="18"/>
      <c r="CF6" s="18"/>
      <c r="CG6" s="18"/>
      <c r="CH6" s="18"/>
      <c r="CI6" s="18"/>
    </row>
    <row r="7" spans="1:101" s="1" customFormat="1" ht="49.5" customHeight="1" x14ac:dyDescent="0.2">
      <c r="A7" s="2271" t="s">
        <v>39</v>
      </c>
      <c r="B7" s="2303" t="s">
        <v>40</v>
      </c>
      <c r="C7" s="2303"/>
      <c r="D7" s="2303" t="s">
        <v>39</v>
      </c>
      <c r="E7" s="2303" t="s">
        <v>41</v>
      </c>
      <c r="F7" s="2303"/>
      <c r="G7" s="2303" t="s">
        <v>39</v>
      </c>
      <c r="H7" s="2303" t="s">
        <v>1324</v>
      </c>
      <c r="I7" s="2303" t="s">
        <v>43</v>
      </c>
      <c r="J7" s="2303" t="s">
        <v>44</v>
      </c>
      <c r="K7" s="2259" t="s">
        <v>45</v>
      </c>
      <c r="L7" s="2260"/>
      <c r="M7" s="2303" t="s">
        <v>46</v>
      </c>
      <c r="N7" s="2303" t="s">
        <v>47</v>
      </c>
      <c r="O7" s="2303" t="s">
        <v>37</v>
      </c>
      <c r="P7" s="4196" t="s">
        <v>48</v>
      </c>
      <c r="Q7" s="2289" t="s">
        <v>49</v>
      </c>
      <c r="R7" s="2303" t="s">
        <v>50</v>
      </c>
      <c r="S7" s="2303" t="s">
        <v>51</v>
      </c>
      <c r="T7" s="2303" t="s">
        <v>52</v>
      </c>
      <c r="U7" s="4197" t="s">
        <v>49</v>
      </c>
      <c r="V7" s="4198"/>
      <c r="W7" s="4199"/>
      <c r="X7" s="4200" t="s">
        <v>39</v>
      </c>
      <c r="Y7" s="2303" t="s">
        <v>53</v>
      </c>
      <c r="Z7" s="2274" t="s">
        <v>54</v>
      </c>
      <c r="AA7" s="2275"/>
      <c r="AB7" s="2275"/>
      <c r="AC7" s="2276"/>
      <c r="AD7" s="2277" t="s">
        <v>55</v>
      </c>
      <c r="AE7" s="2278"/>
      <c r="AF7" s="2278"/>
      <c r="AG7" s="2278"/>
      <c r="AH7" s="2278"/>
      <c r="AI7" s="2278"/>
      <c r="AJ7" s="2278"/>
      <c r="AK7" s="2279"/>
      <c r="AL7" s="2542" t="s">
        <v>56</v>
      </c>
      <c r="AM7" s="2543"/>
      <c r="AN7" s="2543"/>
      <c r="AO7" s="2543"/>
      <c r="AP7" s="2543"/>
      <c r="AQ7" s="2543"/>
      <c r="AR7" s="2543"/>
      <c r="AS7" s="2543"/>
      <c r="AT7" s="2543"/>
      <c r="AU7" s="2543"/>
      <c r="AV7" s="2543"/>
      <c r="AW7" s="2544"/>
      <c r="AX7" s="2277" t="s">
        <v>57</v>
      </c>
      <c r="AY7" s="2278"/>
      <c r="AZ7" s="2278"/>
      <c r="BA7" s="2278"/>
      <c r="BB7" s="2278"/>
      <c r="BC7" s="2279"/>
      <c r="BD7" s="4201" t="s">
        <v>58</v>
      </c>
      <c r="BE7" s="4202"/>
      <c r="BF7" s="2300" t="s">
        <v>335</v>
      </c>
      <c r="BG7" s="2301"/>
      <c r="BH7" s="2301"/>
      <c r="BI7" s="2301"/>
      <c r="BJ7" s="2301"/>
      <c r="BK7" s="2302"/>
      <c r="BL7" s="2264" t="s">
        <v>59</v>
      </c>
      <c r="BM7" s="2265"/>
      <c r="BN7" s="2264" t="s">
        <v>60</v>
      </c>
      <c r="BO7" s="2265"/>
      <c r="BP7" s="2268" t="s">
        <v>61</v>
      </c>
      <c r="BQ7" s="18"/>
      <c r="BR7" s="18"/>
      <c r="BS7" s="18"/>
      <c r="BT7" s="18"/>
      <c r="BU7" s="18"/>
      <c r="BV7" s="18"/>
      <c r="BW7" s="18"/>
      <c r="BX7" s="18"/>
      <c r="BY7" s="18"/>
      <c r="BZ7" s="18"/>
      <c r="CA7" s="18"/>
      <c r="CB7" s="18"/>
      <c r="CC7" s="18"/>
      <c r="CD7" s="18"/>
      <c r="CE7" s="18"/>
      <c r="CF7" s="18"/>
      <c r="CG7" s="18"/>
      <c r="CH7" s="18"/>
      <c r="CI7" s="18"/>
    </row>
    <row r="8" spans="1:101" s="1" customFormat="1" ht="119.25" customHeight="1" x14ac:dyDescent="0.2">
      <c r="A8" s="2272"/>
      <c r="B8" s="2303"/>
      <c r="C8" s="2303"/>
      <c r="D8" s="2303"/>
      <c r="E8" s="2303"/>
      <c r="F8" s="2303"/>
      <c r="G8" s="2303"/>
      <c r="H8" s="2303"/>
      <c r="I8" s="2303"/>
      <c r="J8" s="2303"/>
      <c r="K8" s="2417"/>
      <c r="L8" s="2418"/>
      <c r="M8" s="2303"/>
      <c r="N8" s="2303"/>
      <c r="O8" s="2303"/>
      <c r="P8" s="4196"/>
      <c r="Q8" s="2289"/>
      <c r="R8" s="2303"/>
      <c r="S8" s="2303"/>
      <c r="T8" s="2303"/>
      <c r="U8" s="2289" t="s">
        <v>62</v>
      </c>
      <c r="V8" s="2289" t="s">
        <v>150</v>
      </c>
      <c r="W8" s="2289" t="s">
        <v>151</v>
      </c>
      <c r="X8" s="4200"/>
      <c r="Y8" s="2303"/>
      <c r="Z8" s="2399" t="s">
        <v>63</v>
      </c>
      <c r="AA8" s="2400"/>
      <c r="AB8" s="2445" t="s">
        <v>64</v>
      </c>
      <c r="AC8" s="2446"/>
      <c r="AD8" s="2399" t="s">
        <v>65</v>
      </c>
      <c r="AE8" s="2400"/>
      <c r="AF8" s="2399" t="s">
        <v>66</v>
      </c>
      <c r="AG8" s="2400"/>
      <c r="AH8" s="2399" t="s">
        <v>67</v>
      </c>
      <c r="AI8" s="2400"/>
      <c r="AJ8" s="2399" t="s">
        <v>68</v>
      </c>
      <c r="AK8" s="2400"/>
      <c r="AL8" s="2399" t="s">
        <v>69</v>
      </c>
      <c r="AM8" s="2400"/>
      <c r="AN8" s="2399" t="s">
        <v>70</v>
      </c>
      <c r="AO8" s="2400"/>
      <c r="AP8" s="2399" t="s">
        <v>71</v>
      </c>
      <c r="AQ8" s="2400"/>
      <c r="AR8" s="2399" t="s">
        <v>72</v>
      </c>
      <c r="AS8" s="2400"/>
      <c r="AT8" s="2399" t="s">
        <v>73</v>
      </c>
      <c r="AU8" s="2400"/>
      <c r="AV8" s="2399" t="s">
        <v>74</v>
      </c>
      <c r="AW8" s="2400"/>
      <c r="AX8" s="2399" t="s">
        <v>75</v>
      </c>
      <c r="AY8" s="2400"/>
      <c r="AZ8" s="2399" t="s">
        <v>76</v>
      </c>
      <c r="BA8" s="2400"/>
      <c r="BB8" s="1453" t="s">
        <v>77</v>
      </c>
      <c r="BC8" s="1453"/>
      <c r="BD8" s="2433"/>
      <c r="BE8" s="2434"/>
      <c r="BF8" s="2291" t="s">
        <v>152</v>
      </c>
      <c r="BG8" s="2290" t="s">
        <v>153</v>
      </c>
      <c r="BH8" s="2291" t="s">
        <v>154</v>
      </c>
      <c r="BI8" s="2292" t="s">
        <v>155</v>
      </c>
      <c r="BJ8" s="2291" t="s">
        <v>156</v>
      </c>
      <c r="BK8" s="2293" t="s">
        <v>157</v>
      </c>
      <c r="BL8" s="2266"/>
      <c r="BM8" s="2267"/>
      <c r="BN8" s="2266"/>
      <c r="BO8" s="2267"/>
      <c r="BP8" s="2268"/>
      <c r="BQ8" s="18"/>
      <c r="BR8" s="18"/>
      <c r="BS8" s="18"/>
      <c r="BT8" s="18"/>
      <c r="BU8" s="18"/>
      <c r="BV8" s="18"/>
      <c r="BW8" s="18"/>
      <c r="BX8" s="18"/>
      <c r="BY8" s="18"/>
      <c r="BZ8" s="18"/>
      <c r="CA8" s="18"/>
      <c r="CB8" s="18"/>
      <c r="CC8" s="18"/>
      <c r="CD8" s="18"/>
      <c r="CE8" s="18"/>
      <c r="CF8" s="18"/>
      <c r="CG8" s="18"/>
      <c r="CH8" s="18"/>
      <c r="CI8" s="18"/>
    </row>
    <row r="9" spans="1:101" s="1" customFormat="1" ht="43.5" customHeight="1" x14ac:dyDescent="0.2">
      <c r="A9" s="2273"/>
      <c r="B9" s="2303"/>
      <c r="C9" s="2303"/>
      <c r="D9" s="2303"/>
      <c r="E9" s="2303"/>
      <c r="F9" s="2303"/>
      <c r="G9" s="2303"/>
      <c r="H9" s="2303"/>
      <c r="I9" s="2303"/>
      <c r="J9" s="2303"/>
      <c r="K9" s="1427" t="s">
        <v>158</v>
      </c>
      <c r="L9" s="1427" t="s">
        <v>159</v>
      </c>
      <c r="M9" s="2303"/>
      <c r="N9" s="2303"/>
      <c r="O9" s="2303"/>
      <c r="P9" s="4196"/>
      <c r="Q9" s="2289"/>
      <c r="R9" s="2303"/>
      <c r="S9" s="2303"/>
      <c r="T9" s="2303"/>
      <c r="U9" s="2289"/>
      <c r="V9" s="2289"/>
      <c r="W9" s="2289"/>
      <c r="X9" s="4200"/>
      <c r="Y9" s="2303"/>
      <c r="Z9" s="1427" t="s">
        <v>158</v>
      </c>
      <c r="AA9" s="1427" t="s">
        <v>159</v>
      </c>
      <c r="AB9" s="1454" t="s">
        <v>158</v>
      </c>
      <c r="AC9" s="1454" t="s">
        <v>159</v>
      </c>
      <c r="AD9" s="1427" t="s">
        <v>158</v>
      </c>
      <c r="AE9" s="1427" t="s">
        <v>159</v>
      </c>
      <c r="AF9" s="1427" t="s">
        <v>158</v>
      </c>
      <c r="AG9" s="1427" t="s">
        <v>159</v>
      </c>
      <c r="AH9" s="1427" t="s">
        <v>158</v>
      </c>
      <c r="AI9" s="1427" t="s">
        <v>159</v>
      </c>
      <c r="AJ9" s="1427" t="s">
        <v>158</v>
      </c>
      <c r="AK9" s="1427" t="s">
        <v>159</v>
      </c>
      <c r="AL9" s="1427" t="s">
        <v>158</v>
      </c>
      <c r="AM9" s="1427" t="s">
        <v>159</v>
      </c>
      <c r="AN9" s="1427" t="s">
        <v>158</v>
      </c>
      <c r="AO9" s="1427" t="s">
        <v>159</v>
      </c>
      <c r="AP9" s="1427" t="s">
        <v>158</v>
      </c>
      <c r="AQ9" s="1427" t="s">
        <v>159</v>
      </c>
      <c r="AR9" s="1427" t="s">
        <v>158</v>
      </c>
      <c r="AS9" s="1427" t="s">
        <v>159</v>
      </c>
      <c r="AT9" s="1427" t="s">
        <v>158</v>
      </c>
      <c r="AU9" s="1427" t="s">
        <v>159</v>
      </c>
      <c r="AV9" s="1427" t="s">
        <v>158</v>
      </c>
      <c r="AW9" s="1427" t="s">
        <v>159</v>
      </c>
      <c r="AX9" s="1427" t="s">
        <v>158</v>
      </c>
      <c r="AY9" s="1427" t="s">
        <v>159</v>
      </c>
      <c r="AZ9" s="1427" t="s">
        <v>158</v>
      </c>
      <c r="BA9" s="1427" t="s">
        <v>159</v>
      </c>
      <c r="BB9" s="1427" t="s">
        <v>158</v>
      </c>
      <c r="BC9" s="1427" t="s">
        <v>159</v>
      </c>
      <c r="BD9" s="1427" t="s">
        <v>158</v>
      </c>
      <c r="BE9" s="1427" t="s">
        <v>159</v>
      </c>
      <c r="BF9" s="2291"/>
      <c r="BG9" s="2290"/>
      <c r="BH9" s="2291"/>
      <c r="BI9" s="2292"/>
      <c r="BJ9" s="2291"/>
      <c r="BK9" s="2294"/>
      <c r="BL9" s="1440" t="s">
        <v>158</v>
      </c>
      <c r="BM9" s="1440" t="s">
        <v>159</v>
      </c>
      <c r="BN9" s="1440" t="s">
        <v>158</v>
      </c>
      <c r="BO9" s="1440" t="s">
        <v>159</v>
      </c>
      <c r="BP9" s="1428"/>
      <c r="BQ9" s="18"/>
      <c r="BR9" s="18"/>
      <c r="BS9" s="18"/>
      <c r="BT9" s="18"/>
      <c r="BU9" s="18"/>
      <c r="BV9" s="18"/>
      <c r="BW9" s="18"/>
      <c r="BX9" s="18"/>
      <c r="BY9" s="18"/>
      <c r="BZ9" s="18"/>
      <c r="CA9" s="18"/>
      <c r="CB9" s="18"/>
      <c r="CC9" s="18"/>
      <c r="CD9" s="18"/>
      <c r="CE9" s="18"/>
      <c r="CF9" s="18"/>
      <c r="CG9" s="18"/>
      <c r="CH9" s="18"/>
      <c r="CI9" s="18"/>
    </row>
    <row r="10" spans="1:101" s="1" customFormat="1" ht="21" customHeight="1" x14ac:dyDescent="0.2">
      <c r="A10" s="340">
        <v>1</v>
      </c>
      <c r="B10" s="27" t="s">
        <v>617</v>
      </c>
      <c r="C10" s="28"/>
      <c r="D10" s="29"/>
      <c r="E10" s="30"/>
      <c r="F10" s="30"/>
      <c r="G10" s="30"/>
      <c r="H10" s="30"/>
      <c r="I10" s="29"/>
      <c r="J10" s="29"/>
      <c r="K10" s="32"/>
      <c r="L10" s="32"/>
      <c r="M10" s="32"/>
      <c r="N10" s="34"/>
      <c r="O10" s="1455"/>
      <c r="P10" s="35"/>
      <c r="Q10" s="36"/>
      <c r="R10" s="1455"/>
      <c r="S10" s="1455"/>
      <c r="T10" s="1455"/>
      <c r="U10" s="37"/>
      <c r="V10" s="37"/>
      <c r="W10" s="37"/>
      <c r="X10" s="38"/>
      <c r="Y10" s="34"/>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1456"/>
      <c r="BM10" s="1456"/>
      <c r="BN10" s="1456"/>
      <c r="BO10" s="1456"/>
      <c r="BP10" s="40"/>
      <c r="BQ10" s="18"/>
      <c r="BR10" s="18"/>
      <c r="BS10" s="18"/>
      <c r="BT10" s="18"/>
      <c r="BU10" s="18"/>
      <c r="BV10" s="18"/>
      <c r="BW10" s="18"/>
      <c r="BX10" s="18"/>
      <c r="BY10" s="18"/>
      <c r="BZ10" s="18"/>
      <c r="CA10" s="18"/>
      <c r="CB10" s="18"/>
      <c r="CC10" s="18"/>
      <c r="CD10" s="18"/>
      <c r="CE10" s="18"/>
      <c r="CF10" s="18"/>
      <c r="CG10" s="18"/>
      <c r="CH10" s="18"/>
      <c r="CI10" s="18"/>
    </row>
    <row r="11" spans="1:101" s="1" customFormat="1" ht="25.5" customHeight="1" x14ac:dyDescent="0.2">
      <c r="A11" s="1426"/>
      <c r="B11" s="1437"/>
      <c r="C11" s="1438"/>
      <c r="D11" s="44">
        <v>16</v>
      </c>
      <c r="E11" s="989" t="s">
        <v>1325</v>
      </c>
      <c r="F11" s="46"/>
      <c r="G11" s="745"/>
      <c r="H11" s="745"/>
      <c r="I11" s="744"/>
      <c r="J11" s="744"/>
      <c r="K11" s="746"/>
      <c r="L11" s="1457"/>
      <c r="M11" s="270"/>
      <c r="N11" s="50"/>
      <c r="O11" s="750"/>
      <c r="P11" s="751"/>
      <c r="Q11" s="52"/>
      <c r="R11" s="269"/>
      <c r="S11" s="269"/>
      <c r="T11" s="269"/>
      <c r="U11" s="53"/>
      <c r="V11" s="53"/>
      <c r="W11" s="53"/>
      <c r="X11" s="54"/>
      <c r="Y11" s="50"/>
      <c r="Z11" s="270"/>
      <c r="AA11" s="1458"/>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1459"/>
      <c r="BM11" s="1459"/>
      <c r="BN11" s="1459"/>
      <c r="BO11" s="1459"/>
      <c r="BP11" s="56"/>
      <c r="BQ11" s="18"/>
      <c r="BR11" s="18"/>
      <c r="BS11" s="18"/>
      <c r="BT11" s="18"/>
      <c r="BU11" s="18"/>
      <c r="BV11" s="18"/>
      <c r="BW11" s="18"/>
      <c r="BX11" s="18"/>
      <c r="BY11" s="18"/>
      <c r="BZ11" s="18"/>
      <c r="CA11" s="18"/>
      <c r="CB11" s="18"/>
      <c r="CC11" s="18"/>
      <c r="CD11" s="18"/>
      <c r="CE11" s="18"/>
      <c r="CF11" s="18"/>
      <c r="CG11" s="18"/>
      <c r="CH11" s="18"/>
      <c r="CI11" s="18"/>
    </row>
    <row r="12" spans="1:101" s="1472" customFormat="1" ht="180.75" customHeight="1" x14ac:dyDescent="0.2">
      <c r="A12" s="1460"/>
      <c r="B12" s="1461"/>
      <c r="C12" s="1462"/>
      <c r="D12" s="1463"/>
      <c r="E12" s="1464"/>
      <c r="F12" s="1465"/>
      <c r="G12" s="3109">
        <v>2301024</v>
      </c>
      <c r="H12" s="3109">
        <v>16.399999999999999</v>
      </c>
      <c r="I12" s="3980" t="s">
        <v>1326</v>
      </c>
      <c r="J12" s="3061" t="s">
        <v>1327</v>
      </c>
      <c r="K12" s="3109">
        <v>1</v>
      </c>
      <c r="L12" s="3109"/>
      <c r="M12" s="2439" t="s">
        <v>1328</v>
      </c>
      <c r="N12" s="2304" t="s">
        <v>1329</v>
      </c>
      <c r="O12" s="2470" t="s">
        <v>1330</v>
      </c>
      <c r="P12" s="2332">
        <f>(U12+U13+U14+U15+U16)/Q12</f>
        <v>0.84704267</v>
      </c>
      <c r="Q12" s="4204">
        <f>SUM(U12:U17)</f>
        <v>200000000</v>
      </c>
      <c r="R12" s="2316" t="s">
        <v>1331</v>
      </c>
      <c r="S12" s="4207" t="s">
        <v>1332</v>
      </c>
      <c r="T12" s="618" t="s">
        <v>1333</v>
      </c>
      <c r="U12" s="1466">
        <v>25365332</v>
      </c>
      <c r="V12" s="1467">
        <v>0</v>
      </c>
      <c r="W12" s="1467">
        <v>0</v>
      </c>
      <c r="X12" s="1468">
        <v>20</v>
      </c>
      <c r="Y12" s="1469" t="s">
        <v>1334</v>
      </c>
      <c r="Z12" s="4210">
        <v>295972</v>
      </c>
      <c r="AA12" s="2325"/>
      <c r="AB12" s="3426">
        <v>294321</v>
      </c>
      <c r="AC12" s="2325"/>
      <c r="AD12" s="2325">
        <v>132302</v>
      </c>
      <c r="AE12" s="2325"/>
      <c r="AF12" s="2325">
        <v>43426</v>
      </c>
      <c r="AG12" s="2325"/>
      <c r="AH12" s="2325">
        <v>313940</v>
      </c>
      <c r="AI12" s="2325"/>
      <c r="AJ12" s="2325">
        <v>100625</v>
      </c>
      <c r="AK12" s="2325"/>
      <c r="AL12" s="2325">
        <v>2145</v>
      </c>
      <c r="AM12" s="2325"/>
      <c r="AN12" s="2325">
        <v>12718</v>
      </c>
      <c r="AO12" s="2325"/>
      <c r="AP12" s="2325">
        <v>36</v>
      </c>
      <c r="AQ12" s="2325"/>
      <c r="AR12" s="2325">
        <v>0</v>
      </c>
      <c r="AS12" s="2325"/>
      <c r="AT12" s="2325">
        <v>0</v>
      </c>
      <c r="AU12" s="2325"/>
      <c r="AV12" s="2325">
        <v>0</v>
      </c>
      <c r="AW12" s="2325"/>
      <c r="AX12" s="2325">
        <v>70</v>
      </c>
      <c r="AY12" s="2325"/>
      <c r="AZ12" s="2325">
        <v>21944</v>
      </c>
      <c r="BA12" s="2325"/>
      <c r="BB12" s="2325">
        <v>285</v>
      </c>
      <c r="BC12" s="2325"/>
      <c r="BD12" s="2325">
        <v>590292</v>
      </c>
      <c r="BE12" s="2325"/>
      <c r="BF12" s="2325"/>
      <c r="BG12" s="4212">
        <f>SUM(V12:V17)</f>
        <v>0</v>
      </c>
      <c r="BH12" s="4212">
        <f>SUM(W12:W17)</f>
        <v>0</v>
      </c>
      <c r="BI12" s="4213"/>
      <c r="BJ12" s="2325"/>
      <c r="BK12" s="2325"/>
      <c r="BL12" s="2354">
        <v>44033</v>
      </c>
      <c r="BM12" s="2354"/>
      <c r="BN12" s="2354">
        <v>44195</v>
      </c>
      <c r="BO12" s="2354"/>
      <c r="BP12" s="3228" t="s">
        <v>1335</v>
      </c>
      <c r="BQ12" s="1470"/>
      <c r="BR12" s="1470"/>
      <c r="BS12" s="1471"/>
      <c r="BT12" s="1471"/>
      <c r="BU12" s="1471"/>
      <c r="BV12" s="1471"/>
      <c r="BW12" s="1471"/>
      <c r="BX12" s="1471"/>
      <c r="BY12" s="1471"/>
      <c r="BZ12" s="1471"/>
      <c r="CA12" s="1471"/>
      <c r="CB12" s="1471"/>
      <c r="CC12" s="1471"/>
      <c r="CD12" s="1471"/>
      <c r="CE12" s="1471"/>
      <c r="CF12" s="1471"/>
      <c r="CG12" s="1471"/>
      <c r="CH12" s="1471"/>
      <c r="CI12" s="1471"/>
      <c r="CJ12" s="1471"/>
      <c r="CK12" s="1471"/>
      <c r="CL12" s="1471"/>
      <c r="CM12" s="1471"/>
      <c r="CN12" s="1471"/>
      <c r="CO12" s="1471"/>
      <c r="CP12" s="1471"/>
      <c r="CQ12" s="1471"/>
      <c r="CR12" s="1471"/>
      <c r="CS12" s="1471"/>
      <c r="CT12" s="1471"/>
      <c r="CU12" s="1471"/>
      <c r="CV12" s="1471"/>
      <c r="CW12" s="1471"/>
    </row>
    <row r="13" spans="1:101" s="1" customFormat="1" ht="88.5" customHeight="1" x14ac:dyDescent="0.2">
      <c r="A13" s="1420"/>
      <c r="B13" s="1430"/>
      <c r="C13" s="1429"/>
      <c r="D13" s="18"/>
      <c r="E13" s="1473"/>
      <c r="F13" s="1474"/>
      <c r="G13" s="3767"/>
      <c r="H13" s="3767"/>
      <c r="I13" s="3980"/>
      <c r="J13" s="3907"/>
      <c r="K13" s="3767"/>
      <c r="L13" s="3767"/>
      <c r="M13" s="2440"/>
      <c r="N13" s="2305"/>
      <c r="O13" s="2470"/>
      <c r="P13" s="2332"/>
      <c r="Q13" s="4205"/>
      <c r="R13" s="2316"/>
      <c r="S13" s="4208"/>
      <c r="T13" s="3061" t="s">
        <v>1336</v>
      </c>
      <c r="U13" s="1475">
        <v>4219868</v>
      </c>
      <c r="V13" s="1467">
        <v>0</v>
      </c>
      <c r="W13" s="1467">
        <v>0</v>
      </c>
      <c r="X13" s="1468">
        <v>20</v>
      </c>
      <c r="Y13" s="1469" t="s">
        <v>1334</v>
      </c>
      <c r="Z13" s="4210"/>
      <c r="AA13" s="2326"/>
      <c r="AB13" s="3427"/>
      <c r="AC13" s="2326"/>
      <c r="AD13" s="2326"/>
      <c r="AE13" s="2326"/>
      <c r="AF13" s="2326"/>
      <c r="AG13" s="2326"/>
      <c r="AH13" s="2326"/>
      <c r="AI13" s="2326"/>
      <c r="AJ13" s="2326"/>
      <c r="AK13" s="2326"/>
      <c r="AL13" s="2326"/>
      <c r="AM13" s="2326"/>
      <c r="AN13" s="2326"/>
      <c r="AO13" s="2326"/>
      <c r="AP13" s="2326"/>
      <c r="AQ13" s="2326"/>
      <c r="AR13" s="2326"/>
      <c r="AS13" s="2326"/>
      <c r="AT13" s="2326"/>
      <c r="AU13" s="2326"/>
      <c r="AV13" s="2326"/>
      <c r="AW13" s="2326"/>
      <c r="AX13" s="2326"/>
      <c r="AY13" s="2326"/>
      <c r="AZ13" s="2326"/>
      <c r="BA13" s="2326"/>
      <c r="BB13" s="2326"/>
      <c r="BC13" s="2326"/>
      <c r="BD13" s="2326"/>
      <c r="BE13" s="2326"/>
      <c r="BF13" s="2326"/>
      <c r="BG13" s="2326"/>
      <c r="BH13" s="2326"/>
      <c r="BI13" s="2326"/>
      <c r="BJ13" s="2326"/>
      <c r="BK13" s="2326"/>
      <c r="BL13" s="2355"/>
      <c r="BM13" s="2355"/>
      <c r="BN13" s="2355"/>
      <c r="BO13" s="2355"/>
      <c r="BP13" s="3228"/>
      <c r="BQ13" s="1476"/>
      <c r="BR13" s="1476"/>
      <c r="BS13" s="18"/>
      <c r="BT13" s="18"/>
      <c r="BU13" s="18"/>
      <c r="BV13" s="18"/>
      <c r="BW13" s="18"/>
      <c r="BX13" s="18"/>
      <c r="BY13" s="18"/>
      <c r="BZ13" s="18"/>
      <c r="CA13" s="18"/>
      <c r="CB13" s="18"/>
      <c r="CC13" s="18"/>
      <c r="CD13" s="18"/>
      <c r="CE13" s="18"/>
      <c r="CF13" s="18"/>
      <c r="CG13" s="18"/>
      <c r="CH13" s="18"/>
      <c r="CI13" s="18"/>
    </row>
    <row r="14" spans="1:101" s="1" customFormat="1" ht="99" customHeight="1" x14ac:dyDescent="0.2">
      <c r="A14" s="1420"/>
      <c r="B14" s="1430"/>
      <c r="C14" s="1429"/>
      <c r="D14" s="18"/>
      <c r="E14" s="1473"/>
      <c r="F14" s="1474"/>
      <c r="G14" s="3767"/>
      <c r="H14" s="3767"/>
      <c r="I14" s="3980"/>
      <c r="J14" s="3907"/>
      <c r="K14" s="3767"/>
      <c r="L14" s="3767"/>
      <c r="M14" s="2440"/>
      <c r="N14" s="2305"/>
      <c r="O14" s="2470"/>
      <c r="P14" s="2332"/>
      <c r="Q14" s="4205"/>
      <c r="R14" s="2316"/>
      <c r="S14" s="4208"/>
      <c r="T14" s="4211"/>
      <c r="U14" s="1475">
        <v>45780132</v>
      </c>
      <c r="V14" s="1467">
        <v>0</v>
      </c>
      <c r="W14" s="1467">
        <v>0</v>
      </c>
      <c r="X14" s="1468">
        <v>88</v>
      </c>
      <c r="Y14" s="1469" t="s">
        <v>780</v>
      </c>
      <c r="Z14" s="4210"/>
      <c r="AA14" s="2326"/>
      <c r="AB14" s="3427"/>
      <c r="AC14" s="2326"/>
      <c r="AD14" s="2326"/>
      <c r="AE14" s="2326"/>
      <c r="AF14" s="2326"/>
      <c r="AG14" s="2326"/>
      <c r="AH14" s="2326"/>
      <c r="AI14" s="2326"/>
      <c r="AJ14" s="2326"/>
      <c r="AK14" s="2326"/>
      <c r="AL14" s="2326"/>
      <c r="AM14" s="2326"/>
      <c r="AN14" s="2326"/>
      <c r="AO14" s="2326"/>
      <c r="AP14" s="2326"/>
      <c r="AQ14" s="2326"/>
      <c r="AR14" s="2326"/>
      <c r="AS14" s="2326"/>
      <c r="AT14" s="2326"/>
      <c r="AU14" s="2326"/>
      <c r="AV14" s="2326"/>
      <c r="AW14" s="2326"/>
      <c r="AX14" s="2326"/>
      <c r="AY14" s="2326"/>
      <c r="AZ14" s="2326"/>
      <c r="BA14" s="2326"/>
      <c r="BB14" s="2326"/>
      <c r="BC14" s="2326"/>
      <c r="BD14" s="2326"/>
      <c r="BE14" s="2326"/>
      <c r="BF14" s="2326"/>
      <c r="BG14" s="2326"/>
      <c r="BH14" s="2326"/>
      <c r="BI14" s="2326"/>
      <c r="BJ14" s="2326"/>
      <c r="BK14" s="2326"/>
      <c r="BL14" s="2355"/>
      <c r="BM14" s="2355"/>
      <c r="BN14" s="2355"/>
      <c r="BO14" s="2355"/>
      <c r="BP14" s="3228"/>
      <c r="BQ14" s="1476"/>
      <c r="BR14" s="1476"/>
      <c r="BS14" s="18"/>
      <c r="BT14" s="18"/>
      <c r="BU14" s="18"/>
      <c r="BV14" s="18"/>
      <c r="BW14" s="18"/>
      <c r="BX14" s="18"/>
      <c r="BY14" s="18"/>
      <c r="BZ14" s="18"/>
      <c r="CA14" s="18"/>
      <c r="CB14" s="18"/>
      <c r="CC14" s="18"/>
      <c r="CD14" s="18"/>
      <c r="CE14" s="18"/>
      <c r="CF14" s="18"/>
      <c r="CG14" s="18"/>
      <c r="CH14" s="18"/>
      <c r="CI14" s="18"/>
    </row>
    <row r="15" spans="1:101" s="1" customFormat="1" ht="90" customHeight="1" x14ac:dyDescent="0.2">
      <c r="A15" s="1477"/>
      <c r="B15" s="1478"/>
      <c r="C15" s="1479"/>
      <c r="D15" s="1480"/>
      <c r="E15" s="1481"/>
      <c r="F15" s="1482"/>
      <c r="G15" s="3767"/>
      <c r="H15" s="3767"/>
      <c r="I15" s="3980"/>
      <c r="J15" s="3907"/>
      <c r="K15" s="3767"/>
      <c r="L15" s="3767"/>
      <c r="M15" s="2440"/>
      <c r="N15" s="2305"/>
      <c r="O15" s="2470"/>
      <c r="P15" s="2332"/>
      <c r="Q15" s="4205"/>
      <c r="R15" s="2316"/>
      <c r="S15" s="4208"/>
      <c r="T15" s="618" t="s">
        <v>1337</v>
      </c>
      <c r="U15" s="1475">
        <v>22019202</v>
      </c>
      <c r="V15" s="1467">
        <v>0</v>
      </c>
      <c r="W15" s="1467">
        <v>0</v>
      </c>
      <c r="X15" s="1468">
        <v>20</v>
      </c>
      <c r="Y15" s="1469" t="s">
        <v>1334</v>
      </c>
      <c r="Z15" s="4210"/>
      <c r="AA15" s="2326"/>
      <c r="AB15" s="3427"/>
      <c r="AC15" s="2326"/>
      <c r="AD15" s="2326"/>
      <c r="AE15" s="2326"/>
      <c r="AF15" s="2326"/>
      <c r="AG15" s="2326"/>
      <c r="AH15" s="2326"/>
      <c r="AI15" s="2326"/>
      <c r="AJ15" s="2326"/>
      <c r="AK15" s="2326"/>
      <c r="AL15" s="2326"/>
      <c r="AM15" s="2326"/>
      <c r="AN15" s="2326"/>
      <c r="AO15" s="2326"/>
      <c r="AP15" s="2326"/>
      <c r="AQ15" s="2326"/>
      <c r="AR15" s="2326"/>
      <c r="AS15" s="2326"/>
      <c r="AT15" s="2326"/>
      <c r="AU15" s="2326"/>
      <c r="AV15" s="2326"/>
      <c r="AW15" s="2326"/>
      <c r="AX15" s="2326"/>
      <c r="AY15" s="2326"/>
      <c r="AZ15" s="2326"/>
      <c r="BA15" s="2326"/>
      <c r="BB15" s="2326"/>
      <c r="BC15" s="2326"/>
      <c r="BD15" s="2326"/>
      <c r="BE15" s="2326"/>
      <c r="BF15" s="2326"/>
      <c r="BG15" s="2326"/>
      <c r="BH15" s="2326"/>
      <c r="BI15" s="2326"/>
      <c r="BJ15" s="2326"/>
      <c r="BK15" s="2326"/>
      <c r="BL15" s="2355"/>
      <c r="BM15" s="2355"/>
      <c r="BN15" s="2355"/>
      <c r="BO15" s="2355"/>
      <c r="BP15" s="3228"/>
      <c r="BQ15" s="1483"/>
      <c r="BR15" s="1483"/>
      <c r="BS15" s="1480"/>
      <c r="BT15" s="1480"/>
      <c r="BU15" s="1480"/>
      <c r="BV15" s="1480"/>
      <c r="BW15" s="1480"/>
      <c r="BX15" s="1480"/>
      <c r="BY15" s="1480"/>
      <c r="BZ15" s="1480"/>
      <c r="CA15" s="1480"/>
      <c r="CB15" s="1480"/>
      <c r="CC15" s="1480"/>
      <c r="CD15" s="1480"/>
      <c r="CE15" s="1480"/>
      <c r="CF15" s="1480"/>
      <c r="CG15" s="1480"/>
      <c r="CH15" s="1480"/>
      <c r="CI15" s="1480"/>
    </row>
    <row r="16" spans="1:101" s="1" customFormat="1" ht="81" customHeight="1" x14ac:dyDescent="0.2">
      <c r="A16" s="1477"/>
      <c r="B16" s="1478"/>
      <c r="C16" s="1479"/>
      <c r="D16" s="1480"/>
      <c r="E16" s="1481"/>
      <c r="F16" s="1482"/>
      <c r="G16" s="3110"/>
      <c r="H16" s="3110"/>
      <c r="I16" s="3980"/>
      <c r="J16" s="3062"/>
      <c r="K16" s="3110"/>
      <c r="L16" s="3110"/>
      <c r="M16" s="2440"/>
      <c r="N16" s="2305"/>
      <c r="O16" s="2470"/>
      <c r="P16" s="2332"/>
      <c r="Q16" s="4205"/>
      <c r="R16" s="2316"/>
      <c r="S16" s="4209"/>
      <c r="T16" s="1484" t="s">
        <v>1338</v>
      </c>
      <c r="U16" s="1475">
        <v>72024000</v>
      </c>
      <c r="V16" s="1467">
        <v>0</v>
      </c>
      <c r="W16" s="1467">
        <v>0</v>
      </c>
      <c r="X16" s="1468">
        <v>88</v>
      </c>
      <c r="Y16" s="1469" t="s">
        <v>780</v>
      </c>
      <c r="Z16" s="4210"/>
      <c r="AA16" s="2326"/>
      <c r="AB16" s="3427"/>
      <c r="AC16" s="2326"/>
      <c r="AD16" s="2326"/>
      <c r="AE16" s="2326"/>
      <c r="AF16" s="2326"/>
      <c r="AG16" s="2326"/>
      <c r="AH16" s="2326"/>
      <c r="AI16" s="2326"/>
      <c r="AJ16" s="2326"/>
      <c r="AK16" s="2326"/>
      <c r="AL16" s="2326"/>
      <c r="AM16" s="2326"/>
      <c r="AN16" s="2326"/>
      <c r="AO16" s="2326"/>
      <c r="AP16" s="2326"/>
      <c r="AQ16" s="2326"/>
      <c r="AR16" s="2326"/>
      <c r="AS16" s="2326"/>
      <c r="AT16" s="2326"/>
      <c r="AU16" s="2326"/>
      <c r="AV16" s="2326"/>
      <c r="AW16" s="2326"/>
      <c r="AX16" s="2326"/>
      <c r="AY16" s="2326"/>
      <c r="AZ16" s="2326"/>
      <c r="BA16" s="2326"/>
      <c r="BB16" s="2326"/>
      <c r="BC16" s="2326"/>
      <c r="BD16" s="2326"/>
      <c r="BE16" s="2326"/>
      <c r="BF16" s="2326"/>
      <c r="BG16" s="2326"/>
      <c r="BH16" s="2326"/>
      <c r="BI16" s="2326"/>
      <c r="BJ16" s="2326"/>
      <c r="BK16" s="2326"/>
      <c r="BL16" s="2355"/>
      <c r="BM16" s="2355"/>
      <c r="BN16" s="2355"/>
      <c r="BO16" s="2355"/>
      <c r="BP16" s="3228"/>
      <c r="BQ16" s="1483"/>
      <c r="BR16" s="1483"/>
      <c r="BS16" s="1480"/>
      <c r="BT16" s="1480"/>
      <c r="BU16" s="1480"/>
      <c r="BV16" s="1480"/>
      <c r="BW16" s="1480"/>
      <c r="BX16" s="1480"/>
      <c r="BY16" s="1480"/>
      <c r="BZ16" s="1480"/>
      <c r="CA16" s="1480"/>
      <c r="CB16" s="1480"/>
      <c r="CC16" s="1480"/>
      <c r="CD16" s="1480"/>
      <c r="CE16" s="1480"/>
      <c r="CF16" s="1480"/>
      <c r="CG16" s="1480"/>
      <c r="CH16" s="1480"/>
      <c r="CI16" s="1480"/>
    </row>
    <row r="17" spans="1:87" s="1" customFormat="1" ht="177.75" customHeight="1" x14ac:dyDescent="0.2">
      <c r="A17" s="124"/>
      <c r="C17" s="3"/>
      <c r="D17" s="125"/>
      <c r="E17" s="207"/>
      <c r="F17" s="206"/>
      <c r="G17" s="1423">
        <v>2301030</v>
      </c>
      <c r="H17" s="1485" t="s">
        <v>1339</v>
      </c>
      <c r="I17" s="1444" t="s">
        <v>1340</v>
      </c>
      <c r="J17" s="1436" t="s">
        <v>1341</v>
      </c>
      <c r="K17" s="1486">
        <v>500</v>
      </c>
      <c r="L17" s="1447"/>
      <c r="M17" s="2441"/>
      <c r="N17" s="2648"/>
      <c r="O17" s="2725"/>
      <c r="P17" s="1445">
        <f>U17/Q12</f>
        <v>0.15295733</v>
      </c>
      <c r="Q17" s="4206"/>
      <c r="R17" s="2316"/>
      <c r="S17" s="1487" t="s">
        <v>1342</v>
      </c>
      <c r="T17" s="1488" t="s">
        <v>1343</v>
      </c>
      <c r="U17" s="1466">
        <v>30591466</v>
      </c>
      <c r="V17" s="1467">
        <v>0</v>
      </c>
      <c r="W17" s="1467">
        <v>0</v>
      </c>
      <c r="X17" s="1468">
        <v>20</v>
      </c>
      <c r="Y17" s="1469" t="s">
        <v>1334</v>
      </c>
      <c r="Z17" s="4210"/>
      <c r="AA17" s="3467"/>
      <c r="AB17" s="4203"/>
      <c r="AC17" s="3467"/>
      <c r="AD17" s="3467"/>
      <c r="AE17" s="3467"/>
      <c r="AF17" s="3467"/>
      <c r="AG17" s="3467"/>
      <c r="AH17" s="3467"/>
      <c r="AI17" s="3467"/>
      <c r="AJ17" s="3467"/>
      <c r="AK17" s="3467"/>
      <c r="AL17" s="3467"/>
      <c r="AM17" s="3467"/>
      <c r="AN17" s="3467"/>
      <c r="AO17" s="3467"/>
      <c r="AP17" s="3467"/>
      <c r="AQ17" s="3467"/>
      <c r="AR17" s="3467"/>
      <c r="AS17" s="3467"/>
      <c r="AT17" s="3467"/>
      <c r="AU17" s="3467"/>
      <c r="AV17" s="3467"/>
      <c r="AW17" s="3467"/>
      <c r="AX17" s="3467"/>
      <c r="AY17" s="3467"/>
      <c r="AZ17" s="3467"/>
      <c r="BA17" s="3467"/>
      <c r="BB17" s="3467"/>
      <c r="BC17" s="3467"/>
      <c r="BD17" s="3467"/>
      <c r="BE17" s="3467"/>
      <c r="BF17" s="3467"/>
      <c r="BG17" s="3467"/>
      <c r="BH17" s="3467"/>
      <c r="BI17" s="3467"/>
      <c r="BJ17" s="3467"/>
      <c r="BK17" s="3467"/>
      <c r="BL17" s="2478"/>
      <c r="BM17" s="2478"/>
      <c r="BN17" s="2478"/>
      <c r="BO17" s="2478"/>
      <c r="BP17" s="3228"/>
      <c r="BQ17" s="1476"/>
      <c r="BR17" s="1476"/>
    </row>
    <row r="18" spans="1:87" s="1" customFormat="1" ht="27" customHeight="1" x14ac:dyDescent="0.2">
      <c r="A18" s="108"/>
      <c r="B18" s="1439"/>
      <c r="C18" s="110"/>
      <c r="D18" s="742">
        <v>17</v>
      </c>
      <c r="E18" s="989" t="s">
        <v>1344</v>
      </c>
      <c r="F18" s="46"/>
      <c r="G18" s="745"/>
      <c r="H18" s="745"/>
      <c r="I18" s="744"/>
      <c r="J18" s="1085"/>
      <c r="K18" s="746"/>
      <c r="L18" s="746"/>
      <c r="M18" s="753"/>
      <c r="N18" s="749"/>
      <c r="O18" s="753"/>
      <c r="P18" s="1086"/>
      <c r="Q18" s="1489"/>
      <c r="R18" s="753"/>
      <c r="S18" s="753"/>
      <c r="T18" s="753"/>
      <c r="U18" s="1490"/>
      <c r="V18" s="1491"/>
      <c r="W18" s="1491"/>
      <c r="X18" s="1492"/>
      <c r="Y18" s="1088"/>
      <c r="Z18" s="1092"/>
      <c r="AA18" s="1092"/>
      <c r="AB18" s="749"/>
      <c r="AC18" s="749"/>
      <c r="AD18" s="749"/>
      <c r="AE18" s="749"/>
      <c r="AF18" s="749"/>
      <c r="AG18" s="749"/>
      <c r="AH18" s="749"/>
      <c r="AI18" s="749"/>
      <c r="AJ18" s="749"/>
      <c r="AK18" s="749"/>
      <c r="AL18" s="749"/>
      <c r="AM18" s="749"/>
      <c r="AN18" s="749"/>
      <c r="AO18" s="749"/>
      <c r="AP18" s="749"/>
      <c r="AQ18" s="749"/>
      <c r="AR18" s="749"/>
      <c r="AS18" s="749"/>
      <c r="AT18" s="749"/>
      <c r="AU18" s="749"/>
      <c r="AV18" s="749"/>
      <c r="AW18" s="749"/>
      <c r="AX18" s="749"/>
      <c r="AY18" s="749"/>
      <c r="AZ18" s="749"/>
      <c r="BA18" s="749"/>
      <c r="BB18" s="749"/>
      <c r="BC18" s="749"/>
      <c r="BD18" s="749"/>
      <c r="BE18" s="749"/>
      <c r="BF18" s="749"/>
      <c r="BG18" s="749"/>
      <c r="BH18" s="749"/>
      <c r="BI18" s="749"/>
      <c r="BJ18" s="749"/>
      <c r="BK18" s="749"/>
      <c r="BL18" s="758"/>
      <c r="BM18" s="758"/>
      <c r="BN18" s="758"/>
      <c r="BO18" s="758"/>
      <c r="BP18" s="843"/>
      <c r="BQ18" s="18"/>
      <c r="BR18" s="18"/>
      <c r="BS18" s="18"/>
      <c r="BT18" s="18"/>
      <c r="BU18" s="18"/>
      <c r="BV18" s="18"/>
      <c r="BW18" s="18"/>
      <c r="BX18" s="18"/>
      <c r="BY18" s="18"/>
      <c r="BZ18" s="18"/>
      <c r="CA18" s="18"/>
      <c r="CB18" s="18"/>
      <c r="CC18" s="18"/>
      <c r="CD18" s="18"/>
      <c r="CE18" s="18"/>
      <c r="CF18" s="18"/>
      <c r="CG18" s="18"/>
      <c r="CH18" s="18"/>
      <c r="CI18" s="18"/>
    </row>
    <row r="19" spans="1:87" s="1" customFormat="1" ht="243.75" customHeight="1" x14ac:dyDescent="0.2">
      <c r="A19" s="1493"/>
      <c r="B19" s="1494"/>
      <c r="C19" s="1447"/>
      <c r="D19" s="468"/>
      <c r="E19" s="1495"/>
      <c r="F19" s="1496"/>
      <c r="G19" s="1424">
        <v>2302042</v>
      </c>
      <c r="H19" s="1497" t="s">
        <v>1345</v>
      </c>
      <c r="I19" s="1431" t="s">
        <v>1346</v>
      </c>
      <c r="J19" s="1425" t="s">
        <v>1347</v>
      </c>
      <c r="K19" s="1433">
        <v>1</v>
      </c>
      <c r="L19" s="1433"/>
      <c r="M19" s="1425" t="s">
        <v>1348</v>
      </c>
      <c r="N19" s="1442" t="s">
        <v>1349</v>
      </c>
      <c r="O19" s="1431" t="s">
        <v>1350</v>
      </c>
      <c r="P19" s="1498">
        <f>+U19/Q19</f>
        <v>1</v>
      </c>
      <c r="Q19" s="1467">
        <f>+U19</f>
        <v>7164000</v>
      </c>
      <c r="R19" s="1425" t="s">
        <v>1351</v>
      </c>
      <c r="S19" s="1425" t="s">
        <v>1352</v>
      </c>
      <c r="T19" s="618" t="s">
        <v>1353</v>
      </c>
      <c r="U19" s="1466">
        <v>7164000</v>
      </c>
      <c r="V19" s="1467">
        <v>0</v>
      </c>
      <c r="W19" s="1467">
        <v>0</v>
      </c>
      <c r="X19" s="1499">
        <v>88</v>
      </c>
      <c r="Y19" s="621" t="s">
        <v>1334</v>
      </c>
      <c r="Z19" s="619">
        <v>295972</v>
      </c>
      <c r="AA19" s="619"/>
      <c r="AB19" s="1441">
        <v>294321</v>
      </c>
      <c r="AC19" s="1441"/>
      <c r="AD19" s="1441">
        <v>132302</v>
      </c>
      <c r="AE19" s="1441"/>
      <c r="AF19" s="1441">
        <v>43426</v>
      </c>
      <c r="AG19" s="1441"/>
      <c r="AH19" s="1441">
        <v>313940</v>
      </c>
      <c r="AI19" s="1441"/>
      <c r="AJ19" s="1441">
        <v>100625</v>
      </c>
      <c r="AK19" s="1441"/>
      <c r="AL19" s="1441">
        <v>2145</v>
      </c>
      <c r="AM19" s="1441"/>
      <c r="AN19" s="1441">
        <v>12718</v>
      </c>
      <c r="AO19" s="1441"/>
      <c r="AP19" s="1441">
        <v>36</v>
      </c>
      <c r="AQ19" s="1441"/>
      <c r="AR19" s="1446">
        <v>0</v>
      </c>
      <c r="AS19" s="1446"/>
      <c r="AT19" s="1446">
        <v>0</v>
      </c>
      <c r="AU19" s="1446"/>
      <c r="AV19" s="1446">
        <v>0</v>
      </c>
      <c r="AW19" s="1446"/>
      <c r="AX19" s="1441">
        <v>70</v>
      </c>
      <c r="AY19" s="1441"/>
      <c r="AZ19" s="1441">
        <v>21944</v>
      </c>
      <c r="BA19" s="1441"/>
      <c r="BB19" s="1441">
        <v>285</v>
      </c>
      <c r="BC19" s="1441"/>
      <c r="BD19" s="1441">
        <v>590292</v>
      </c>
      <c r="BE19" s="1422"/>
      <c r="BF19" s="1422"/>
      <c r="BG19" s="1500">
        <f>SUM(V19)</f>
        <v>0</v>
      </c>
      <c r="BH19" s="1500">
        <f>SUM(W19)</f>
        <v>0</v>
      </c>
      <c r="BI19" s="1501"/>
      <c r="BJ19" s="1422"/>
      <c r="BK19" s="1422"/>
      <c r="BL19" s="1421">
        <v>44033</v>
      </c>
      <c r="BM19" s="1421"/>
      <c r="BN19" s="1421">
        <v>44195</v>
      </c>
      <c r="BO19" s="1421"/>
      <c r="BP19" s="1502" t="s">
        <v>1335</v>
      </c>
      <c r="BR19" s="18"/>
      <c r="BS19" s="18"/>
      <c r="BT19" s="18"/>
      <c r="BU19" s="18"/>
      <c r="BV19" s="18"/>
      <c r="BW19" s="18"/>
      <c r="BX19" s="18"/>
      <c r="BY19" s="18"/>
      <c r="BZ19" s="18"/>
      <c r="CA19" s="18"/>
      <c r="CB19" s="18"/>
      <c r="CC19" s="18"/>
      <c r="CD19" s="18"/>
      <c r="CE19" s="18"/>
      <c r="CF19" s="18"/>
      <c r="CG19" s="18"/>
      <c r="CH19" s="18"/>
      <c r="CI19" s="18"/>
    </row>
    <row r="20" spans="1:87" s="1" customFormat="1" ht="21" customHeight="1" x14ac:dyDescent="0.2">
      <c r="A20" s="1295">
        <v>2</v>
      </c>
      <c r="B20" s="979" t="s">
        <v>1354</v>
      </c>
      <c r="C20" s="980"/>
      <c r="D20" s="29"/>
      <c r="E20" s="30"/>
      <c r="F20" s="30"/>
      <c r="G20" s="30"/>
      <c r="H20" s="30"/>
      <c r="I20" s="29"/>
      <c r="J20" s="29"/>
      <c r="K20" s="32"/>
      <c r="L20" s="32"/>
      <c r="M20" s="33"/>
      <c r="N20" s="34"/>
      <c r="O20" s="33"/>
      <c r="P20" s="35"/>
      <c r="Q20" s="1503"/>
      <c r="R20" s="33"/>
      <c r="S20" s="33"/>
      <c r="T20" s="33"/>
      <c r="U20" s="1504"/>
      <c r="V20" s="1505"/>
      <c r="W20" s="1505"/>
      <c r="X20" s="1506"/>
      <c r="Y20" s="33"/>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9"/>
      <c r="BM20" s="39"/>
      <c r="BN20" s="39"/>
      <c r="BO20" s="39"/>
      <c r="BP20" s="1507"/>
      <c r="BQ20" s="18"/>
      <c r="BR20" s="18"/>
      <c r="BS20" s="18"/>
      <c r="BT20" s="18"/>
      <c r="BU20" s="18"/>
      <c r="BV20" s="18"/>
      <c r="BW20" s="18"/>
      <c r="BX20" s="18"/>
      <c r="BY20" s="18"/>
      <c r="BZ20" s="18"/>
      <c r="CA20" s="18"/>
      <c r="CB20" s="18"/>
      <c r="CC20" s="18"/>
      <c r="CD20" s="18"/>
      <c r="CE20" s="18"/>
      <c r="CF20" s="18"/>
      <c r="CG20" s="18"/>
      <c r="CH20" s="18"/>
      <c r="CI20" s="18"/>
    </row>
    <row r="21" spans="1:87" s="1" customFormat="1" ht="27" customHeight="1" x14ac:dyDescent="0.2">
      <c r="A21" s="1426"/>
      <c r="B21" s="1437"/>
      <c r="C21" s="1438"/>
      <c r="D21" s="742">
        <v>31</v>
      </c>
      <c r="E21" s="1218" t="s">
        <v>1355</v>
      </c>
      <c r="F21" s="744"/>
      <c r="G21" s="745"/>
      <c r="H21" s="745"/>
      <c r="I21" s="744"/>
      <c r="J21" s="744"/>
      <c r="K21" s="746"/>
      <c r="L21" s="746"/>
      <c r="M21" s="753"/>
      <c r="N21" s="749"/>
      <c r="O21" s="753"/>
      <c r="P21" s="832"/>
      <c r="Q21" s="1489"/>
      <c r="R21" s="753"/>
      <c r="S21" s="753"/>
      <c r="T21" s="753"/>
      <c r="U21" s="1508"/>
      <c r="V21" s="1491"/>
      <c r="W21" s="1491"/>
      <c r="X21" s="1509"/>
      <c r="Y21" s="753"/>
      <c r="Z21" s="749"/>
      <c r="AA21" s="749"/>
      <c r="AB21" s="749"/>
      <c r="AC21" s="749"/>
      <c r="AD21" s="749"/>
      <c r="AE21" s="749"/>
      <c r="AF21" s="749"/>
      <c r="AG21" s="749"/>
      <c r="AH21" s="749"/>
      <c r="AI21" s="749"/>
      <c r="AJ21" s="749"/>
      <c r="AK21" s="749"/>
      <c r="AL21" s="749"/>
      <c r="AM21" s="749"/>
      <c r="AN21" s="749"/>
      <c r="AO21" s="749"/>
      <c r="AP21" s="749"/>
      <c r="AQ21" s="749"/>
      <c r="AR21" s="749"/>
      <c r="AS21" s="749"/>
      <c r="AT21" s="749"/>
      <c r="AU21" s="749"/>
      <c r="AV21" s="749"/>
      <c r="AW21" s="749"/>
      <c r="AX21" s="749"/>
      <c r="AY21" s="749"/>
      <c r="AZ21" s="749"/>
      <c r="BA21" s="749"/>
      <c r="BB21" s="749"/>
      <c r="BC21" s="749"/>
      <c r="BD21" s="749"/>
      <c r="BE21" s="749"/>
      <c r="BF21" s="749"/>
      <c r="BG21" s="749"/>
      <c r="BH21" s="749"/>
      <c r="BI21" s="749"/>
      <c r="BJ21" s="749"/>
      <c r="BK21" s="749"/>
      <c r="BL21" s="758"/>
      <c r="BM21" s="758"/>
      <c r="BN21" s="758"/>
      <c r="BO21" s="758"/>
      <c r="BP21" s="843"/>
      <c r="BQ21" s="18"/>
      <c r="BR21" s="18"/>
      <c r="BS21" s="18"/>
      <c r="BT21" s="18"/>
      <c r="BU21" s="18"/>
      <c r="BV21" s="18"/>
      <c r="BW21" s="18"/>
      <c r="BX21" s="18"/>
      <c r="BY21" s="18"/>
      <c r="BZ21" s="18"/>
      <c r="CA21" s="18"/>
      <c r="CB21" s="18"/>
      <c r="CC21" s="18"/>
      <c r="CD21" s="18"/>
      <c r="CE21" s="18"/>
      <c r="CF21" s="18"/>
      <c r="CG21" s="18"/>
      <c r="CH21" s="18"/>
      <c r="CI21" s="18"/>
    </row>
    <row r="22" spans="1:87" s="1" customFormat="1" ht="122.25" customHeight="1" x14ac:dyDescent="0.2">
      <c r="A22" s="1420"/>
      <c r="B22" s="1430"/>
      <c r="C22" s="1429"/>
      <c r="D22" s="682"/>
      <c r="E22" s="1495"/>
      <c r="F22" s="1496"/>
      <c r="G22" s="1424">
        <v>3903005</v>
      </c>
      <c r="H22" s="1497" t="s">
        <v>1356</v>
      </c>
      <c r="I22" s="1431" t="s">
        <v>1357</v>
      </c>
      <c r="J22" s="1425" t="s">
        <v>1358</v>
      </c>
      <c r="K22" s="1433">
        <v>1</v>
      </c>
      <c r="L22" s="1433"/>
      <c r="M22" s="1425" t="s">
        <v>1359</v>
      </c>
      <c r="N22" s="1442" t="s">
        <v>1360</v>
      </c>
      <c r="O22" s="1431" t="s">
        <v>1361</v>
      </c>
      <c r="P22" s="1498">
        <f>+U22/Q22</f>
        <v>1</v>
      </c>
      <c r="Q22" s="1467">
        <f>+U22</f>
        <v>54000000</v>
      </c>
      <c r="R22" s="1510" t="s">
        <v>1362</v>
      </c>
      <c r="S22" s="1510" t="s">
        <v>1363</v>
      </c>
      <c r="T22" s="618" t="s">
        <v>1364</v>
      </c>
      <c r="U22" s="1466">
        <v>54000000</v>
      </c>
      <c r="V22" s="1467">
        <v>0</v>
      </c>
      <c r="W22" s="1467">
        <v>0</v>
      </c>
      <c r="X22" s="1499">
        <v>88</v>
      </c>
      <c r="Y22" s="621" t="s">
        <v>780</v>
      </c>
      <c r="Z22" s="1441">
        <v>295972</v>
      </c>
      <c r="AA22" s="1441"/>
      <c r="AB22" s="1441">
        <v>285580</v>
      </c>
      <c r="AC22" s="1441"/>
      <c r="AD22" s="1441">
        <v>66084</v>
      </c>
      <c r="AE22" s="1441"/>
      <c r="AF22" s="1441">
        <v>21618</v>
      </c>
      <c r="AG22" s="1441"/>
      <c r="AH22" s="1441">
        <v>157087</v>
      </c>
      <c r="AI22" s="1441"/>
      <c r="AJ22" s="1441">
        <v>51183</v>
      </c>
      <c r="AK22" s="1441"/>
      <c r="AL22" s="1441">
        <v>2145</v>
      </c>
      <c r="AM22" s="1441"/>
      <c r="AN22" s="1441">
        <v>12718</v>
      </c>
      <c r="AO22" s="1441"/>
      <c r="AP22" s="1441">
        <v>26</v>
      </c>
      <c r="AQ22" s="1441"/>
      <c r="AR22" s="1441">
        <v>37</v>
      </c>
      <c r="AS22" s="1441"/>
      <c r="AT22" s="1441">
        <v>0</v>
      </c>
      <c r="AU22" s="1441"/>
      <c r="AV22" s="1441">
        <v>0</v>
      </c>
      <c r="AW22" s="1441"/>
      <c r="AX22" s="1441">
        <v>44350</v>
      </c>
      <c r="AY22" s="1441"/>
      <c r="AZ22" s="1441">
        <v>21944</v>
      </c>
      <c r="BA22" s="1441"/>
      <c r="BB22" s="1441">
        <v>578</v>
      </c>
      <c r="BC22" s="1441"/>
      <c r="BD22" s="1441">
        <v>581552</v>
      </c>
      <c r="BE22" s="1422"/>
      <c r="BF22" s="1422"/>
      <c r="BG22" s="1500">
        <f>SUM(V22)</f>
        <v>0</v>
      </c>
      <c r="BH22" s="1500">
        <f>SUM(W22)</f>
        <v>0</v>
      </c>
      <c r="BI22" s="1422"/>
      <c r="BJ22" s="1422"/>
      <c r="BK22" s="1422"/>
      <c r="BL22" s="1421">
        <v>44025</v>
      </c>
      <c r="BM22" s="1421"/>
      <c r="BN22" s="1421">
        <v>44195</v>
      </c>
      <c r="BO22" s="1421"/>
      <c r="BP22" s="1502" t="s">
        <v>1335</v>
      </c>
      <c r="BR22" s="18"/>
      <c r="BS22" s="18"/>
      <c r="BT22" s="18"/>
      <c r="BU22" s="18"/>
      <c r="BV22" s="18"/>
      <c r="BW22" s="18"/>
      <c r="BX22" s="18"/>
      <c r="BY22" s="18"/>
      <c r="BZ22" s="18"/>
      <c r="CA22" s="18"/>
      <c r="CB22" s="18"/>
      <c r="CC22" s="18"/>
      <c r="CD22" s="18"/>
      <c r="CE22" s="18"/>
      <c r="CF22" s="18"/>
      <c r="CG22" s="18"/>
      <c r="CH22" s="18"/>
      <c r="CI22" s="18"/>
    </row>
    <row r="23" spans="1:87" s="1" customFormat="1" ht="30.75" customHeight="1" x14ac:dyDescent="0.2">
      <c r="A23" s="108"/>
      <c r="B23" s="1439"/>
      <c r="C23" s="110"/>
      <c r="D23" s="193">
        <v>32</v>
      </c>
      <c r="E23" s="1218" t="s">
        <v>1365</v>
      </c>
      <c r="F23" s="744"/>
      <c r="G23" s="745"/>
      <c r="H23" s="745"/>
      <c r="I23" s="744"/>
      <c r="J23" s="744"/>
      <c r="K23" s="746"/>
      <c r="L23" s="746"/>
      <c r="M23" s="753"/>
      <c r="N23" s="749"/>
      <c r="O23" s="753"/>
      <c r="P23" s="832"/>
      <c r="Q23" s="1489"/>
      <c r="R23" s="753"/>
      <c r="S23" s="753"/>
      <c r="T23" s="753"/>
      <c r="U23" s="1508"/>
      <c r="V23" s="1491"/>
      <c r="W23" s="1491"/>
      <c r="X23" s="1509"/>
      <c r="Y23" s="753"/>
      <c r="Z23" s="749"/>
      <c r="AA23" s="749"/>
      <c r="AB23" s="749"/>
      <c r="AC23" s="749"/>
      <c r="AD23" s="749"/>
      <c r="AE23" s="749"/>
      <c r="AF23" s="749"/>
      <c r="AG23" s="749"/>
      <c r="AH23" s="749"/>
      <c r="AI23" s="749"/>
      <c r="AJ23" s="749"/>
      <c r="AK23" s="749"/>
      <c r="AL23" s="749"/>
      <c r="AM23" s="749"/>
      <c r="AN23" s="749"/>
      <c r="AO23" s="749"/>
      <c r="AP23" s="749"/>
      <c r="AQ23" s="749"/>
      <c r="AR23" s="749"/>
      <c r="AS23" s="749"/>
      <c r="AT23" s="749"/>
      <c r="AU23" s="749"/>
      <c r="AV23" s="749"/>
      <c r="AW23" s="749"/>
      <c r="AX23" s="749"/>
      <c r="AY23" s="749"/>
      <c r="AZ23" s="749"/>
      <c r="BA23" s="749"/>
      <c r="BB23" s="749"/>
      <c r="BC23" s="749"/>
      <c r="BD23" s="749"/>
      <c r="BE23" s="749"/>
      <c r="BF23" s="749"/>
      <c r="BG23" s="749"/>
      <c r="BH23" s="749"/>
      <c r="BI23" s="749"/>
      <c r="BJ23" s="749"/>
      <c r="BK23" s="749"/>
      <c r="BL23" s="758"/>
      <c r="BM23" s="758"/>
      <c r="BN23" s="758"/>
      <c r="BO23" s="758"/>
      <c r="BP23" s="843"/>
      <c r="BQ23" s="18"/>
      <c r="BR23" s="18"/>
      <c r="BS23" s="18"/>
      <c r="BT23" s="18"/>
      <c r="BU23" s="18"/>
      <c r="BV23" s="18"/>
      <c r="BW23" s="18"/>
      <c r="BX23" s="18"/>
      <c r="BY23" s="18"/>
      <c r="BZ23" s="18"/>
      <c r="CA23" s="18"/>
      <c r="CB23" s="18"/>
      <c r="CC23" s="18"/>
      <c r="CD23" s="18"/>
      <c r="CE23" s="18"/>
      <c r="CF23" s="18"/>
      <c r="CG23" s="18"/>
      <c r="CH23" s="18"/>
      <c r="CI23" s="18"/>
    </row>
    <row r="24" spans="1:87" s="1" customFormat="1" ht="159" customHeight="1" x14ac:dyDescent="0.2">
      <c r="A24" s="1493"/>
      <c r="B24" s="1494"/>
      <c r="C24" s="1447"/>
      <c r="D24" s="682"/>
      <c r="E24" s="1495"/>
      <c r="F24" s="1496"/>
      <c r="G24" s="1433" t="s">
        <v>1366</v>
      </c>
      <c r="H24" s="1511" t="s">
        <v>1367</v>
      </c>
      <c r="I24" s="1425" t="s">
        <v>1368</v>
      </c>
      <c r="J24" s="1425" t="s">
        <v>1369</v>
      </c>
      <c r="K24" s="1433">
        <v>1</v>
      </c>
      <c r="L24" s="1433"/>
      <c r="M24" s="1425" t="s">
        <v>1370</v>
      </c>
      <c r="N24" s="1442" t="s">
        <v>1371</v>
      </c>
      <c r="O24" s="1431" t="s">
        <v>1372</v>
      </c>
      <c r="P24" s="1498">
        <f>+U24/Q24</f>
        <v>1</v>
      </c>
      <c r="Q24" s="1467">
        <f>+U24</f>
        <v>18000000</v>
      </c>
      <c r="R24" s="1510" t="s">
        <v>1373</v>
      </c>
      <c r="S24" s="2" t="s">
        <v>1374</v>
      </c>
      <c r="T24" s="621" t="s">
        <v>1375</v>
      </c>
      <c r="U24" s="1466">
        <v>18000000</v>
      </c>
      <c r="V24" s="1467">
        <v>0</v>
      </c>
      <c r="W24" s="1467">
        <v>0</v>
      </c>
      <c r="X24" s="1499">
        <v>88</v>
      </c>
      <c r="Y24" s="621" t="s">
        <v>780</v>
      </c>
      <c r="Z24" s="619">
        <v>295972</v>
      </c>
      <c r="AA24" s="619"/>
      <c r="AB24" s="1441">
        <v>294321</v>
      </c>
      <c r="AC24" s="1441"/>
      <c r="AD24" s="1441">
        <v>132302</v>
      </c>
      <c r="AE24" s="1441"/>
      <c r="AF24" s="1441">
        <v>43426</v>
      </c>
      <c r="AG24" s="1441"/>
      <c r="AH24" s="1441">
        <v>313940</v>
      </c>
      <c r="AI24" s="1441"/>
      <c r="AJ24" s="1441">
        <v>100625</v>
      </c>
      <c r="AK24" s="1441"/>
      <c r="AL24" s="1441">
        <v>2145</v>
      </c>
      <c r="AM24" s="1441"/>
      <c r="AN24" s="1441">
        <v>12718</v>
      </c>
      <c r="AO24" s="1441"/>
      <c r="AP24" s="1441">
        <v>36</v>
      </c>
      <c r="AQ24" s="1441"/>
      <c r="AR24" s="1446">
        <v>0</v>
      </c>
      <c r="AS24" s="1446"/>
      <c r="AT24" s="1446">
        <v>0</v>
      </c>
      <c r="AU24" s="1446"/>
      <c r="AV24" s="1446">
        <v>0</v>
      </c>
      <c r="AW24" s="1446"/>
      <c r="AX24" s="1441">
        <v>70</v>
      </c>
      <c r="AY24" s="1441"/>
      <c r="AZ24" s="1441">
        <v>21944</v>
      </c>
      <c r="BA24" s="1441"/>
      <c r="BB24" s="1441">
        <v>285</v>
      </c>
      <c r="BC24" s="1441"/>
      <c r="BD24" s="1441">
        <v>590292</v>
      </c>
      <c r="BE24" s="1422"/>
      <c r="BF24" s="1422"/>
      <c r="BG24" s="1500">
        <f>SUM(V24)</f>
        <v>0</v>
      </c>
      <c r="BH24" s="1500">
        <f>SUM(W24)</f>
        <v>0</v>
      </c>
      <c r="BI24" s="1422"/>
      <c r="BJ24" s="1422"/>
      <c r="BK24" s="1422"/>
      <c r="BL24" s="1421">
        <v>44033</v>
      </c>
      <c r="BM24" s="1421"/>
      <c r="BN24" s="1421">
        <v>44195</v>
      </c>
      <c r="BO24" s="1421"/>
      <c r="BP24" s="1502" t="s">
        <v>1335</v>
      </c>
      <c r="BR24" s="18"/>
      <c r="BS24" s="18"/>
      <c r="BT24" s="18"/>
      <c r="BU24" s="18"/>
      <c r="BV24" s="18"/>
      <c r="BW24" s="18"/>
      <c r="BX24" s="18"/>
      <c r="BY24" s="18"/>
      <c r="BZ24" s="18"/>
      <c r="CA24" s="18"/>
      <c r="CB24" s="18"/>
      <c r="CC24" s="18"/>
      <c r="CD24" s="18"/>
      <c r="CE24" s="18"/>
      <c r="CF24" s="18"/>
      <c r="CG24" s="18"/>
      <c r="CH24" s="18"/>
      <c r="CI24" s="18"/>
    </row>
    <row r="25" spans="1:87" s="1" customFormat="1" ht="23.25" customHeight="1" x14ac:dyDescent="0.2">
      <c r="A25" s="1295">
        <v>4</v>
      </c>
      <c r="B25" s="979" t="s">
        <v>812</v>
      </c>
      <c r="C25" s="980"/>
      <c r="D25" s="29"/>
      <c r="E25" s="30"/>
      <c r="F25" s="30"/>
      <c r="G25" s="30"/>
      <c r="H25" s="30"/>
      <c r="I25" s="29"/>
      <c r="J25" s="29"/>
      <c r="K25" s="32"/>
      <c r="L25" s="32"/>
      <c r="M25" s="33"/>
      <c r="N25" s="34"/>
      <c r="O25" s="33"/>
      <c r="P25" s="35"/>
      <c r="Q25" s="1503"/>
      <c r="R25" s="33"/>
      <c r="S25" s="33" t="s">
        <v>1376</v>
      </c>
      <c r="T25" s="33"/>
      <c r="U25" s="1504"/>
      <c r="V25" s="1505"/>
      <c r="W25" s="1505"/>
      <c r="X25" s="1506"/>
      <c r="Y25" s="33"/>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9"/>
      <c r="BM25" s="39"/>
      <c r="BN25" s="39"/>
      <c r="BO25" s="39"/>
      <c r="BP25" s="1507"/>
      <c r="BQ25" s="18"/>
      <c r="BR25" s="18"/>
      <c r="BS25" s="18"/>
      <c r="BT25" s="18"/>
      <c r="BU25" s="18"/>
      <c r="BV25" s="18"/>
      <c r="BW25" s="18"/>
      <c r="BX25" s="18"/>
      <c r="BY25" s="18"/>
      <c r="BZ25" s="18"/>
      <c r="CA25" s="18"/>
      <c r="CB25" s="18"/>
      <c r="CC25" s="18"/>
      <c r="CD25" s="18"/>
      <c r="CE25" s="18"/>
      <c r="CF25" s="18"/>
      <c r="CG25" s="18"/>
      <c r="CH25" s="18"/>
      <c r="CI25" s="18"/>
    </row>
    <row r="26" spans="1:87" s="1" customFormat="1" ht="30.75" customHeight="1" x14ac:dyDescent="0.2">
      <c r="A26" s="1426"/>
      <c r="B26" s="1437"/>
      <c r="C26" s="1438"/>
      <c r="D26" s="742">
        <v>17</v>
      </c>
      <c r="E26" s="1218" t="s">
        <v>1344</v>
      </c>
      <c r="F26" s="744"/>
      <c r="G26" s="745"/>
      <c r="H26" s="745"/>
      <c r="I26" s="744"/>
      <c r="J26" s="744"/>
      <c r="K26" s="746"/>
      <c r="L26" s="746"/>
      <c r="M26" s="753"/>
      <c r="N26" s="749"/>
      <c r="O26" s="753"/>
      <c r="P26" s="751"/>
      <c r="Q26" s="1489"/>
      <c r="R26" s="753"/>
      <c r="S26" s="753"/>
      <c r="T26" s="192"/>
      <c r="U26" s="1512"/>
      <c r="V26" s="1491"/>
      <c r="W26" s="1491"/>
      <c r="X26" s="1513"/>
      <c r="Y26" s="192"/>
      <c r="Z26" s="749"/>
      <c r="AA26" s="749"/>
      <c r="AB26" s="749"/>
      <c r="AC26" s="749"/>
      <c r="AD26" s="749"/>
      <c r="AE26" s="749"/>
      <c r="AF26" s="749"/>
      <c r="AG26" s="749"/>
      <c r="AH26" s="749"/>
      <c r="AI26" s="749"/>
      <c r="AJ26" s="749"/>
      <c r="AK26" s="749"/>
      <c r="AL26" s="749"/>
      <c r="AM26" s="749"/>
      <c r="AN26" s="749"/>
      <c r="AO26" s="749"/>
      <c r="AP26" s="749"/>
      <c r="AQ26" s="749"/>
      <c r="AR26" s="749"/>
      <c r="AS26" s="749"/>
      <c r="AT26" s="749"/>
      <c r="AU26" s="749"/>
      <c r="AV26" s="749"/>
      <c r="AW26" s="749"/>
      <c r="AX26" s="749"/>
      <c r="AY26" s="749"/>
      <c r="AZ26" s="749"/>
      <c r="BA26" s="749"/>
      <c r="BB26" s="749"/>
      <c r="BC26" s="749"/>
      <c r="BD26" s="749"/>
      <c r="BE26" s="749"/>
      <c r="BF26" s="749"/>
      <c r="BG26" s="749"/>
      <c r="BH26" s="749"/>
      <c r="BI26" s="749"/>
      <c r="BJ26" s="749"/>
      <c r="BK26" s="749"/>
      <c r="BL26" s="758"/>
      <c r="BM26" s="758"/>
      <c r="BN26" s="758"/>
      <c r="BO26" s="758"/>
      <c r="BP26" s="843"/>
      <c r="BQ26" s="18"/>
      <c r="BR26" s="18"/>
      <c r="BS26" s="18"/>
      <c r="BT26" s="18"/>
      <c r="BU26" s="18"/>
      <c r="BV26" s="18"/>
      <c r="BW26" s="18"/>
      <c r="BX26" s="18"/>
      <c r="BY26" s="18"/>
      <c r="BZ26" s="18"/>
      <c r="CA26" s="18"/>
      <c r="CB26" s="18"/>
      <c r="CC26" s="18"/>
      <c r="CD26" s="18"/>
      <c r="CE26" s="18"/>
      <c r="CF26" s="18"/>
      <c r="CG26" s="18"/>
      <c r="CH26" s="18"/>
      <c r="CI26" s="18"/>
    </row>
    <row r="27" spans="1:87" s="1471" customFormat="1" ht="111.75" customHeight="1" x14ac:dyDescent="0.25">
      <c r="A27" s="1514"/>
      <c r="B27" s="1515"/>
      <c r="C27" s="1516"/>
      <c r="D27" s="1517"/>
      <c r="E27" s="1518"/>
      <c r="F27" s="1519"/>
      <c r="G27" s="3109">
        <v>2302003</v>
      </c>
      <c r="H27" s="3109" t="s">
        <v>1377</v>
      </c>
      <c r="I27" s="3061" t="s">
        <v>1378</v>
      </c>
      <c r="J27" s="3908" t="s">
        <v>1379</v>
      </c>
      <c r="K27" s="4217">
        <v>100</v>
      </c>
      <c r="L27" s="3923">
        <v>70</v>
      </c>
      <c r="M27" s="4214" t="s">
        <v>1380</v>
      </c>
      <c r="N27" s="3675" t="s">
        <v>1381</v>
      </c>
      <c r="O27" s="3136" t="s">
        <v>1382</v>
      </c>
      <c r="P27" s="4013">
        <f>(U27+U29)/Q27</f>
        <v>0.74465751255933343</v>
      </c>
      <c r="Q27" s="4215">
        <f>SUM(U27:U30)</f>
        <v>353721000</v>
      </c>
      <c r="R27" s="3908" t="s">
        <v>1383</v>
      </c>
      <c r="S27" s="3908" t="s">
        <v>1384</v>
      </c>
      <c r="T27" s="3109" t="s">
        <v>1385</v>
      </c>
      <c r="U27" s="4218">
        <v>146689132</v>
      </c>
      <c r="V27" s="4218">
        <v>146689132</v>
      </c>
      <c r="W27" s="4218">
        <v>146689132</v>
      </c>
      <c r="X27" s="3646">
        <v>20</v>
      </c>
      <c r="Y27" s="3923" t="s">
        <v>1074</v>
      </c>
      <c r="Z27" s="3426">
        <v>295972</v>
      </c>
      <c r="AA27" s="2304">
        <v>295972</v>
      </c>
      <c r="AB27" s="2325">
        <v>285580</v>
      </c>
      <c r="AC27" s="2325">
        <v>285580</v>
      </c>
      <c r="AD27" s="2325">
        <v>66084</v>
      </c>
      <c r="AE27" s="2325">
        <v>66084</v>
      </c>
      <c r="AF27" s="2325">
        <v>21618</v>
      </c>
      <c r="AG27" s="2325">
        <v>21618</v>
      </c>
      <c r="AH27" s="2325">
        <v>157087</v>
      </c>
      <c r="AI27" s="2325">
        <v>157087</v>
      </c>
      <c r="AJ27" s="2325">
        <v>51183</v>
      </c>
      <c r="AK27" s="2325">
        <v>51183</v>
      </c>
      <c r="AL27" s="2325">
        <v>2145</v>
      </c>
      <c r="AM27" s="2325">
        <v>2145</v>
      </c>
      <c r="AN27" s="2325">
        <v>12718</v>
      </c>
      <c r="AO27" s="2325">
        <v>12718</v>
      </c>
      <c r="AP27" s="2325">
        <v>26</v>
      </c>
      <c r="AQ27" s="2325">
        <v>26</v>
      </c>
      <c r="AR27" s="2325">
        <v>37</v>
      </c>
      <c r="AS27" s="2325">
        <v>37</v>
      </c>
      <c r="AT27" s="2325">
        <v>0</v>
      </c>
      <c r="AU27" s="2304">
        <v>0</v>
      </c>
      <c r="AV27" s="2325">
        <v>0</v>
      </c>
      <c r="AW27" s="2304">
        <v>0</v>
      </c>
      <c r="AX27" s="2325">
        <v>44350</v>
      </c>
      <c r="AY27" s="2325">
        <v>44350</v>
      </c>
      <c r="AZ27" s="2325">
        <v>21944</v>
      </c>
      <c r="BA27" s="2325">
        <v>21944</v>
      </c>
      <c r="BB27" s="2325">
        <v>578</v>
      </c>
      <c r="BC27" s="2325">
        <v>578</v>
      </c>
      <c r="BD27" s="2325">
        <f>+Z27+AB27</f>
        <v>581552</v>
      </c>
      <c r="BE27" s="2325">
        <f>+AA27+AC27</f>
        <v>581552</v>
      </c>
      <c r="BF27" s="2325">
        <f>14+10+2</f>
        <v>26</v>
      </c>
      <c r="BG27" s="4212">
        <f>SUM(V27:V30)</f>
        <v>254853263</v>
      </c>
      <c r="BH27" s="4212">
        <f>SUM(W27:W30)</f>
        <v>161461132</v>
      </c>
      <c r="BI27" s="2350">
        <f>+BH27/BG27</f>
        <v>0.6335454767161447</v>
      </c>
      <c r="BJ27" s="2304" t="s">
        <v>161</v>
      </c>
      <c r="BK27" s="2308" t="s">
        <v>1386</v>
      </c>
      <c r="BL27" s="2687">
        <v>43832</v>
      </c>
      <c r="BM27" s="2488">
        <v>44067</v>
      </c>
      <c r="BN27" s="3222">
        <v>44195</v>
      </c>
      <c r="BO27" s="2354">
        <v>44188</v>
      </c>
      <c r="BP27" s="2466" t="s">
        <v>1335</v>
      </c>
    </row>
    <row r="28" spans="1:87" s="1" customFormat="1" ht="107.25" customHeight="1" x14ac:dyDescent="0.25">
      <c r="A28" s="1520"/>
      <c r="B28" s="156"/>
      <c r="C28" s="1521"/>
      <c r="E28" s="1522"/>
      <c r="F28" s="1523"/>
      <c r="G28" s="3767"/>
      <c r="H28" s="3767"/>
      <c r="I28" s="3907"/>
      <c r="J28" s="3769"/>
      <c r="K28" s="4217"/>
      <c r="L28" s="3771"/>
      <c r="M28" s="4214"/>
      <c r="N28" s="3676"/>
      <c r="O28" s="3136"/>
      <c r="P28" s="4004"/>
      <c r="Q28" s="4215"/>
      <c r="R28" s="3769"/>
      <c r="S28" s="3769"/>
      <c r="T28" s="3110"/>
      <c r="U28" s="4219"/>
      <c r="V28" s="4220"/>
      <c r="W28" s="4220"/>
      <c r="X28" s="3648"/>
      <c r="Y28" s="3772"/>
      <c r="Z28" s="2326"/>
      <c r="AA28" s="2305"/>
      <c r="AB28" s="2326"/>
      <c r="AC28" s="2326"/>
      <c r="AD28" s="2326"/>
      <c r="AE28" s="2326"/>
      <c r="AF28" s="2326"/>
      <c r="AG28" s="2326"/>
      <c r="AH28" s="2326"/>
      <c r="AI28" s="2326"/>
      <c r="AJ28" s="2326"/>
      <c r="AK28" s="2326"/>
      <c r="AL28" s="2326"/>
      <c r="AM28" s="2326"/>
      <c r="AN28" s="2326"/>
      <c r="AO28" s="2326"/>
      <c r="AP28" s="2326"/>
      <c r="AQ28" s="2326"/>
      <c r="AR28" s="2326"/>
      <c r="AS28" s="2326"/>
      <c r="AT28" s="2326"/>
      <c r="AU28" s="2305"/>
      <c r="AV28" s="2326"/>
      <c r="AW28" s="2305"/>
      <c r="AX28" s="2326"/>
      <c r="AY28" s="2326"/>
      <c r="AZ28" s="2326"/>
      <c r="BA28" s="2326"/>
      <c r="BB28" s="2326"/>
      <c r="BC28" s="2326"/>
      <c r="BD28" s="2326"/>
      <c r="BE28" s="2326"/>
      <c r="BF28" s="2326"/>
      <c r="BG28" s="2326"/>
      <c r="BH28" s="2326"/>
      <c r="BI28" s="2351"/>
      <c r="BJ28" s="2326"/>
      <c r="BK28" s="2309"/>
      <c r="BL28" s="2687"/>
      <c r="BM28" s="2489"/>
      <c r="BN28" s="3222"/>
      <c r="BO28" s="2355"/>
      <c r="BP28" s="2466"/>
    </row>
    <row r="29" spans="1:87" s="1" customFormat="1" ht="84.75" customHeight="1" x14ac:dyDescent="0.25">
      <c r="A29" s="1520"/>
      <c r="B29" s="156"/>
      <c r="C29" s="1521"/>
      <c r="E29" s="1522"/>
      <c r="F29" s="1523"/>
      <c r="G29" s="3110"/>
      <c r="H29" s="3110"/>
      <c r="I29" s="3062"/>
      <c r="J29" s="3137"/>
      <c r="K29" s="4217"/>
      <c r="L29" s="3772"/>
      <c r="M29" s="4214"/>
      <c r="N29" s="3676"/>
      <c r="O29" s="3136"/>
      <c r="P29" s="3876"/>
      <c r="Q29" s="4215"/>
      <c r="R29" s="3769"/>
      <c r="S29" s="3769"/>
      <c r="T29" s="1524" t="s">
        <v>1387</v>
      </c>
      <c r="U29" s="1525">
        <v>116711868</v>
      </c>
      <c r="V29" s="1526">
        <f>108164131-23926466</f>
        <v>84237665</v>
      </c>
      <c r="W29" s="1526">
        <f>2798000*4</f>
        <v>11192000</v>
      </c>
      <c r="X29" s="1499">
        <v>88</v>
      </c>
      <c r="Y29" s="621" t="s">
        <v>780</v>
      </c>
      <c r="Z29" s="2326"/>
      <c r="AA29" s="2305"/>
      <c r="AB29" s="2326"/>
      <c r="AC29" s="2326"/>
      <c r="AD29" s="2326"/>
      <c r="AE29" s="2326"/>
      <c r="AF29" s="2326"/>
      <c r="AG29" s="2326"/>
      <c r="AH29" s="2326"/>
      <c r="AI29" s="2326"/>
      <c r="AJ29" s="2326"/>
      <c r="AK29" s="2326"/>
      <c r="AL29" s="2326"/>
      <c r="AM29" s="2326"/>
      <c r="AN29" s="2326"/>
      <c r="AO29" s="2326"/>
      <c r="AP29" s="2326"/>
      <c r="AQ29" s="2326"/>
      <c r="AR29" s="2326"/>
      <c r="AS29" s="2326"/>
      <c r="AT29" s="2326"/>
      <c r="AU29" s="2305"/>
      <c r="AV29" s="2326"/>
      <c r="AW29" s="2305"/>
      <c r="AX29" s="2326"/>
      <c r="AY29" s="2326"/>
      <c r="AZ29" s="2326"/>
      <c r="BA29" s="2326"/>
      <c r="BB29" s="2326"/>
      <c r="BC29" s="2326"/>
      <c r="BD29" s="2326"/>
      <c r="BE29" s="2326"/>
      <c r="BF29" s="2326"/>
      <c r="BG29" s="2326"/>
      <c r="BH29" s="2326"/>
      <c r="BI29" s="2351"/>
      <c r="BJ29" s="2326"/>
      <c r="BK29" s="2309"/>
      <c r="BL29" s="2687"/>
      <c r="BM29" s="2489"/>
      <c r="BN29" s="3222"/>
      <c r="BO29" s="2355"/>
      <c r="BP29" s="2466"/>
    </row>
    <row r="30" spans="1:87" s="1" customFormat="1" ht="120" customHeight="1" x14ac:dyDescent="0.2">
      <c r="A30" s="1520"/>
      <c r="B30" s="163"/>
      <c r="C30" s="1521"/>
      <c r="D30" s="125"/>
      <c r="E30" s="1527"/>
      <c r="F30" s="1528"/>
      <c r="G30" s="1497">
        <v>2302066</v>
      </c>
      <c r="H30" s="1497" t="s">
        <v>1388</v>
      </c>
      <c r="I30" s="618" t="s">
        <v>1389</v>
      </c>
      <c r="J30" s="1529" t="s">
        <v>1390</v>
      </c>
      <c r="K30" s="1530">
        <v>30</v>
      </c>
      <c r="L30" s="1530"/>
      <c r="M30" s="4214"/>
      <c r="N30" s="3673"/>
      <c r="O30" s="4191"/>
      <c r="P30" s="1531">
        <f>U30/Q27</f>
        <v>0.25534248744066651</v>
      </c>
      <c r="Q30" s="4216"/>
      <c r="R30" s="3137"/>
      <c r="S30" s="3137"/>
      <c r="T30" s="1532" t="s">
        <v>1391</v>
      </c>
      <c r="U30" s="1533">
        <v>90320000</v>
      </c>
      <c r="V30" s="1467">
        <v>23926466</v>
      </c>
      <c r="W30" s="1467">
        <v>3580000</v>
      </c>
      <c r="X30" s="1499">
        <v>88</v>
      </c>
      <c r="Y30" s="621" t="s">
        <v>780</v>
      </c>
      <c r="Z30" s="3467"/>
      <c r="AA30" s="2648"/>
      <c r="AB30" s="3467"/>
      <c r="AC30" s="3467"/>
      <c r="AD30" s="3467"/>
      <c r="AE30" s="3467"/>
      <c r="AF30" s="3467"/>
      <c r="AG30" s="3467"/>
      <c r="AH30" s="3467"/>
      <c r="AI30" s="3467"/>
      <c r="AJ30" s="3467"/>
      <c r="AK30" s="3467"/>
      <c r="AL30" s="3467"/>
      <c r="AM30" s="3467"/>
      <c r="AN30" s="3467"/>
      <c r="AO30" s="3467"/>
      <c r="AP30" s="3467"/>
      <c r="AQ30" s="3467"/>
      <c r="AR30" s="3467"/>
      <c r="AS30" s="3467"/>
      <c r="AT30" s="3467"/>
      <c r="AU30" s="2648"/>
      <c r="AV30" s="3467"/>
      <c r="AW30" s="2648"/>
      <c r="AX30" s="3467"/>
      <c r="AY30" s="3467"/>
      <c r="AZ30" s="3467"/>
      <c r="BA30" s="3467"/>
      <c r="BB30" s="3467"/>
      <c r="BC30" s="3467"/>
      <c r="BD30" s="3467"/>
      <c r="BE30" s="3467"/>
      <c r="BF30" s="3467"/>
      <c r="BG30" s="3467"/>
      <c r="BH30" s="3467"/>
      <c r="BI30" s="2681"/>
      <c r="BJ30" s="3467"/>
      <c r="BK30" s="3202"/>
      <c r="BL30" s="2687"/>
      <c r="BM30" s="2490"/>
      <c r="BN30" s="3222"/>
      <c r="BO30" s="2478"/>
      <c r="BP30" s="2466"/>
    </row>
    <row r="31" spans="1:87" s="1" customFormat="1" ht="28.5" customHeight="1" x14ac:dyDescent="0.2">
      <c r="A31" s="126"/>
      <c r="B31" s="127"/>
      <c r="C31" s="128"/>
      <c r="D31" s="129"/>
      <c r="E31" s="129"/>
      <c r="F31" s="130"/>
      <c r="G31" s="682"/>
      <c r="H31" s="682"/>
      <c r="I31" s="1432"/>
      <c r="J31" s="1432"/>
      <c r="K31" s="132"/>
      <c r="L31" s="132"/>
      <c r="M31" s="132"/>
      <c r="N31" s="475"/>
      <c r="O31" s="683"/>
      <c r="P31" s="134"/>
      <c r="Q31" s="1534">
        <f>SUM(Q12:Q30)</f>
        <v>632885000</v>
      </c>
      <c r="R31" s="473"/>
      <c r="S31" s="473"/>
      <c r="T31" s="473"/>
      <c r="U31" s="1535">
        <f>SUM(U12:U30)</f>
        <v>632885000</v>
      </c>
      <c r="V31" s="1535">
        <f>SUM(V12:V30)</f>
        <v>254853263</v>
      </c>
      <c r="W31" s="1535">
        <f>SUM(W12:W30)</f>
        <v>161461132</v>
      </c>
      <c r="X31" s="414"/>
      <c r="Y31" s="1446"/>
      <c r="Z31" s="682"/>
      <c r="AA31" s="682"/>
      <c r="AB31" s="682"/>
      <c r="AC31" s="682"/>
      <c r="AD31" s="682"/>
      <c r="AE31" s="682"/>
      <c r="AF31" s="682"/>
      <c r="AG31" s="682"/>
      <c r="AH31" s="682"/>
      <c r="AI31" s="682"/>
      <c r="AJ31" s="682"/>
      <c r="AK31" s="682"/>
      <c r="AL31" s="682"/>
      <c r="AM31" s="682"/>
      <c r="AN31" s="682"/>
      <c r="AO31" s="682"/>
      <c r="AP31" s="682"/>
      <c r="AQ31" s="682"/>
      <c r="AR31" s="682"/>
      <c r="AS31" s="682"/>
      <c r="AT31" s="682"/>
      <c r="AU31" s="682"/>
      <c r="AV31" s="682"/>
      <c r="AW31" s="682"/>
      <c r="AX31" s="682"/>
      <c r="AY31" s="682"/>
      <c r="AZ31" s="682"/>
      <c r="BA31" s="682"/>
      <c r="BB31" s="682"/>
      <c r="BC31" s="682"/>
      <c r="BD31" s="682"/>
      <c r="BE31" s="682"/>
      <c r="BF31" s="682"/>
      <c r="BG31" s="1534">
        <f>SUM(BG12:BG30)</f>
        <v>254853263</v>
      </c>
      <c r="BH31" s="1534">
        <f>SUM(BH12:BH30)</f>
        <v>161461132</v>
      </c>
      <c r="BI31" s="682"/>
      <c r="BJ31" s="682"/>
      <c r="BK31" s="682"/>
      <c r="BL31" s="689"/>
      <c r="BM31" s="689"/>
      <c r="BN31" s="690"/>
      <c r="BO31" s="690"/>
      <c r="BP31" s="473"/>
    </row>
    <row r="32" spans="1:87" s="1" customFormat="1" x14ac:dyDescent="0.2">
      <c r="I32" s="2"/>
      <c r="J32" s="2"/>
      <c r="X32" s="1448"/>
    </row>
    <row r="33" spans="2:24" s="1" customFormat="1" x14ac:dyDescent="0.2">
      <c r="I33" s="2"/>
      <c r="J33" s="2"/>
      <c r="X33" s="1448"/>
    </row>
    <row r="34" spans="2:24" s="1" customFormat="1" x14ac:dyDescent="0.2">
      <c r="I34" s="2"/>
      <c r="J34" s="2"/>
      <c r="X34" s="1448"/>
    </row>
    <row r="35" spans="2:24" s="1" customFormat="1" x14ac:dyDescent="0.2">
      <c r="B35" s="875"/>
      <c r="C35" s="876"/>
      <c r="D35" s="125"/>
      <c r="E35" s="125"/>
      <c r="F35" s="125"/>
      <c r="G35" s="125"/>
      <c r="I35" s="2"/>
      <c r="J35" s="2"/>
      <c r="T35" s="1443"/>
      <c r="X35" s="1448"/>
    </row>
    <row r="36" spans="2:24" s="1" customFormat="1" ht="15.75" x14ac:dyDescent="0.25">
      <c r="B36" s="156" t="s">
        <v>1392</v>
      </c>
      <c r="C36" s="158"/>
      <c r="I36" s="2"/>
      <c r="J36" s="2"/>
      <c r="X36" s="1448"/>
    </row>
    <row r="37" spans="2:24" s="1" customFormat="1" ht="15.75" x14ac:dyDescent="0.25">
      <c r="B37" s="156" t="s">
        <v>1393</v>
      </c>
      <c r="C37" s="158"/>
      <c r="I37" s="2"/>
      <c r="J37" s="2"/>
      <c r="X37" s="1448"/>
    </row>
    <row r="38" spans="2:24" s="1" customFormat="1" x14ac:dyDescent="0.2">
      <c r="B38" s="163"/>
      <c r="C38" s="158"/>
      <c r="I38" s="2"/>
      <c r="J38" s="2"/>
      <c r="X38" s="1448"/>
    </row>
    <row r="39" spans="2:24" s="1" customFormat="1" x14ac:dyDescent="0.2">
      <c r="I39" s="2"/>
      <c r="J39" s="2"/>
      <c r="X39" s="1448"/>
    </row>
    <row r="44" spans="2:24" x14ac:dyDescent="0.25">
      <c r="U44" s="1536"/>
      <c r="V44" s="1536"/>
      <c r="W44" s="1536"/>
    </row>
  </sheetData>
  <sheetProtection password="A60F" sheet="1" objects="1" scenarios="1"/>
  <mergeCells count="175">
    <mergeCell ref="BO27:BO30"/>
    <mergeCell ref="BP27:BP30"/>
    <mergeCell ref="BI27:BI30"/>
    <mergeCell ref="BJ27:BJ30"/>
    <mergeCell ref="BK27:BK30"/>
    <mergeCell ref="BL27:BL30"/>
    <mergeCell ref="BM27:BM30"/>
    <mergeCell ref="BN27:BN30"/>
    <mergeCell ref="BC27:BC30"/>
    <mergeCell ref="BD27:BD30"/>
    <mergeCell ref="BE27:BE30"/>
    <mergeCell ref="BF27:BF30"/>
    <mergeCell ref="BG27:BG30"/>
    <mergeCell ref="BH27:BH30"/>
    <mergeCell ref="AW27:AW30"/>
    <mergeCell ref="AX27:AX30"/>
    <mergeCell ref="AY27:AY30"/>
    <mergeCell ref="AZ27:AZ30"/>
    <mergeCell ref="BA27:BA30"/>
    <mergeCell ref="BB27:BB30"/>
    <mergeCell ref="AQ27:AQ30"/>
    <mergeCell ref="AR27:AR30"/>
    <mergeCell ref="AS27:AS30"/>
    <mergeCell ref="AT27:AT30"/>
    <mergeCell ref="AU27:AU30"/>
    <mergeCell ref="AV27:AV30"/>
    <mergeCell ref="AK27:AK30"/>
    <mergeCell ref="AL27:AL30"/>
    <mergeCell ref="AM27:AM30"/>
    <mergeCell ref="AN27:AN30"/>
    <mergeCell ref="AO27:AO30"/>
    <mergeCell ref="AP27:AP30"/>
    <mergeCell ref="AE27:AE30"/>
    <mergeCell ref="AF27:AF30"/>
    <mergeCell ref="AG27:AG30"/>
    <mergeCell ref="AH27:AH30"/>
    <mergeCell ref="AI27:AI30"/>
    <mergeCell ref="AJ27:AJ30"/>
    <mergeCell ref="Y27:Y28"/>
    <mergeCell ref="Z27:Z30"/>
    <mergeCell ref="AA27:AA30"/>
    <mergeCell ref="AB27:AB30"/>
    <mergeCell ref="AC27:AC30"/>
    <mergeCell ref="AD27:AD30"/>
    <mergeCell ref="S27:S30"/>
    <mergeCell ref="T27:T28"/>
    <mergeCell ref="U27:U28"/>
    <mergeCell ref="V27:V28"/>
    <mergeCell ref="W27:W28"/>
    <mergeCell ref="X27:X28"/>
    <mergeCell ref="M27:M30"/>
    <mergeCell ref="N27:N30"/>
    <mergeCell ref="O27:O30"/>
    <mergeCell ref="P27:P29"/>
    <mergeCell ref="Q27:Q30"/>
    <mergeCell ref="R27:R30"/>
    <mergeCell ref="G27:G29"/>
    <mergeCell ref="H27:H29"/>
    <mergeCell ref="I27:I29"/>
    <mergeCell ref="J27:J29"/>
    <mergeCell ref="K27:K29"/>
    <mergeCell ref="L27:L29"/>
    <mergeCell ref="BK12:BK17"/>
    <mergeCell ref="BL12:BL17"/>
    <mergeCell ref="BM12:BM17"/>
    <mergeCell ref="BN12:BN17"/>
    <mergeCell ref="BO12:BO17"/>
    <mergeCell ref="BP12:BP17"/>
    <mergeCell ref="BE12:BE17"/>
    <mergeCell ref="BF12:BF17"/>
    <mergeCell ref="BG12:BG17"/>
    <mergeCell ref="BH12:BH17"/>
    <mergeCell ref="BI12:BI17"/>
    <mergeCell ref="BJ12:BJ17"/>
    <mergeCell ref="AZ12:AZ17"/>
    <mergeCell ref="BA12:BA17"/>
    <mergeCell ref="BB12:BB17"/>
    <mergeCell ref="BC12:BC17"/>
    <mergeCell ref="BD12:BD17"/>
    <mergeCell ref="AS12:AS17"/>
    <mergeCell ref="AT12:AT17"/>
    <mergeCell ref="AU12:AU17"/>
    <mergeCell ref="AV12:AV17"/>
    <mergeCell ref="AW12:AW17"/>
    <mergeCell ref="AX12:AX17"/>
    <mergeCell ref="BF7:BK7"/>
    <mergeCell ref="AA12:AA17"/>
    <mergeCell ref="AB12:AB17"/>
    <mergeCell ref="AC12:AC17"/>
    <mergeCell ref="AD12:AD17"/>
    <mergeCell ref="AE12:AE17"/>
    <mergeCell ref="AF12:AF17"/>
    <mergeCell ref="O12:O17"/>
    <mergeCell ref="P12:P16"/>
    <mergeCell ref="Q12:Q17"/>
    <mergeCell ref="R12:R17"/>
    <mergeCell ref="S12:S16"/>
    <mergeCell ref="Z12:Z17"/>
    <mergeCell ref="T13:T14"/>
    <mergeCell ref="AM12:AM17"/>
    <mergeCell ref="AN12:AN17"/>
    <mergeCell ref="AO12:AO17"/>
    <mergeCell ref="AP12:AP17"/>
    <mergeCell ref="AQ12:AQ17"/>
    <mergeCell ref="AR12:AR17"/>
    <mergeCell ref="AG12:AG17"/>
    <mergeCell ref="AH12:AH17"/>
    <mergeCell ref="AI12:AI17"/>
    <mergeCell ref="AJ12:AJ17"/>
    <mergeCell ref="G12:G16"/>
    <mergeCell ref="H12:H16"/>
    <mergeCell ref="I12:I16"/>
    <mergeCell ref="J12:J16"/>
    <mergeCell ref="K12:K16"/>
    <mergeCell ref="L12:L16"/>
    <mergeCell ref="M12:M17"/>
    <mergeCell ref="N12:N17"/>
    <mergeCell ref="AX8:AY8"/>
    <mergeCell ref="AL8:AM8"/>
    <mergeCell ref="AN8:AO8"/>
    <mergeCell ref="AP8:AQ8"/>
    <mergeCell ref="AR8:AS8"/>
    <mergeCell ref="AT8:AU8"/>
    <mergeCell ref="AV8:AW8"/>
    <mergeCell ref="AK12:AK17"/>
    <mergeCell ref="AL12:AL17"/>
    <mergeCell ref="AY12:AY17"/>
    <mergeCell ref="BP7:BP8"/>
    <mergeCell ref="U8:U9"/>
    <mergeCell ref="V8:V9"/>
    <mergeCell ref="W8:W9"/>
    <mergeCell ref="Z8:AA8"/>
    <mergeCell ref="AB8:AC8"/>
    <mergeCell ref="X7:X9"/>
    <mergeCell ref="Y7:Y9"/>
    <mergeCell ref="Z7:AC7"/>
    <mergeCell ref="AD7:AK7"/>
    <mergeCell ref="AL7:AW7"/>
    <mergeCell ref="AX7:BC7"/>
    <mergeCell ref="AD8:AE8"/>
    <mergeCell ref="AF8:AG8"/>
    <mergeCell ref="AH8:AI8"/>
    <mergeCell ref="AJ8:AK8"/>
    <mergeCell ref="BJ8:BJ9"/>
    <mergeCell ref="BK8:BK9"/>
    <mergeCell ref="AZ8:BA8"/>
    <mergeCell ref="BF8:BF9"/>
    <mergeCell ref="BG8:BG9"/>
    <mergeCell ref="BH8:BH9"/>
    <mergeCell ref="BI8:BI9"/>
    <mergeCell ref="BD7:BE8"/>
    <mergeCell ref="A1:BN4"/>
    <mergeCell ref="A5:K6"/>
    <mergeCell ref="M5:BP5"/>
    <mergeCell ref="Z6:BD6"/>
    <mergeCell ref="A7:A9"/>
    <mergeCell ref="B7:C9"/>
    <mergeCell ref="D7:D9"/>
    <mergeCell ref="E7:F9"/>
    <mergeCell ref="G7:G9"/>
    <mergeCell ref="H7:H9"/>
    <mergeCell ref="P7:P9"/>
    <mergeCell ref="Q7:Q9"/>
    <mergeCell ref="R7:R9"/>
    <mergeCell ref="S7:S9"/>
    <mergeCell ref="T7:T9"/>
    <mergeCell ref="U7:W7"/>
    <mergeCell ref="I7:I9"/>
    <mergeCell ref="J7:J9"/>
    <mergeCell ref="K7:L8"/>
    <mergeCell ref="M7:M9"/>
    <mergeCell ref="N7:N9"/>
    <mergeCell ref="O7:O9"/>
    <mergeCell ref="BL7:BM8"/>
    <mergeCell ref="BN7:BO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X77"/>
  <sheetViews>
    <sheetView showGridLines="0" zoomScale="55" zoomScaleNormal="55" zoomScalePageLayoutView="40" workbookViewId="0">
      <selection activeCell="M17" sqref="M17"/>
    </sheetView>
  </sheetViews>
  <sheetFormatPr baseColWidth="10" defaultRowHeight="15" x14ac:dyDescent="0.25"/>
  <cols>
    <col min="1" max="1" width="16.85546875" customWidth="1"/>
    <col min="4" max="4" width="16.85546875" customWidth="1"/>
    <col min="7" max="7" width="14.7109375" customWidth="1"/>
    <col min="8" max="8" width="22.140625" customWidth="1"/>
    <col min="9" max="9" width="39.28515625" customWidth="1"/>
    <col min="10" max="10" width="30.5703125" customWidth="1"/>
    <col min="11" max="12" width="16" customWidth="1"/>
    <col min="13" max="13" width="29.28515625" customWidth="1"/>
    <col min="14" max="14" width="24.28515625" customWidth="1"/>
    <col min="15" max="15" width="31" customWidth="1"/>
    <col min="16" max="16" width="24.28515625" customWidth="1"/>
    <col min="17" max="17" width="30.28515625" customWidth="1"/>
    <col min="18" max="18" width="39" style="4597" customWidth="1"/>
    <col min="19" max="19" width="32.42578125" customWidth="1"/>
    <col min="20" max="20" width="37.85546875" style="4597" customWidth="1"/>
    <col min="21" max="21" width="32" customWidth="1"/>
    <col min="22" max="22" width="27.5703125" customWidth="1"/>
    <col min="23" max="23" width="28.28515625" customWidth="1"/>
    <col min="24" max="24" width="24.28515625" customWidth="1"/>
    <col min="25" max="25" width="40" style="1537" customWidth="1"/>
    <col min="59" max="60" width="18.7109375" bestFit="1" customWidth="1"/>
    <col min="61" max="61" width="19.42578125" bestFit="1" customWidth="1"/>
    <col min="62" max="62" width="37.7109375" customWidth="1"/>
    <col min="63" max="63" width="21" customWidth="1"/>
    <col min="64" max="66" width="17.85546875" customWidth="1"/>
    <col min="67" max="67" width="12.7109375" bestFit="1" customWidth="1"/>
    <col min="68" max="68" width="25.28515625" customWidth="1"/>
  </cols>
  <sheetData>
    <row r="1" spans="1:76" ht="18" customHeight="1" x14ac:dyDescent="0.25">
      <c r="A1" s="2241" t="s">
        <v>2362</v>
      </c>
      <c r="B1" s="2242"/>
      <c r="C1" s="2242"/>
      <c r="D1" s="2242"/>
      <c r="E1" s="2242"/>
      <c r="F1" s="2242"/>
      <c r="G1" s="2242"/>
      <c r="H1" s="2242"/>
      <c r="I1" s="2242"/>
      <c r="J1" s="2242"/>
      <c r="K1" s="2242"/>
      <c r="L1" s="2242"/>
      <c r="M1" s="2242"/>
      <c r="N1" s="2242"/>
      <c r="O1" s="2242"/>
      <c r="P1" s="2242"/>
      <c r="Q1" s="2242"/>
      <c r="R1" s="2242"/>
      <c r="S1" s="2242"/>
      <c r="T1" s="2242"/>
      <c r="U1" s="2242"/>
      <c r="V1" s="2242"/>
      <c r="W1" s="2242"/>
      <c r="X1" s="2242"/>
      <c r="Y1" s="2242"/>
      <c r="Z1" s="2242"/>
      <c r="AA1" s="2242"/>
      <c r="AB1" s="2242"/>
      <c r="AC1" s="2242"/>
      <c r="AD1" s="2242"/>
      <c r="AE1" s="2242"/>
      <c r="AF1" s="2242"/>
      <c r="AG1" s="2242"/>
      <c r="AH1" s="2242"/>
      <c r="AI1" s="2242"/>
      <c r="AJ1" s="2242"/>
      <c r="AK1" s="2242"/>
      <c r="AL1" s="2242"/>
      <c r="AM1" s="2242"/>
      <c r="AN1" s="2242"/>
      <c r="AO1" s="2242"/>
      <c r="AP1" s="2242"/>
      <c r="AQ1" s="2242"/>
      <c r="AR1" s="2242"/>
      <c r="AS1" s="2242"/>
      <c r="AT1" s="2242"/>
      <c r="AU1" s="2242"/>
      <c r="AV1" s="2242"/>
      <c r="AW1" s="2242"/>
      <c r="AX1" s="2242"/>
      <c r="AY1" s="2242"/>
      <c r="AZ1" s="2242"/>
      <c r="BA1" s="2242"/>
      <c r="BB1" s="2242"/>
      <c r="BC1" s="2242"/>
      <c r="BD1" s="2242"/>
      <c r="BE1" s="2242"/>
      <c r="BF1" s="2242"/>
      <c r="BG1" s="2242"/>
      <c r="BH1" s="2242"/>
      <c r="BI1" s="2242"/>
      <c r="BJ1" s="2242"/>
      <c r="BK1" s="2242"/>
      <c r="BL1" s="2242"/>
      <c r="BM1" s="2200"/>
      <c r="BO1" s="628" t="s">
        <v>29</v>
      </c>
      <c r="BP1" s="705" t="s">
        <v>336</v>
      </c>
      <c r="BQ1" s="15"/>
      <c r="BR1" s="15"/>
      <c r="BS1" s="15"/>
      <c r="BT1" s="15"/>
      <c r="BU1" s="15"/>
      <c r="BV1" s="15"/>
      <c r="BW1" s="15"/>
      <c r="BX1" s="15"/>
    </row>
    <row r="2" spans="1:76" x14ac:dyDescent="0.25">
      <c r="A2" s="2244"/>
      <c r="B2" s="3179"/>
      <c r="C2" s="3179"/>
      <c r="D2" s="3179"/>
      <c r="E2" s="3179"/>
      <c r="F2" s="3179"/>
      <c r="G2" s="3179"/>
      <c r="H2" s="3179"/>
      <c r="I2" s="3179"/>
      <c r="J2" s="3179"/>
      <c r="K2" s="3179"/>
      <c r="L2" s="3179"/>
      <c r="M2" s="3179"/>
      <c r="N2" s="3179"/>
      <c r="O2" s="3179"/>
      <c r="P2" s="3179"/>
      <c r="Q2" s="3179"/>
      <c r="R2" s="3179"/>
      <c r="S2" s="3179"/>
      <c r="T2" s="3179"/>
      <c r="U2" s="3179"/>
      <c r="V2" s="3179"/>
      <c r="W2" s="3179"/>
      <c r="X2" s="3179"/>
      <c r="Y2" s="3179"/>
      <c r="Z2" s="3179"/>
      <c r="AA2" s="3179"/>
      <c r="AB2" s="3179"/>
      <c r="AC2" s="3179"/>
      <c r="AD2" s="3179"/>
      <c r="AE2" s="3179"/>
      <c r="AF2" s="3179"/>
      <c r="AG2" s="3179"/>
      <c r="AH2" s="3179"/>
      <c r="AI2" s="3179"/>
      <c r="AJ2" s="3179"/>
      <c r="AK2" s="3179"/>
      <c r="AL2" s="3179"/>
      <c r="AM2" s="3179"/>
      <c r="AN2" s="3179"/>
      <c r="AO2" s="3179"/>
      <c r="AP2" s="3179"/>
      <c r="AQ2" s="3179"/>
      <c r="AR2" s="3179"/>
      <c r="AS2" s="3179"/>
      <c r="AT2" s="3179"/>
      <c r="AU2" s="3179"/>
      <c r="AV2" s="3179"/>
      <c r="AW2" s="3179"/>
      <c r="AX2" s="3179"/>
      <c r="AY2" s="3179"/>
      <c r="AZ2" s="3179"/>
      <c r="BA2" s="3179"/>
      <c r="BB2" s="3179"/>
      <c r="BC2" s="3179"/>
      <c r="BD2" s="3179"/>
      <c r="BE2" s="3179"/>
      <c r="BF2" s="3179"/>
      <c r="BG2" s="3179"/>
      <c r="BH2" s="3179"/>
      <c r="BI2" s="3179"/>
      <c r="BJ2" s="3179"/>
      <c r="BK2" s="3179"/>
      <c r="BL2" s="3179"/>
      <c r="BM2" s="2212"/>
      <c r="BO2" s="631" t="s">
        <v>30</v>
      </c>
      <c r="BP2" s="707">
        <v>6</v>
      </c>
      <c r="BQ2" s="15"/>
      <c r="BR2" s="15"/>
      <c r="BS2" s="15"/>
      <c r="BT2" s="15"/>
      <c r="BU2" s="15"/>
      <c r="BV2" s="15"/>
      <c r="BW2" s="15"/>
      <c r="BX2" s="15"/>
    </row>
    <row r="3" spans="1:76" x14ac:dyDescent="0.25">
      <c r="A3" s="2244"/>
      <c r="B3" s="3179"/>
      <c r="C3" s="3179"/>
      <c r="D3" s="3179"/>
      <c r="E3" s="3179"/>
      <c r="F3" s="3179"/>
      <c r="G3" s="3179"/>
      <c r="H3" s="3179"/>
      <c r="I3" s="3179"/>
      <c r="J3" s="3179"/>
      <c r="K3" s="3179"/>
      <c r="L3" s="3179"/>
      <c r="M3" s="3179"/>
      <c r="N3" s="3179"/>
      <c r="O3" s="3179"/>
      <c r="P3" s="3179"/>
      <c r="Q3" s="3179"/>
      <c r="R3" s="3179"/>
      <c r="S3" s="3179"/>
      <c r="T3" s="3179"/>
      <c r="U3" s="3179"/>
      <c r="V3" s="3179"/>
      <c r="W3" s="3179"/>
      <c r="X3" s="3179"/>
      <c r="Y3" s="3179"/>
      <c r="Z3" s="3179"/>
      <c r="AA3" s="3179"/>
      <c r="AB3" s="3179"/>
      <c r="AC3" s="3179"/>
      <c r="AD3" s="3179"/>
      <c r="AE3" s="3179"/>
      <c r="AF3" s="3179"/>
      <c r="AG3" s="3179"/>
      <c r="AH3" s="3179"/>
      <c r="AI3" s="3179"/>
      <c r="AJ3" s="3179"/>
      <c r="AK3" s="3179"/>
      <c r="AL3" s="3179"/>
      <c r="AM3" s="3179"/>
      <c r="AN3" s="3179"/>
      <c r="AO3" s="3179"/>
      <c r="AP3" s="3179"/>
      <c r="AQ3" s="3179"/>
      <c r="AR3" s="3179"/>
      <c r="AS3" s="3179"/>
      <c r="AT3" s="3179"/>
      <c r="AU3" s="3179"/>
      <c r="AV3" s="3179"/>
      <c r="AW3" s="3179"/>
      <c r="AX3" s="3179"/>
      <c r="AY3" s="3179"/>
      <c r="AZ3" s="3179"/>
      <c r="BA3" s="3179"/>
      <c r="BB3" s="3179"/>
      <c r="BC3" s="3179"/>
      <c r="BD3" s="3179"/>
      <c r="BE3" s="3179"/>
      <c r="BF3" s="3179"/>
      <c r="BG3" s="3179"/>
      <c r="BH3" s="3179"/>
      <c r="BI3" s="3179"/>
      <c r="BJ3" s="3179"/>
      <c r="BK3" s="3179"/>
      <c r="BL3" s="3179"/>
      <c r="BM3" s="2212"/>
      <c r="BO3" s="631" t="s">
        <v>32</v>
      </c>
      <c r="BP3" s="708" t="s">
        <v>33</v>
      </c>
      <c r="BQ3" s="15"/>
      <c r="BR3" s="15"/>
      <c r="BS3" s="15"/>
      <c r="BT3" s="15"/>
      <c r="BU3" s="15"/>
      <c r="BV3" s="15"/>
      <c r="BW3" s="15"/>
      <c r="BX3" s="15"/>
    </row>
    <row r="4" spans="1:76" x14ac:dyDescent="0.25">
      <c r="A4" s="2247"/>
      <c r="B4" s="2248"/>
      <c r="C4" s="2248"/>
      <c r="D4" s="2248"/>
      <c r="E4" s="2248"/>
      <c r="F4" s="2248"/>
      <c r="G4" s="2248"/>
      <c r="H4" s="2248"/>
      <c r="I4" s="2248"/>
      <c r="J4" s="2248"/>
      <c r="K4" s="2248"/>
      <c r="L4" s="2248"/>
      <c r="M4" s="2248"/>
      <c r="N4" s="2248"/>
      <c r="O4" s="2248"/>
      <c r="P4" s="2248"/>
      <c r="Q4" s="2248"/>
      <c r="R4" s="2248"/>
      <c r="S4" s="2248"/>
      <c r="T4" s="2248"/>
      <c r="U4" s="2248"/>
      <c r="V4" s="2248"/>
      <c r="W4" s="2248"/>
      <c r="X4" s="2248"/>
      <c r="Y4" s="2248"/>
      <c r="Z4" s="2248"/>
      <c r="AA4" s="2248"/>
      <c r="AB4" s="2248"/>
      <c r="AC4" s="2248"/>
      <c r="AD4" s="2248"/>
      <c r="AE4" s="2248"/>
      <c r="AF4" s="2248"/>
      <c r="AG4" s="2248"/>
      <c r="AH4" s="2248"/>
      <c r="AI4" s="2248"/>
      <c r="AJ4" s="2248"/>
      <c r="AK4" s="2248"/>
      <c r="AL4" s="2248"/>
      <c r="AM4" s="2248"/>
      <c r="AN4" s="2248"/>
      <c r="AO4" s="2248"/>
      <c r="AP4" s="2248"/>
      <c r="AQ4" s="2248"/>
      <c r="AR4" s="2248"/>
      <c r="AS4" s="2248"/>
      <c r="AT4" s="2248"/>
      <c r="AU4" s="2248"/>
      <c r="AV4" s="2248"/>
      <c r="AW4" s="2248"/>
      <c r="AX4" s="2248"/>
      <c r="AY4" s="2248"/>
      <c r="AZ4" s="2248"/>
      <c r="BA4" s="2248"/>
      <c r="BB4" s="2248"/>
      <c r="BC4" s="2248"/>
      <c r="BD4" s="2248"/>
      <c r="BE4" s="2248"/>
      <c r="BF4" s="2248"/>
      <c r="BG4" s="2248"/>
      <c r="BH4" s="2248"/>
      <c r="BI4" s="2248"/>
      <c r="BJ4" s="2248"/>
      <c r="BK4" s="2248"/>
      <c r="BL4" s="2248"/>
      <c r="BM4" s="2201"/>
      <c r="BN4" s="950"/>
      <c r="BO4" s="631" t="s">
        <v>34</v>
      </c>
      <c r="BP4" s="710" t="s">
        <v>339</v>
      </c>
      <c r="BQ4" s="15"/>
      <c r="BR4" s="15"/>
      <c r="BS4" s="15"/>
      <c r="BT4" s="15"/>
      <c r="BU4" s="15"/>
      <c r="BV4" s="15"/>
      <c r="BW4" s="15"/>
      <c r="BX4" s="15"/>
    </row>
    <row r="5" spans="1:76" ht="15.75" x14ac:dyDescent="0.25">
      <c r="A5" s="2250" t="s">
        <v>340</v>
      </c>
      <c r="B5" s="2251"/>
      <c r="C5" s="2251"/>
      <c r="D5" s="2251"/>
      <c r="E5" s="2251"/>
      <c r="F5" s="2251"/>
      <c r="G5" s="2251"/>
      <c r="H5" s="2251"/>
      <c r="I5" s="2251"/>
      <c r="J5" s="2251"/>
      <c r="K5" s="2251"/>
      <c r="L5" s="2202"/>
      <c r="M5" s="2555" t="s">
        <v>37</v>
      </c>
      <c r="N5" s="2555"/>
      <c r="O5" s="2555"/>
      <c r="P5" s="2555"/>
      <c r="Q5" s="2555"/>
      <c r="R5" s="2555"/>
      <c r="S5" s="2555"/>
      <c r="T5" s="2555"/>
      <c r="U5" s="2555"/>
      <c r="V5" s="2555"/>
      <c r="W5" s="2555"/>
      <c r="X5" s="2555"/>
      <c r="Y5" s="2555"/>
      <c r="Z5" s="2555"/>
      <c r="AA5" s="2555"/>
      <c r="AB5" s="2555"/>
      <c r="AC5" s="2555"/>
      <c r="AD5" s="2555"/>
      <c r="AE5" s="2555"/>
      <c r="AF5" s="2555"/>
      <c r="AG5" s="2555"/>
      <c r="AH5" s="2555"/>
      <c r="AI5" s="2555"/>
      <c r="AJ5" s="2555"/>
      <c r="AK5" s="2555"/>
      <c r="AL5" s="2555"/>
      <c r="AM5" s="2555"/>
      <c r="AN5" s="2555"/>
      <c r="AO5" s="2555"/>
      <c r="AP5" s="2555"/>
      <c r="AQ5" s="2555"/>
      <c r="AR5" s="2555"/>
      <c r="AS5" s="2555"/>
      <c r="AT5" s="2555"/>
      <c r="AU5" s="2555"/>
      <c r="AV5" s="2555"/>
      <c r="AW5" s="2555"/>
      <c r="AX5" s="2555"/>
      <c r="AY5" s="2555"/>
      <c r="AZ5" s="2555"/>
      <c r="BA5" s="2555"/>
      <c r="BB5" s="2555"/>
      <c r="BC5" s="2555"/>
      <c r="BD5" s="2555"/>
      <c r="BE5" s="2555"/>
      <c r="BF5" s="2555"/>
      <c r="BG5" s="2555"/>
      <c r="BH5" s="2555"/>
      <c r="BI5" s="2555"/>
      <c r="BJ5" s="2555"/>
      <c r="BK5" s="2555"/>
      <c r="BL5" s="2555"/>
      <c r="BM5" s="2555"/>
      <c r="BN5" s="2555"/>
      <c r="BO5" s="2254"/>
      <c r="BP5" s="2556"/>
      <c r="BQ5" s="18"/>
      <c r="BR5" s="18"/>
      <c r="BS5" s="18"/>
      <c r="BT5" s="18"/>
      <c r="BU5" s="18"/>
      <c r="BV5" s="18"/>
      <c r="BW5" s="18"/>
      <c r="BX5" s="18"/>
    </row>
    <row r="6" spans="1:76" ht="16.5" thickBot="1" x14ac:dyDescent="0.3">
      <c r="A6" s="2252"/>
      <c r="B6" s="2253"/>
      <c r="C6" s="2253"/>
      <c r="D6" s="2253"/>
      <c r="E6" s="2253"/>
      <c r="F6" s="2253"/>
      <c r="G6" s="2253"/>
      <c r="H6" s="2253"/>
      <c r="I6" s="2253"/>
      <c r="J6" s="2253"/>
      <c r="K6" s="2253"/>
      <c r="L6" s="2203"/>
      <c r="M6" s="2207"/>
      <c r="N6" s="952"/>
      <c r="O6" s="636"/>
      <c r="P6" s="2203"/>
      <c r="Q6" s="637"/>
      <c r="R6" s="636"/>
      <c r="S6" s="2203"/>
      <c r="T6" s="636"/>
      <c r="U6" s="2203"/>
      <c r="V6" s="2203"/>
      <c r="W6" s="2203"/>
      <c r="X6" s="2203"/>
      <c r="Y6" s="2203"/>
      <c r="Z6" s="2557" t="s">
        <v>38</v>
      </c>
      <c r="AA6" s="2253"/>
      <c r="AB6" s="2253"/>
      <c r="AC6" s="2253"/>
      <c r="AD6" s="2253"/>
      <c r="AE6" s="2253"/>
      <c r="AF6" s="2253"/>
      <c r="AG6" s="2253"/>
      <c r="AH6" s="2253"/>
      <c r="AI6" s="2253"/>
      <c r="AJ6" s="2253"/>
      <c r="AK6" s="2253"/>
      <c r="AL6" s="2253"/>
      <c r="AM6" s="2253"/>
      <c r="AN6" s="2253"/>
      <c r="AO6" s="2253"/>
      <c r="AP6" s="2253"/>
      <c r="AQ6" s="2253"/>
      <c r="AR6" s="2253"/>
      <c r="AS6" s="2253"/>
      <c r="AT6" s="2253"/>
      <c r="AU6" s="2253"/>
      <c r="AV6" s="2253"/>
      <c r="AW6" s="2253"/>
      <c r="AX6" s="2253"/>
      <c r="AY6" s="2253"/>
      <c r="AZ6" s="2253"/>
      <c r="BA6" s="2253"/>
      <c r="BB6" s="2253"/>
      <c r="BC6" s="2203"/>
      <c r="BD6" s="638"/>
      <c r="BE6" s="638"/>
      <c r="BF6" s="638"/>
      <c r="BG6" s="638"/>
      <c r="BH6" s="638"/>
      <c r="BI6" s="638"/>
      <c r="BJ6" s="638"/>
      <c r="BK6" s="638"/>
      <c r="BL6" s="639"/>
      <c r="BM6" s="639"/>
      <c r="BN6" s="639"/>
      <c r="BO6" s="639"/>
      <c r="BP6" s="956"/>
      <c r="BQ6" s="18"/>
      <c r="BR6" s="18"/>
      <c r="BS6" s="18"/>
      <c r="BT6" s="18"/>
      <c r="BU6" s="18"/>
      <c r="BV6" s="18"/>
      <c r="BW6" s="18"/>
      <c r="BX6" s="18"/>
    </row>
    <row r="7" spans="1:76" ht="29.25" customHeight="1" x14ac:dyDescent="0.25">
      <c r="A7" s="4200" t="s">
        <v>39</v>
      </c>
      <c r="B7" s="2303" t="s">
        <v>40</v>
      </c>
      <c r="C7" s="2303"/>
      <c r="D7" s="2303" t="s">
        <v>39</v>
      </c>
      <c r="E7" s="2303" t="s">
        <v>41</v>
      </c>
      <c r="F7" s="2303"/>
      <c r="G7" s="2303" t="s">
        <v>39</v>
      </c>
      <c r="H7" s="2239" t="s">
        <v>42</v>
      </c>
      <c r="I7" s="2303" t="s">
        <v>43</v>
      </c>
      <c r="J7" s="2303" t="s">
        <v>44</v>
      </c>
      <c r="K7" s="2303" t="s">
        <v>45</v>
      </c>
      <c r="L7" s="2303"/>
      <c r="M7" s="4200" t="s">
        <v>46</v>
      </c>
      <c r="N7" s="2303" t="s">
        <v>47</v>
      </c>
      <c r="O7" s="2303" t="s">
        <v>37</v>
      </c>
      <c r="P7" s="4221" t="s">
        <v>48</v>
      </c>
      <c r="Q7" s="2289" t="s">
        <v>49</v>
      </c>
      <c r="R7" s="2303" t="s">
        <v>50</v>
      </c>
      <c r="S7" s="2303" t="s">
        <v>51</v>
      </c>
      <c r="T7" s="2303" t="s">
        <v>2363</v>
      </c>
      <c r="U7" s="2289" t="s">
        <v>49</v>
      </c>
      <c r="V7" s="2289"/>
      <c r="W7" s="2289"/>
      <c r="X7" s="4200" t="s">
        <v>39</v>
      </c>
      <c r="Y7" s="2303" t="s">
        <v>53</v>
      </c>
      <c r="Z7" s="2274" t="s">
        <v>54</v>
      </c>
      <c r="AA7" s="2275"/>
      <c r="AB7" s="2275"/>
      <c r="AC7" s="2276"/>
      <c r="AD7" s="2277" t="s">
        <v>55</v>
      </c>
      <c r="AE7" s="2278"/>
      <c r="AF7" s="2278"/>
      <c r="AG7" s="2278"/>
      <c r="AH7" s="2278"/>
      <c r="AI7" s="2278"/>
      <c r="AJ7" s="2278"/>
      <c r="AK7" s="2279"/>
      <c r="AL7" s="2542" t="s">
        <v>56</v>
      </c>
      <c r="AM7" s="2543"/>
      <c r="AN7" s="2543"/>
      <c r="AO7" s="2543"/>
      <c r="AP7" s="2543"/>
      <c r="AQ7" s="2543"/>
      <c r="AR7" s="2543"/>
      <c r="AS7" s="2543"/>
      <c r="AT7" s="2543"/>
      <c r="AU7" s="2543"/>
      <c r="AV7" s="2543"/>
      <c r="AW7" s="2544"/>
      <c r="AX7" s="2277" t="s">
        <v>57</v>
      </c>
      <c r="AY7" s="2278"/>
      <c r="AZ7" s="2278"/>
      <c r="BA7" s="2278"/>
      <c r="BB7" s="2278"/>
      <c r="BC7" s="2279"/>
      <c r="BD7" s="2559" t="s">
        <v>58</v>
      </c>
      <c r="BE7" s="2560"/>
      <c r="BF7" s="3501" t="s">
        <v>335</v>
      </c>
      <c r="BG7" s="3502"/>
      <c r="BH7" s="3502"/>
      <c r="BI7" s="3502"/>
      <c r="BJ7" s="3502"/>
      <c r="BK7" s="3503"/>
      <c r="BL7" s="2264" t="s">
        <v>59</v>
      </c>
      <c r="BM7" s="2265"/>
      <c r="BN7" s="2264" t="s">
        <v>60</v>
      </c>
      <c r="BO7" s="2265"/>
      <c r="BP7" s="2268" t="s">
        <v>61</v>
      </c>
      <c r="BQ7" s="18"/>
      <c r="BR7" s="18"/>
      <c r="BS7" s="18"/>
      <c r="BT7" s="18"/>
      <c r="BU7" s="18"/>
      <c r="BV7" s="18"/>
      <c r="BW7" s="18"/>
      <c r="BX7" s="18"/>
    </row>
    <row r="8" spans="1:76" ht="75" customHeight="1" x14ac:dyDescent="0.25">
      <c r="A8" s="4200"/>
      <c r="B8" s="2303"/>
      <c r="C8" s="2303"/>
      <c r="D8" s="2303"/>
      <c r="E8" s="2303"/>
      <c r="F8" s="2303"/>
      <c r="G8" s="2303"/>
      <c r="H8" s="2263"/>
      <c r="I8" s="2303"/>
      <c r="J8" s="2303"/>
      <c r="K8" s="2198" t="s">
        <v>158</v>
      </c>
      <c r="L8" s="2198" t="s">
        <v>159</v>
      </c>
      <c r="M8" s="4200"/>
      <c r="N8" s="2303"/>
      <c r="O8" s="2303"/>
      <c r="P8" s="4221"/>
      <c r="Q8" s="2289"/>
      <c r="R8" s="2303"/>
      <c r="S8" s="2303"/>
      <c r="T8" s="2303"/>
      <c r="U8" s="2199" t="s">
        <v>62</v>
      </c>
      <c r="V8" s="2199" t="s">
        <v>150</v>
      </c>
      <c r="W8" s="2199" t="s">
        <v>151</v>
      </c>
      <c r="X8" s="4200"/>
      <c r="Y8" s="2303"/>
      <c r="Z8" s="2399" t="s">
        <v>63</v>
      </c>
      <c r="AA8" s="2400"/>
      <c r="AB8" s="2445" t="s">
        <v>64</v>
      </c>
      <c r="AC8" s="2446"/>
      <c r="AD8" s="2399" t="s">
        <v>65</v>
      </c>
      <c r="AE8" s="2400"/>
      <c r="AF8" s="2399" t="s">
        <v>66</v>
      </c>
      <c r="AG8" s="2400"/>
      <c r="AH8" s="2399" t="s">
        <v>67</v>
      </c>
      <c r="AI8" s="2400"/>
      <c r="AJ8" s="2399" t="s">
        <v>68</v>
      </c>
      <c r="AK8" s="2400"/>
      <c r="AL8" s="2399" t="s">
        <v>69</v>
      </c>
      <c r="AM8" s="2400"/>
      <c r="AN8" s="2399" t="s">
        <v>70</v>
      </c>
      <c r="AO8" s="2400"/>
      <c r="AP8" s="2399" t="s">
        <v>71</v>
      </c>
      <c r="AQ8" s="2400"/>
      <c r="AR8" s="2399" t="s">
        <v>72</v>
      </c>
      <c r="AS8" s="2400"/>
      <c r="AT8" s="2399" t="s">
        <v>73</v>
      </c>
      <c r="AU8" s="2400"/>
      <c r="AV8" s="2399" t="s">
        <v>74</v>
      </c>
      <c r="AW8" s="2400"/>
      <c r="AX8" s="2399" t="s">
        <v>75</v>
      </c>
      <c r="AY8" s="2400"/>
      <c r="AZ8" s="2399" t="s">
        <v>76</v>
      </c>
      <c r="BA8" s="2400"/>
      <c r="BB8" s="2399" t="s">
        <v>77</v>
      </c>
      <c r="BC8" s="2400"/>
      <c r="BD8" s="4365"/>
      <c r="BE8" s="4366"/>
      <c r="BF8" s="3171" t="s">
        <v>152</v>
      </c>
      <c r="BG8" s="3174" t="s">
        <v>153</v>
      </c>
      <c r="BH8" s="3171" t="s">
        <v>154</v>
      </c>
      <c r="BI8" s="3175" t="s">
        <v>155</v>
      </c>
      <c r="BJ8" s="3171" t="s">
        <v>156</v>
      </c>
      <c r="BK8" s="3172" t="s">
        <v>157</v>
      </c>
      <c r="BL8" s="2397"/>
      <c r="BM8" s="2398"/>
      <c r="BN8" s="2397"/>
      <c r="BO8" s="2398"/>
      <c r="BP8" s="2268"/>
      <c r="BQ8" s="18"/>
      <c r="BR8" s="18"/>
      <c r="BS8" s="18"/>
      <c r="BT8" s="18"/>
      <c r="BU8" s="18"/>
      <c r="BV8" s="18"/>
      <c r="BW8" s="18"/>
      <c r="BX8" s="18"/>
    </row>
    <row r="9" spans="1:76" ht="30.75" customHeight="1" x14ac:dyDescent="0.25">
      <c r="A9" s="4245"/>
      <c r="B9" s="4246"/>
      <c r="C9" s="4246"/>
      <c r="D9" s="4246"/>
      <c r="E9" s="4247"/>
      <c r="F9" s="4247"/>
      <c r="G9" s="4246"/>
      <c r="H9" s="4247"/>
      <c r="I9" s="4246"/>
      <c r="J9" s="4246"/>
      <c r="K9" s="4246"/>
      <c r="L9" s="4246"/>
      <c r="M9" s="4245"/>
      <c r="N9" s="4246"/>
      <c r="O9" s="4246"/>
      <c r="P9" s="4250"/>
      <c r="Q9" s="4252"/>
      <c r="R9" s="4249"/>
      <c r="S9" s="4246"/>
      <c r="T9" s="4249"/>
      <c r="U9" s="4251"/>
      <c r="V9" s="4252"/>
      <c r="W9" s="4252"/>
      <c r="X9" s="4367"/>
      <c r="Y9" s="4246"/>
      <c r="Z9" s="2198" t="s">
        <v>158</v>
      </c>
      <c r="AA9" s="2198" t="s">
        <v>159</v>
      </c>
      <c r="AB9" s="2198" t="s">
        <v>158</v>
      </c>
      <c r="AC9" s="2198" t="s">
        <v>159</v>
      </c>
      <c r="AD9" s="2198" t="s">
        <v>158</v>
      </c>
      <c r="AE9" s="2198" t="s">
        <v>159</v>
      </c>
      <c r="AF9" s="2198" t="s">
        <v>158</v>
      </c>
      <c r="AG9" s="2198" t="s">
        <v>159</v>
      </c>
      <c r="AH9" s="2198" t="s">
        <v>158</v>
      </c>
      <c r="AI9" s="2198" t="s">
        <v>159</v>
      </c>
      <c r="AJ9" s="2198" t="s">
        <v>158</v>
      </c>
      <c r="AK9" s="2198" t="s">
        <v>159</v>
      </c>
      <c r="AL9" s="2198" t="s">
        <v>158</v>
      </c>
      <c r="AM9" s="2198" t="s">
        <v>159</v>
      </c>
      <c r="AN9" s="2198" t="s">
        <v>158</v>
      </c>
      <c r="AO9" s="2198" t="s">
        <v>159</v>
      </c>
      <c r="AP9" s="2198" t="s">
        <v>158</v>
      </c>
      <c r="AQ9" s="2198" t="s">
        <v>159</v>
      </c>
      <c r="AR9" s="2198" t="s">
        <v>158</v>
      </c>
      <c r="AS9" s="2198" t="s">
        <v>159</v>
      </c>
      <c r="AT9" s="2198" t="s">
        <v>158</v>
      </c>
      <c r="AU9" s="2198" t="s">
        <v>159</v>
      </c>
      <c r="AV9" s="2198" t="s">
        <v>158</v>
      </c>
      <c r="AW9" s="2198" t="s">
        <v>159</v>
      </c>
      <c r="AX9" s="2198" t="s">
        <v>158</v>
      </c>
      <c r="AY9" s="2198" t="s">
        <v>159</v>
      </c>
      <c r="AZ9" s="2198" t="s">
        <v>158</v>
      </c>
      <c r="BA9" s="2198" t="s">
        <v>159</v>
      </c>
      <c r="BB9" s="2198" t="s">
        <v>158</v>
      </c>
      <c r="BC9" s="2198" t="s">
        <v>159</v>
      </c>
      <c r="BD9" s="2198" t="s">
        <v>158</v>
      </c>
      <c r="BE9" s="2198" t="s">
        <v>159</v>
      </c>
      <c r="BF9" s="3171"/>
      <c r="BG9" s="3174"/>
      <c r="BH9" s="3171"/>
      <c r="BI9" s="3175"/>
      <c r="BJ9" s="3171"/>
      <c r="BK9" s="3173"/>
      <c r="BL9" s="2198" t="s">
        <v>158</v>
      </c>
      <c r="BM9" s="2198" t="s">
        <v>159</v>
      </c>
      <c r="BN9" s="2198" t="s">
        <v>158</v>
      </c>
      <c r="BO9" s="2198" t="s">
        <v>159</v>
      </c>
      <c r="BP9" s="4253"/>
      <c r="BQ9" s="18"/>
      <c r="BR9" s="18"/>
      <c r="BS9" s="18"/>
      <c r="BT9" s="18"/>
      <c r="BU9" s="18"/>
      <c r="BV9" s="18"/>
      <c r="BW9" s="18"/>
      <c r="BX9" s="18"/>
    </row>
    <row r="10" spans="1:76" ht="15.75" x14ac:dyDescent="0.25">
      <c r="A10" s="711">
        <v>1</v>
      </c>
      <c r="B10" s="27" t="s">
        <v>1396</v>
      </c>
      <c r="C10" s="726"/>
      <c r="D10" s="29"/>
      <c r="E10" s="986"/>
      <c r="F10" s="986"/>
      <c r="G10" s="986"/>
      <c r="H10" s="986"/>
      <c r="I10" s="4254"/>
      <c r="J10" s="1585"/>
      <c r="K10" s="986"/>
      <c r="L10" s="986"/>
      <c r="M10" s="4368"/>
      <c r="N10" s="986"/>
      <c r="O10" s="1585"/>
      <c r="P10" s="1583"/>
      <c r="Q10" s="986"/>
      <c r="R10" s="1582"/>
      <c r="S10" s="1582"/>
      <c r="T10" s="1582"/>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6"/>
      <c r="AR10" s="986"/>
      <c r="AS10" s="986"/>
      <c r="AT10" s="986"/>
      <c r="AU10" s="986"/>
      <c r="AV10" s="986"/>
      <c r="AW10" s="986"/>
      <c r="AX10" s="986"/>
      <c r="AY10" s="986"/>
      <c r="AZ10" s="986"/>
      <c r="BA10" s="986"/>
      <c r="BB10" s="986"/>
      <c r="BC10" s="986"/>
      <c r="BD10" s="986"/>
      <c r="BE10" s="986"/>
      <c r="BF10" s="986"/>
      <c r="BG10" s="986"/>
      <c r="BH10" s="986"/>
      <c r="BI10" s="986"/>
      <c r="BJ10" s="986"/>
      <c r="BK10" s="986"/>
      <c r="BL10" s="986"/>
      <c r="BM10" s="986"/>
      <c r="BN10" s="986"/>
      <c r="BO10" s="986"/>
      <c r="BP10" s="986"/>
      <c r="BQ10" s="1"/>
      <c r="BR10" s="1"/>
      <c r="BS10" s="1"/>
      <c r="BT10" s="1"/>
      <c r="BU10" s="1"/>
      <c r="BV10" s="1"/>
      <c r="BW10" s="1"/>
      <c r="BX10" s="1"/>
    </row>
    <row r="11" spans="1:76" ht="15.75" x14ac:dyDescent="0.25">
      <c r="A11" s="4255"/>
      <c r="B11" s="4256"/>
      <c r="C11" s="4257"/>
      <c r="D11" s="960">
        <v>39</v>
      </c>
      <c r="E11" s="989" t="s">
        <v>928</v>
      </c>
      <c r="F11" s="46"/>
      <c r="G11" s="745"/>
      <c r="H11" s="47"/>
      <c r="I11" s="4369"/>
      <c r="J11" s="4279"/>
      <c r="K11" s="48"/>
      <c r="L11" s="48"/>
      <c r="M11" s="4370"/>
      <c r="N11" s="47"/>
      <c r="O11" s="4371"/>
      <c r="P11" s="1589"/>
      <c r="Q11" s="4372"/>
      <c r="R11" s="4373"/>
      <c r="S11" s="4373"/>
      <c r="T11" s="46"/>
      <c r="U11" s="4282"/>
      <c r="V11" s="4282"/>
      <c r="W11" s="4282"/>
      <c r="X11" s="4374"/>
      <c r="Y11" s="4375"/>
      <c r="Z11" s="4374"/>
      <c r="AA11" s="4374"/>
      <c r="AB11" s="4374"/>
      <c r="AC11" s="4374"/>
      <c r="AD11" s="4374"/>
      <c r="AE11" s="4374"/>
      <c r="AF11" s="4374"/>
      <c r="AG11" s="4374"/>
      <c r="AH11" s="4374"/>
      <c r="AI11" s="4374"/>
      <c r="AJ11" s="4374"/>
      <c r="AK11" s="4374"/>
      <c r="AL11" s="4374"/>
      <c r="AM11" s="4374"/>
      <c r="AN11" s="4374"/>
      <c r="AO11" s="4374"/>
      <c r="AP11" s="4374"/>
      <c r="AQ11" s="4374"/>
      <c r="AR11" s="4374"/>
      <c r="AS11" s="4374"/>
      <c r="AT11" s="4374"/>
      <c r="AU11" s="4374"/>
      <c r="AV11" s="4374"/>
      <c r="AW11" s="4374"/>
      <c r="AX11" s="4374"/>
      <c r="AY11" s="4374"/>
      <c r="AZ11" s="4374"/>
      <c r="BA11" s="4374"/>
      <c r="BB11" s="4374"/>
      <c r="BC11" s="4374"/>
      <c r="BD11" s="4374"/>
      <c r="BE11" s="4374"/>
      <c r="BF11" s="4374"/>
      <c r="BG11" s="4374"/>
      <c r="BH11" s="4374"/>
      <c r="BI11" s="4374"/>
      <c r="BJ11" s="4374"/>
      <c r="BK11" s="4374"/>
      <c r="BL11" s="4374"/>
      <c r="BM11" s="4374"/>
      <c r="BN11" s="4374"/>
      <c r="BO11" s="4374"/>
      <c r="BP11" s="4374"/>
      <c r="BQ11" s="1"/>
      <c r="BR11" s="1"/>
      <c r="BS11" s="1"/>
      <c r="BT11" s="1"/>
      <c r="BU11" s="1"/>
      <c r="BV11" s="1"/>
      <c r="BW11" s="1"/>
      <c r="BX11" s="1"/>
    </row>
    <row r="12" spans="1:76" s="4401" customFormat="1" ht="45.75" customHeight="1" x14ac:dyDescent="0.25">
      <c r="A12" s="4376"/>
      <c r="B12" s="4377"/>
      <c r="C12" s="4378"/>
      <c r="D12" s="4379"/>
      <c r="E12" s="4380"/>
      <c r="F12" s="4381"/>
      <c r="G12" s="2566">
        <v>4301007</v>
      </c>
      <c r="H12" s="4382" t="s">
        <v>2364</v>
      </c>
      <c r="I12" s="4383" t="s">
        <v>2365</v>
      </c>
      <c r="J12" s="2584" t="s">
        <v>2366</v>
      </c>
      <c r="K12" s="4384">
        <v>12</v>
      </c>
      <c r="L12" s="4384">
        <v>10</v>
      </c>
      <c r="M12" s="4385" t="s">
        <v>2367</v>
      </c>
      <c r="N12" s="4386" t="s">
        <v>2368</v>
      </c>
      <c r="O12" s="2867" t="s">
        <v>2369</v>
      </c>
      <c r="P12" s="4387">
        <f>+(U12+U13)/Q12</f>
        <v>0.81935087049872146</v>
      </c>
      <c r="Q12" s="4388">
        <f>+U12+U13+U14+U15+U16+U17</f>
        <v>175589000</v>
      </c>
      <c r="R12" s="2584" t="s">
        <v>2370</v>
      </c>
      <c r="S12" s="3334" t="s">
        <v>2371</v>
      </c>
      <c r="T12" s="4389" t="s">
        <v>2372</v>
      </c>
      <c r="U12" s="4390">
        <v>47740000</v>
      </c>
      <c r="V12" s="4391">
        <v>47740000</v>
      </c>
      <c r="W12" s="4392">
        <v>47740000</v>
      </c>
      <c r="X12" s="4393">
        <v>12</v>
      </c>
      <c r="Y12" s="4394" t="s">
        <v>631</v>
      </c>
      <c r="Z12" s="4395">
        <v>770</v>
      </c>
      <c r="AA12" s="4396">
        <v>651</v>
      </c>
      <c r="AB12" s="4397">
        <v>630</v>
      </c>
      <c r="AC12" s="4396">
        <v>416</v>
      </c>
      <c r="AD12" s="4397">
        <v>372</v>
      </c>
      <c r="AE12" s="4397">
        <v>509</v>
      </c>
      <c r="AF12" s="4397">
        <v>94</v>
      </c>
      <c r="AG12" s="4397">
        <v>181</v>
      </c>
      <c r="AH12" s="4397">
        <v>934</v>
      </c>
      <c r="AI12" s="4397">
        <v>20</v>
      </c>
      <c r="AJ12" s="4397">
        <v>0</v>
      </c>
      <c r="AK12" s="4397">
        <v>357</v>
      </c>
      <c r="AL12" s="4397">
        <v>40</v>
      </c>
      <c r="AM12" s="4397"/>
      <c r="AN12" s="4397">
        <v>0</v>
      </c>
      <c r="AO12" s="4397"/>
      <c r="AP12" s="4397">
        <v>0</v>
      </c>
      <c r="AQ12" s="4397"/>
      <c r="AR12" s="4397">
        <v>0</v>
      </c>
      <c r="AS12" s="4397"/>
      <c r="AT12" s="4397">
        <v>0</v>
      </c>
      <c r="AU12" s="4397"/>
      <c r="AV12" s="4397">
        <v>0</v>
      </c>
      <c r="AW12" s="4397"/>
      <c r="AX12" s="4397">
        <v>0</v>
      </c>
      <c r="AY12" s="4397"/>
      <c r="AZ12" s="4397">
        <v>0</v>
      </c>
      <c r="BA12" s="4397"/>
      <c r="BB12" s="4397">
        <v>0</v>
      </c>
      <c r="BC12" s="4397"/>
      <c r="BD12" s="4397">
        <v>1400</v>
      </c>
      <c r="BE12" s="4397">
        <f>+AA12+AC12+AE12+AG12+AI12+AK12</f>
        <v>2134</v>
      </c>
      <c r="BF12" s="4396">
        <v>30</v>
      </c>
      <c r="BG12" s="4396">
        <f>+V12+V13+V14+V15+V16+V17</f>
        <v>95053333</v>
      </c>
      <c r="BH12" s="4396">
        <f>+W12+W13+W14+W16+W17+W15</f>
        <v>59860000</v>
      </c>
      <c r="BI12" s="4398">
        <f>+(W12+W13+W14+W15+W16+W17)/(U12+U13+U14+U15+U16+U17)</f>
        <v>0.34090973808154268</v>
      </c>
      <c r="BJ12" s="4394" t="s">
        <v>631</v>
      </c>
      <c r="BK12" s="4399" t="s">
        <v>2373</v>
      </c>
      <c r="BL12" s="3348">
        <v>43832</v>
      </c>
      <c r="BM12" s="3348">
        <v>43862</v>
      </c>
      <c r="BN12" s="3348">
        <v>44195</v>
      </c>
      <c r="BO12" s="4400">
        <v>44195</v>
      </c>
      <c r="BP12" s="2475" t="s">
        <v>2374</v>
      </c>
      <c r="BQ12" s="18"/>
      <c r="BR12" s="18"/>
      <c r="BS12" s="18"/>
      <c r="BT12" s="18"/>
      <c r="BU12" s="18"/>
      <c r="BV12" s="18"/>
      <c r="BW12" s="18"/>
      <c r="BX12" s="18"/>
    </row>
    <row r="13" spans="1:76" s="4401" customFormat="1" ht="69.75" customHeight="1" x14ac:dyDescent="0.25">
      <c r="A13" s="4402"/>
      <c r="B13" s="1940"/>
      <c r="C13" s="4403"/>
      <c r="D13" s="4404"/>
      <c r="E13" s="4405"/>
      <c r="F13" s="1940"/>
      <c r="G13" s="2567"/>
      <c r="H13" s="4406"/>
      <c r="I13" s="4407"/>
      <c r="J13" s="2609"/>
      <c r="K13" s="4408"/>
      <c r="L13" s="4408"/>
      <c r="M13" s="4385" t="s">
        <v>2375</v>
      </c>
      <c r="N13" s="4386"/>
      <c r="O13" s="2867"/>
      <c r="P13" s="4409"/>
      <c r="Q13" s="4388"/>
      <c r="R13" s="2609"/>
      <c r="S13" s="2707"/>
      <c r="T13" s="4389"/>
      <c r="U13" s="1006">
        <v>96129000</v>
      </c>
      <c r="V13" s="4391">
        <v>33383333</v>
      </c>
      <c r="W13" s="4392">
        <v>0</v>
      </c>
      <c r="X13" s="4393" t="s">
        <v>2376</v>
      </c>
      <c r="Y13" s="4410" t="s">
        <v>2377</v>
      </c>
      <c r="Z13" s="4395"/>
      <c r="AA13" s="4411"/>
      <c r="AB13" s="4397"/>
      <c r="AC13" s="4411"/>
      <c r="AD13" s="4397"/>
      <c r="AE13" s="4397"/>
      <c r="AF13" s="4397"/>
      <c r="AG13" s="4397"/>
      <c r="AH13" s="4397"/>
      <c r="AI13" s="4397"/>
      <c r="AJ13" s="4397"/>
      <c r="AK13" s="4397"/>
      <c r="AL13" s="4397"/>
      <c r="AM13" s="4397"/>
      <c r="AN13" s="4397"/>
      <c r="AO13" s="4397"/>
      <c r="AP13" s="4397"/>
      <c r="AQ13" s="4397"/>
      <c r="AR13" s="4397"/>
      <c r="AS13" s="4397"/>
      <c r="AT13" s="4397"/>
      <c r="AU13" s="4397"/>
      <c r="AV13" s="4397"/>
      <c r="AW13" s="4397"/>
      <c r="AX13" s="4397"/>
      <c r="AY13" s="4397"/>
      <c r="AZ13" s="4397"/>
      <c r="BA13" s="4397"/>
      <c r="BB13" s="4397"/>
      <c r="BC13" s="4397"/>
      <c r="BD13" s="4397"/>
      <c r="BE13" s="4397"/>
      <c r="BF13" s="4411"/>
      <c r="BG13" s="4411"/>
      <c r="BH13" s="4411"/>
      <c r="BI13" s="4412"/>
      <c r="BJ13" s="4410" t="s">
        <v>2377</v>
      </c>
      <c r="BK13" s="4413"/>
      <c r="BL13" s="3418"/>
      <c r="BM13" s="3418"/>
      <c r="BN13" s="3418"/>
      <c r="BO13" s="3454"/>
      <c r="BP13" s="2475"/>
      <c r="BQ13" s="18"/>
      <c r="BR13" s="18"/>
      <c r="BS13" s="18"/>
      <c r="BT13" s="18"/>
      <c r="BU13" s="18"/>
      <c r="BV13" s="18"/>
      <c r="BW13" s="18"/>
      <c r="BX13" s="18"/>
    </row>
    <row r="14" spans="1:76" s="4401" customFormat="1" ht="66" customHeight="1" x14ac:dyDescent="0.25">
      <c r="A14" s="4402"/>
      <c r="B14" s="1940"/>
      <c r="C14" s="4403"/>
      <c r="D14" s="4414"/>
      <c r="E14" s="4415"/>
      <c r="F14" s="1940"/>
      <c r="G14" s="2566">
        <v>4301037</v>
      </c>
      <c r="H14" s="4382" t="s">
        <v>2378</v>
      </c>
      <c r="I14" s="3149" t="s">
        <v>2379</v>
      </c>
      <c r="J14" s="3149" t="s">
        <v>2380</v>
      </c>
      <c r="K14" s="4384">
        <v>12</v>
      </c>
      <c r="L14" s="4384">
        <v>10</v>
      </c>
      <c r="M14" s="4385" t="s">
        <v>2375</v>
      </c>
      <c r="N14" s="4386"/>
      <c r="O14" s="2867"/>
      <c r="P14" s="4416">
        <f>+(U14+U15+U16+U17)/Q12</f>
        <v>0.18064912950127857</v>
      </c>
      <c r="Q14" s="4388"/>
      <c r="R14" s="2609"/>
      <c r="S14" s="2707"/>
      <c r="T14" s="4389"/>
      <c r="U14" s="1006">
        <v>18240000</v>
      </c>
      <c r="V14" s="4391">
        <v>450000</v>
      </c>
      <c r="W14" s="4392">
        <v>0</v>
      </c>
      <c r="X14" s="4393" t="s">
        <v>2376</v>
      </c>
      <c r="Y14" s="4410" t="s">
        <v>2377</v>
      </c>
      <c r="Z14" s="4395"/>
      <c r="AA14" s="4411"/>
      <c r="AB14" s="4397"/>
      <c r="AC14" s="4411"/>
      <c r="AD14" s="4397"/>
      <c r="AE14" s="4397"/>
      <c r="AF14" s="4397"/>
      <c r="AG14" s="4397"/>
      <c r="AH14" s="4397"/>
      <c r="AI14" s="4397"/>
      <c r="AJ14" s="4397"/>
      <c r="AK14" s="4397"/>
      <c r="AL14" s="4397"/>
      <c r="AM14" s="4397"/>
      <c r="AN14" s="4397"/>
      <c r="AO14" s="4397"/>
      <c r="AP14" s="4397"/>
      <c r="AQ14" s="4397"/>
      <c r="AR14" s="4397"/>
      <c r="AS14" s="4397"/>
      <c r="AT14" s="4397"/>
      <c r="AU14" s="4397"/>
      <c r="AV14" s="4397"/>
      <c r="AW14" s="4397"/>
      <c r="AX14" s="4397"/>
      <c r="AY14" s="4397"/>
      <c r="AZ14" s="4397"/>
      <c r="BA14" s="4397"/>
      <c r="BB14" s="4397"/>
      <c r="BC14" s="4397"/>
      <c r="BD14" s="4397"/>
      <c r="BE14" s="4397"/>
      <c r="BF14" s="4411"/>
      <c r="BG14" s="4411"/>
      <c r="BH14" s="4411"/>
      <c r="BI14" s="4412"/>
      <c r="BJ14" s="4410" t="s">
        <v>2377</v>
      </c>
      <c r="BK14" s="4413"/>
      <c r="BL14" s="3418"/>
      <c r="BM14" s="3418"/>
      <c r="BN14" s="3418"/>
      <c r="BO14" s="3454"/>
      <c r="BP14" s="2475"/>
      <c r="BQ14" s="18"/>
      <c r="BR14" s="18"/>
      <c r="BS14" s="18"/>
      <c r="BT14" s="18"/>
      <c r="BU14" s="18"/>
      <c r="BV14" s="18"/>
      <c r="BW14" s="18"/>
      <c r="BX14" s="18"/>
    </row>
    <row r="15" spans="1:76" s="4401" customFormat="1" ht="42.75" customHeight="1" x14ac:dyDescent="0.25">
      <c r="A15" s="4402"/>
      <c r="B15" s="1940"/>
      <c r="C15" s="4403"/>
      <c r="D15" s="1940"/>
      <c r="E15" s="1940"/>
      <c r="F15" s="1940"/>
      <c r="G15" s="2567"/>
      <c r="H15" s="4406"/>
      <c r="I15" s="4123"/>
      <c r="J15" s="4123"/>
      <c r="K15" s="4408"/>
      <c r="L15" s="4408"/>
      <c r="M15" s="4417" t="s">
        <v>2381</v>
      </c>
      <c r="N15" s="4386"/>
      <c r="O15" s="2867"/>
      <c r="P15" s="4418"/>
      <c r="Q15" s="4388"/>
      <c r="R15" s="2609"/>
      <c r="S15" s="2609"/>
      <c r="T15" s="4419" t="s">
        <v>2382</v>
      </c>
      <c r="U15" s="4420">
        <v>4000000</v>
      </c>
      <c r="V15" s="4421">
        <v>4000000</v>
      </c>
      <c r="W15" s="4422">
        <v>4000000</v>
      </c>
      <c r="X15" s="2238" t="s">
        <v>2383</v>
      </c>
      <c r="Y15" s="4423" t="s">
        <v>2384</v>
      </c>
      <c r="Z15" s="4397"/>
      <c r="AA15" s="4411"/>
      <c r="AB15" s="4397"/>
      <c r="AC15" s="4411"/>
      <c r="AD15" s="4397"/>
      <c r="AE15" s="4397"/>
      <c r="AF15" s="4397"/>
      <c r="AG15" s="4397"/>
      <c r="AH15" s="4397"/>
      <c r="AI15" s="4397"/>
      <c r="AJ15" s="4397"/>
      <c r="AK15" s="4397"/>
      <c r="AL15" s="4397"/>
      <c r="AM15" s="4397"/>
      <c r="AN15" s="4397"/>
      <c r="AO15" s="4397"/>
      <c r="AP15" s="4397"/>
      <c r="AQ15" s="4397"/>
      <c r="AR15" s="4397"/>
      <c r="AS15" s="4397"/>
      <c r="AT15" s="4397"/>
      <c r="AU15" s="4397"/>
      <c r="AV15" s="4397"/>
      <c r="AW15" s="4397"/>
      <c r="AX15" s="4397"/>
      <c r="AY15" s="4397"/>
      <c r="AZ15" s="4397"/>
      <c r="BA15" s="4397"/>
      <c r="BB15" s="4397"/>
      <c r="BC15" s="4397"/>
      <c r="BD15" s="4397"/>
      <c r="BE15" s="4397"/>
      <c r="BF15" s="4411"/>
      <c r="BG15" s="4411"/>
      <c r="BH15" s="4411"/>
      <c r="BI15" s="4412"/>
      <c r="BJ15" s="4423" t="s">
        <v>2384</v>
      </c>
      <c r="BK15" s="4413"/>
      <c r="BL15" s="3418"/>
      <c r="BM15" s="3418"/>
      <c r="BN15" s="3418"/>
      <c r="BO15" s="3454"/>
      <c r="BP15" s="2475"/>
      <c r="BQ15" s="18"/>
      <c r="BR15" s="18"/>
      <c r="BS15" s="18"/>
      <c r="BT15" s="18"/>
      <c r="BU15" s="18"/>
      <c r="BV15" s="18"/>
      <c r="BW15" s="18"/>
      <c r="BX15" s="18"/>
    </row>
    <row r="16" spans="1:76" s="4401" customFormat="1" ht="29.25" customHeight="1" x14ac:dyDescent="0.25">
      <c r="A16" s="4402"/>
      <c r="B16" s="1940"/>
      <c r="C16" s="4403"/>
      <c r="D16" s="1940"/>
      <c r="E16" s="1940"/>
      <c r="F16" s="1940"/>
      <c r="G16" s="2567"/>
      <c r="H16" s="4406"/>
      <c r="I16" s="4123"/>
      <c r="J16" s="4123"/>
      <c r="K16" s="4408"/>
      <c r="L16" s="4408"/>
      <c r="M16" s="4417" t="s">
        <v>2385</v>
      </c>
      <c r="N16" s="4386"/>
      <c r="O16" s="2867"/>
      <c r="P16" s="4418"/>
      <c r="Q16" s="4388"/>
      <c r="R16" s="2609"/>
      <c r="S16" s="2609"/>
      <c r="T16" s="4424" t="s">
        <v>2386</v>
      </c>
      <c r="U16" s="4425">
        <v>3480000</v>
      </c>
      <c r="V16" s="4426">
        <v>3480000</v>
      </c>
      <c r="W16" s="4422">
        <v>2120000</v>
      </c>
      <c r="X16" s="2238" t="s">
        <v>2387</v>
      </c>
      <c r="Y16" s="4427" t="s">
        <v>2388</v>
      </c>
      <c r="Z16" s="4397"/>
      <c r="AA16" s="4411"/>
      <c r="AB16" s="4397"/>
      <c r="AC16" s="4411"/>
      <c r="AD16" s="4397"/>
      <c r="AE16" s="4397"/>
      <c r="AF16" s="4397"/>
      <c r="AG16" s="4397"/>
      <c r="AH16" s="4397"/>
      <c r="AI16" s="4397"/>
      <c r="AJ16" s="4397"/>
      <c r="AK16" s="4397"/>
      <c r="AL16" s="4397"/>
      <c r="AM16" s="4397"/>
      <c r="AN16" s="4397"/>
      <c r="AO16" s="4397"/>
      <c r="AP16" s="4397"/>
      <c r="AQ16" s="4397"/>
      <c r="AR16" s="4397"/>
      <c r="AS16" s="4397"/>
      <c r="AT16" s="4397"/>
      <c r="AU16" s="4397"/>
      <c r="AV16" s="4397"/>
      <c r="AW16" s="4397"/>
      <c r="AX16" s="4397"/>
      <c r="AY16" s="4397"/>
      <c r="AZ16" s="4397"/>
      <c r="BA16" s="4397"/>
      <c r="BB16" s="4397"/>
      <c r="BC16" s="4397"/>
      <c r="BD16" s="4397"/>
      <c r="BE16" s="4397"/>
      <c r="BF16" s="4411"/>
      <c r="BG16" s="4411"/>
      <c r="BH16" s="4411"/>
      <c r="BI16" s="4412"/>
      <c r="BJ16" s="4427" t="s">
        <v>2388</v>
      </c>
      <c r="BK16" s="4413"/>
      <c r="BL16" s="3418"/>
      <c r="BM16" s="3418"/>
      <c r="BN16" s="3418"/>
      <c r="BO16" s="3454"/>
      <c r="BP16" s="2475"/>
      <c r="BQ16" s="18"/>
      <c r="BR16" s="18"/>
      <c r="BS16" s="18"/>
      <c r="BT16" s="18"/>
      <c r="BU16" s="18"/>
      <c r="BV16" s="18"/>
      <c r="BW16" s="18"/>
      <c r="BX16" s="18"/>
    </row>
    <row r="17" spans="1:76" s="4401" customFormat="1" ht="33" customHeight="1" x14ac:dyDescent="0.25">
      <c r="A17" s="4402"/>
      <c r="B17" s="1940"/>
      <c r="C17" s="4403"/>
      <c r="D17" s="1940"/>
      <c r="E17" s="1940"/>
      <c r="F17" s="1940"/>
      <c r="G17" s="2969"/>
      <c r="H17" s="4428"/>
      <c r="I17" s="2452"/>
      <c r="J17" s="2452"/>
      <c r="K17" s="4429"/>
      <c r="L17" s="4429"/>
      <c r="M17" s="4417" t="s">
        <v>2389</v>
      </c>
      <c r="N17" s="4386"/>
      <c r="O17" s="2867"/>
      <c r="P17" s="3084"/>
      <c r="Q17" s="4388"/>
      <c r="R17" s="2610"/>
      <c r="S17" s="2610"/>
      <c r="T17" s="4424"/>
      <c r="U17" s="4430">
        <v>6000000</v>
      </c>
      <c r="V17" s="4426">
        <v>6000000</v>
      </c>
      <c r="W17" s="4422">
        <v>6000000</v>
      </c>
      <c r="X17" s="4393" t="s">
        <v>2390</v>
      </c>
      <c r="Y17" s="4431" t="s">
        <v>631</v>
      </c>
      <c r="Z17" s="4397"/>
      <c r="AA17" s="4432"/>
      <c r="AB17" s="4397"/>
      <c r="AC17" s="4432"/>
      <c r="AD17" s="4397"/>
      <c r="AE17" s="4397"/>
      <c r="AF17" s="4397"/>
      <c r="AG17" s="4397"/>
      <c r="AH17" s="4397"/>
      <c r="AI17" s="4397"/>
      <c r="AJ17" s="4397"/>
      <c r="AK17" s="4397"/>
      <c r="AL17" s="4397"/>
      <c r="AM17" s="4397"/>
      <c r="AN17" s="4397"/>
      <c r="AO17" s="4397"/>
      <c r="AP17" s="4397"/>
      <c r="AQ17" s="4397"/>
      <c r="AR17" s="4397"/>
      <c r="AS17" s="4397"/>
      <c r="AT17" s="4397"/>
      <c r="AU17" s="4397"/>
      <c r="AV17" s="4397"/>
      <c r="AW17" s="4397"/>
      <c r="AX17" s="4397"/>
      <c r="AY17" s="4397"/>
      <c r="AZ17" s="4397"/>
      <c r="BA17" s="4397"/>
      <c r="BB17" s="4397"/>
      <c r="BC17" s="4397"/>
      <c r="BD17" s="4397"/>
      <c r="BE17" s="4397"/>
      <c r="BF17" s="4432"/>
      <c r="BG17" s="4432"/>
      <c r="BH17" s="4432"/>
      <c r="BI17" s="4433"/>
      <c r="BJ17" s="4431" t="s">
        <v>631</v>
      </c>
      <c r="BK17" s="4434"/>
      <c r="BL17" s="3419"/>
      <c r="BM17" s="3419"/>
      <c r="BN17" s="3419"/>
      <c r="BO17" s="3455"/>
      <c r="BP17" s="2475"/>
      <c r="BQ17" s="18"/>
      <c r="BR17" s="18"/>
      <c r="BS17" s="18"/>
      <c r="BT17" s="18"/>
      <c r="BU17" s="18"/>
      <c r="BV17" s="18"/>
      <c r="BW17" s="18"/>
      <c r="BX17" s="18"/>
    </row>
    <row r="18" spans="1:76" s="4401" customFormat="1" ht="47.25" customHeight="1" x14ac:dyDescent="0.25">
      <c r="A18" s="4402"/>
      <c r="B18" s="1940"/>
      <c r="C18" s="4403"/>
      <c r="D18" s="1940"/>
      <c r="E18" s="1940"/>
      <c r="F18" s="1940"/>
      <c r="G18" s="3383">
        <v>4301037</v>
      </c>
      <c r="H18" s="4139" t="s">
        <v>2378</v>
      </c>
      <c r="I18" s="2992" t="s">
        <v>2379</v>
      </c>
      <c r="J18" s="2884" t="s">
        <v>2391</v>
      </c>
      <c r="K18" s="3451">
        <v>12</v>
      </c>
      <c r="L18" s="2324">
        <v>0</v>
      </c>
      <c r="M18" s="2225" t="s">
        <v>2392</v>
      </c>
      <c r="N18" s="4032" t="s">
        <v>2393</v>
      </c>
      <c r="O18" s="2895" t="s">
        <v>2394</v>
      </c>
      <c r="P18" s="4435">
        <v>1</v>
      </c>
      <c r="Q18" s="4223">
        <f>+U18+U19+U20</f>
        <v>49227426</v>
      </c>
      <c r="R18" s="2440" t="s">
        <v>2395</v>
      </c>
      <c r="S18" s="2470" t="s">
        <v>2396</v>
      </c>
      <c r="T18" s="2452" t="s">
        <v>2397</v>
      </c>
      <c r="U18" s="4436">
        <v>7000000</v>
      </c>
      <c r="V18" s="4437">
        <v>7000000</v>
      </c>
      <c r="W18" s="4437">
        <v>7000000</v>
      </c>
      <c r="X18" s="4438">
        <v>12</v>
      </c>
      <c r="Y18" s="4439" t="s">
        <v>631</v>
      </c>
      <c r="Z18" s="4440">
        <v>6000</v>
      </c>
      <c r="AA18" s="4440">
        <v>0</v>
      </c>
      <c r="AB18" s="4440">
        <v>9000</v>
      </c>
      <c r="AC18" s="4440">
        <v>0</v>
      </c>
      <c r="AD18" s="4440">
        <v>10500</v>
      </c>
      <c r="AE18" s="4440">
        <v>0</v>
      </c>
      <c r="AF18" s="4440">
        <v>4500</v>
      </c>
      <c r="AG18" s="4440">
        <v>0</v>
      </c>
      <c r="AH18" s="4440">
        <v>0</v>
      </c>
      <c r="AI18" s="4440"/>
      <c r="AJ18" s="4440">
        <v>0</v>
      </c>
      <c r="AK18" s="4440"/>
      <c r="AL18" s="4440">
        <v>22</v>
      </c>
      <c r="AM18" s="4440">
        <v>0</v>
      </c>
      <c r="AN18" s="4440">
        <v>115</v>
      </c>
      <c r="AO18" s="4440">
        <v>0</v>
      </c>
      <c r="AP18" s="4440">
        <v>1</v>
      </c>
      <c r="AQ18" s="4440">
        <v>0</v>
      </c>
      <c r="AR18" s="4440">
        <v>0</v>
      </c>
      <c r="AS18" s="4440">
        <v>0</v>
      </c>
      <c r="AT18" s="4440">
        <v>0</v>
      </c>
      <c r="AU18" s="4440">
        <v>0</v>
      </c>
      <c r="AV18" s="4440">
        <v>0</v>
      </c>
      <c r="AW18" s="4440">
        <v>0</v>
      </c>
      <c r="AX18" s="4440">
        <v>0</v>
      </c>
      <c r="AY18" s="4440">
        <v>0</v>
      </c>
      <c r="AZ18" s="4440">
        <v>59</v>
      </c>
      <c r="BA18" s="4440">
        <v>0</v>
      </c>
      <c r="BB18" s="4440">
        <v>0</v>
      </c>
      <c r="BC18" s="4440">
        <v>0</v>
      </c>
      <c r="BD18" s="4440">
        <v>15000</v>
      </c>
      <c r="BE18" s="4440">
        <v>0</v>
      </c>
      <c r="BF18" s="4441">
        <v>1</v>
      </c>
      <c r="BG18" s="4441">
        <f>+V18</f>
        <v>7000000</v>
      </c>
      <c r="BH18" s="4441">
        <f>+W18</f>
        <v>7000000</v>
      </c>
      <c r="BI18" s="4442">
        <f>+(BH18)/(U18+U19+U20)</f>
        <v>0.14219715652002604</v>
      </c>
      <c r="BJ18" s="4439" t="s">
        <v>631</v>
      </c>
      <c r="BK18" s="4443" t="s">
        <v>2398</v>
      </c>
      <c r="BL18" s="3469">
        <v>43832</v>
      </c>
      <c r="BM18" s="3469">
        <v>43862</v>
      </c>
      <c r="BN18" s="4444">
        <v>44195</v>
      </c>
      <c r="BO18" s="3469">
        <v>44195</v>
      </c>
      <c r="BP18" s="2475" t="s">
        <v>2374</v>
      </c>
      <c r="BQ18" s="18"/>
      <c r="BR18" s="18"/>
      <c r="BS18" s="18"/>
      <c r="BT18" s="18"/>
      <c r="BU18" s="18"/>
      <c r="BV18" s="18"/>
      <c r="BW18" s="18"/>
      <c r="BX18" s="18"/>
    </row>
    <row r="19" spans="1:76" s="4401" customFormat="1" ht="51" customHeight="1" x14ac:dyDescent="0.25">
      <c r="A19" s="4402"/>
      <c r="B19" s="1940"/>
      <c r="C19" s="4403"/>
      <c r="D19" s="1940"/>
      <c r="E19" s="1940"/>
      <c r="F19" s="1940"/>
      <c r="G19" s="3383"/>
      <c r="H19" s="2826"/>
      <c r="I19" s="2992"/>
      <c r="J19" s="2884"/>
      <c r="K19" s="3451"/>
      <c r="L19" s="2321"/>
      <c r="M19" s="2225" t="s">
        <v>2399</v>
      </c>
      <c r="N19" s="4445"/>
      <c r="O19" s="2895"/>
      <c r="P19" s="4446"/>
      <c r="Q19" s="4223"/>
      <c r="R19" s="2440"/>
      <c r="S19" s="2470"/>
      <c r="T19" s="2453"/>
      <c r="U19" s="4436">
        <v>2227426</v>
      </c>
      <c r="V19" s="4437">
        <v>0</v>
      </c>
      <c r="W19" s="4437">
        <v>0</v>
      </c>
      <c r="X19" s="4438">
        <v>4</v>
      </c>
      <c r="Y19" s="4439" t="s">
        <v>2400</v>
      </c>
      <c r="Z19" s="4440"/>
      <c r="AA19" s="4440">
        <v>0</v>
      </c>
      <c r="AB19" s="4440"/>
      <c r="AC19" s="4440">
        <v>0</v>
      </c>
      <c r="AD19" s="4440"/>
      <c r="AE19" s="4440"/>
      <c r="AF19" s="4440"/>
      <c r="AG19" s="4440"/>
      <c r="AH19" s="4440"/>
      <c r="AI19" s="4440"/>
      <c r="AJ19" s="4440"/>
      <c r="AK19" s="4440"/>
      <c r="AL19" s="4440"/>
      <c r="AM19" s="4440"/>
      <c r="AN19" s="4440"/>
      <c r="AO19" s="4440"/>
      <c r="AP19" s="4440"/>
      <c r="AQ19" s="4440"/>
      <c r="AR19" s="4440"/>
      <c r="AS19" s="4440"/>
      <c r="AT19" s="4440"/>
      <c r="AU19" s="4440"/>
      <c r="AV19" s="4440"/>
      <c r="AW19" s="4440"/>
      <c r="AX19" s="4440"/>
      <c r="AY19" s="4440"/>
      <c r="AZ19" s="4440"/>
      <c r="BA19" s="4440"/>
      <c r="BB19" s="4440"/>
      <c r="BC19" s="4440"/>
      <c r="BD19" s="4440"/>
      <c r="BE19" s="4440">
        <v>0</v>
      </c>
      <c r="BF19" s="4440"/>
      <c r="BG19" s="4440"/>
      <c r="BH19" s="4440"/>
      <c r="BI19" s="4447"/>
      <c r="BJ19" s="4439" t="s">
        <v>2400</v>
      </c>
      <c r="BK19" s="3152"/>
      <c r="BL19" s="3355"/>
      <c r="BM19" s="3355"/>
      <c r="BN19" s="4444"/>
      <c r="BO19" s="3355"/>
      <c r="BP19" s="2475"/>
    </row>
    <row r="20" spans="1:76" s="4401" customFormat="1" ht="73.5" customHeight="1" x14ac:dyDescent="0.25">
      <c r="A20" s="4402"/>
      <c r="B20" s="1940"/>
      <c r="C20" s="4403"/>
      <c r="D20" s="1940"/>
      <c r="E20" s="1940"/>
      <c r="F20" s="1940"/>
      <c r="G20" s="3383"/>
      <c r="H20" s="2826"/>
      <c r="I20" s="2992"/>
      <c r="J20" s="2884"/>
      <c r="K20" s="3451"/>
      <c r="L20" s="2736"/>
      <c r="M20" s="2225" t="s">
        <v>2401</v>
      </c>
      <c r="N20" s="4448"/>
      <c r="O20" s="2884"/>
      <c r="P20" s="4449"/>
      <c r="Q20" s="4222"/>
      <c r="R20" s="2440"/>
      <c r="S20" s="2470"/>
      <c r="T20" s="3149"/>
      <c r="U20" s="4436">
        <v>40000000</v>
      </c>
      <c r="V20" s="4437">
        <v>0</v>
      </c>
      <c r="W20" s="4437">
        <v>0</v>
      </c>
      <c r="X20" s="4438">
        <v>6</v>
      </c>
      <c r="Y20" s="4439" t="s">
        <v>2377</v>
      </c>
      <c r="Z20" s="4440"/>
      <c r="AA20" s="4440"/>
      <c r="AB20" s="4440"/>
      <c r="AC20" s="4440"/>
      <c r="AD20" s="4440"/>
      <c r="AE20" s="4440"/>
      <c r="AF20" s="4440"/>
      <c r="AG20" s="4440"/>
      <c r="AH20" s="4440"/>
      <c r="AI20" s="4440"/>
      <c r="AJ20" s="4440"/>
      <c r="AK20" s="4440"/>
      <c r="AL20" s="4440"/>
      <c r="AM20" s="4440"/>
      <c r="AN20" s="4440"/>
      <c r="AO20" s="4440"/>
      <c r="AP20" s="4440"/>
      <c r="AQ20" s="4440"/>
      <c r="AR20" s="4440"/>
      <c r="AS20" s="4440"/>
      <c r="AT20" s="4440"/>
      <c r="AU20" s="4440"/>
      <c r="AV20" s="4440"/>
      <c r="AW20" s="4440"/>
      <c r="AX20" s="4440"/>
      <c r="AY20" s="4440"/>
      <c r="AZ20" s="4440"/>
      <c r="BA20" s="4440"/>
      <c r="BB20" s="4440"/>
      <c r="BC20" s="4440"/>
      <c r="BD20" s="4440"/>
      <c r="BE20" s="4440"/>
      <c r="BF20" s="4450"/>
      <c r="BG20" s="4450"/>
      <c r="BH20" s="4450"/>
      <c r="BI20" s="4451"/>
      <c r="BJ20" s="4439" t="s">
        <v>2377</v>
      </c>
      <c r="BK20" s="3206"/>
      <c r="BL20" s="3356"/>
      <c r="BM20" s="3356"/>
      <c r="BN20" s="4444"/>
      <c r="BO20" s="3356"/>
      <c r="BP20" s="2475"/>
    </row>
    <row r="21" spans="1:76" s="1601" customFormat="1" ht="45" customHeight="1" x14ac:dyDescent="0.25">
      <c r="A21" s="615"/>
      <c r="B21" s="1517"/>
      <c r="C21" s="1523"/>
      <c r="D21" s="1517"/>
      <c r="E21" s="1517"/>
      <c r="F21" s="1517"/>
      <c r="G21" s="3550">
        <v>4301037</v>
      </c>
      <c r="H21" s="3851" t="s">
        <v>2378</v>
      </c>
      <c r="I21" s="3092" t="s">
        <v>2379</v>
      </c>
      <c r="J21" s="4452" t="s">
        <v>2402</v>
      </c>
      <c r="K21" s="4453">
        <v>12</v>
      </c>
      <c r="L21" s="3143">
        <v>10</v>
      </c>
      <c r="M21" s="2220" t="s">
        <v>2403</v>
      </c>
      <c r="N21" s="4292" t="s">
        <v>2404</v>
      </c>
      <c r="O21" s="4454" t="s">
        <v>2405</v>
      </c>
      <c r="P21" s="3688">
        <f>(U21+U22+U23+U24+U25)/Q21</f>
        <v>0.7186147186147186</v>
      </c>
      <c r="Q21" s="4455">
        <f>+U21+U22+U23+U24+U25+U26+U27</f>
        <v>69300000</v>
      </c>
      <c r="R21" s="3641" t="s">
        <v>2406</v>
      </c>
      <c r="S21" s="3641" t="s">
        <v>2407</v>
      </c>
      <c r="T21" s="3091" t="s">
        <v>2408</v>
      </c>
      <c r="U21" s="4456">
        <v>6400000</v>
      </c>
      <c r="V21" s="4457">
        <v>6400000</v>
      </c>
      <c r="W21" s="4457">
        <v>6400000</v>
      </c>
      <c r="X21" s="4458">
        <v>3</v>
      </c>
      <c r="Y21" s="4459" t="s">
        <v>2384</v>
      </c>
      <c r="Z21" s="3978">
        <v>1666</v>
      </c>
      <c r="AA21" s="3978">
        <v>651</v>
      </c>
      <c r="AB21" s="3978">
        <v>1507</v>
      </c>
      <c r="AC21" s="3978">
        <v>416</v>
      </c>
      <c r="AD21" s="3978">
        <v>1400</v>
      </c>
      <c r="AE21" s="3978">
        <v>509</v>
      </c>
      <c r="AF21" s="3978">
        <v>350</v>
      </c>
      <c r="AG21" s="3978">
        <v>192</v>
      </c>
      <c r="AH21" s="3978">
        <v>450</v>
      </c>
      <c r="AI21" s="3978">
        <v>9</v>
      </c>
      <c r="AJ21" s="3978">
        <v>973</v>
      </c>
      <c r="AK21" s="3978">
        <v>357</v>
      </c>
      <c r="AL21" s="3978">
        <v>0</v>
      </c>
      <c r="AM21" s="3978"/>
      <c r="AN21" s="3978">
        <v>0</v>
      </c>
      <c r="AO21" s="3978"/>
      <c r="AP21" s="3978">
        <v>0</v>
      </c>
      <c r="AQ21" s="3978"/>
      <c r="AR21" s="3978">
        <v>0</v>
      </c>
      <c r="AS21" s="3978"/>
      <c r="AT21" s="3978">
        <v>0</v>
      </c>
      <c r="AU21" s="3978"/>
      <c r="AV21" s="3978">
        <v>0</v>
      </c>
      <c r="AW21" s="3978"/>
      <c r="AX21" s="3978">
        <v>0</v>
      </c>
      <c r="AY21" s="3978"/>
      <c r="AZ21" s="3978">
        <v>0</v>
      </c>
      <c r="BA21" s="3978">
        <v>51</v>
      </c>
      <c r="BB21" s="3978">
        <v>0</v>
      </c>
      <c r="BC21" s="3978"/>
      <c r="BD21" s="3978">
        <v>3173</v>
      </c>
      <c r="BE21" s="3978">
        <f>+AA21+AC21+AE21+AG21+AI21+AK21+BA21</f>
        <v>2185</v>
      </c>
      <c r="BF21" s="3978">
        <v>4</v>
      </c>
      <c r="BG21" s="3978">
        <f>+V21+V23+V26+V27</f>
        <v>33300000</v>
      </c>
      <c r="BH21" s="3978">
        <f>+W21+W23+W26+W27</f>
        <v>33300000</v>
      </c>
      <c r="BI21" s="4460">
        <f>+(BH21)/(U21+U22+U23+U24+U25+U26+U27)</f>
        <v>0.48051948051948051</v>
      </c>
      <c r="BJ21" s="4459" t="s">
        <v>2384</v>
      </c>
      <c r="BK21" s="4461" t="s">
        <v>2373</v>
      </c>
      <c r="BL21" s="4462">
        <v>43832</v>
      </c>
      <c r="BM21" s="4463">
        <v>43862</v>
      </c>
      <c r="BN21" s="4463">
        <v>44195</v>
      </c>
      <c r="BO21" s="4463">
        <v>44195</v>
      </c>
      <c r="BP21" s="4464" t="s">
        <v>2374</v>
      </c>
    </row>
    <row r="22" spans="1:76" s="1601" customFormat="1" ht="41.25" customHeight="1" x14ac:dyDescent="0.25">
      <c r="A22" s="615"/>
      <c r="B22" s="1517"/>
      <c r="C22" s="1523"/>
      <c r="D22" s="1517"/>
      <c r="E22" s="1517"/>
      <c r="F22" s="1517"/>
      <c r="G22" s="3550"/>
      <c r="H22" s="3637"/>
      <c r="I22" s="3093"/>
      <c r="J22" s="4465"/>
      <c r="K22" s="4466"/>
      <c r="L22" s="3143"/>
      <c r="M22" s="2220" t="s">
        <v>2409</v>
      </c>
      <c r="N22" s="4292"/>
      <c r="O22" s="4040"/>
      <c r="P22" s="3689"/>
      <c r="Q22" s="4467"/>
      <c r="R22" s="3642"/>
      <c r="S22" s="3642"/>
      <c r="T22" s="3091"/>
      <c r="U22" s="4456">
        <v>12000000</v>
      </c>
      <c r="V22" s="4468">
        <v>0</v>
      </c>
      <c r="W22" s="4468">
        <v>0</v>
      </c>
      <c r="X22" s="4458">
        <v>6</v>
      </c>
      <c r="Y22" s="4459" t="s">
        <v>2377</v>
      </c>
      <c r="Z22" s="3978"/>
      <c r="AA22" s="3978"/>
      <c r="AB22" s="3978"/>
      <c r="AC22" s="3978"/>
      <c r="AD22" s="3978"/>
      <c r="AE22" s="3978"/>
      <c r="AF22" s="3978"/>
      <c r="AG22" s="3978"/>
      <c r="AH22" s="3978"/>
      <c r="AI22" s="3978"/>
      <c r="AJ22" s="3978"/>
      <c r="AK22" s="3978"/>
      <c r="AL22" s="3978"/>
      <c r="AM22" s="3978"/>
      <c r="AN22" s="3978"/>
      <c r="AO22" s="3978"/>
      <c r="AP22" s="3978"/>
      <c r="AQ22" s="3978"/>
      <c r="AR22" s="3978"/>
      <c r="AS22" s="3978"/>
      <c r="AT22" s="3978"/>
      <c r="AU22" s="3978"/>
      <c r="AV22" s="3978"/>
      <c r="AW22" s="3978"/>
      <c r="AX22" s="3978"/>
      <c r="AY22" s="3978"/>
      <c r="AZ22" s="3978"/>
      <c r="BA22" s="3978"/>
      <c r="BB22" s="3978"/>
      <c r="BC22" s="3978"/>
      <c r="BD22" s="3978"/>
      <c r="BE22" s="3978"/>
      <c r="BF22" s="3978"/>
      <c r="BG22" s="3978"/>
      <c r="BH22" s="3978"/>
      <c r="BI22" s="4460"/>
      <c r="BJ22" s="4459" t="s">
        <v>2377</v>
      </c>
      <c r="BK22" s="4461"/>
      <c r="BL22" s="4462"/>
      <c r="BM22" s="4469"/>
      <c r="BN22" s="4469"/>
      <c r="BO22" s="4469"/>
      <c r="BP22" s="4464"/>
    </row>
    <row r="23" spans="1:76" s="1601" customFormat="1" ht="45.75" customHeight="1" x14ac:dyDescent="0.25">
      <c r="A23" s="615"/>
      <c r="B23" s="1517"/>
      <c r="C23" s="1523"/>
      <c r="D23" s="1517"/>
      <c r="E23" s="1517"/>
      <c r="F23" s="1517"/>
      <c r="G23" s="3550"/>
      <c r="H23" s="3637"/>
      <c r="I23" s="3093"/>
      <c r="J23" s="4465"/>
      <c r="K23" s="4466"/>
      <c r="L23" s="3143"/>
      <c r="M23" s="2220" t="s">
        <v>2410</v>
      </c>
      <c r="N23" s="4292"/>
      <c r="O23" s="4040"/>
      <c r="P23" s="3689"/>
      <c r="Q23" s="4467"/>
      <c r="R23" s="3642"/>
      <c r="S23" s="3642"/>
      <c r="T23" s="3091" t="s">
        <v>2411</v>
      </c>
      <c r="U23" s="4456">
        <v>7400000</v>
      </c>
      <c r="V23" s="4468">
        <v>7400000</v>
      </c>
      <c r="W23" s="4468">
        <v>7400000</v>
      </c>
      <c r="X23" s="4458">
        <v>3</v>
      </c>
      <c r="Y23" s="4459" t="s">
        <v>2384</v>
      </c>
      <c r="Z23" s="3978"/>
      <c r="AA23" s="3978"/>
      <c r="AB23" s="3978"/>
      <c r="AC23" s="3978"/>
      <c r="AD23" s="3978"/>
      <c r="AE23" s="3978"/>
      <c r="AF23" s="3978"/>
      <c r="AG23" s="3978"/>
      <c r="AH23" s="3978"/>
      <c r="AI23" s="3978"/>
      <c r="AJ23" s="3978"/>
      <c r="AK23" s="3978"/>
      <c r="AL23" s="3978"/>
      <c r="AM23" s="3978"/>
      <c r="AN23" s="3978"/>
      <c r="AO23" s="3978"/>
      <c r="AP23" s="3978"/>
      <c r="AQ23" s="3978"/>
      <c r="AR23" s="3978"/>
      <c r="AS23" s="3978"/>
      <c r="AT23" s="3978"/>
      <c r="AU23" s="3978"/>
      <c r="AV23" s="3978"/>
      <c r="AW23" s="3978"/>
      <c r="AX23" s="3978"/>
      <c r="AY23" s="3978"/>
      <c r="AZ23" s="3978"/>
      <c r="BA23" s="3978"/>
      <c r="BB23" s="3978"/>
      <c r="BC23" s="3978"/>
      <c r="BD23" s="3978"/>
      <c r="BE23" s="3978"/>
      <c r="BF23" s="3978"/>
      <c r="BG23" s="3978"/>
      <c r="BH23" s="3978"/>
      <c r="BI23" s="4460"/>
      <c r="BJ23" s="4459" t="s">
        <v>2384</v>
      </c>
      <c r="BK23" s="4461"/>
      <c r="BL23" s="4462"/>
      <c r="BM23" s="4469"/>
      <c r="BN23" s="4469"/>
      <c r="BO23" s="4469"/>
      <c r="BP23" s="4464"/>
    </row>
    <row r="24" spans="1:76" s="1601" customFormat="1" ht="45" customHeight="1" x14ac:dyDescent="0.25">
      <c r="A24" s="615"/>
      <c r="B24" s="1517"/>
      <c r="C24" s="1523"/>
      <c r="D24" s="1517"/>
      <c r="E24" s="1517"/>
      <c r="F24" s="1517"/>
      <c r="G24" s="3550"/>
      <c r="H24" s="3637"/>
      <c r="I24" s="3093"/>
      <c r="J24" s="4465"/>
      <c r="K24" s="4466"/>
      <c r="L24" s="3143"/>
      <c r="M24" s="2220" t="s">
        <v>2412</v>
      </c>
      <c r="N24" s="4292"/>
      <c r="O24" s="4040"/>
      <c r="P24" s="3689"/>
      <c r="Q24" s="4467"/>
      <c r="R24" s="3642"/>
      <c r="S24" s="3642"/>
      <c r="T24" s="3091"/>
      <c r="U24" s="4456">
        <v>12000000</v>
      </c>
      <c r="V24" s="4468">
        <v>0</v>
      </c>
      <c r="W24" s="4468">
        <v>0</v>
      </c>
      <c r="X24" s="4458">
        <v>6</v>
      </c>
      <c r="Y24" s="4459" t="s">
        <v>2377</v>
      </c>
      <c r="Z24" s="3978"/>
      <c r="AA24" s="3978"/>
      <c r="AB24" s="3978"/>
      <c r="AC24" s="3978"/>
      <c r="AD24" s="3978"/>
      <c r="AE24" s="3978"/>
      <c r="AF24" s="3978"/>
      <c r="AG24" s="3978"/>
      <c r="AH24" s="3978"/>
      <c r="AI24" s="3978"/>
      <c r="AJ24" s="3978"/>
      <c r="AK24" s="3978"/>
      <c r="AL24" s="3978"/>
      <c r="AM24" s="3978"/>
      <c r="AN24" s="3978"/>
      <c r="AO24" s="3978"/>
      <c r="AP24" s="3978"/>
      <c r="AQ24" s="3978"/>
      <c r="AR24" s="3978"/>
      <c r="AS24" s="3978"/>
      <c r="AT24" s="3978"/>
      <c r="AU24" s="3978"/>
      <c r="AV24" s="3978"/>
      <c r="AW24" s="3978"/>
      <c r="AX24" s="3978"/>
      <c r="AY24" s="3978"/>
      <c r="AZ24" s="3978"/>
      <c r="BA24" s="3978"/>
      <c r="BB24" s="3978"/>
      <c r="BC24" s="3978"/>
      <c r="BD24" s="3978"/>
      <c r="BE24" s="3978"/>
      <c r="BF24" s="3978"/>
      <c r="BG24" s="3978"/>
      <c r="BH24" s="3978"/>
      <c r="BI24" s="4460"/>
      <c r="BJ24" s="4459" t="s">
        <v>2377</v>
      </c>
      <c r="BK24" s="4461"/>
      <c r="BL24" s="4462"/>
      <c r="BM24" s="4469"/>
      <c r="BN24" s="4469"/>
      <c r="BO24" s="4469"/>
      <c r="BP24" s="4464"/>
    </row>
    <row r="25" spans="1:76" s="1601" customFormat="1" ht="51.75" customHeight="1" x14ac:dyDescent="0.25">
      <c r="A25" s="615"/>
      <c r="B25" s="1517"/>
      <c r="C25" s="1523"/>
      <c r="D25" s="1517"/>
      <c r="E25" s="1517"/>
      <c r="F25" s="1517"/>
      <c r="G25" s="3550"/>
      <c r="H25" s="3637"/>
      <c r="I25" s="3093"/>
      <c r="J25" s="4465"/>
      <c r="K25" s="4466"/>
      <c r="L25" s="3143"/>
      <c r="M25" s="2220" t="s">
        <v>2413</v>
      </c>
      <c r="N25" s="4292"/>
      <c r="O25" s="4040"/>
      <c r="P25" s="3689"/>
      <c r="Q25" s="4467"/>
      <c r="R25" s="3642"/>
      <c r="S25" s="3642"/>
      <c r="T25" s="3142" t="s">
        <v>2414</v>
      </c>
      <c r="U25" s="4470">
        <v>12000000</v>
      </c>
      <c r="V25" s="4301">
        <v>0</v>
      </c>
      <c r="W25" s="4301">
        <v>0</v>
      </c>
      <c r="X25" s="4458">
        <v>12</v>
      </c>
      <c r="Y25" s="4459" t="s">
        <v>631</v>
      </c>
      <c r="Z25" s="3978"/>
      <c r="AA25" s="3978"/>
      <c r="AB25" s="3978"/>
      <c r="AC25" s="3978"/>
      <c r="AD25" s="3978"/>
      <c r="AE25" s="3978"/>
      <c r="AF25" s="3978"/>
      <c r="AG25" s="3978"/>
      <c r="AH25" s="3978"/>
      <c r="AI25" s="3978"/>
      <c r="AJ25" s="3978"/>
      <c r="AK25" s="3978"/>
      <c r="AL25" s="3978"/>
      <c r="AM25" s="3978"/>
      <c r="AN25" s="3978"/>
      <c r="AO25" s="3978"/>
      <c r="AP25" s="3978"/>
      <c r="AQ25" s="3978"/>
      <c r="AR25" s="3978"/>
      <c r="AS25" s="3978"/>
      <c r="AT25" s="3978"/>
      <c r="AU25" s="3978"/>
      <c r="AV25" s="3978"/>
      <c r="AW25" s="3978"/>
      <c r="AX25" s="3978"/>
      <c r="AY25" s="3978"/>
      <c r="AZ25" s="3978"/>
      <c r="BA25" s="3978"/>
      <c r="BB25" s="3978"/>
      <c r="BC25" s="3978"/>
      <c r="BD25" s="3978"/>
      <c r="BE25" s="3978"/>
      <c r="BF25" s="3978"/>
      <c r="BG25" s="3978"/>
      <c r="BH25" s="3978"/>
      <c r="BI25" s="4460"/>
      <c r="BJ25" s="4459" t="s">
        <v>631</v>
      </c>
      <c r="BK25" s="4461"/>
      <c r="BL25" s="4462"/>
      <c r="BM25" s="4469"/>
      <c r="BN25" s="4469"/>
      <c r="BO25" s="4469"/>
      <c r="BP25" s="4464"/>
    </row>
    <row r="26" spans="1:76" s="1601" customFormat="1" ht="39.75" customHeight="1" x14ac:dyDescent="0.25">
      <c r="A26" s="615"/>
      <c r="B26" s="1517"/>
      <c r="C26" s="1523"/>
      <c r="D26" s="1517"/>
      <c r="E26" s="1517"/>
      <c r="F26" s="1517"/>
      <c r="G26" s="3109"/>
      <c r="H26" s="3637"/>
      <c r="I26" s="3093"/>
      <c r="J26" s="4465"/>
      <c r="K26" s="4471"/>
      <c r="L26" s="3143"/>
      <c r="M26" s="2220" t="s">
        <v>2415</v>
      </c>
      <c r="N26" s="4292"/>
      <c r="O26" s="4040"/>
      <c r="P26" s="3690"/>
      <c r="Q26" s="4467"/>
      <c r="R26" s="3642"/>
      <c r="S26" s="3642"/>
      <c r="T26" s="4472"/>
      <c r="U26" s="4470">
        <v>15500000</v>
      </c>
      <c r="V26" s="4301">
        <v>15500000</v>
      </c>
      <c r="W26" s="4301">
        <v>15500000</v>
      </c>
      <c r="X26" s="4458">
        <v>12</v>
      </c>
      <c r="Y26" s="4459" t="s">
        <v>631</v>
      </c>
      <c r="Z26" s="3978"/>
      <c r="AA26" s="3978"/>
      <c r="AB26" s="3978"/>
      <c r="AC26" s="3978"/>
      <c r="AD26" s="3978"/>
      <c r="AE26" s="3978"/>
      <c r="AF26" s="3978"/>
      <c r="AG26" s="3978"/>
      <c r="AH26" s="3978"/>
      <c r="AI26" s="3978"/>
      <c r="AJ26" s="3978"/>
      <c r="AK26" s="3978"/>
      <c r="AL26" s="3978"/>
      <c r="AM26" s="3978"/>
      <c r="AN26" s="3978"/>
      <c r="AO26" s="3978"/>
      <c r="AP26" s="3978"/>
      <c r="AQ26" s="3978"/>
      <c r="AR26" s="3978"/>
      <c r="AS26" s="3978"/>
      <c r="AT26" s="3978"/>
      <c r="AU26" s="3978"/>
      <c r="AV26" s="3978"/>
      <c r="AW26" s="3978"/>
      <c r="AX26" s="3978"/>
      <c r="AY26" s="3978"/>
      <c r="AZ26" s="3978"/>
      <c r="BA26" s="3978"/>
      <c r="BB26" s="3978"/>
      <c r="BC26" s="3978"/>
      <c r="BD26" s="3978"/>
      <c r="BE26" s="3978"/>
      <c r="BF26" s="3978"/>
      <c r="BG26" s="3978"/>
      <c r="BH26" s="3978"/>
      <c r="BI26" s="4460"/>
      <c r="BJ26" s="4459" t="s">
        <v>631</v>
      </c>
      <c r="BK26" s="4461"/>
      <c r="BL26" s="4462"/>
      <c r="BM26" s="4469"/>
      <c r="BN26" s="4469"/>
      <c r="BO26" s="4469"/>
      <c r="BP26" s="4464"/>
    </row>
    <row r="27" spans="1:76" s="1601" customFormat="1" ht="138" customHeight="1" x14ac:dyDescent="0.25">
      <c r="A27" s="615"/>
      <c r="B27" s="1517"/>
      <c r="C27" s="1523"/>
      <c r="D27" s="1517"/>
      <c r="E27" s="1517"/>
      <c r="F27" s="1517"/>
      <c r="G27" s="4473"/>
      <c r="H27" s="2229" t="s">
        <v>2364</v>
      </c>
      <c r="I27" s="2231" t="s">
        <v>2416</v>
      </c>
      <c r="J27" s="2231" t="s">
        <v>2417</v>
      </c>
      <c r="K27" s="2229">
        <v>1</v>
      </c>
      <c r="L27" s="2229">
        <v>0.75</v>
      </c>
      <c r="M27" s="2220" t="s">
        <v>2418</v>
      </c>
      <c r="N27" s="4292"/>
      <c r="O27" s="4051"/>
      <c r="P27" s="2232">
        <f>+(U26+U27)/Q21</f>
        <v>0.2813852813852814</v>
      </c>
      <c r="Q27" s="4474"/>
      <c r="R27" s="3642"/>
      <c r="S27" s="3642"/>
      <c r="T27" s="4472"/>
      <c r="U27" s="4470">
        <v>4000000</v>
      </c>
      <c r="V27" s="4301">
        <v>4000000</v>
      </c>
      <c r="W27" s="4301">
        <v>4000000</v>
      </c>
      <c r="X27" s="4458">
        <v>3</v>
      </c>
      <c r="Y27" s="4459" t="s">
        <v>2384</v>
      </c>
      <c r="Z27" s="3978"/>
      <c r="AA27" s="3978"/>
      <c r="AB27" s="3978"/>
      <c r="AC27" s="3978"/>
      <c r="AD27" s="3978"/>
      <c r="AE27" s="3978"/>
      <c r="AF27" s="3978"/>
      <c r="AG27" s="3978"/>
      <c r="AH27" s="3978"/>
      <c r="AI27" s="3978"/>
      <c r="AJ27" s="3978"/>
      <c r="AK27" s="3978"/>
      <c r="AL27" s="3978"/>
      <c r="AM27" s="3978"/>
      <c r="AN27" s="3978"/>
      <c r="AO27" s="3978"/>
      <c r="AP27" s="3978"/>
      <c r="AQ27" s="3978"/>
      <c r="AR27" s="3978"/>
      <c r="AS27" s="3978"/>
      <c r="AT27" s="3978"/>
      <c r="AU27" s="3978"/>
      <c r="AV27" s="3978"/>
      <c r="AW27" s="3978"/>
      <c r="AX27" s="3978"/>
      <c r="AY27" s="3978"/>
      <c r="AZ27" s="3978"/>
      <c r="BA27" s="3978"/>
      <c r="BB27" s="3978"/>
      <c r="BC27" s="3978"/>
      <c r="BD27" s="3978"/>
      <c r="BE27" s="3978"/>
      <c r="BF27" s="3978"/>
      <c r="BG27" s="3978"/>
      <c r="BH27" s="3978"/>
      <c r="BI27" s="4460"/>
      <c r="BJ27" s="4459" t="s">
        <v>2384</v>
      </c>
      <c r="BK27" s="4461"/>
      <c r="BL27" s="4475"/>
      <c r="BM27" s="4469"/>
      <c r="BN27" s="4469"/>
      <c r="BO27" s="4469"/>
      <c r="BP27" s="4476"/>
    </row>
    <row r="28" spans="1:76" s="1601" customFormat="1" ht="105" customHeight="1" x14ac:dyDescent="0.25">
      <c r="A28" s="615"/>
      <c r="B28" s="1517"/>
      <c r="C28" s="1523"/>
      <c r="D28" s="1517"/>
      <c r="E28" s="1517"/>
      <c r="F28" s="1517"/>
      <c r="G28" s="2216">
        <v>4301037</v>
      </c>
      <c r="H28" s="2235" t="s">
        <v>2378</v>
      </c>
      <c r="I28" s="2218" t="s">
        <v>2379</v>
      </c>
      <c r="J28" s="2221" t="s">
        <v>2402</v>
      </c>
      <c r="K28" s="2219">
        <v>12</v>
      </c>
      <c r="L28" s="4477">
        <v>10</v>
      </c>
      <c r="M28" s="4478" t="s">
        <v>2419</v>
      </c>
      <c r="N28" s="4292" t="s">
        <v>2420</v>
      </c>
      <c r="O28" s="3851" t="s">
        <v>2421</v>
      </c>
      <c r="P28" s="2215">
        <f>+U28/Q28</f>
        <v>5.0342481838098377E-2</v>
      </c>
      <c r="Q28" s="4479">
        <f>+U28+U29</f>
        <v>367085597</v>
      </c>
      <c r="R28" s="4214" t="s">
        <v>2422</v>
      </c>
      <c r="S28" s="4214" t="s">
        <v>2423</v>
      </c>
      <c r="T28" s="3980" t="s">
        <v>2424</v>
      </c>
      <c r="U28" s="4480">
        <v>18480000</v>
      </c>
      <c r="V28" s="4468">
        <v>18480000</v>
      </c>
      <c r="W28" s="4468">
        <v>18480000</v>
      </c>
      <c r="X28" s="4481" t="s">
        <v>2387</v>
      </c>
      <c r="Y28" s="4482" t="s">
        <v>2400</v>
      </c>
      <c r="Z28" s="4483">
        <v>1700</v>
      </c>
      <c r="AA28" s="4483">
        <v>34</v>
      </c>
      <c r="AB28" s="4483">
        <v>1500</v>
      </c>
      <c r="AC28" s="4483">
        <v>93</v>
      </c>
      <c r="AD28" s="4483">
        <v>1800</v>
      </c>
      <c r="AE28" s="4483">
        <v>103</v>
      </c>
      <c r="AF28" s="4483">
        <v>1000</v>
      </c>
      <c r="AG28" s="4483">
        <v>24</v>
      </c>
      <c r="AH28" s="4483">
        <v>400</v>
      </c>
      <c r="AI28" s="3978"/>
      <c r="AJ28" s="3978"/>
      <c r="AK28" s="3978"/>
      <c r="AL28" s="3978"/>
      <c r="AM28" s="3978"/>
      <c r="AN28" s="3978"/>
      <c r="AO28" s="3978"/>
      <c r="AP28" s="3978"/>
      <c r="AQ28" s="3978"/>
      <c r="AR28" s="3978"/>
      <c r="AS28" s="3978"/>
      <c r="AT28" s="3978"/>
      <c r="AU28" s="3978"/>
      <c r="AV28" s="3978"/>
      <c r="AW28" s="3978"/>
      <c r="AX28" s="3978"/>
      <c r="AY28" s="3978"/>
      <c r="AZ28" s="3978"/>
      <c r="BA28" s="3978"/>
      <c r="BB28" s="3978"/>
      <c r="BC28" s="3978"/>
      <c r="BD28" s="3978">
        <f>+Z28+AB28+AD28+AF28+AH28</f>
        <v>6400</v>
      </c>
      <c r="BE28" s="3978">
        <f>+AA28+AC28+AE28+AG28+AI28</f>
        <v>254</v>
      </c>
      <c r="BF28" s="3978">
        <v>8</v>
      </c>
      <c r="BG28" s="3978">
        <f>+V28+V29</f>
        <v>194316663.62</v>
      </c>
      <c r="BH28" s="3978">
        <f>+W28+W29</f>
        <v>194316663.62</v>
      </c>
      <c r="BI28" s="4460">
        <f>+(BH28)/(U28+U29)</f>
        <v>0.52934973534251739</v>
      </c>
      <c r="BJ28" s="4482" t="s">
        <v>2400</v>
      </c>
      <c r="BK28" s="4461" t="s">
        <v>2373</v>
      </c>
      <c r="BL28" s="4462">
        <v>43832</v>
      </c>
      <c r="BM28" s="4462">
        <v>43862</v>
      </c>
      <c r="BN28" s="4462">
        <v>44195</v>
      </c>
      <c r="BO28" s="4462">
        <v>44195</v>
      </c>
      <c r="BP28" s="3975" t="s">
        <v>2374</v>
      </c>
    </row>
    <row r="29" spans="1:76" s="1601" customFormat="1" ht="105" customHeight="1" x14ac:dyDescent="0.25">
      <c r="A29" s="615"/>
      <c r="B29" s="1517"/>
      <c r="C29" s="1523"/>
      <c r="D29" s="1517"/>
      <c r="E29" s="1517"/>
      <c r="F29" s="1517"/>
      <c r="G29" s="2216">
        <v>4301007</v>
      </c>
      <c r="H29" s="2236" t="s">
        <v>2364</v>
      </c>
      <c r="I29" s="2217" t="s">
        <v>2365</v>
      </c>
      <c r="J29" s="4484" t="s">
        <v>2366</v>
      </c>
      <c r="K29" s="2220">
        <v>12</v>
      </c>
      <c r="L29" s="2220">
        <v>10</v>
      </c>
      <c r="M29" s="4485" t="s">
        <v>2425</v>
      </c>
      <c r="N29" s="4292"/>
      <c r="O29" s="4486"/>
      <c r="P29" s="4487">
        <f>+U29/Q28</f>
        <v>0.94965751816190158</v>
      </c>
      <c r="Q29" s="4488"/>
      <c r="R29" s="4214"/>
      <c r="S29" s="4214"/>
      <c r="T29" s="3980"/>
      <c r="U29" s="4392">
        <v>348605597</v>
      </c>
      <c r="V29" s="4489">
        <v>175836663.62</v>
      </c>
      <c r="W29" s="4392">
        <v>175836663.62</v>
      </c>
      <c r="X29" s="4481" t="s">
        <v>2426</v>
      </c>
      <c r="Y29" s="4490" t="s">
        <v>2427</v>
      </c>
      <c r="Z29" s="4483"/>
      <c r="AA29" s="4483"/>
      <c r="AB29" s="4483"/>
      <c r="AC29" s="4483"/>
      <c r="AD29" s="4483"/>
      <c r="AE29" s="4483"/>
      <c r="AF29" s="4483"/>
      <c r="AG29" s="4483"/>
      <c r="AH29" s="4483"/>
      <c r="AI29" s="3978"/>
      <c r="AJ29" s="3978"/>
      <c r="AK29" s="3978"/>
      <c r="AL29" s="3978"/>
      <c r="AM29" s="3978"/>
      <c r="AN29" s="3978"/>
      <c r="AO29" s="3978"/>
      <c r="AP29" s="3978"/>
      <c r="AQ29" s="3978"/>
      <c r="AR29" s="3978"/>
      <c r="AS29" s="3978"/>
      <c r="AT29" s="3978"/>
      <c r="AU29" s="3978"/>
      <c r="AV29" s="3978"/>
      <c r="AW29" s="3978"/>
      <c r="AX29" s="3978"/>
      <c r="AY29" s="3978"/>
      <c r="AZ29" s="3978"/>
      <c r="BA29" s="3978"/>
      <c r="BB29" s="3978"/>
      <c r="BC29" s="3978"/>
      <c r="BD29" s="3978"/>
      <c r="BE29" s="3978"/>
      <c r="BF29" s="3978"/>
      <c r="BG29" s="3978"/>
      <c r="BH29" s="3978"/>
      <c r="BI29" s="4460"/>
      <c r="BJ29" s="4490" t="s">
        <v>2427</v>
      </c>
      <c r="BK29" s="4461"/>
      <c r="BL29" s="4462"/>
      <c r="BM29" s="4462"/>
      <c r="BN29" s="4462"/>
      <c r="BO29" s="4462"/>
      <c r="BP29" s="3975"/>
    </row>
    <row r="30" spans="1:76" s="1601" customFormat="1" ht="39.75" customHeight="1" x14ac:dyDescent="0.25">
      <c r="A30" s="615"/>
      <c r="B30" s="1517"/>
      <c r="C30" s="1523"/>
      <c r="D30" s="1517"/>
      <c r="E30" s="1517"/>
      <c r="F30" s="1517"/>
      <c r="G30" s="3550">
        <v>4301037</v>
      </c>
      <c r="H30" s="3851" t="s">
        <v>2378</v>
      </c>
      <c r="I30" s="4491" t="s">
        <v>2379</v>
      </c>
      <c r="J30" s="4034" t="s">
        <v>2402</v>
      </c>
      <c r="K30" s="4492">
        <v>12</v>
      </c>
      <c r="L30" s="4493">
        <v>10</v>
      </c>
      <c r="M30" s="4392" t="s">
        <v>2428</v>
      </c>
      <c r="N30" s="4494" t="s">
        <v>2429</v>
      </c>
      <c r="O30" s="3697" t="s">
        <v>2430</v>
      </c>
      <c r="P30" s="4495">
        <v>1</v>
      </c>
      <c r="Q30" s="4496">
        <f>+U30+U31+U32+U33+U34</f>
        <v>91585083</v>
      </c>
      <c r="R30" s="3134" t="s">
        <v>2431</v>
      </c>
      <c r="S30" s="3769" t="s">
        <v>2432</v>
      </c>
      <c r="T30" s="3907" t="s">
        <v>2424</v>
      </c>
      <c r="U30" s="4497">
        <v>30633333</v>
      </c>
      <c r="V30" s="4468">
        <v>30633333</v>
      </c>
      <c r="W30" s="4468">
        <v>30633333</v>
      </c>
      <c r="X30" s="4458">
        <v>3</v>
      </c>
      <c r="Y30" s="4498" t="s">
        <v>2384</v>
      </c>
      <c r="Z30" s="4499">
        <v>3380</v>
      </c>
      <c r="AA30" s="4499">
        <v>957</v>
      </c>
      <c r="AB30" s="4499">
        <v>460</v>
      </c>
      <c r="AC30" s="4499">
        <v>37</v>
      </c>
      <c r="AD30" s="4499">
        <v>0</v>
      </c>
      <c r="AE30" s="4499">
        <v>37</v>
      </c>
      <c r="AF30" s="4499">
        <v>0</v>
      </c>
      <c r="AG30" s="4499">
        <v>88</v>
      </c>
      <c r="AH30" s="4499">
        <v>3840</v>
      </c>
      <c r="AI30" s="4499">
        <v>707</v>
      </c>
      <c r="AJ30" s="4499">
        <v>0</v>
      </c>
      <c r="AK30" s="4499">
        <v>162</v>
      </c>
      <c r="AL30" s="4499">
        <v>0</v>
      </c>
      <c r="AM30" s="4499"/>
      <c r="AN30" s="4499">
        <v>0</v>
      </c>
      <c r="AO30" s="4499"/>
      <c r="AP30" s="4499">
        <v>0</v>
      </c>
      <c r="AQ30" s="4499"/>
      <c r="AR30" s="4499">
        <v>0</v>
      </c>
      <c r="AS30" s="4499"/>
      <c r="AT30" s="4499">
        <v>0</v>
      </c>
      <c r="AU30" s="4499"/>
      <c r="AV30" s="4499">
        <v>0</v>
      </c>
      <c r="AW30" s="4499"/>
      <c r="AX30" s="4499">
        <v>0</v>
      </c>
      <c r="AY30" s="4499"/>
      <c r="AZ30" s="4499">
        <v>0</v>
      </c>
      <c r="BA30" s="4499"/>
      <c r="BB30" s="4499">
        <v>0</v>
      </c>
      <c r="BC30" s="4499"/>
      <c r="BD30" s="4499">
        <f>+Z30+AB30+AD30+AF30+AH30+AJ30</f>
        <v>7680</v>
      </c>
      <c r="BE30" s="4499">
        <f>+AA30+AC30+AE30+AG30+AI30+AK30</f>
        <v>1988</v>
      </c>
      <c r="BF30" s="4499">
        <v>16</v>
      </c>
      <c r="BG30" s="3988">
        <f>+V30+V34</f>
        <v>57090908</v>
      </c>
      <c r="BH30" s="3988">
        <f>+W30</f>
        <v>30633333</v>
      </c>
      <c r="BI30" s="4500">
        <f>+(BG30)/(U30+U31+U32+U33+U34)</f>
        <v>0.62336470230637886</v>
      </c>
      <c r="BJ30" s="4498" t="s">
        <v>2384</v>
      </c>
      <c r="BK30" s="3160" t="s">
        <v>2433</v>
      </c>
      <c r="BL30" s="4501">
        <v>43832</v>
      </c>
      <c r="BM30" s="4475">
        <v>43862</v>
      </c>
      <c r="BN30" s="4501">
        <v>44195</v>
      </c>
      <c r="BO30" s="4475">
        <v>44195</v>
      </c>
      <c r="BP30" s="4502" t="s">
        <v>2374</v>
      </c>
    </row>
    <row r="31" spans="1:76" s="1601" customFormat="1" ht="58.5" customHeight="1" x14ac:dyDescent="0.25">
      <c r="A31" s="615"/>
      <c r="B31" s="1517"/>
      <c r="C31" s="1523"/>
      <c r="D31" s="1517"/>
      <c r="E31" s="1517"/>
      <c r="F31" s="1517"/>
      <c r="G31" s="3550"/>
      <c r="H31" s="3637"/>
      <c r="I31" s="4503"/>
      <c r="J31" s="4035"/>
      <c r="K31" s="4492"/>
      <c r="L31" s="4504"/>
      <c r="M31" s="4392" t="s">
        <v>2434</v>
      </c>
      <c r="N31" s="4505"/>
      <c r="O31" s="3670"/>
      <c r="P31" s="4495"/>
      <c r="Q31" s="4496"/>
      <c r="R31" s="3134"/>
      <c r="S31" s="3769"/>
      <c r="T31" s="3907"/>
      <c r="U31" s="4470">
        <v>18733896</v>
      </c>
      <c r="V31" s="4468">
        <v>0</v>
      </c>
      <c r="W31" s="4468">
        <v>0</v>
      </c>
      <c r="X31" s="4458">
        <v>15</v>
      </c>
      <c r="Y31" s="4459" t="s">
        <v>2435</v>
      </c>
      <c r="Z31" s="4499"/>
      <c r="AA31" s="4499"/>
      <c r="AB31" s="4499"/>
      <c r="AC31" s="4499"/>
      <c r="AD31" s="4499"/>
      <c r="AE31" s="4499"/>
      <c r="AF31" s="4499"/>
      <c r="AG31" s="4499"/>
      <c r="AH31" s="4499"/>
      <c r="AI31" s="4499"/>
      <c r="AJ31" s="4499"/>
      <c r="AK31" s="4499"/>
      <c r="AL31" s="4499"/>
      <c r="AM31" s="4499"/>
      <c r="AN31" s="4499"/>
      <c r="AO31" s="4499"/>
      <c r="AP31" s="4499"/>
      <c r="AQ31" s="4499"/>
      <c r="AR31" s="4499"/>
      <c r="AS31" s="4499"/>
      <c r="AT31" s="4499"/>
      <c r="AU31" s="4499"/>
      <c r="AV31" s="4499"/>
      <c r="AW31" s="4499"/>
      <c r="AX31" s="4499"/>
      <c r="AY31" s="4499"/>
      <c r="AZ31" s="4499"/>
      <c r="BA31" s="4499"/>
      <c r="BB31" s="4499"/>
      <c r="BC31" s="4499"/>
      <c r="BD31" s="4499"/>
      <c r="BE31" s="4499"/>
      <c r="BF31" s="4499"/>
      <c r="BG31" s="4499"/>
      <c r="BH31" s="4499"/>
      <c r="BI31" s="4506"/>
      <c r="BJ31" s="4459" t="s">
        <v>2435</v>
      </c>
      <c r="BK31" s="3161"/>
      <c r="BL31" s="4501"/>
      <c r="BM31" s="4501"/>
      <c r="BN31" s="4501"/>
      <c r="BO31" s="4501"/>
      <c r="BP31" s="4502"/>
    </row>
    <row r="32" spans="1:76" s="1601" customFormat="1" ht="81" customHeight="1" x14ac:dyDescent="0.25">
      <c r="A32" s="615"/>
      <c r="B32" s="1517"/>
      <c r="C32" s="1523"/>
      <c r="D32" s="1517"/>
      <c r="E32" s="1517"/>
      <c r="F32" s="1517"/>
      <c r="G32" s="3550"/>
      <c r="H32" s="3637"/>
      <c r="I32" s="4503"/>
      <c r="J32" s="4035"/>
      <c r="K32" s="4492"/>
      <c r="L32" s="4504"/>
      <c r="M32" s="2220" t="s">
        <v>2436</v>
      </c>
      <c r="N32" s="4505"/>
      <c r="O32" s="3670"/>
      <c r="P32" s="4495"/>
      <c r="Q32" s="4496"/>
      <c r="R32" s="3134"/>
      <c r="S32" s="3769"/>
      <c r="T32" s="3907"/>
      <c r="U32" s="4470">
        <v>62946</v>
      </c>
      <c r="V32" s="4468">
        <v>0</v>
      </c>
      <c r="W32" s="4468">
        <v>0</v>
      </c>
      <c r="X32" s="4458">
        <v>18</v>
      </c>
      <c r="Y32" s="4459" t="s">
        <v>2437</v>
      </c>
      <c r="Z32" s="4499"/>
      <c r="AA32" s="4499"/>
      <c r="AB32" s="4499"/>
      <c r="AC32" s="4499"/>
      <c r="AD32" s="4499"/>
      <c r="AE32" s="4499"/>
      <c r="AF32" s="4499"/>
      <c r="AG32" s="4499"/>
      <c r="AH32" s="4499"/>
      <c r="AI32" s="4499"/>
      <c r="AJ32" s="4499"/>
      <c r="AK32" s="4499"/>
      <c r="AL32" s="4499"/>
      <c r="AM32" s="4499"/>
      <c r="AN32" s="4499"/>
      <c r="AO32" s="4499"/>
      <c r="AP32" s="4499"/>
      <c r="AQ32" s="4499"/>
      <c r="AR32" s="4499"/>
      <c r="AS32" s="4499"/>
      <c r="AT32" s="4499"/>
      <c r="AU32" s="4499"/>
      <c r="AV32" s="4499"/>
      <c r="AW32" s="4499"/>
      <c r="AX32" s="4499"/>
      <c r="AY32" s="4499"/>
      <c r="AZ32" s="4499"/>
      <c r="BA32" s="4499"/>
      <c r="BB32" s="4499"/>
      <c r="BC32" s="4499"/>
      <c r="BD32" s="4499"/>
      <c r="BE32" s="4499"/>
      <c r="BF32" s="4499"/>
      <c r="BG32" s="4499"/>
      <c r="BH32" s="4499"/>
      <c r="BI32" s="4506"/>
      <c r="BJ32" s="4459" t="s">
        <v>2437</v>
      </c>
      <c r="BK32" s="3161"/>
      <c r="BL32" s="4501"/>
      <c r="BM32" s="4501"/>
      <c r="BN32" s="4501"/>
      <c r="BO32" s="4501"/>
      <c r="BP32" s="4502"/>
    </row>
    <row r="33" spans="1:68" s="1601" customFormat="1" ht="15.75" x14ac:dyDescent="0.25">
      <c r="A33" s="615"/>
      <c r="B33" s="1517"/>
      <c r="C33" s="1523"/>
      <c r="D33" s="1517"/>
      <c r="E33" s="1517"/>
      <c r="F33" s="1517"/>
      <c r="G33" s="3550"/>
      <c r="H33" s="3637"/>
      <c r="I33" s="4503"/>
      <c r="J33" s="4035"/>
      <c r="K33" s="4492"/>
      <c r="L33" s="4504"/>
      <c r="M33" s="2220" t="s">
        <v>2438</v>
      </c>
      <c r="N33" s="4505"/>
      <c r="O33" s="3670"/>
      <c r="P33" s="4495"/>
      <c r="Q33" s="4496"/>
      <c r="R33" s="3134"/>
      <c r="S33" s="3769"/>
      <c r="T33" s="3907"/>
      <c r="U33" s="4470">
        <v>359648</v>
      </c>
      <c r="V33" s="4468">
        <v>0</v>
      </c>
      <c r="W33" s="4468">
        <v>0</v>
      </c>
      <c r="X33" s="4458">
        <v>4</v>
      </c>
      <c r="Y33" s="4459" t="s">
        <v>2400</v>
      </c>
      <c r="Z33" s="4499"/>
      <c r="AA33" s="4499"/>
      <c r="AB33" s="4499"/>
      <c r="AC33" s="4499"/>
      <c r="AD33" s="4499"/>
      <c r="AE33" s="4499"/>
      <c r="AF33" s="4499"/>
      <c r="AG33" s="4499"/>
      <c r="AH33" s="4499"/>
      <c r="AI33" s="4499"/>
      <c r="AJ33" s="4499"/>
      <c r="AK33" s="4499"/>
      <c r="AL33" s="4499"/>
      <c r="AM33" s="4499"/>
      <c r="AN33" s="4499"/>
      <c r="AO33" s="4499"/>
      <c r="AP33" s="4499"/>
      <c r="AQ33" s="4499"/>
      <c r="AR33" s="4499"/>
      <c r="AS33" s="4499"/>
      <c r="AT33" s="4499"/>
      <c r="AU33" s="4499"/>
      <c r="AV33" s="4499"/>
      <c r="AW33" s="4499"/>
      <c r="AX33" s="4499"/>
      <c r="AY33" s="4499"/>
      <c r="AZ33" s="4499"/>
      <c r="BA33" s="4499"/>
      <c r="BB33" s="4499"/>
      <c r="BC33" s="4499"/>
      <c r="BD33" s="4499"/>
      <c r="BE33" s="4499"/>
      <c r="BF33" s="4499"/>
      <c r="BG33" s="4499"/>
      <c r="BH33" s="4499"/>
      <c r="BI33" s="4506"/>
      <c r="BJ33" s="4459" t="s">
        <v>2400</v>
      </c>
      <c r="BK33" s="3161"/>
      <c r="BL33" s="4501"/>
      <c r="BM33" s="4501"/>
      <c r="BN33" s="4501"/>
      <c r="BO33" s="4501"/>
      <c r="BP33" s="4502"/>
    </row>
    <row r="34" spans="1:68" s="1601" customFormat="1" ht="30" x14ac:dyDescent="0.25">
      <c r="A34" s="615"/>
      <c r="B34" s="1517"/>
      <c r="C34" s="1523"/>
      <c r="D34" s="1517"/>
      <c r="E34" s="1517"/>
      <c r="F34" s="1517"/>
      <c r="G34" s="3550"/>
      <c r="H34" s="3637"/>
      <c r="I34" s="4503"/>
      <c r="J34" s="4035"/>
      <c r="K34" s="4492"/>
      <c r="L34" s="4507"/>
      <c r="M34" s="2220" t="s">
        <v>2439</v>
      </c>
      <c r="N34" s="4505"/>
      <c r="O34" s="3670"/>
      <c r="P34" s="4495"/>
      <c r="Q34" s="4496"/>
      <c r="R34" s="3135"/>
      <c r="S34" s="3137"/>
      <c r="T34" s="3062"/>
      <c r="U34" s="4470">
        <v>41795260</v>
      </c>
      <c r="V34" s="4301">
        <v>26457575</v>
      </c>
      <c r="W34" s="4468">
        <v>0</v>
      </c>
      <c r="X34" s="4458">
        <v>6</v>
      </c>
      <c r="Y34" s="4459" t="s">
        <v>2440</v>
      </c>
      <c r="Z34" s="3989"/>
      <c r="AA34" s="3989"/>
      <c r="AB34" s="3989"/>
      <c r="AC34" s="3989"/>
      <c r="AD34" s="3989"/>
      <c r="AE34" s="3989"/>
      <c r="AF34" s="3989"/>
      <c r="AG34" s="3989"/>
      <c r="AH34" s="3989"/>
      <c r="AI34" s="3989"/>
      <c r="AJ34" s="3989"/>
      <c r="AK34" s="3989"/>
      <c r="AL34" s="3989"/>
      <c r="AM34" s="3989"/>
      <c r="AN34" s="3989"/>
      <c r="AO34" s="3989"/>
      <c r="AP34" s="3989"/>
      <c r="AQ34" s="3989"/>
      <c r="AR34" s="3989"/>
      <c r="AS34" s="3989"/>
      <c r="AT34" s="3989"/>
      <c r="AU34" s="3989"/>
      <c r="AV34" s="3989"/>
      <c r="AW34" s="3989"/>
      <c r="AX34" s="3989"/>
      <c r="AY34" s="3989"/>
      <c r="AZ34" s="3989"/>
      <c r="BA34" s="3989"/>
      <c r="BB34" s="3989"/>
      <c r="BC34" s="3989"/>
      <c r="BD34" s="3989"/>
      <c r="BE34" s="3989"/>
      <c r="BF34" s="3989"/>
      <c r="BG34" s="3989"/>
      <c r="BH34" s="3989"/>
      <c r="BI34" s="4508"/>
      <c r="BJ34" s="4459" t="s">
        <v>2440</v>
      </c>
      <c r="BK34" s="3994"/>
      <c r="BL34" s="4509"/>
      <c r="BM34" s="4509"/>
      <c r="BN34" s="4509"/>
      <c r="BO34" s="4509"/>
      <c r="BP34" s="4510"/>
    </row>
    <row r="35" spans="1:68" s="4401" customFormat="1" ht="46.5" customHeight="1" x14ac:dyDescent="0.25">
      <c r="A35" s="4402"/>
      <c r="B35" s="1940"/>
      <c r="C35" s="4403"/>
      <c r="D35" s="1940"/>
      <c r="E35" s="1940"/>
      <c r="F35" s="1940"/>
      <c r="G35" s="2566"/>
      <c r="H35" s="4382" t="s">
        <v>2378</v>
      </c>
      <c r="I35" s="2453" t="s">
        <v>2379</v>
      </c>
      <c r="J35" s="2914" t="s">
        <v>2380</v>
      </c>
      <c r="K35" s="3451">
        <v>12</v>
      </c>
      <c r="L35" s="3451">
        <v>10</v>
      </c>
      <c r="M35" s="2208" t="s">
        <v>2441</v>
      </c>
      <c r="N35" s="4511" t="s">
        <v>2442</v>
      </c>
      <c r="O35" s="4512" t="s">
        <v>2443</v>
      </c>
      <c r="P35" s="4513">
        <f>+(U35+U36+U37+U38+U39+U40+U41+U42+U43+U44+U45+U46+U47+U48)/Q35</f>
        <v>0.40713817359217336</v>
      </c>
      <c r="Q35" s="4514">
        <f>+U35+U36+U37+U38+U39+U40+U41+U42+U43++U44+U45+U46+U47+U48+U49+U50+U51+U52+U53+U54+U55+U56+U57</f>
        <v>2323713601.7799997</v>
      </c>
      <c r="R35" s="2464" t="s">
        <v>2444</v>
      </c>
      <c r="S35" s="3458" t="s">
        <v>2445</v>
      </c>
      <c r="T35" s="2453" t="s">
        <v>2379</v>
      </c>
      <c r="U35" s="4436">
        <v>79000000</v>
      </c>
      <c r="V35" s="4437">
        <v>0</v>
      </c>
      <c r="W35" s="4437">
        <v>0</v>
      </c>
      <c r="X35" s="4438">
        <v>12</v>
      </c>
      <c r="Y35" s="4515" t="s">
        <v>631</v>
      </c>
      <c r="Z35" s="4516"/>
      <c r="AA35" s="4516">
        <v>1735</v>
      </c>
      <c r="AB35" s="4516"/>
      <c r="AC35" s="4516">
        <v>812</v>
      </c>
      <c r="AD35" s="4516"/>
      <c r="AE35" s="4516">
        <v>878</v>
      </c>
      <c r="AF35" s="4516"/>
      <c r="AG35" s="4516">
        <v>178</v>
      </c>
      <c r="AH35" s="4516"/>
      <c r="AI35" s="4516">
        <v>1040</v>
      </c>
      <c r="AJ35" s="4516"/>
      <c r="AK35" s="4516">
        <v>451</v>
      </c>
      <c r="AL35" s="4516"/>
      <c r="AM35" s="4516"/>
      <c r="AN35" s="4516"/>
      <c r="AO35" s="4516">
        <v>13</v>
      </c>
      <c r="AP35" s="4516"/>
      <c r="AQ35" s="4516"/>
      <c r="AR35" s="4516"/>
      <c r="AS35" s="4516"/>
      <c r="AT35" s="4516"/>
      <c r="AU35" s="4516"/>
      <c r="AV35" s="4516"/>
      <c r="AW35" s="4516"/>
      <c r="AX35" s="4516"/>
      <c r="AY35" s="4516"/>
      <c r="AZ35" s="4516"/>
      <c r="BA35" s="4516"/>
      <c r="BB35" s="4516"/>
      <c r="BC35" s="4516"/>
      <c r="BD35" s="4516"/>
      <c r="BE35" s="4516">
        <f>+AA35+AC35+AE35+AG35+AI35+AK35+AO35</f>
        <v>5107</v>
      </c>
      <c r="BF35" s="4516">
        <v>60</v>
      </c>
      <c r="BG35" s="4516">
        <f>+V38+V40+V44+V53+V54+V45+V57</f>
        <v>818392558.63</v>
      </c>
      <c r="BH35" s="4516">
        <f>+W38+W40+W44+W45+W53+W54</f>
        <v>467616649.63</v>
      </c>
      <c r="BI35" s="4517">
        <f>+(BH35)/(U35+U36+U37+U38+U39+U40+U41+U42+U43+U44+U45+U46+U47+U48+U49+U50+U51)</f>
        <v>0.36601087094868484</v>
      </c>
      <c r="BJ35" s="4515" t="s">
        <v>631</v>
      </c>
      <c r="BK35" s="3226" t="s">
        <v>2446</v>
      </c>
      <c r="BL35" s="3401">
        <v>43832</v>
      </c>
      <c r="BM35" s="3401">
        <v>43862</v>
      </c>
      <c r="BN35" s="3401">
        <v>44195</v>
      </c>
      <c r="BO35" s="3401">
        <v>44195</v>
      </c>
      <c r="BP35" s="3226" t="s">
        <v>2374</v>
      </c>
    </row>
    <row r="36" spans="1:68" s="4401" customFormat="1" ht="46.5" customHeight="1" x14ac:dyDescent="0.25">
      <c r="A36" s="4402"/>
      <c r="B36" s="1940"/>
      <c r="C36" s="4403"/>
      <c r="D36" s="1940"/>
      <c r="E36" s="1940"/>
      <c r="F36" s="1940"/>
      <c r="G36" s="2567"/>
      <c r="H36" s="4406"/>
      <c r="I36" s="2453"/>
      <c r="J36" s="2914"/>
      <c r="K36" s="3451"/>
      <c r="L36" s="3451"/>
      <c r="M36" s="2208" t="s">
        <v>2447</v>
      </c>
      <c r="N36" s="4511"/>
      <c r="O36" s="4512"/>
      <c r="P36" s="4513"/>
      <c r="Q36" s="4514"/>
      <c r="R36" s="2464"/>
      <c r="S36" s="4518"/>
      <c r="T36" s="2453"/>
      <c r="U36" s="4436">
        <v>53119520</v>
      </c>
      <c r="V36" s="4437">
        <v>0</v>
      </c>
      <c r="W36" s="4437">
        <v>0</v>
      </c>
      <c r="X36" s="4438">
        <v>3</v>
      </c>
      <c r="Y36" s="4515" t="s">
        <v>2384</v>
      </c>
      <c r="Z36" s="4516"/>
      <c r="AA36" s="4516"/>
      <c r="AB36" s="4516"/>
      <c r="AC36" s="4516"/>
      <c r="AD36" s="4516"/>
      <c r="AE36" s="4516"/>
      <c r="AF36" s="4516"/>
      <c r="AG36" s="4516"/>
      <c r="AH36" s="4516"/>
      <c r="AI36" s="4516"/>
      <c r="AJ36" s="4516"/>
      <c r="AK36" s="4516"/>
      <c r="AL36" s="4516"/>
      <c r="AM36" s="4516"/>
      <c r="AN36" s="4516"/>
      <c r="AO36" s="4516"/>
      <c r="AP36" s="4516"/>
      <c r="AQ36" s="4516"/>
      <c r="AR36" s="4516"/>
      <c r="AS36" s="4516"/>
      <c r="AT36" s="4516"/>
      <c r="AU36" s="4516"/>
      <c r="AV36" s="4516"/>
      <c r="AW36" s="4516"/>
      <c r="AX36" s="4516"/>
      <c r="AY36" s="4516"/>
      <c r="AZ36" s="4516"/>
      <c r="BA36" s="4516"/>
      <c r="BB36" s="4516"/>
      <c r="BC36" s="4516"/>
      <c r="BD36" s="4516"/>
      <c r="BE36" s="4516"/>
      <c r="BF36" s="4516"/>
      <c r="BG36" s="4516"/>
      <c r="BH36" s="4516"/>
      <c r="BI36" s="4517"/>
      <c r="BJ36" s="4515" t="s">
        <v>2384</v>
      </c>
      <c r="BK36" s="3226"/>
      <c r="BL36" s="3355"/>
      <c r="BM36" s="3355"/>
      <c r="BN36" s="3355"/>
      <c r="BO36" s="3355"/>
      <c r="BP36" s="3226"/>
    </row>
    <row r="37" spans="1:68" s="4401" customFormat="1" ht="46.5" customHeight="1" x14ac:dyDescent="0.25">
      <c r="A37" s="4402"/>
      <c r="B37" s="1940"/>
      <c r="C37" s="4403"/>
      <c r="D37" s="1940"/>
      <c r="E37" s="1940"/>
      <c r="F37" s="1940"/>
      <c r="G37" s="2567"/>
      <c r="H37" s="4406"/>
      <c r="I37" s="2453"/>
      <c r="J37" s="2914"/>
      <c r="K37" s="3451"/>
      <c r="L37" s="3451"/>
      <c r="M37" s="2208" t="s">
        <v>2448</v>
      </c>
      <c r="N37" s="4511"/>
      <c r="O37" s="4512"/>
      <c r="P37" s="4513"/>
      <c r="Q37" s="4514"/>
      <c r="R37" s="2464"/>
      <c r="S37" s="4518"/>
      <c r="T37" s="2453"/>
      <c r="U37" s="4436">
        <v>37040000</v>
      </c>
      <c r="V37" s="4437">
        <v>0</v>
      </c>
      <c r="W37" s="4437">
        <v>0</v>
      </c>
      <c r="X37" s="4438">
        <v>4</v>
      </c>
      <c r="Y37" s="4519" t="s">
        <v>2400</v>
      </c>
      <c r="Z37" s="4516"/>
      <c r="AA37" s="4516"/>
      <c r="AB37" s="4516"/>
      <c r="AC37" s="4516"/>
      <c r="AD37" s="4516"/>
      <c r="AE37" s="4516"/>
      <c r="AF37" s="4516"/>
      <c r="AG37" s="4516"/>
      <c r="AH37" s="4516"/>
      <c r="AI37" s="4516"/>
      <c r="AJ37" s="4516"/>
      <c r="AK37" s="4516"/>
      <c r="AL37" s="4516"/>
      <c r="AM37" s="4516"/>
      <c r="AN37" s="4516"/>
      <c r="AO37" s="4516"/>
      <c r="AP37" s="4516"/>
      <c r="AQ37" s="4516"/>
      <c r="AR37" s="4516"/>
      <c r="AS37" s="4516"/>
      <c r="AT37" s="4516"/>
      <c r="AU37" s="4516"/>
      <c r="AV37" s="4516"/>
      <c r="AW37" s="4516"/>
      <c r="AX37" s="4516"/>
      <c r="AY37" s="4516"/>
      <c r="AZ37" s="4516"/>
      <c r="BA37" s="4516"/>
      <c r="BB37" s="4516"/>
      <c r="BC37" s="4516"/>
      <c r="BD37" s="4516"/>
      <c r="BE37" s="4516"/>
      <c r="BF37" s="4516"/>
      <c r="BG37" s="4516"/>
      <c r="BH37" s="4516"/>
      <c r="BI37" s="4517"/>
      <c r="BJ37" s="4519" t="s">
        <v>2400</v>
      </c>
      <c r="BK37" s="3226"/>
      <c r="BL37" s="3355"/>
      <c r="BM37" s="3355"/>
      <c r="BN37" s="3355"/>
      <c r="BO37" s="3355"/>
      <c r="BP37" s="3226"/>
    </row>
    <row r="38" spans="1:68" s="4401" customFormat="1" ht="46.5" customHeight="1" x14ac:dyDescent="0.25">
      <c r="A38" s="4402"/>
      <c r="B38" s="1940"/>
      <c r="C38" s="4403"/>
      <c r="D38" s="1940"/>
      <c r="E38" s="1940"/>
      <c r="F38" s="1940"/>
      <c r="G38" s="2567"/>
      <c r="H38" s="4406"/>
      <c r="I38" s="2453"/>
      <c r="J38" s="2914"/>
      <c r="K38" s="3451"/>
      <c r="L38" s="3451"/>
      <c r="M38" s="2208" t="s">
        <v>2449</v>
      </c>
      <c r="N38" s="4511"/>
      <c r="O38" s="4512"/>
      <c r="P38" s="4513"/>
      <c r="Q38" s="4514"/>
      <c r="R38" s="2464"/>
      <c r="S38" s="4518"/>
      <c r="T38" s="2453"/>
      <c r="U38" s="4436">
        <v>383864742</v>
      </c>
      <c r="V38" s="4437">
        <v>244381581</v>
      </c>
      <c r="W38" s="4437">
        <v>8667667</v>
      </c>
      <c r="X38" s="4438">
        <v>7</v>
      </c>
      <c r="Y38" s="4515" t="s">
        <v>2450</v>
      </c>
      <c r="Z38" s="4516"/>
      <c r="AA38" s="4516"/>
      <c r="AB38" s="4516"/>
      <c r="AC38" s="4516"/>
      <c r="AD38" s="4516"/>
      <c r="AE38" s="4516"/>
      <c r="AF38" s="4516"/>
      <c r="AG38" s="4516"/>
      <c r="AH38" s="4516"/>
      <c r="AI38" s="4516"/>
      <c r="AJ38" s="4516"/>
      <c r="AK38" s="4516"/>
      <c r="AL38" s="4516"/>
      <c r="AM38" s="4516"/>
      <c r="AN38" s="4516"/>
      <c r="AO38" s="4516"/>
      <c r="AP38" s="4516"/>
      <c r="AQ38" s="4516"/>
      <c r="AR38" s="4516"/>
      <c r="AS38" s="4516"/>
      <c r="AT38" s="4516"/>
      <c r="AU38" s="4516"/>
      <c r="AV38" s="4516"/>
      <c r="AW38" s="4516"/>
      <c r="AX38" s="4516"/>
      <c r="AY38" s="4516"/>
      <c r="AZ38" s="4516"/>
      <c r="BA38" s="4516"/>
      <c r="BB38" s="4516"/>
      <c r="BC38" s="4516"/>
      <c r="BD38" s="4516"/>
      <c r="BE38" s="4516"/>
      <c r="BF38" s="4516"/>
      <c r="BG38" s="4516"/>
      <c r="BH38" s="4516"/>
      <c r="BI38" s="4517"/>
      <c r="BJ38" s="4515" t="s">
        <v>2450</v>
      </c>
      <c r="BK38" s="3226"/>
      <c r="BL38" s="3355"/>
      <c r="BM38" s="3355"/>
      <c r="BN38" s="3355"/>
      <c r="BO38" s="3355"/>
      <c r="BP38" s="3226"/>
    </row>
    <row r="39" spans="1:68" s="4401" customFormat="1" ht="46.5" customHeight="1" x14ac:dyDescent="0.25">
      <c r="A39" s="4402"/>
      <c r="B39" s="1940"/>
      <c r="C39" s="4403"/>
      <c r="D39" s="1940"/>
      <c r="E39" s="1940"/>
      <c r="F39" s="1940"/>
      <c r="G39" s="2567"/>
      <c r="H39" s="4406"/>
      <c r="I39" s="2453"/>
      <c r="J39" s="2914"/>
      <c r="K39" s="3451"/>
      <c r="L39" s="3451"/>
      <c r="M39" s="2225" t="s">
        <v>2451</v>
      </c>
      <c r="N39" s="4511"/>
      <c r="O39" s="4512"/>
      <c r="P39" s="4513"/>
      <c r="Q39" s="4514"/>
      <c r="R39" s="2464"/>
      <c r="S39" s="4518"/>
      <c r="T39" s="2453"/>
      <c r="U39" s="4436">
        <v>30000000</v>
      </c>
      <c r="V39" s="4437">
        <v>0</v>
      </c>
      <c r="W39" s="4437">
        <v>0</v>
      </c>
      <c r="X39" s="4438">
        <v>9</v>
      </c>
      <c r="Y39" s="4439" t="s">
        <v>2452</v>
      </c>
      <c r="Z39" s="4516"/>
      <c r="AA39" s="4516"/>
      <c r="AB39" s="4516"/>
      <c r="AC39" s="4516"/>
      <c r="AD39" s="4516"/>
      <c r="AE39" s="4516"/>
      <c r="AF39" s="4516"/>
      <c r="AG39" s="4516"/>
      <c r="AH39" s="4516"/>
      <c r="AI39" s="4516"/>
      <c r="AJ39" s="4516"/>
      <c r="AK39" s="4516"/>
      <c r="AL39" s="4516"/>
      <c r="AM39" s="4516"/>
      <c r="AN39" s="4516"/>
      <c r="AO39" s="4516"/>
      <c r="AP39" s="4516"/>
      <c r="AQ39" s="4516"/>
      <c r="AR39" s="4516"/>
      <c r="AS39" s="4516"/>
      <c r="AT39" s="4516"/>
      <c r="AU39" s="4516"/>
      <c r="AV39" s="4516"/>
      <c r="AW39" s="4516"/>
      <c r="AX39" s="4516"/>
      <c r="AY39" s="4516"/>
      <c r="AZ39" s="4516"/>
      <c r="BA39" s="4516"/>
      <c r="BB39" s="4516"/>
      <c r="BC39" s="4516"/>
      <c r="BD39" s="4516"/>
      <c r="BE39" s="4516"/>
      <c r="BF39" s="4516"/>
      <c r="BG39" s="4516"/>
      <c r="BH39" s="4516"/>
      <c r="BI39" s="4517"/>
      <c r="BJ39" s="4439" t="s">
        <v>2452</v>
      </c>
      <c r="BK39" s="3226"/>
      <c r="BL39" s="3355"/>
      <c r="BM39" s="3355"/>
      <c r="BN39" s="3355"/>
      <c r="BO39" s="3355"/>
      <c r="BP39" s="3226"/>
    </row>
    <row r="40" spans="1:68" s="4401" customFormat="1" ht="36.75" customHeight="1" x14ac:dyDescent="0.25">
      <c r="A40" s="4402"/>
      <c r="B40" s="1940"/>
      <c r="C40" s="4403"/>
      <c r="D40" s="1940"/>
      <c r="E40" s="1940"/>
      <c r="F40" s="1940"/>
      <c r="G40" s="2567"/>
      <c r="H40" s="4406"/>
      <c r="I40" s="2453"/>
      <c r="J40" s="2914"/>
      <c r="K40" s="3451"/>
      <c r="L40" s="3451"/>
      <c r="M40" s="2225" t="s">
        <v>2453</v>
      </c>
      <c r="N40" s="4511"/>
      <c r="O40" s="4512"/>
      <c r="P40" s="4513"/>
      <c r="Q40" s="4514"/>
      <c r="R40" s="2464"/>
      <c r="S40" s="4518"/>
      <c r="T40" s="2453"/>
      <c r="U40" s="4436">
        <v>58097994</v>
      </c>
      <c r="V40" s="4437">
        <v>14712112</v>
      </c>
      <c r="W40" s="4437">
        <v>2258000</v>
      </c>
      <c r="X40" s="4438">
        <v>12</v>
      </c>
      <c r="Y40" s="4439" t="s">
        <v>631</v>
      </c>
      <c r="Z40" s="4516"/>
      <c r="AA40" s="4516"/>
      <c r="AB40" s="4516"/>
      <c r="AC40" s="4516"/>
      <c r="AD40" s="4516"/>
      <c r="AE40" s="4516"/>
      <c r="AF40" s="4516"/>
      <c r="AG40" s="4516"/>
      <c r="AH40" s="4516"/>
      <c r="AI40" s="4516"/>
      <c r="AJ40" s="4516"/>
      <c r="AK40" s="4516"/>
      <c r="AL40" s="4516"/>
      <c r="AM40" s="4516"/>
      <c r="AN40" s="4516"/>
      <c r="AO40" s="4516"/>
      <c r="AP40" s="4516"/>
      <c r="AQ40" s="4516"/>
      <c r="AR40" s="4516"/>
      <c r="AS40" s="4516"/>
      <c r="AT40" s="4516"/>
      <c r="AU40" s="4516"/>
      <c r="AV40" s="4516"/>
      <c r="AW40" s="4516"/>
      <c r="AX40" s="4516"/>
      <c r="AY40" s="4516"/>
      <c r="AZ40" s="4516"/>
      <c r="BA40" s="4516"/>
      <c r="BB40" s="4516"/>
      <c r="BC40" s="4516"/>
      <c r="BD40" s="4516"/>
      <c r="BE40" s="4516"/>
      <c r="BF40" s="4516"/>
      <c r="BG40" s="4516"/>
      <c r="BH40" s="4516"/>
      <c r="BI40" s="4517"/>
      <c r="BJ40" s="4439" t="s">
        <v>631</v>
      </c>
      <c r="BK40" s="3226"/>
      <c r="BL40" s="3355"/>
      <c r="BM40" s="3355"/>
      <c r="BN40" s="3355"/>
      <c r="BO40" s="3355"/>
      <c r="BP40" s="3226"/>
    </row>
    <row r="41" spans="1:68" s="4401" customFormat="1" ht="46.5" customHeight="1" x14ac:dyDescent="0.25">
      <c r="A41" s="4402"/>
      <c r="B41" s="1940"/>
      <c r="C41" s="4403"/>
      <c r="D41" s="1940"/>
      <c r="E41" s="1940"/>
      <c r="F41" s="1940"/>
      <c r="G41" s="2567"/>
      <c r="H41" s="4406"/>
      <c r="I41" s="2453"/>
      <c r="J41" s="2914"/>
      <c r="K41" s="3451"/>
      <c r="L41" s="3451"/>
      <c r="M41" s="2225" t="s">
        <v>2454</v>
      </c>
      <c r="N41" s="4511"/>
      <c r="O41" s="4512"/>
      <c r="P41" s="4513"/>
      <c r="Q41" s="4514"/>
      <c r="R41" s="2464"/>
      <c r="S41" s="4518"/>
      <c r="T41" s="2453"/>
      <c r="U41" s="4436">
        <v>1440769.3</v>
      </c>
      <c r="V41" s="4437">
        <v>0</v>
      </c>
      <c r="W41" s="4437">
        <v>0</v>
      </c>
      <c r="X41" s="4438">
        <v>16</v>
      </c>
      <c r="Y41" s="4439" t="s">
        <v>2455</v>
      </c>
      <c r="Z41" s="4516"/>
      <c r="AA41" s="4516"/>
      <c r="AB41" s="4516"/>
      <c r="AC41" s="4516"/>
      <c r="AD41" s="4516"/>
      <c r="AE41" s="4516"/>
      <c r="AF41" s="4516"/>
      <c r="AG41" s="4516"/>
      <c r="AH41" s="4516"/>
      <c r="AI41" s="4516"/>
      <c r="AJ41" s="4516"/>
      <c r="AK41" s="4516"/>
      <c r="AL41" s="4516"/>
      <c r="AM41" s="4516"/>
      <c r="AN41" s="4516"/>
      <c r="AO41" s="4516"/>
      <c r="AP41" s="4516"/>
      <c r="AQ41" s="4516"/>
      <c r="AR41" s="4516"/>
      <c r="AS41" s="4516"/>
      <c r="AT41" s="4516"/>
      <c r="AU41" s="4516"/>
      <c r="AV41" s="4516"/>
      <c r="AW41" s="4516"/>
      <c r="AX41" s="4516"/>
      <c r="AY41" s="4516"/>
      <c r="AZ41" s="4516"/>
      <c r="BA41" s="4516"/>
      <c r="BB41" s="4516"/>
      <c r="BC41" s="4516"/>
      <c r="BD41" s="4516"/>
      <c r="BE41" s="4516"/>
      <c r="BF41" s="4516"/>
      <c r="BG41" s="4516"/>
      <c r="BH41" s="4516"/>
      <c r="BI41" s="4517"/>
      <c r="BJ41" s="4439" t="s">
        <v>2455</v>
      </c>
      <c r="BK41" s="3226"/>
      <c r="BL41" s="3355"/>
      <c r="BM41" s="3355"/>
      <c r="BN41" s="3355"/>
      <c r="BO41" s="3355"/>
      <c r="BP41" s="3226"/>
    </row>
    <row r="42" spans="1:68" s="4401" customFormat="1" ht="42" customHeight="1" x14ac:dyDescent="0.25">
      <c r="A42" s="4402"/>
      <c r="B42" s="1940"/>
      <c r="C42" s="4403"/>
      <c r="D42" s="1940"/>
      <c r="E42" s="1940"/>
      <c r="F42" s="1940"/>
      <c r="G42" s="2567"/>
      <c r="H42" s="4406"/>
      <c r="I42" s="2453"/>
      <c r="J42" s="2914"/>
      <c r="K42" s="3451"/>
      <c r="L42" s="3451"/>
      <c r="M42" s="2225" t="s">
        <v>2456</v>
      </c>
      <c r="N42" s="4511"/>
      <c r="O42" s="4512"/>
      <c r="P42" s="4513"/>
      <c r="Q42" s="4514"/>
      <c r="R42" s="2464"/>
      <c r="S42" s="4518"/>
      <c r="T42" s="2453"/>
      <c r="U42" s="4436">
        <v>4974259.8600000003</v>
      </c>
      <c r="V42" s="4437">
        <v>0</v>
      </c>
      <c r="W42" s="4437">
        <v>0</v>
      </c>
      <c r="X42" s="4438">
        <v>17</v>
      </c>
      <c r="Y42" s="4439" t="s">
        <v>2457</v>
      </c>
      <c r="Z42" s="4516"/>
      <c r="AA42" s="4516"/>
      <c r="AB42" s="4516"/>
      <c r="AC42" s="4516"/>
      <c r="AD42" s="4516"/>
      <c r="AE42" s="4516"/>
      <c r="AF42" s="4516"/>
      <c r="AG42" s="4516"/>
      <c r="AH42" s="4516"/>
      <c r="AI42" s="4516"/>
      <c r="AJ42" s="4516"/>
      <c r="AK42" s="4516"/>
      <c r="AL42" s="4516"/>
      <c r="AM42" s="4516"/>
      <c r="AN42" s="4516"/>
      <c r="AO42" s="4516"/>
      <c r="AP42" s="4516"/>
      <c r="AQ42" s="4516"/>
      <c r="AR42" s="4516"/>
      <c r="AS42" s="4516"/>
      <c r="AT42" s="4516"/>
      <c r="AU42" s="4516"/>
      <c r="AV42" s="4516"/>
      <c r="AW42" s="4516"/>
      <c r="AX42" s="4516"/>
      <c r="AY42" s="4516"/>
      <c r="AZ42" s="4516"/>
      <c r="BA42" s="4516"/>
      <c r="BB42" s="4516"/>
      <c r="BC42" s="4516"/>
      <c r="BD42" s="4516"/>
      <c r="BE42" s="4516"/>
      <c r="BF42" s="4516"/>
      <c r="BG42" s="4516"/>
      <c r="BH42" s="4516"/>
      <c r="BI42" s="4517"/>
      <c r="BJ42" s="4439" t="s">
        <v>2457</v>
      </c>
      <c r="BK42" s="3226"/>
      <c r="BL42" s="3355"/>
      <c r="BM42" s="3355"/>
      <c r="BN42" s="3355"/>
      <c r="BO42" s="3355"/>
      <c r="BP42" s="3226"/>
    </row>
    <row r="43" spans="1:68" s="4401" customFormat="1" ht="74.25" customHeight="1" x14ac:dyDescent="0.25">
      <c r="A43" s="4402"/>
      <c r="B43" s="1940"/>
      <c r="C43" s="4403"/>
      <c r="D43" s="1940"/>
      <c r="E43" s="1940"/>
      <c r="F43" s="1940"/>
      <c r="G43" s="2567"/>
      <c r="H43" s="4406"/>
      <c r="I43" s="2453"/>
      <c r="J43" s="2914"/>
      <c r="K43" s="3451"/>
      <c r="L43" s="3451"/>
      <c r="M43" s="2225" t="s">
        <v>2458</v>
      </c>
      <c r="N43" s="4511"/>
      <c r="O43" s="4512"/>
      <c r="P43" s="4513"/>
      <c r="Q43" s="4514"/>
      <c r="R43" s="2464"/>
      <c r="S43" s="4518"/>
      <c r="T43" s="2453"/>
      <c r="U43" s="4436">
        <v>10427870</v>
      </c>
      <c r="V43" s="4437">
        <v>0</v>
      </c>
      <c r="W43" s="4437">
        <v>0</v>
      </c>
      <c r="X43" s="4438">
        <v>18</v>
      </c>
      <c r="Y43" s="4439" t="s">
        <v>2457</v>
      </c>
      <c r="Z43" s="4516"/>
      <c r="AA43" s="4516"/>
      <c r="AB43" s="4516"/>
      <c r="AC43" s="4516"/>
      <c r="AD43" s="4516"/>
      <c r="AE43" s="4516"/>
      <c r="AF43" s="4516"/>
      <c r="AG43" s="4516"/>
      <c r="AH43" s="4516"/>
      <c r="AI43" s="4516"/>
      <c r="AJ43" s="4516"/>
      <c r="AK43" s="4516"/>
      <c r="AL43" s="4516"/>
      <c r="AM43" s="4516"/>
      <c r="AN43" s="4516"/>
      <c r="AO43" s="4516"/>
      <c r="AP43" s="4516"/>
      <c r="AQ43" s="4516"/>
      <c r="AR43" s="4516"/>
      <c r="AS43" s="4516"/>
      <c r="AT43" s="4516"/>
      <c r="AU43" s="4516"/>
      <c r="AV43" s="4516"/>
      <c r="AW43" s="4516"/>
      <c r="AX43" s="4516"/>
      <c r="AY43" s="4516"/>
      <c r="AZ43" s="4516"/>
      <c r="BA43" s="4516"/>
      <c r="BB43" s="4516"/>
      <c r="BC43" s="4516"/>
      <c r="BD43" s="4516"/>
      <c r="BE43" s="4516"/>
      <c r="BF43" s="4516"/>
      <c r="BG43" s="4516"/>
      <c r="BH43" s="4516"/>
      <c r="BI43" s="4517"/>
      <c r="BJ43" s="4439" t="s">
        <v>2457</v>
      </c>
      <c r="BK43" s="3226"/>
      <c r="BL43" s="3355"/>
      <c r="BM43" s="3355"/>
      <c r="BN43" s="3355"/>
      <c r="BO43" s="3355"/>
      <c r="BP43" s="3226"/>
    </row>
    <row r="44" spans="1:68" s="4401" customFormat="1" ht="44.25" customHeight="1" x14ac:dyDescent="0.25">
      <c r="A44" s="4402"/>
      <c r="B44" s="1940"/>
      <c r="C44" s="4403"/>
      <c r="D44" s="1940"/>
      <c r="E44" s="1940"/>
      <c r="F44" s="1940"/>
      <c r="G44" s="2567"/>
      <c r="H44" s="4406"/>
      <c r="I44" s="2453"/>
      <c r="J44" s="2914"/>
      <c r="K44" s="3451"/>
      <c r="L44" s="3451"/>
      <c r="M44" s="2225" t="s">
        <v>2459</v>
      </c>
      <c r="N44" s="4511"/>
      <c r="O44" s="4512"/>
      <c r="P44" s="4513"/>
      <c r="Q44" s="4514"/>
      <c r="R44" s="2464"/>
      <c r="S44" s="4518"/>
      <c r="T44" s="2453"/>
      <c r="U44" s="4436">
        <v>7527628.4199999999</v>
      </c>
      <c r="V44" s="4437">
        <v>7527628</v>
      </c>
      <c r="W44" s="4437">
        <v>481000</v>
      </c>
      <c r="X44" s="4438">
        <v>19</v>
      </c>
      <c r="Y44" s="4439" t="s">
        <v>2460</v>
      </c>
      <c r="Z44" s="4516"/>
      <c r="AA44" s="4516"/>
      <c r="AB44" s="4516"/>
      <c r="AC44" s="4516"/>
      <c r="AD44" s="4516"/>
      <c r="AE44" s="4516"/>
      <c r="AF44" s="4516"/>
      <c r="AG44" s="4516"/>
      <c r="AH44" s="4516"/>
      <c r="AI44" s="4516"/>
      <c r="AJ44" s="4516"/>
      <c r="AK44" s="4516"/>
      <c r="AL44" s="4516"/>
      <c r="AM44" s="4516"/>
      <c r="AN44" s="4516"/>
      <c r="AO44" s="4516"/>
      <c r="AP44" s="4516"/>
      <c r="AQ44" s="4516"/>
      <c r="AR44" s="4516"/>
      <c r="AS44" s="4516"/>
      <c r="AT44" s="4516"/>
      <c r="AU44" s="4516"/>
      <c r="AV44" s="4516"/>
      <c r="AW44" s="4516"/>
      <c r="AX44" s="4516"/>
      <c r="AY44" s="4516"/>
      <c r="AZ44" s="4516"/>
      <c r="BA44" s="4516"/>
      <c r="BB44" s="4516"/>
      <c r="BC44" s="4516"/>
      <c r="BD44" s="4516"/>
      <c r="BE44" s="4516"/>
      <c r="BF44" s="4516"/>
      <c r="BG44" s="4516"/>
      <c r="BH44" s="4516"/>
      <c r="BI44" s="4517"/>
      <c r="BJ44" s="4439" t="s">
        <v>2460</v>
      </c>
      <c r="BK44" s="3226"/>
      <c r="BL44" s="3355"/>
      <c r="BM44" s="3355"/>
      <c r="BN44" s="3355"/>
      <c r="BO44" s="3355"/>
      <c r="BP44" s="3226"/>
    </row>
    <row r="45" spans="1:68" s="4401" customFormat="1" ht="46.5" customHeight="1" x14ac:dyDescent="0.25">
      <c r="A45" s="4402"/>
      <c r="B45" s="1940"/>
      <c r="C45" s="4403"/>
      <c r="D45" s="1940"/>
      <c r="E45" s="1940"/>
      <c r="F45" s="1940"/>
      <c r="G45" s="2567"/>
      <c r="H45" s="4406"/>
      <c r="I45" s="2453"/>
      <c r="J45" s="2914"/>
      <c r="K45" s="3451"/>
      <c r="L45" s="3451"/>
      <c r="M45" s="2225" t="s">
        <v>2461</v>
      </c>
      <c r="N45" s="4511"/>
      <c r="O45" s="4512"/>
      <c r="P45" s="4513"/>
      <c r="Q45" s="4514"/>
      <c r="R45" s="2464"/>
      <c r="S45" s="4518"/>
      <c r="T45" s="2453"/>
      <c r="U45" s="4436">
        <v>2525593.2000000002</v>
      </c>
      <c r="V45" s="4437">
        <v>2525593</v>
      </c>
      <c r="W45" s="4437">
        <v>631000</v>
      </c>
      <c r="X45" s="4438">
        <v>20</v>
      </c>
      <c r="Y45" s="4439" t="s">
        <v>2462</v>
      </c>
      <c r="Z45" s="4516"/>
      <c r="AA45" s="4516"/>
      <c r="AB45" s="4516"/>
      <c r="AC45" s="4516"/>
      <c r="AD45" s="4516"/>
      <c r="AE45" s="4516"/>
      <c r="AF45" s="4516"/>
      <c r="AG45" s="4516"/>
      <c r="AH45" s="4516"/>
      <c r="AI45" s="4516"/>
      <c r="AJ45" s="4516"/>
      <c r="AK45" s="4516"/>
      <c r="AL45" s="4516"/>
      <c r="AM45" s="4516"/>
      <c r="AN45" s="4516"/>
      <c r="AO45" s="4516"/>
      <c r="AP45" s="4516"/>
      <c r="AQ45" s="4516"/>
      <c r="AR45" s="4516"/>
      <c r="AS45" s="4516"/>
      <c r="AT45" s="4516"/>
      <c r="AU45" s="4516"/>
      <c r="AV45" s="4516"/>
      <c r="AW45" s="4516"/>
      <c r="AX45" s="4516"/>
      <c r="AY45" s="4516"/>
      <c r="AZ45" s="4516"/>
      <c r="BA45" s="4516"/>
      <c r="BB45" s="4516"/>
      <c r="BC45" s="4516"/>
      <c r="BD45" s="4516"/>
      <c r="BE45" s="4516"/>
      <c r="BF45" s="4516"/>
      <c r="BG45" s="4516"/>
      <c r="BH45" s="4516"/>
      <c r="BI45" s="4517"/>
      <c r="BJ45" s="4439" t="s">
        <v>2462</v>
      </c>
      <c r="BK45" s="3226"/>
      <c r="BL45" s="3355"/>
      <c r="BM45" s="3355"/>
      <c r="BN45" s="3355"/>
      <c r="BO45" s="3355"/>
      <c r="BP45" s="3226"/>
    </row>
    <row r="46" spans="1:68" s="4401" customFormat="1" ht="46.5" customHeight="1" x14ac:dyDescent="0.25">
      <c r="A46" s="4402"/>
      <c r="B46" s="1940"/>
      <c r="C46" s="4403"/>
      <c r="D46" s="1940"/>
      <c r="E46" s="1940"/>
      <c r="F46" s="1940"/>
      <c r="G46" s="2567"/>
      <c r="H46" s="4406"/>
      <c r="I46" s="2453"/>
      <c r="J46" s="2914"/>
      <c r="K46" s="3451"/>
      <c r="L46" s="3451"/>
      <c r="M46" s="2225" t="s">
        <v>2463</v>
      </c>
      <c r="N46" s="4511"/>
      <c r="O46" s="4512"/>
      <c r="P46" s="4513"/>
      <c r="Q46" s="4514"/>
      <c r="R46" s="2464"/>
      <c r="S46" s="4518"/>
      <c r="T46" s="2453"/>
      <c r="U46" s="4436">
        <v>23454045</v>
      </c>
      <c r="V46" s="4437">
        <v>0</v>
      </c>
      <c r="W46" s="4437">
        <v>0</v>
      </c>
      <c r="X46" s="4438">
        <v>3</v>
      </c>
      <c r="Y46" s="4439" t="s">
        <v>2464</v>
      </c>
      <c r="Z46" s="4516"/>
      <c r="AA46" s="4516"/>
      <c r="AB46" s="4516"/>
      <c r="AC46" s="4516"/>
      <c r="AD46" s="4516"/>
      <c r="AE46" s="4516"/>
      <c r="AF46" s="4516"/>
      <c r="AG46" s="4516"/>
      <c r="AH46" s="4516"/>
      <c r="AI46" s="4516"/>
      <c r="AJ46" s="4516"/>
      <c r="AK46" s="4516"/>
      <c r="AL46" s="4516"/>
      <c r="AM46" s="4516"/>
      <c r="AN46" s="4516"/>
      <c r="AO46" s="4516"/>
      <c r="AP46" s="4516"/>
      <c r="AQ46" s="4516"/>
      <c r="AR46" s="4516"/>
      <c r="AS46" s="4516"/>
      <c r="AT46" s="4516"/>
      <c r="AU46" s="4516"/>
      <c r="AV46" s="4516"/>
      <c r="AW46" s="4516"/>
      <c r="AX46" s="4516"/>
      <c r="AY46" s="4516"/>
      <c r="AZ46" s="4516"/>
      <c r="BA46" s="4516"/>
      <c r="BB46" s="4516"/>
      <c r="BC46" s="4516"/>
      <c r="BD46" s="4516"/>
      <c r="BE46" s="4516"/>
      <c r="BF46" s="4516"/>
      <c r="BG46" s="4516"/>
      <c r="BH46" s="4516"/>
      <c r="BI46" s="4517"/>
      <c r="BJ46" s="4439" t="s">
        <v>2464</v>
      </c>
      <c r="BK46" s="3226"/>
      <c r="BL46" s="3355"/>
      <c r="BM46" s="3355"/>
      <c r="BN46" s="3355"/>
      <c r="BO46" s="3355"/>
      <c r="BP46" s="3226"/>
    </row>
    <row r="47" spans="1:68" s="4401" customFormat="1" ht="46.5" customHeight="1" x14ac:dyDescent="0.25">
      <c r="A47" s="4402"/>
      <c r="B47" s="1940"/>
      <c r="C47" s="4403"/>
      <c r="D47" s="1940"/>
      <c r="E47" s="1940"/>
      <c r="F47" s="1940"/>
      <c r="G47" s="2567"/>
      <c r="H47" s="4406"/>
      <c r="I47" s="2453"/>
      <c r="J47" s="2914"/>
      <c r="K47" s="3451"/>
      <c r="L47" s="3451"/>
      <c r="M47" s="2225" t="s">
        <v>2465</v>
      </c>
      <c r="N47" s="4511"/>
      <c r="O47" s="4512"/>
      <c r="P47" s="4513"/>
      <c r="Q47" s="4514"/>
      <c r="R47" s="2464"/>
      <c r="S47" s="4518"/>
      <c r="T47" s="2453"/>
      <c r="U47" s="4436">
        <v>38600090</v>
      </c>
      <c r="V47" s="4437">
        <v>0</v>
      </c>
      <c r="W47" s="4437">
        <v>0</v>
      </c>
      <c r="X47" s="4438">
        <v>4</v>
      </c>
      <c r="Y47" s="4439" t="s">
        <v>2400</v>
      </c>
      <c r="Z47" s="4516"/>
      <c r="AA47" s="4516"/>
      <c r="AB47" s="4516"/>
      <c r="AC47" s="4516"/>
      <c r="AD47" s="4516"/>
      <c r="AE47" s="4516"/>
      <c r="AF47" s="4516"/>
      <c r="AG47" s="4516"/>
      <c r="AH47" s="4516"/>
      <c r="AI47" s="4516"/>
      <c r="AJ47" s="4516"/>
      <c r="AK47" s="4516"/>
      <c r="AL47" s="4516"/>
      <c r="AM47" s="4516"/>
      <c r="AN47" s="4516"/>
      <c r="AO47" s="4516"/>
      <c r="AP47" s="4516"/>
      <c r="AQ47" s="4516"/>
      <c r="AR47" s="4516"/>
      <c r="AS47" s="4516"/>
      <c r="AT47" s="4516"/>
      <c r="AU47" s="4516"/>
      <c r="AV47" s="4516"/>
      <c r="AW47" s="4516"/>
      <c r="AX47" s="4516"/>
      <c r="AY47" s="4516"/>
      <c r="AZ47" s="4516"/>
      <c r="BA47" s="4516"/>
      <c r="BB47" s="4516"/>
      <c r="BC47" s="4516"/>
      <c r="BD47" s="4516"/>
      <c r="BE47" s="4516"/>
      <c r="BF47" s="4516"/>
      <c r="BG47" s="4516"/>
      <c r="BH47" s="4516"/>
      <c r="BI47" s="4517"/>
      <c r="BJ47" s="4439" t="s">
        <v>2400</v>
      </c>
      <c r="BK47" s="3226"/>
      <c r="BL47" s="3355"/>
      <c r="BM47" s="3355"/>
      <c r="BN47" s="3355"/>
      <c r="BO47" s="3355"/>
      <c r="BP47" s="3226"/>
    </row>
    <row r="48" spans="1:68" s="4401" customFormat="1" ht="46.5" customHeight="1" x14ac:dyDescent="0.25">
      <c r="A48" s="4402"/>
      <c r="B48" s="1940"/>
      <c r="C48" s="4403"/>
      <c r="D48" s="1940"/>
      <c r="E48" s="1940"/>
      <c r="F48" s="1940"/>
      <c r="G48" s="2567"/>
      <c r="H48" s="4406"/>
      <c r="I48" s="2453"/>
      <c r="J48" s="2914"/>
      <c r="K48" s="3451"/>
      <c r="L48" s="3451"/>
      <c r="M48" s="2225" t="s">
        <v>2466</v>
      </c>
      <c r="N48" s="4511"/>
      <c r="O48" s="4512"/>
      <c r="P48" s="4513"/>
      <c r="Q48" s="4514"/>
      <c r="R48" s="2464"/>
      <c r="S48" s="4518"/>
      <c r="T48" s="2453"/>
      <c r="U48" s="4436">
        <v>216000000</v>
      </c>
      <c r="V48" s="4437">
        <v>0</v>
      </c>
      <c r="W48" s="4437">
        <v>0</v>
      </c>
      <c r="X48" s="4438">
        <v>6</v>
      </c>
      <c r="Y48" s="4439" t="s">
        <v>2440</v>
      </c>
      <c r="Z48" s="4516"/>
      <c r="AA48" s="4516"/>
      <c r="AB48" s="4516"/>
      <c r="AC48" s="4516"/>
      <c r="AD48" s="4516"/>
      <c r="AE48" s="4516"/>
      <c r="AF48" s="4516"/>
      <c r="AG48" s="4516"/>
      <c r="AH48" s="4516"/>
      <c r="AI48" s="4516"/>
      <c r="AJ48" s="4516"/>
      <c r="AK48" s="4516"/>
      <c r="AL48" s="4516"/>
      <c r="AM48" s="4516"/>
      <c r="AN48" s="4516"/>
      <c r="AO48" s="4516"/>
      <c r="AP48" s="4516"/>
      <c r="AQ48" s="4516"/>
      <c r="AR48" s="4516"/>
      <c r="AS48" s="4516"/>
      <c r="AT48" s="4516"/>
      <c r="AU48" s="4516"/>
      <c r="AV48" s="4516"/>
      <c r="AW48" s="4516"/>
      <c r="AX48" s="4516"/>
      <c r="AY48" s="4516"/>
      <c r="AZ48" s="4516"/>
      <c r="BA48" s="4516"/>
      <c r="BB48" s="4516"/>
      <c r="BC48" s="4516"/>
      <c r="BD48" s="4516"/>
      <c r="BE48" s="4516"/>
      <c r="BF48" s="4516"/>
      <c r="BG48" s="4516"/>
      <c r="BH48" s="4516"/>
      <c r="BI48" s="4517"/>
      <c r="BJ48" s="4439" t="s">
        <v>2440</v>
      </c>
      <c r="BK48" s="3226"/>
      <c r="BL48" s="3355"/>
      <c r="BM48" s="3355"/>
      <c r="BN48" s="3355"/>
      <c r="BO48" s="3355"/>
      <c r="BP48" s="3226"/>
    </row>
    <row r="49" spans="1:68" s="4401" customFormat="1" ht="43.5" customHeight="1" x14ac:dyDescent="0.25">
      <c r="A49" s="4402"/>
      <c r="B49" s="1940"/>
      <c r="C49" s="4403"/>
      <c r="D49" s="1940"/>
      <c r="E49" s="1940"/>
      <c r="F49" s="1940"/>
      <c r="G49" s="2567"/>
      <c r="H49" s="4406"/>
      <c r="I49" s="2453"/>
      <c r="J49" s="2914" t="s">
        <v>2391</v>
      </c>
      <c r="K49" s="3451">
        <v>12</v>
      </c>
      <c r="L49" s="3451">
        <v>0</v>
      </c>
      <c r="M49" s="2225" t="s">
        <v>2467</v>
      </c>
      <c r="N49" s="4511"/>
      <c r="O49" s="4512"/>
      <c r="P49" s="4513">
        <f>+(U49+U50+U51)/Q35</f>
        <v>0.14267277161266453</v>
      </c>
      <c r="Q49" s="4514"/>
      <c r="R49" s="2464"/>
      <c r="S49" s="4518"/>
      <c r="T49" s="2453"/>
      <c r="U49" s="4520">
        <v>113000000</v>
      </c>
      <c r="V49" s="4437">
        <v>0</v>
      </c>
      <c r="W49" s="4437">
        <v>0</v>
      </c>
      <c r="X49" s="4438">
        <v>12</v>
      </c>
      <c r="Y49" s="4439" t="s">
        <v>631</v>
      </c>
      <c r="Z49" s="4516"/>
      <c r="AA49" s="4516"/>
      <c r="AB49" s="4516"/>
      <c r="AC49" s="4516"/>
      <c r="AD49" s="4516"/>
      <c r="AE49" s="4516"/>
      <c r="AF49" s="4516"/>
      <c r="AG49" s="4516"/>
      <c r="AH49" s="4516"/>
      <c r="AI49" s="4516"/>
      <c r="AJ49" s="4516"/>
      <c r="AK49" s="4516"/>
      <c r="AL49" s="4516"/>
      <c r="AM49" s="4516"/>
      <c r="AN49" s="4516"/>
      <c r="AO49" s="4516"/>
      <c r="AP49" s="4516"/>
      <c r="AQ49" s="4516"/>
      <c r="AR49" s="4516"/>
      <c r="AS49" s="4516"/>
      <c r="AT49" s="4516"/>
      <c r="AU49" s="4516"/>
      <c r="AV49" s="4516"/>
      <c r="AW49" s="4516"/>
      <c r="AX49" s="4516"/>
      <c r="AY49" s="4516"/>
      <c r="AZ49" s="4516"/>
      <c r="BA49" s="4516"/>
      <c r="BB49" s="4516"/>
      <c r="BC49" s="4516"/>
      <c r="BD49" s="4516"/>
      <c r="BE49" s="4516"/>
      <c r="BF49" s="4516"/>
      <c r="BG49" s="4516"/>
      <c r="BH49" s="4516"/>
      <c r="BI49" s="4517"/>
      <c r="BJ49" s="4439" t="s">
        <v>631</v>
      </c>
      <c r="BK49" s="3226"/>
      <c r="BL49" s="3355"/>
      <c r="BM49" s="3355"/>
      <c r="BN49" s="3355"/>
      <c r="BO49" s="3355"/>
      <c r="BP49" s="3226"/>
    </row>
    <row r="50" spans="1:68" s="4401" customFormat="1" ht="43.5" customHeight="1" x14ac:dyDescent="0.25">
      <c r="A50" s="4402"/>
      <c r="B50" s="1940"/>
      <c r="C50" s="4403"/>
      <c r="D50" s="1940"/>
      <c r="E50" s="1940"/>
      <c r="F50" s="1940"/>
      <c r="G50" s="2567"/>
      <c r="H50" s="4406"/>
      <c r="I50" s="2453"/>
      <c r="J50" s="2914"/>
      <c r="K50" s="3451"/>
      <c r="L50" s="3451"/>
      <c r="M50" s="2225" t="s">
        <v>2468</v>
      </c>
      <c r="N50" s="4511"/>
      <c r="O50" s="4512"/>
      <c r="P50" s="4513"/>
      <c r="Q50" s="4514"/>
      <c r="R50" s="2464"/>
      <c r="S50" s="4518"/>
      <c r="T50" s="2453"/>
      <c r="U50" s="4520">
        <v>77772574</v>
      </c>
      <c r="V50" s="4437">
        <v>0</v>
      </c>
      <c r="W50" s="4437">
        <v>0</v>
      </c>
      <c r="X50" s="4438">
        <v>4</v>
      </c>
      <c r="Y50" s="4439" t="s">
        <v>2400</v>
      </c>
      <c r="Z50" s="4516"/>
      <c r="AA50" s="4516"/>
      <c r="AB50" s="4516"/>
      <c r="AC50" s="4516"/>
      <c r="AD50" s="4516"/>
      <c r="AE50" s="4516"/>
      <c r="AF50" s="4516"/>
      <c r="AG50" s="4516"/>
      <c r="AH50" s="4516"/>
      <c r="AI50" s="4516"/>
      <c r="AJ50" s="4516"/>
      <c r="AK50" s="4516"/>
      <c r="AL50" s="4516"/>
      <c r="AM50" s="4516"/>
      <c r="AN50" s="4516"/>
      <c r="AO50" s="4516"/>
      <c r="AP50" s="4516"/>
      <c r="AQ50" s="4516"/>
      <c r="AR50" s="4516"/>
      <c r="AS50" s="4516"/>
      <c r="AT50" s="4516"/>
      <c r="AU50" s="4516"/>
      <c r="AV50" s="4516"/>
      <c r="AW50" s="4516"/>
      <c r="AX50" s="4516"/>
      <c r="AY50" s="4516"/>
      <c r="AZ50" s="4516"/>
      <c r="BA50" s="4516"/>
      <c r="BB50" s="4516"/>
      <c r="BC50" s="4516"/>
      <c r="BD50" s="4516"/>
      <c r="BE50" s="4516"/>
      <c r="BF50" s="4516"/>
      <c r="BG50" s="4516"/>
      <c r="BH50" s="4516"/>
      <c r="BI50" s="4517"/>
      <c r="BJ50" s="4439" t="s">
        <v>2400</v>
      </c>
      <c r="BK50" s="3226"/>
      <c r="BL50" s="3355"/>
      <c r="BM50" s="3355"/>
      <c r="BN50" s="3355"/>
      <c r="BO50" s="3355"/>
      <c r="BP50" s="3226"/>
    </row>
    <row r="51" spans="1:68" s="4401" customFormat="1" ht="36" customHeight="1" x14ac:dyDescent="0.25">
      <c r="A51" s="4402"/>
      <c r="B51" s="1940"/>
      <c r="C51" s="4403"/>
      <c r="D51" s="1940"/>
      <c r="E51" s="1940"/>
      <c r="F51" s="1940"/>
      <c r="G51" s="2969"/>
      <c r="H51" s="4406"/>
      <c r="I51" s="3149"/>
      <c r="J51" s="4521"/>
      <c r="K51" s="3451"/>
      <c r="L51" s="3451"/>
      <c r="M51" s="2225" t="s">
        <v>2469</v>
      </c>
      <c r="N51" s="4511"/>
      <c r="O51" s="4512"/>
      <c r="P51" s="4513"/>
      <c r="Q51" s="4514"/>
      <c r="R51" s="2464"/>
      <c r="S51" s="3459"/>
      <c r="T51" s="2453"/>
      <c r="U51" s="4520">
        <v>140758086</v>
      </c>
      <c r="V51" s="4437">
        <v>0</v>
      </c>
      <c r="W51" s="4437">
        <v>0</v>
      </c>
      <c r="X51" s="4438">
        <v>7</v>
      </c>
      <c r="Y51" s="4439" t="s">
        <v>2450</v>
      </c>
      <c r="Z51" s="4516"/>
      <c r="AA51" s="4516"/>
      <c r="AB51" s="4516"/>
      <c r="AC51" s="4516"/>
      <c r="AD51" s="4516"/>
      <c r="AE51" s="4516"/>
      <c r="AF51" s="4516"/>
      <c r="AG51" s="4516"/>
      <c r="AH51" s="4516"/>
      <c r="AI51" s="4516"/>
      <c r="AJ51" s="4516"/>
      <c r="AK51" s="4516"/>
      <c r="AL51" s="4516"/>
      <c r="AM51" s="4516"/>
      <c r="AN51" s="4516"/>
      <c r="AO51" s="4516"/>
      <c r="AP51" s="4516"/>
      <c r="AQ51" s="4516"/>
      <c r="AR51" s="4516"/>
      <c r="AS51" s="4516"/>
      <c r="AT51" s="4516"/>
      <c r="AU51" s="4516"/>
      <c r="AV51" s="4516"/>
      <c r="AW51" s="4516"/>
      <c r="AX51" s="4516"/>
      <c r="AY51" s="4516"/>
      <c r="AZ51" s="4516"/>
      <c r="BA51" s="4516"/>
      <c r="BB51" s="4516"/>
      <c r="BC51" s="4516"/>
      <c r="BD51" s="4516"/>
      <c r="BE51" s="4516"/>
      <c r="BF51" s="4516"/>
      <c r="BG51" s="4516"/>
      <c r="BH51" s="4516"/>
      <c r="BI51" s="4517"/>
      <c r="BJ51" s="4439" t="s">
        <v>2450</v>
      </c>
      <c r="BK51" s="3226"/>
      <c r="BL51" s="3355"/>
      <c r="BM51" s="3355"/>
      <c r="BN51" s="3355"/>
      <c r="BO51" s="3355"/>
      <c r="BP51" s="3226"/>
    </row>
    <row r="52" spans="1:68" s="4401" customFormat="1" ht="64.5" customHeight="1" x14ac:dyDescent="0.25">
      <c r="A52" s="4402"/>
      <c r="B52" s="1940"/>
      <c r="C52" s="4403"/>
      <c r="D52" s="1940"/>
      <c r="E52" s="1940"/>
      <c r="F52" s="1940"/>
      <c r="G52" s="2566"/>
      <c r="H52" s="3383" t="s">
        <v>2364</v>
      </c>
      <c r="I52" s="2919" t="s">
        <v>2365</v>
      </c>
      <c r="J52" s="2919" t="s">
        <v>2366</v>
      </c>
      <c r="K52" s="2324">
        <v>12</v>
      </c>
      <c r="L52" s="2324">
        <v>10</v>
      </c>
      <c r="M52" s="2225" t="s">
        <v>2470</v>
      </c>
      <c r="N52" s="4511"/>
      <c r="O52" s="4512"/>
      <c r="P52" s="4513">
        <f>+(U52+U53+U54+U55)/Q35</f>
        <v>0.42630487218441093</v>
      </c>
      <c r="Q52" s="4514"/>
      <c r="R52" s="2464"/>
      <c r="S52" s="4522" t="s">
        <v>2471</v>
      </c>
      <c r="T52" s="4523" t="s">
        <v>2365</v>
      </c>
      <c r="U52" s="4520">
        <v>7260000</v>
      </c>
      <c r="V52" s="4437">
        <v>0</v>
      </c>
      <c r="W52" s="4437">
        <v>0</v>
      </c>
      <c r="X52" s="4438">
        <v>12</v>
      </c>
      <c r="Y52" s="4439" t="s">
        <v>631</v>
      </c>
      <c r="Z52" s="4516"/>
      <c r="AA52" s="4516"/>
      <c r="AB52" s="4516"/>
      <c r="AC52" s="4516"/>
      <c r="AD52" s="4516"/>
      <c r="AE52" s="4516"/>
      <c r="AF52" s="4516"/>
      <c r="AG52" s="4516"/>
      <c r="AH52" s="4516"/>
      <c r="AI52" s="4516"/>
      <c r="AJ52" s="4516"/>
      <c r="AK52" s="4516"/>
      <c r="AL52" s="4516"/>
      <c r="AM52" s="4516"/>
      <c r="AN52" s="4516"/>
      <c r="AO52" s="4516"/>
      <c r="AP52" s="4516"/>
      <c r="AQ52" s="4516"/>
      <c r="AR52" s="4516"/>
      <c r="AS52" s="4516"/>
      <c r="AT52" s="4516"/>
      <c r="AU52" s="4516"/>
      <c r="AV52" s="4516"/>
      <c r="AW52" s="4516"/>
      <c r="AX52" s="4516"/>
      <c r="AY52" s="4516"/>
      <c r="AZ52" s="4516"/>
      <c r="BA52" s="4516"/>
      <c r="BB52" s="4516"/>
      <c r="BC52" s="4516"/>
      <c r="BD52" s="4516"/>
      <c r="BE52" s="4516"/>
      <c r="BF52" s="4516"/>
      <c r="BG52" s="4516"/>
      <c r="BH52" s="4516"/>
      <c r="BI52" s="4517"/>
      <c r="BJ52" s="4439" t="s">
        <v>631</v>
      </c>
      <c r="BK52" s="3226"/>
      <c r="BL52" s="3355"/>
      <c r="BM52" s="3355"/>
      <c r="BN52" s="3355"/>
      <c r="BO52" s="3355"/>
      <c r="BP52" s="3226"/>
    </row>
    <row r="53" spans="1:68" s="4401" customFormat="1" ht="64.5" customHeight="1" x14ac:dyDescent="0.25">
      <c r="A53" s="4402"/>
      <c r="B53" s="1940"/>
      <c r="C53" s="4403"/>
      <c r="D53" s="1940"/>
      <c r="E53" s="1940"/>
      <c r="F53" s="1940"/>
      <c r="G53" s="2567"/>
      <c r="H53" s="3383"/>
      <c r="I53" s="2919"/>
      <c r="J53" s="2919"/>
      <c r="K53" s="2321"/>
      <c r="L53" s="2321"/>
      <c r="M53" s="2225" t="s">
        <v>2472</v>
      </c>
      <c r="N53" s="4511"/>
      <c r="O53" s="4512"/>
      <c r="P53" s="4513"/>
      <c r="Q53" s="4514"/>
      <c r="R53" s="2464"/>
      <c r="S53" s="4524"/>
      <c r="T53" s="4525"/>
      <c r="U53" s="4520">
        <v>224301000</v>
      </c>
      <c r="V53" s="4437">
        <v>94666662</v>
      </c>
      <c r="W53" s="4437">
        <v>8000000</v>
      </c>
      <c r="X53" s="4438">
        <v>7</v>
      </c>
      <c r="Y53" s="4439" t="s">
        <v>2450</v>
      </c>
      <c r="Z53" s="4516"/>
      <c r="AA53" s="4516"/>
      <c r="AB53" s="4516"/>
      <c r="AC53" s="4516"/>
      <c r="AD53" s="4516"/>
      <c r="AE53" s="4516"/>
      <c r="AF53" s="4516"/>
      <c r="AG53" s="4516"/>
      <c r="AH53" s="4516"/>
      <c r="AI53" s="4516"/>
      <c r="AJ53" s="4516"/>
      <c r="AK53" s="4516"/>
      <c r="AL53" s="4516"/>
      <c r="AM53" s="4516"/>
      <c r="AN53" s="4516"/>
      <c r="AO53" s="4516"/>
      <c r="AP53" s="4516"/>
      <c r="AQ53" s="4516"/>
      <c r="AR53" s="4516"/>
      <c r="AS53" s="4516"/>
      <c r="AT53" s="4516"/>
      <c r="AU53" s="4516"/>
      <c r="AV53" s="4516"/>
      <c r="AW53" s="4516"/>
      <c r="AX53" s="4516"/>
      <c r="AY53" s="4516"/>
      <c r="AZ53" s="4516"/>
      <c r="BA53" s="4516"/>
      <c r="BB53" s="4516"/>
      <c r="BC53" s="4516"/>
      <c r="BD53" s="4516"/>
      <c r="BE53" s="4516"/>
      <c r="BF53" s="4516"/>
      <c r="BG53" s="4516"/>
      <c r="BH53" s="4516"/>
      <c r="BI53" s="4517"/>
      <c r="BJ53" s="4439" t="s">
        <v>2450</v>
      </c>
      <c r="BK53" s="3226"/>
      <c r="BL53" s="3355"/>
      <c r="BM53" s="3355"/>
      <c r="BN53" s="3355"/>
      <c r="BO53" s="3355"/>
      <c r="BP53" s="3226"/>
    </row>
    <row r="54" spans="1:68" s="4401" customFormat="1" ht="64.5" customHeight="1" x14ac:dyDescent="0.25">
      <c r="A54" s="4402"/>
      <c r="B54" s="1940"/>
      <c r="C54" s="4403"/>
      <c r="D54" s="1940"/>
      <c r="E54" s="1940"/>
      <c r="F54" s="1940"/>
      <c r="G54" s="2567"/>
      <c r="H54" s="3383"/>
      <c r="I54" s="2919"/>
      <c r="J54" s="2919"/>
      <c r="K54" s="2321"/>
      <c r="L54" s="2321"/>
      <c r="M54" s="2225" t="s">
        <v>2473</v>
      </c>
      <c r="N54" s="4511"/>
      <c r="O54" s="4512"/>
      <c r="P54" s="4513"/>
      <c r="Q54" s="4514"/>
      <c r="R54" s="2464"/>
      <c r="S54" s="4524"/>
      <c r="T54" s="4525"/>
      <c r="U54" s="4520">
        <v>723418430</v>
      </c>
      <c r="V54" s="4437">
        <v>447578982.63</v>
      </c>
      <c r="W54" s="4437">
        <v>447578982.63</v>
      </c>
      <c r="X54" s="4438">
        <v>5</v>
      </c>
      <c r="Y54" s="4439" t="s">
        <v>2474</v>
      </c>
      <c r="Z54" s="4516"/>
      <c r="AA54" s="4516"/>
      <c r="AB54" s="4516"/>
      <c r="AC54" s="4516"/>
      <c r="AD54" s="4516"/>
      <c r="AE54" s="4516"/>
      <c r="AF54" s="4516"/>
      <c r="AG54" s="4516"/>
      <c r="AH54" s="4516"/>
      <c r="AI54" s="4516"/>
      <c r="AJ54" s="4516"/>
      <c r="AK54" s="4516"/>
      <c r="AL54" s="4516"/>
      <c r="AM54" s="4516"/>
      <c r="AN54" s="4516"/>
      <c r="AO54" s="4516"/>
      <c r="AP54" s="4516"/>
      <c r="AQ54" s="4516"/>
      <c r="AR54" s="4516"/>
      <c r="AS54" s="4516"/>
      <c r="AT54" s="4516"/>
      <c r="AU54" s="4516"/>
      <c r="AV54" s="4516"/>
      <c r="AW54" s="4516"/>
      <c r="AX54" s="4516"/>
      <c r="AY54" s="4516"/>
      <c r="AZ54" s="4516"/>
      <c r="BA54" s="4516"/>
      <c r="BB54" s="4516"/>
      <c r="BC54" s="4516"/>
      <c r="BD54" s="4516"/>
      <c r="BE54" s="4516"/>
      <c r="BF54" s="4516"/>
      <c r="BG54" s="4516"/>
      <c r="BH54" s="4516"/>
      <c r="BI54" s="4517"/>
      <c r="BJ54" s="4439" t="s">
        <v>2474</v>
      </c>
      <c r="BK54" s="3226"/>
      <c r="BL54" s="3355"/>
      <c r="BM54" s="3355"/>
      <c r="BN54" s="3355"/>
      <c r="BO54" s="3355"/>
      <c r="BP54" s="3226"/>
    </row>
    <row r="55" spans="1:68" s="4401" customFormat="1" ht="64.5" customHeight="1" x14ac:dyDescent="0.25">
      <c r="A55" s="4402"/>
      <c r="B55" s="1940"/>
      <c r="C55" s="4403"/>
      <c r="D55" s="1940"/>
      <c r="E55" s="1940"/>
      <c r="F55" s="1940"/>
      <c r="G55" s="2969"/>
      <c r="H55" s="3383"/>
      <c r="I55" s="2919"/>
      <c r="J55" s="2919"/>
      <c r="K55" s="4526"/>
      <c r="L55" s="4526"/>
      <c r="M55" s="2225" t="s">
        <v>2475</v>
      </c>
      <c r="N55" s="4511"/>
      <c r="O55" s="4512"/>
      <c r="P55" s="4513"/>
      <c r="Q55" s="4514"/>
      <c r="R55" s="2464"/>
      <c r="S55" s="4527"/>
      <c r="T55" s="4528"/>
      <c r="U55" s="4520">
        <v>35631000</v>
      </c>
      <c r="V55" s="4437">
        <v>0</v>
      </c>
      <c r="W55" s="4437">
        <v>0</v>
      </c>
      <c r="X55" s="4438">
        <v>6</v>
      </c>
      <c r="Y55" s="4439" t="s">
        <v>2476</v>
      </c>
      <c r="Z55" s="4516"/>
      <c r="AA55" s="4516"/>
      <c r="AB55" s="4516"/>
      <c r="AC55" s="4516"/>
      <c r="AD55" s="4516"/>
      <c r="AE55" s="4516"/>
      <c r="AF55" s="4516"/>
      <c r="AG55" s="4516"/>
      <c r="AH55" s="4516"/>
      <c r="AI55" s="4516"/>
      <c r="AJ55" s="4516"/>
      <c r="AK55" s="4516"/>
      <c r="AL55" s="4516"/>
      <c r="AM55" s="4516"/>
      <c r="AN55" s="4516"/>
      <c r="AO55" s="4516"/>
      <c r="AP55" s="4516"/>
      <c r="AQ55" s="4516"/>
      <c r="AR55" s="4516"/>
      <c r="AS55" s="4516"/>
      <c r="AT55" s="4516"/>
      <c r="AU55" s="4516"/>
      <c r="AV55" s="4516"/>
      <c r="AW55" s="4516"/>
      <c r="AX55" s="4516"/>
      <c r="AY55" s="4516"/>
      <c r="AZ55" s="4516"/>
      <c r="BA55" s="4516"/>
      <c r="BB55" s="4516"/>
      <c r="BC55" s="4516"/>
      <c r="BD55" s="4516"/>
      <c r="BE55" s="4516"/>
      <c r="BF55" s="4516"/>
      <c r="BG55" s="4516"/>
      <c r="BH55" s="4516"/>
      <c r="BI55" s="4517"/>
      <c r="BJ55" s="4439" t="s">
        <v>2476</v>
      </c>
      <c r="BK55" s="3226"/>
      <c r="BL55" s="3355"/>
      <c r="BM55" s="3355"/>
      <c r="BN55" s="3355"/>
      <c r="BO55" s="3355"/>
      <c r="BP55" s="3226"/>
    </row>
    <row r="56" spans="1:68" s="4401" customFormat="1" ht="83.25" customHeight="1" x14ac:dyDescent="0.25">
      <c r="A56" s="4402"/>
      <c r="B56" s="1940"/>
      <c r="C56" s="4403"/>
      <c r="D56" s="1940"/>
      <c r="E56" s="1940"/>
      <c r="F56" s="1940"/>
      <c r="G56" s="2566"/>
      <c r="H56" s="2820" t="s">
        <v>2477</v>
      </c>
      <c r="I56" s="4529" t="s">
        <v>2416</v>
      </c>
      <c r="J56" s="2992" t="s">
        <v>2417</v>
      </c>
      <c r="K56" s="4530">
        <v>1</v>
      </c>
      <c r="L56" s="4530">
        <v>0.75</v>
      </c>
      <c r="M56" s="2225" t="s">
        <v>2478</v>
      </c>
      <c r="N56" s="4511"/>
      <c r="O56" s="4512"/>
      <c r="P56" s="2697">
        <f>+(U56+U57)/Q35</f>
        <v>2.3884182610751238E-2</v>
      </c>
      <c r="Q56" s="4514"/>
      <c r="R56" s="2464"/>
      <c r="S56" s="4522" t="s">
        <v>2479</v>
      </c>
      <c r="T56" s="4531" t="s">
        <v>2416</v>
      </c>
      <c r="U56" s="4520">
        <v>34500000</v>
      </c>
      <c r="V56" s="4437">
        <v>0</v>
      </c>
      <c r="W56" s="4437">
        <v>0</v>
      </c>
      <c r="X56" s="4438">
        <v>12</v>
      </c>
      <c r="Y56" s="4439" t="s">
        <v>631</v>
      </c>
      <c r="Z56" s="4516"/>
      <c r="AA56" s="4516"/>
      <c r="AB56" s="4516"/>
      <c r="AC56" s="4516"/>
      <c r="AD56" s="4516"/>
      <c r="AE56" s="4516"/>
      <c r="AF56" s="4516"/>
      <c r="AG56" s="4516"/>
      <c r="AH56" s="4516"/>
      <c r="AI56" s="4516"/>
      <c r="AJ56" s="4516"/>
      <c r="AK56" s="4516"/>
      <c r="AL56" s="4516"/>
      <c r="AM56" s="4516"/>
      <c r="AN56" s="4516"/>
      <c r="AO56" s="4516"/>
      <c r="AP56" s="4516"/>
      <c r="AQ56" s="4516"/>
      <c r="AR56" s="4516"/>
      <c r="AS56" s="4516"/>
      <c r="AT56" s="4516"/>
      <c r="AU56" s="4516"/>
      <c r="AV56" s="4516"/>
      <c r="AW56" s="4516"/>
      <c r="AX56" s="4516"/>
      <c r="AY56" s="4516"/>
      <c r="AZ56" s="4516"/>
      <c r="BA56" s="4516"/>
      <c r="BB56" s="4516"/>
      <c r="BC56" s="4516"/>
      <c r="BD56" s="4516"/>
      <c r="BE56" s="4516"/>
      <c r="BF56" s="4516"/>
      <c r="BG56" s="4516"/>
      <c r="BH56" s="4516"/>
      <c r="BI56" s="4517"/>
      <c r="BJ56" s="4439" t="s">
        <v>631</v>
      </c>
      <c r="BK56" s="3226"/>
      <c r="BL56" s="3355"/>
      <c r="BM56" s="3355"/>
      <c r="BN56" s="3355"/>
      <c r="BO56" s="3355"/>
      <c r="BP56" s="3226"/>
    </row>
    <row r="57" spans="1:68" s="4401" customFormat="1" ht="77.25" customHeight="1" x14ac:dyDescent="0.25">
      <c r="A57" s="4402"/>
      <c r="B57" s="1940"/>
      <c r="C57" s="4403"/>
      <c r="D57" s="1940"/>
      <c r="E57" s="1940"/>
      <c r="F57" s="1940"/>
      <c r="G57" s="2969"/>
      <c r="H57" s="2821"/>
      <c r="I57" s="4529"/>
      <c r="J57" s="4532"/>
      <c r="K57" s="4533"/>
      <c r="L57" s="4533"/>
      <c r="M57" s="2225" t="s">
        <v>2480</v>
      </c>
      <c r="N57" s="4534"/>
      <c r="O57" s="4535"/>
      <c r="P57" s="3422"/>
      <c r="Q57" s="4536"/>
      <c r="R57" s="2464"/>
      <c r="S57" s="4527"/>
      <c r="T57" s="4537"/>
      <c r="U57" s="4520">
        <v>21000000</v>
      </c>
      <c r="V57" s="4437">
        <v>7000000</v>
      </c>
      <c r="W57" s="4437">
        <v>0</v>
      </c>
      <c r="X57" s="4438">
        <v>3</v>
      </c>
      <c r="Y57" s="4439" t="s">
        <v>2384</v>
      </c>
      <c r="Z57" s="4516"/>
      <c r="AA57" s="4516"/>
      <c r="AB57" s="4516"/>
      <c r="AC57" s="4516"/>
      <c r="AD57" s="4516"/>
      <c r="AE57" s="4516"/>
      <c r="AF57" s="4516"/>
      <c r="AG57" s="4516"/>
      <c r="AH57" s="4516"/>
      <c r="AI57" s="4516"/>
      <c r="AJ57" s="4516"/>
      <c r="AK57" s="4516"/>
      <c r="AL57" s="4516"/>
      <c r="AM57" s="4516"/>
      <c r="AN57" s="4516"/>
      <c r="AO57" s="4516"/>
      <c r="AP57" s="4516"/>
      <c r="AQ57" s="4516"/>
      <c r="AR57" s="4516"/>
      <c r="AS57" s="4516"/>
      <c r="AT57" s="4516"/>
      <c r="AU57" s="4516"/>
      <c r="AV57" s="4516"/>
      <c r="AW57" s="4516"/>
      <c r="AX57" s="4516"/>
      <c r="AY57" s="4516"/>
      <c r="AZ57" s="4516"/>
      <c r="BA57" s="4516"/>
      <c r="BB57" s="4516"/>
      <c r="BC57" s="4516"/>
      <c r="BD57" s="4516"/>
      <c r="BE57" s="4516"/>
      <c r="BF57" s="4516"/>
      <c r="BG57" s="4516"/>
      <c r="BH57" s="4516"/>
      <c r="BI57" s="4517"/>
      <c r="BJ57" s="4439" t="s">
        <v>2384</v>
      </c>
      <c r="BK57" s="3226"/>
      <c r="BL57" s="3356"/>
      <c r="BM57" s="3356"/>
      <c r="BN57" s="3356"/>
      <c r="BO57" s="3356"/>
      <c r="BP57" s="3226"/>
    </row>
    <row r="58" spans="1:68" ht="15.75" x14ac:dyDescent="0.25">
      <c r="A58" s="4275"/>
      <c r="B58" s="4276"/>
      <c r="C58" s="4277"/>
      <c r="D58" s="4538">
        <v>40</v>
      </c>
      <c r="E58" s="4539" t="s">
        <v>944</v>
      </c>
      <c r="F58" s="4540"/>
      <c r="G58" s="4541"/>
      <c r="H58" s="4541"/>
      <c r="I58" s="4540"/>
      <c r="J58" s="4540"/>
      <c r="K58" s="1457"/>
      <c r="L58" s="1457"/>
      <c r="M58" s="4542"/>
      <c r="N58" s="4541"/>
      <c r="O58" s="4543"/>
      <c r="P58" s="1219"/>
      <c r="Q58" s="4544"/>
      <c r="R58" s="4373"/>
      <c r="S58" s="4373"/>
      <c r="T58" s="46"/>
      <c r="U58" s="46"/>
      <c r="V58" s="46"/>
      <c r="W58" s="46"/>
      <c r="X58" s="4545"/>
      <c r="Y58" s="4546"/>
      <c r="Z58" s="4374"/>
      <c r="AA58" s="4374"/>
      <c r="AB58" s="4374"/>
      <c r="AC58" s="4374"/>
      <c r="AD58" s="4374"/>
      <c r="AE58" s="4374"/>
      <c r="AF58" s="4374"/>
      <c r="AG58" s="4374"/>
      <c r="AH58" s="4374"/>
      <c r="AI58" s="4374"/>
      <c r="AJ58" s="4374"/>
      <c r="AK58" s="4374"/>
      <c r="AL58" s="4374"/>
      <c r="AM58" s="4374"/>
      <c r="AN58" s="4374"/>
      <c r="AO58" s="4374"/>
      <c r="AP58" s="4374"/>
      <c r="AQ58" s="4374"/>
      <c r="AR58" s="4374"/>
      <c r="AS58" s="4374"/>
      <c r="AT58" s="4374"/>
      <c r="AU58" s="4374"/>
      <c r="AV58" s="4374"/>
      <c r="AW58" s="4374"/>
      <c r="AX58" s="4374"/>
      <c r="AY58" s="4374"/>
      <c r="AZ58" s="4374"/>
      <c r="BA58" s="4374"/>
      <c r="BB58" s="4374"/>
      <c r="BC58" s="4374"/>
      <c r="BD58" s="4374"/>
      <c r="BE58" s="4374"/>
      <c r="BF58" s="4374"/>
      <c r="BG58" s="4374"/>
      <c r="BH58" s="4374"/>
      <c r="BI58" s="4547"/>
      <c r="BJ58" s="4374"/>
      <c r="BK58" s="4374"/>
      <c r="BL58" s="4374"/>
      <c r="BM58" s="4374"/>
      <c r="BN58" s="4374"/>
      <c r="BO58" s="4374"/>
      <c r="BP58" s="4374"/>
    </row>
    <row r="59" spans="1:68" s="4401" customFormat="1" ht="77.25" customHeight="1" x14ac:dyDescent="0.25">
      <c r="A59" s="4376"/>
      <c r="B59" s="4377"/>
      <c r="C59" s="4378"/>
      <c r="D59" s="4404"/>
      <c r="E59" s="4405"/>
      <c r="F59" s="4381"/>
      <c r="G59" s="2867">
        <v>4302075</v>
      </c>
      <c r="H59" s="4386" t="s">
        <v>2378</v>
      </c>
      <c r="I59" s="2453" t="s">
        <v>2481</v>
      </c>
      <c r="J59" s="2453" t="s">
        <v>2482</v>
      </c>
      <c r="K59" s="4386">
        <v>25</v>
      </c>
      <c r="L59" s="4384">
        <v>22</v>
      </c>
      <c r="M59" s="2225" t="s">
        <v>2483</v>
      </c>
      <c r="N59" s="4386" t="s">
        <v>2484</v>
      </c>
      <c r="O59" s="4548" t="s">
        <v>2485</v>
      </c>
      <c r="P59" s="2598">
        <v>1</v>
      </c>
      <c r="Q59" s="4549">
        <f>+U59+U60+U61+U62+U63+U64</f>
        <v>213298765</v>
      </c>
      <c r="R59" s="3149" t="s">
        <v>2486</v>
      </c>
      <c r="S59" s="3149" t="s">
        <v>2487</v>
      </c>
      <c r="T59" s="2205" t="s">
        <v>2488</v>
      </c>
      <c r="U59" s="4436">
        <v>38415591</v>
      </c>
      <c r="V59" s="4550">
        <v>38415591</v>
      </c>
      <c r="W59" s="4437">
        <v>27050000</v>
      </c>
      <c r="X59" s="4438">
        <v>12</v>
      </c>
      <c r="Y59" s="4551" t="s">
        <v>631</v>
      </c>
      <c r="Z59" s="4386">
        <v>300</v>
      </c>
      <c r="AA59" s="4384">
        <v>283</v>
      </c>
      <c r="AB59" s="4384">
        <v>710</v>
      </c>
      <c r="AC59" s="4384">
        <v>364</v>
      </c>
      <c r="AD59" s="4384">
        <v>317</v>
      </c>
      <c r="AE59" s="4384">
        <v>261</v>
      </c>
      <c r="AF59" s="4384">
        <v>633</v>
      </c>
      <c r="AG59" s="4384">
        <v>254</v>
      </c>
      <c r="AH59" s="4384">
        <v>0</v>
      </c>
      <c r="AI59" s="4384">
        <v>130</v>
      </c>
      <c r="AJ59" s="4384">
        <v>0</v>
      </c>
      <c r="AK59" s="4384">
        <v>2</v>
      </c>
      <c r="AL59" s="4384">
        <v>0</v>
      </c>
      <c r="AM59" s="4384"/>
      <c r="AN59" s="4384">
        <v>0</v>
      </c>
      <c r="AO59" s="4384"/>
      <c r="AP59" s="4386">
        <v>0</v>
      </c>
      <c r="AQ59" s="4386"/>
      <c r="AR59" s="4386">
        <v>0</v>
      </c>
      <c r="AS59" s="4386"/>
      <c r="AT59" s="4386">
        <v>0</v>
      </c>
      <c r="AU59" s="4386"/>
      <c r="AV59" s="4386">
        <v>0</v>
      </c>
      <c r="AW59" s="4386"/>
      <c r="AX59" s="4386">
        <v>0</v>
      </c>
      <c r="AY59" s="4386"/>
      <c r="AZ59" s="4386">
        <v>60</v>
      </c>
      <c r="BA59" s="4386"/>
      <c r="BB59" s="4386">
        <v>0</v>
      </c>
      <c r="BC59" s="4386"/>
      <c r="BD59" s="4386">
        <f>+Z59+AB59+AD59+AF59+AH59+AJ59+AL59</f>
        <v>1960</v>
      </c>
      <c r="BE59" s="4386">
        <f>+AA59+AC59+AE59+AG59+AI59+AK59</f>
        <v>1294</v>
      </c>
      <c r="BF59" s="4386">
        <v>32</v>
      </c>
      <c r="BG59" s="2898">
        <f>+V59+V60+V61+V62+V63+V64</f>
        <v>213298765</v>
      </c>
      <c r="BH59" s="2898">
        <f>+W59+W60+W61+W62+W63+W64</f>
        <v>196933174</v>
      </c>
      <c r="BI59" s="4552">
        <f>+(BH59)/(U59+U60+U61+U62+U63+U64)</f>
        <v>0.92327385955563313</v>
      </c>
      <c r="BJ59" s="4551" t="s">
        <v>631</v>
      </c>
      <c r="BK59" s="2867" t="s">
        <v>2489</v>
      </c>
      <c r="BL59" s="3348">
        <v>43832</v>
      </c>
      <c r="BM59" s="3348">
        <v>43862</v>
      </c>
      <c r="BN59" s="3347" t="s">
        <v>2490</v>
      </c>
      <c r="BO59" s="3348" t="s">
        <v>2490</v>
      </c>
      <c r="BP59" s="4386" t="s">
        <v>2491</v>
      </c>
    </row>
    <row r="60" spans="1:68" s="4401" customFormat="1" ht="34.5" customHeight="1" x14ac:dyDescent="0.25">
      <c r="A60" s="4376"/>
      <c r="B60" s="4377"/>
      <c r="C60" s="4378"/>
      <c r="D60" s="4404"/>
      <c r="E60" s="4405"/>
      <c r="F60" s="4381"/>
      <c r="G60" s="2867"/>
      <c r="H60" s="4386"/>
      <c r="I60" s="2453"/>
      <c r="J60" s="2453"/>
      <c r="K60" s="4386"/>
      <c r="L60" s="4408"/>
      <c r="M60" s="2225" t="s">
        <v>2492</v>
      </c>
      <c r="N60" s="4386"/>
      <c r="O60" s="4548"/>
      <c r="P60" s="2599"/>
      <c r="Q60" s="4549"/>
      <c r="R60" s="4123"/>
      <c r="S60" s="4123"/>
      <c r="T60" s="2453" t="s">
        <v>2493</v>
      </c>
      <c r="U60" s="4436">
        <v>66650000</v>
      </c>
      <c r="V60" s="4550">
        <v>66650000</v>
      </c>
      <c r="W60" s="4437">
        <v>61650000</v>
      </c>
      <c r="X60" s="4438">
        <v>4</v>
      </c>
      <c r="Y60" s="4553" t="s">
        <v>2400</v>
      </c>
      <c r="Z60" s="4386"/>
      <c r="AA60" s="4408"/>
      <c r="AB60" s="4408"/>
      <c r="AC60" s="4408"/>
      <c r="AD60" s="4408"/>
      <c r="AE60" s="4408"/>
      <c r="AF60" s="4408"/>
      <c r="AG60" s="4408"/>
      <c r="AH60" s="4408"/>
      <c r="AI60" s="4408"/>
      <c r="AJ60" s="4408"/>
      <c r="AK60" s="4408"/>
      <c r="AL60" s="4408"/>
      <c r="AM60" s="4408"/>
      <c r="AN60" s="4408"/>
      <c r="AO60" s="4408"/>
      <c r="AP60" s="4386"/>
      <c r="AQ60" s="4386"/>
      <c r="AR60" s="4386"/>
      <c r="AS60" s="4386"/>
      <c r="AT60" s="4386"/>
      <c r="AU60" s="4386"/>
      <c r="AV60" s="4386"/>
      <c r="AW60" s="4386"/>
      <c r="AX60" s="4386"/>
      <c r="AY60" s="4386"/>
      <c r="AZ60" s="4386"/>
      <c r="BA60" s="4386"/>
      <c r="BB60" s="4386"/>
      <c r="BC60" s="4386"/>
      <c r="BD60" s="4386"/>
      <c r="BE60" s="4386"/>
      <c r="BF60" s="4386"/>
      <c r="BG60" s="4386"/>
      <c r="BH60" s="4386"/>
      <c r="BI60" s="4552"/>
      <c r="BJ60" s="4553" t="s">
        <v>2400</v>
      </c>
      <c r="BK60" s="2867"/>
      <c r="BL60" s="3418"/>
      <c r="BM60" s="3418"/>
      <c r="BN60" s="3347"/>
      <c r="BO60" s="3418"/>
      <c r="BP60" s="4386"/>
    </row>
    <row r="61" spans="1:68" s="4401" customFormat="1" ht="45" customHeight="1" x14ac:dyDescent="0.25">
      <c r="A61" s="4376"/>
      <c r="B61" s="4377"/>
      <c r="C61" s="4378"/>
      <c r="D61" s="4404"/>
      <c r="E61" s="4405"/>
      <c r="F61" s="4381"/>
      <c r="G61" s="2867"/>
      <c r="H61" s="4386"/>
      <c r="I61" s="2453"/>
      <c r="J61" s="2453"/>
      <c r="K61" s="4386"/>
      <c r="L61" s="4408"/>
      <c r="M61" s="2225" t="s">
        <v>2494</v>
      </c>
      <c r="N61" s="4386"/>
      <c r="O61" s="4548"/>
      <c r="P61" s="2599"/>
      <c r="Q61" s="4549"/>
      <c r="R61" s="4123"/>
      <c r="S61" s="4123"/>
      <c r="T61" s="2453"/>
      <c r="U61" s="4436">
        <v>60000000</v>
      </c>
      <c r="V61" s="4550">
        <v>60000000</v>
      </c>
      <c r="W61" s="4437">
        <f>+V61</f>
        <v>60000000</v>
      </c>
      <c r="X61" s="4438">
        <v>6</v>
      </c>
      <c r="Y61" s="4515" t="s">
        <v>2495</v>
      </c>
      <c r="Z61" s="4386"/>
      <c r="AA61" s="4408"/>
      <c r="AB61" s="4408"/>
      <c r="AC61" s="4408"/>
      <c r="AD61" s="4408"/>
      <c r="AE61" s="4408"/>
      <c r="AF61" s="4408"/>
      <c r="AG61" s="4408"/>
      <c r="AH61" s="4408"/>
      <c r="AI61" s="4408"/>
      <c r="AJ61" s="4408"/>
      <c r="AK61" s="4408"/>
      <c r="AL61" s="4408"/>
      <c r="AM61" s="4408"/>
      <c r="AN61" s="4408"/>
      <c r="AO61" s="4408"/>
      <c r="AP61" s="4386"/>
      <c r="AQ61" s="4386"/>
      <c r="AR61" s="4386"/>
      <c r="AS61" s="4386"/>
      <c r="AT61" s="4386"/>
      <c r="AU61" s="4386"/>
      <c r="AV61" s="4386"/>
      <c r="AW61" s="4386"/>
      <c r="AX61" s="4386"/>
      <c r="AY61" s="4386"/>
      <c r="AZ61" s="4386"/>
      <c r="BA61" s="4386"/>
      <c r="BB61" s="4386"/>
      <c r="BC61" s="4386"/>
      <c r="BD61" s="4386"/>
      <c r="BE61" s="4386"/>
      <c r="BF61" s="4386"/>
      <c r="BG61" s="4386"/>
      <c r="BH61" s="4386"/>
      <c r="BI61" s="4552"/>
      <c r="BJ61" s="4515" t="s">
        <v>2495</v>
      </c>
      <c r="BK61" s="2867"/>
      <c r="BL61" s="3418"/>
      <c r="BM61" s="3418"/>
      <c r="BN61" s="3347"/>
      <c r="BO61" s="3418"/>
      <c r="BP61" s="4386"/>
    </row>
    <row r="62" spans="1:68" s="4401" customFormat="1" ht="54.75" customHeight="1" x14ac:dyDescent="0.25">
      <c r="A62" s="4376"/>
      <c r="B62" s="4377"/>
      <c r="C62" s="4378"/>
      <c r="D62" s="4404"/>
      <c r="E62" s="4405"/>
      <c r="F62" s="4381"/>
      <c r="G62" s="2867"/>
      <c r="H62" s="4386"/>
      <c r="I62" s="2453"/>
      <c r="J62" s="2453"/>
      <c r="K62" s="4386"/>
      <c r="L62" s="4408"/>
      <c r="M62" s="2225" t="s">
        <v>2496</v>
      </c>
      <c r="N62" s="4386"/>
      <c r="O62" s="4548"/>
      <c r="P62" s="2599"/>
      <c r="Q62" s="4549"/>
      <c r="R62" s="4123"/>
      <c r="S62" s="4123"/>
      <c r="T62" s="2205" t="s">
        <v>2497</v>
      </c>
      <c r="U62" s="4436">
        <v>39253174</v>
      </c>
      <c r="V62" s="4550">
        <v>39253174</v>
      </c>
      <c r="W62" s="4437">
        <v>39253174</v>
      </c>
      <c r="X62" s="4438">
        <v>4</v>
      </c>
      <c r="Y62" s="4515" t="s">
        <v>2400</v>
      </c>
      <c r="Z62" s="4386"/>
      <c r="AA62" s="4408"/>
      <c r="AB62" s="4408"/>
      <c r="AC62" s="4408"/>
      <c r="AD62" s="4408"/>
      <c r="AE62" s="4408"/>
      <c r="AF62" s="4408"/>
      <c r="AG62" s="4408"/>
      <c r="AH62" s="4408"/>
      <c r="AI62" s="4408"/>
      <c r="AJ62" s="4408"/>
      <c r="AK62" s="4408"/>
      <c r="AL62" s="4408"/>
      <c r="AM62" s="4408"/>
      <c r="AN62" s="4408"/>
      <c r="AO62" s="4408"/>
      <c r="AP62" s="4386"/>
      <c r="AQ62" s="4386"/>
      <c r="AR62" s="4386"/>
      <c r="AS62" s="4386"/>
      <c r="AT62" s="4386"/>
      <c r="AU62" s="4386"/>
      <c r="AV62" s="4386"/>
      <c r="AW62" s="4386"/>
      <c r="AX62" s="4386"/>
      <c r="AY62" s="4386"/>
      <c r="AZ62" s="4386"/>
      <c r="BA62" s="4386"/>
      <c r="BB62" s="4386"/>
      <c r="BC62" s="4386"/>
      <c r="BD62" s="4386"/>
      <c r="BE62" s="4386"/>
      <c r="BF62" s="4386"/>
      <c r="BG62" s="4386"/>
      <c r="BH62" s="4386"/>
      <c r="BI62" s="4552"/>
      <c r="BJ62" s="4515" t="s">
        <v>2400</v>
      </c>
      <c r="BK62" s="2867"/>
      <c r="BL62" s="3418"/>
      <c r="BM62" s="3418"/>
      <c r="BN62" s="3347"/>
      <c r="BO62" s="3418"/>
      <c r="BP62" s="4386"/>
    </row>
    <row r="63" spans="1:68" s="4401" customFormat="1" ht="57.75" customHeight="1" x14ac:dyDescent="0.25">
      <c r="A63" s="2194"/>
      <c r="B63" s="2213"/>
      <c r="C63" s="2204"/>
      <c r="D63" s="4404"/>
      <c r="E63" s="4405"/>
      <c r="F63" s="2575"/>
      <c r="G63" s="2867"/>
      <c r="H63" s="4386"/>
      <c r="I63" s="2453"/>
      <c r="J63" s="2453"/>
      <c r="K63" s="4386"/>
      <c r="L63" s="4408"/>
      <c r="M63" s="2225" t="s">
        <v>2498</v>
      </c>
      <c r="N63" s="4386"/>
      <c r="O63" s="4548"/>
      <c r="P63" s="2599"/>
      <c r="Q63" s="4549"/>
      <c r="R63" s="4123"/>
      <c r="S63" s="4123"/>
      <c r="T63" s="2453" t="s">
        <v>2499</v>
      </c>
      <c r="U63" s="4436">
        <v>4980000</v>
      </c>
      <c r="V63" s="4550">
        <v>4980000</v>
      </c>
      <c r="W63" s="4437">
        <v>4980000</v>
      </c>
      <c r="X63" s="4438">
        <v>4</v>
      </c>
      <c r="Y63" s="4554" t="s">
        <v>2400</v>
      </c>
      <c r="Z63" s="4386"/>
      <c r="AA63" s="4408"/>
      <c r="AB63" s="4408"/>
      <c r="AC63" s="4408"/>
      <c r="AD63" s="4408"/>
      <c r="AE63" s="4408"/>
      <c r="AF63" s="4408"/>
      <c r="AG63" s="4408"/>
      <c r="AH63" s="4408"/>
      <c r="AI63" s="4408"/>
      <c r="AJ63" s="4408"/>
      <c r="AK63" s="4408"/>
      <c r="AL63" s="4408"/>
      <c r="AM63" s="4408"/>
      <c r="AN63" s="4408"/>
      <c r="AO63" s="4408"/>
      <c r="AP63" s="4386"/>
      <c r="AQ63" s="4386"/>
      <c r="AR63" s="4386"/>
      <c r="AS63" s="4386"/>
      <c r="AT63" s="4386"/>
      <c r="AU63" s="4386"/>
      <c r="AV63" s="4386"/>
      <c r="AW63" s="4386"/>
      <c r="AX63" s="4386"/>
      <c r="AY63" s="4386"/>
      <c r="AZ63" s="4386"/>
      <c r="BA63" s="4386"/>
      <c r="BB63" s="4386"/>
      <c r="BC63" s="4386"/>
      <c r="BD63" s="4386"/>
      <c r="BE63" s="4386"/>
      <c r="BF63" s="4386"/>
      <c r="BG63" s="4386"/>
      <c r="BH63" s="4386"/>
      <c r="BI63" s="4552"/>
      <c r="BJ63" s="4554" t="s">
        <v>2400</v>
      </c>
      <c r="BK63" s="2867"/>
      <c r="BL63" s="3418"/>
      <c r="BM63" s="3418"/>
      <c r="BN63" s="3347"/>
      <c r="BO63" s="3418"/>
      <c r="BP63" s="4386"/>
    </row>
    <row r="64" spans="1:68" s="4401" customFormat="1" ht="61.5" customHeight="1" x14ac:dyDescent="0.25">
      <c r="A64" s="4402"/>
      <c r="B64" s="1940"/>
      <c r="C64" s="4403"/>
      <c r="D64" s="4404"/>
      <c r="E64" s="4405"/>
      <c r="F64" s="3053"/>
      <c r="G64" s="2867"/>
      <c r="H64" s="4386"/>
      <c r="I64" s="2453"/>
      <c r="J64" s="2453"/>
      <c r="K64" s="4386"/>
      <c r="L64" s="4555"/>
      <c r="M64" s="2225" t="s">
        <v>2500</v>
      </c>
      <c r="N64" s="4386"/>
      <c r="O64" s="4548"/>
      <c r="P64" s="2600"/>
      <c r="Q64" s="4549"/>
      <c r="R64" s="2452"/>
      <c r="S64" s="2452"/>
      <c r="T64" s="2453"/>
      <c r="U64" s="4436">
        <v>4000000</v>
      </c>
      <c r="V64" s="4550">
        <v>4000000</v>
      </c>
      <c r="W64" s="4437">
        <v>4000000</v>
      </c>
      <c r="X64" s="4438">
        <v>12</v>
      </c>
      <c r="Y64" s="4551" t="s">
        <v>631</v>
      </c>
      <c r="Z64" s="4386"/>
      <c r="AA64" s="4555"/>
      <c r="AB64" s="4555"/>
      <c r="AC64" s="4555"/>
      <c r="AD64" s="4555"/>
      <c r="AE64" s="4555"/>
      <c r="AF64" s="4555"/>
      <c r="AG64" s="4555"/>
      <c r="AH64" s="4555"/>
      <c r="AI64" s="4555"/>
      <c r="AJ64" s="4555"/>
      <c r="AK64" s="4555"/>
      <c r="AL64" s="4555"/>
      <c r="AM64" s="4555"/>
      <c r="AN64" s="4555"/>
      <c r="AO64" s="4555"/>
      <c r="AP64" s="4386"/>
      <c r="AQ64" s="4386"/>
      <c r="AR64" s="4386"/>
      <c r="AS64" s="4386"/>
      <c r="AT64" s="4386"/>
      <c r="AU64" s="4386"/>
      <c r="AV64" s="4386"/>
      <c r="AW64" s="4386"/>
      <c r="AX64" s="4386"/>
      <c r="AY64" s="4386"/>
      <c r="AZ64" s="4386"/>
      <c r="BA64" s="4386"/>
      <c r="BB64" s="4386"/>
      <c r="BC64" s="4386"/>
      <c r="BD64" s="4386"/>
      <c r="BE64" s="4386"/>
      <c r="BF64" s="4386"/>
      <c r="BG64" s="4386"/>
      <c r="BH64" s="4386"/>
      <c r="BI64" s="4552"/>
      <c r="BJ64" s="4551" t="s">
        <v>631</v>
      </c>
      <c r="BK64" s="2867"/>
      <c r="BL64" s="3419"/>
      <c r="BM64" s="3419"/>
      <c r="BN64" s="3347"/>
      <c r="BO64" s="3419"/>
      <c r="BP64" s="4386"/>
    </row>
    <row r="65" spans="1:68" s="4401" customFormat="1" ht="47.25" customHeight="1" x14ac:dyDescent="0.25">
      <c r="A65" s="4556"/>
      <c r="B65" s="4557"/>
      <c r="C65" s="4558"/>
      <c r="D65" s="4404"/>
      <c r="E65" s="4405"/>
      <c r="F65" s="3053"/>
      <c r="G65" s="2867">
        <v>4302075</v>
      </c>
      <c r="H65" s="4386" t="s">
        <v>2501</v>
      </c>
      <c r="I65" s="2453" t="s">
        <v>2481</v>
      </c>
      <c r="J65" s="2453" t="s">
        <v>2482</v>
      </c>
      <c r="K65" s="4384">
        <v>25</v>
      </c>
      <c r="L65" s="4384">
        <v>22</v>
      </c>
      <c r="M65" s="2225" t="s">
        <v>2502</v>
      </c>
      <c r="N65" s="4559" t="s">
        <v>2503</v>
      </c>
      <c r="O65" s="4560" t="s">
        <v>2504</v>
      </c>
      <c r="P65" s="2598">
        <v>1</v>
      </c>
      <c r="Q65" s="4561">
        <f>+U65+U66+U67+U68</f>
        <v>1021689837</v>
      </c>
      <c r="R65" s="3149" t="s">
        <v>2505</v>
      </c>
      <c r="S65" s="3149" t="s">
        <v>2506</v>
      </c>
      <c r="T65" s="2453" t="s">
        <v>2481</v>
      </c>
      <c r="U65" s="4436">
        <v>148924918</v>
      </c>
      <c r="V65" s="4562">
        <v>0</v>
      </c>
      <c r="W65" s="4562">
        <v>0</v>
      </c>
      <c r="X65" s="4438">
        <v>12</v>
      </c>
      <c r="Y65" s="4551" t="s">
        <v>631</v>
      </c>
      <c r="Z65" s="4563"/>
      <c r="AA65" s="4563">
        <v>283</v>
      </c>
      <c r="AB65" s="4563"/>
      <c r="AC65" s="4563">
        <v>364</v>
      </c>
      <c r="AD65" s="4563"/>
      <c r="AE65" s="4563">
        <v>261</v>
      </c>
      <c r="AF65" s="4563"/>
      <c r="AG65" s="4563">
        <v>254</v>
      </c>
      <c r="AH65" s="4563"/>
      <c r="AI65" s="4563">
        <v>130</v>
      </c>
      <c r="AJ65" s="4563"/>
      <c r="AK65" s="4563">
        <v>2</v>
      </c>
      <c r="AL65" s="4563"/>
      <c r="AM65" s="4563"/>
      <c r="AN65" s="4563"/>
      <c r="AO65" s="4563"/>
      <c r="AP65" s="4563"/>
      <c r="AQ65" s="4563"/>
      <c r="AR65" s="4563"/>
      <c r="AS65" s="4563"/>
      <c r="AT65" s="4563"/>
      <c r="AU65" s="4563"/>
      <c r="AV65" s="4563"/>
      <c r="AW65" s="4563"/>
      <c r="AX65" s="4563"/>
      <c r="AY65" s="4563"/>
      <c r="AZ65" s="4563"/>
      <c r="BA65" s="4563"/>
      <c r="BB65" s="4563"/>
      <c r="BC65" s="4563"/>
      <c r="BD65" s="4563"/>
      <c r="BE65" s="4563">
        <f>+AA65+AC65+AE65+AG65+AI65+AK65</f>
        <v>1294</v>
      </c>
      <c r="BF65" s="4563">
        <v>22</v>
      </c>
      <c r="BG65" s="4564">
        <f>+V67+V68</f>
        <v>150884192</v>
      </c>
      <c r="BH65" s="4564">
        <f>+W65+W67+W68</f>
        <v>66834192</v>
      </c>
      <c r="BI65" s="4565">
        <f>+(BH65)/(U65+U66+U67+U68)</f>
        <v>6.5415343854497002E-2</v>
      </c>
      <c r="BJ65" s="4551" t="s">
        <v>631</v>
      </c>
      <c r="BK65" s="4382" t="s">
        <v>2507</v>
      </c>
      <c r="BL65" s="3348">
        <v>44045</v>
      </c>
      <c r="BM65" s="3348">
        <v>44180</v>
      </c>
      <c r="BN65" s="3348">
        <v>44195</v>
      </c>
      <c r="BO65" s="3348">
        <v>44195</v>
      </c>
      <c r="BP65" s="4566" t="s">
        <v>2491</v>
      </c>
    </row>
    <row r="66" spans="1:68" s="4401" customFormat="1" ht="47.25" customHeight="1" x14ac:dyDescent="0.25">
      <c r="A66" s="4556"/>
      <c r="B66" s="4557"/>
      <c r="C66" s="4558"/>
      <c r="D66" s="4404"/>
      <c r="E66" s="4405"/>
      <c r="F66" s="3053"/>
      <c r="G66" s="2867"/>
      <c r="H66" s="4386"/>
      <c r="I66" s="2453"/>
      <c r="J66" s="2453"/>
      <c r="K66" s="4408"/>
      <c r="L66" s="4408"/>
      <c r="M66" s="2225" t="s">
        <v>2508</v>
      </c>
      <c r="N66" s="4559"/>
      <c r="O66" s="4560"/>
      <c r="P66" s="2599"/>
      <c r="Q66" s="4567"/>
      <c r="R66" s="4123"/>
      <c r="S66" s="4123"/>
      <c r="T66" s="2453"/>
      <c r="U66" s="4436">
        <v>58059026</v>
      </c>
      <c r="V66" s="4562">
        <v>0</v>
      </c>
      <c r="W66" s="4562">
        <v>0</v>
      </c>
      <c r="X66" s="4438">
        <v>3</v>
      </c>
      <c r="Y66" s="4551" t="s">
        <v>2384</v>
      </c>
      <c r="Z66" s="4568"/>
      <c r="AA66" s="4568"/>
      <c r="AB66" s="4568"/>
      <c r="AC66" s="4568"/>
      <c r="AD66" s="4568"/>
      <c r="AE66" s="4568"/>
      <c r="AF66" s="4568"/>
      <c r="AG66" s="4568"/>
      <c r="AH66" s="4568"/>
      <c r="AI66" s="4568"/>
      <c r="AJ66" s="4568"/>
      <c r="AK66" s="4568"/>
      <c r="AL66" s="4568"/>
      <c r="AM66" s="4568"/>
      <c r="AN66" s="4568"/>
      <c r="AO66" s="4568"/>
      <c r="AP66" s="4568"/>
      <c r="AQ66" s="4568"/>
      <c r="AR66" s="4568"/>
      <c r="AS66" s="4568"/>
      <c r="AT66" s="4568"/>
      <c r="AU66" s="4568"/>
      <c r="AV66" s="4568"/>
      <c r="AW66" s="4568"/>
      <c r="AX66" s="4568"/>
      <c r="AY66" s="4568"/>
      <c r="AZ66" s="4568"/>
      <c r="BA66" s="4568"/>
      <c r="BB66" s="4568"/>
      <c r="BC66" s="4568"/>
      <c r="BD66" s="4568"/>
      <c r="BE66" s="4568"/>
      <c r="BF66" s="4568"/>
      <c r="BG66" s="4568"/>
      <c r="BH66" s="4568"/>
      <c r="BI66" s="4569"/>
      <c r="BJ66" s="4551" t="s">
        <v>2384</v>
      </c>
      <c r="BK66" s="4406"/>
      <c r="BL66" s="3418"/>
      <c r="BM66" s="3418"/>
      <c r="BN66" s="3418"/>
      <c r="BO66" s="3418"/>
      <c r="BP66" s="4408"/>
    </row>
    <row r="67" spans="1:68" s="4401" customFormat="1" ht="47.25" customHeight="1" x14ac:dyDescent="0.25">
      <c r="A67" s="4556"/>
      <c r="B67" s="4557"/>
      <c r="C67" s="4558"/>
      <c r="D67" s="4404"/>
      <c r="E67" s="4405"/>
      <c r="F67" s="3053"/>
      <c r="G67" s="2867"/>
      <c r="H67" s="4386"/>
      <c r="I67" s="2453"/>
      <c r="J67" s="2453"/>
      <c r="K67" s="4408"/>
      <c r="L67" s="4408"/>
      <c r="M67" s="2225" t="s">
        <v>2509</v>
      </c>
      <c r="N67" s="4559"/>
      <c r="O67" s="4560"/>
      <c r="P67" s="2599"/>
      <c r="Q67" s="4567"/>
      <c r="R67" s="4123"/>
      <c r="S67" s="4123"/>
      <c r="T67" s="2453"/>
      <c r="U67" s="4436">
        <v>432942553</v>
      </c>
      <c r="V67" s="4570">
        <v>57784192</v>
      </c>
      <c r="W67" s="4570">
        <v>57784192</v>
      </c>
      <c r="X67" s="4438">
        <v>4</v>
      </c>
      <c r="Y67" s="4554" t="s">
        <v>2400</v>
      </c>
      <c r="Z67" s="4568"/>
      <c r="AA67" s="4568"/>
      <c r="AB67" s="4568"/>
      <c r="AC67" s="4568"/>
      <c r="AD67" s="4568"/>
      <c r="AE67" s="4568"/>
      <c r="AF67" s="4568"/>
      <c r="AG67" s="4568"/>
      <c r="AH67" s="4568"/>
      <c r="AI67" s="4568"/>
      <c r="AJ67" s="4568"/>
      <c r="AK67" s="4568"/>
      <c r="AL67" s="4568"/>
      <c r="AM67" s="4568"/>
      <c r="AN67" s="4568"/>
      <c r="AO67" s="4568"/>
      <c r="AP67" s="4568"/>
      <c r="AQ67" s="4568"/>
      <c r="AR67" s="4568"/>
      <c r="AS67" s="4568"/>
      <c r="AT67" s="4568"/>
      <c r="AU67" s="4568"/>
      <c r="AV67" s="4568"/>
      <c r="AW67" s="4568"/>
      <c r="AX67" s="4568"/>
      <c r="AY67" s="4568"/>
      <c r="AZ67" s="4568"/>
      <c r="BA67" s="4568"/>
      <c r="BB67" s="4568"/>
      <c r="BC67" s="4568"/>
      <c r="BD67" s="4568"/>
      <c r="BE67" s="4568"/>
      <c r="BF67" s="4568"/>
      <c r="BG67" s="4568"/>
      <c r="BH67" s="4568"/>
      <c r="BI67" s="4569"/>
      <c r="BJ67" s="4554" t="s">
        <v>2400</v>
      </c>
      <c r="BK67" s="4406"/>
      <c r="BL67" s="3418"/>
      <c r="BM67" s="3418"/>
      <c r="BN67" s="3418"/>
      <c r="BO67" s="3418"/>
      <c r="BP67" s="4408"/>
    </row>
    <row r="68" spans="1:68" s="4401" customFormat="1" ht="117" customHeight="1" x14ac:dyDescent="0.25">
      <c r="A68" s="4556"/>
      <c r="B68" s="4557"/>
      <c r="C68" s="4558"/>
      <c r="D68" s="4404"/>
      <c r="E68" s="4405"/>
      <c r="F68" s="3053"/>
      <c r="G68" s="2867"/>
      <c r="H68" s="4386"/>
      <c r="I68" s="2453"/>
      <c r="J68" s="2453"/>
      <c r="K68" s="4555"/>
      <c r="L68" s="4555"/>
      <c r="M68" s="2225" t="s">
        <v>2510</v>
      </c>
      <c r="N68" s="4559"/>
      <c r="O68" s="4560"/>
      <c r="P68" s="2600"/>
      <c r="Q68" s="4571"/>
      <c r="R68" s="2452"/>
      <c r="S68" s="2452"/>
      <c r="T68" s="2453"/>
      <c r="U68" s="4436">
        <v>381763340</v>
      </c>
      <c r="V68" s="4570">
        <v>93100000</v>
      </c>
      <c r="W68" s="4570">
        <v>9050000</v>
      </c>
      <c r="X68" s="4438">
        <v>6</v>
      </c>
      <c r="Y68" s="4554" t="s">
        <v>2440</v>
      </c>
      <c r="Z68" s="4572"/>
      <c r="AA68" s="4572"/>
      <c r="AB68" s="4572"/>
      <c r="AC68" s="4572"/>
      <c r="AD68" s="4572"/>
      <c r="AE68" s="4572"/>
      <c r="AF68" s="4572"/>
      <c r="AG68" s="4572"/>
      <c r="AH68" s="4572"/>
      <c r="AI68" s="4572"/>
      <c r="AJ68" s="4572"/>
      <c r="AK68" s="4572"/>
      <c r="AL68" s="4572"/>
      <c r="AM68" s="4572"/>
      <c r="AN68" s="4572"/>
      <c r="AO68" s="4572"/>
      <c r="AP68" s="4572"/>
      <c r="AQ68" s="4572"/>
      <c r="AR68" s="4572"/>
      <c r="AS68" s="4572"/>
      <c r="AT68" s="4572"/>
      <c r="AU68" s="4572"/>
      <c r="AV68" s="4572"/>
      <c r="AW68" s="4572"/>
      <c r="AX68" s="4572"/>
      <c r="AY68" s="4572"/>
      <c r="AZ68" s="4572"/>
      <c r="BA68" s="4572"/>
      <c r="BB68" s="4572"/>
      <c r="BC68" s="4572"/>
      <c r="BD68" s="4572"/>
      <c r="BE68" s="4572"/>
      <c r="BF68" s="4572"/>
      <c r="BG68" s="4572"/>
      <c r="BH68" s="4572"/>
      <c r="BI68" s="4573"/>
      <c r="BJ68" s="4554" t="s">
        <v>2440</v>
      </c>
      <c r="BK68" s="4428"/>
      <c r="BL68" s="3419"/>
      <c r="BM68" s="3419"/>
      <c r="BN68" s="3419"/>
      <c r="BO68" s="3419"/>
      <c r="BP68" s="4555"/>
    </row>
    <row r="69" spans="1:68" s="4401" customFormat="1" ht="75" x14ac:dyDescent="0.25">
      <c r="A69" s="4402"/>
      <c r="B69" s="1940"/>
      <c r="C69" s="4403"/>
      <c r="D69" s="4574"/>
      <c r="E69" s="4575"/>
      <c r="F69" s="3053"/>
      <c r="G69" s="2211">
        <v>4302075</v>
      </c>
      <c r="H69" s="2211"/>
      <c r="I69" s="2205" t="s">
        <v>2481</v>
      </c>
      <c r="J69" s="2205" t="s">
        <v>2511</v>
      </c>
      <c r="K69" s="2226">
        <v>1</v>
      </c>
      <c r="L69" s="2226">
        <v>0.75</v>
      </c>
      <c r="M69" s="2228" t="s">
        <v>2512</v>
      </c>
      <c r="N69" s="4576" t="s">
        <v>2442</v>
      </c>
      <c r="O69" s="2205" t="s">
        <v>2513</v>
      </c>
      <c r="P69" s="2223">
        <v>1</v>
      </c>
      <c r="Q69" s="4425">
        <v>30000000</v>
      </c>
      <c r="R69" s="2206" t="s">
        <v>2514</v>
      </c>
      <c r="S69" s="2206" t="s">
        <v>2515</v>
      </c>
      <c r="T69" s="2205" t="s">
        <v>2481</v>
      </c>
      <c r="U69" s="4436">
        <v>30000000</v>
      </c>
      <c r="V69" s="4437">
        <v>12250000</v>
      </c>
      <c r="W69" s="4437">
        <v>0</v>
      </c>
      <c r="X69" s="1134" t="s">
        <v>1005</v>
      </c>
      <c r="Y69" s="4577" t="s">
        <v>2400</v>
      </c>
      <c r="Z69" s="4578"/>
      <c r="AA69" s="4578"/>
      <c r="AB69" s="4578"/>
      <c r="AC69" s="4578"/>
      <c r="AD69" s="4578"/>
      <c r="AE69" s="4578"/>
      <c r="AF69" s="4578"/>
      <c r="AG69" s="4578"/>
      <c r="AH69" s="4578"/>
      <c r="AI69" s="4578"/>
      <c r="AJ69" s="4578"/>
      <c r="AK69" s="4578"/>
      <c r="AL69" s="4578"/>
      <c r="AM69" s="4578"/>
      <c r="AN69" s="4578"/>
      <c r="AO69" s="4578"/>
      <c r="AP69" s="4578"/>
      <c r="AQ69" s="4578"/>
      <c r="AR69" s="4578"/>
      <c r="AS69" s="4578"/>
      <c r="AT69" s="4578"/>
      <c r="AU69" s="4578"/>
      <c r="AV69" s="4578"/>
      <c r="AW69" s="4578"/>
      <c r="AX69" s="4578"/>
      <c r="AY69" s="4578"/>
      <c r="AZ69" s="4578"/>
      <c r="BA69" s="4578"/>
      <c r="BB69" s="4578"/>
      <c r="BC69" s="4578"/>
      <c r="BD69" s="4578"/>
      <c r="BE69" s="4578"/>
      <c r="BF69" s="2226">
        <v>1</v>
      </c>
      <c r="BG69" s="4579">
        <f>+V69</f>
        <v>12250000</v>
      </c>
      <c r="BH69" s="2226">
        <v>0</v>
      </c>
      <c r="BI69" s="4580">
        <v>0</v>
      </c>
      <c r="BJ69" s="4577" t="s">
        <v>2400</v>
      </c>
      <c r="BK69" s="2196" t="s">
        <v>2516</v>
      </c>
      <c r="BL69" s="2227">
        <v>44045</v>
      </c>
      <c r="BM69" s="2227">
        <v>44045</v>
      </c>
      <c r="BN69" s="2227">
        <v>44196</v>
      </c>
      <c r="BO69" s="2227">
        <v>44196</v>
      </c>
      <c r="BP69" s="4576" t="s">
        <v>2491</v>
      </c>
    </row>
    <row r="70" spans="1:68" ht="32.25" customHeight="1" x14ac:dyDescent="0.25">
      <c r="A70" s="126"/>
      <c r="B70" s="125"/>
      <c r="C70" s="206"/>
      <c r="D70" s="468"/>
      <c r="E70" s="468"/>
      <c r="F70" s="468"/>
      <c r="G70" s="4581"/>
      <c r="H70" s="4581"/>
      <c r="I70" s="4582"/>
      <c r="J70" s="4583"/>
      <c r="K70" s="4584"/>
      <c r="L70" s="4584"/>
      <c r="M70" s="2228"/>
      <c r="N70" s="2226"/>
      <c r="O70" s="4585"/>
      <c r="P70" s="2224"/>
      <c r="Q70" s="4586">
        <f>SUM(Q12:Q69)</f>
        <v>4341489309.7799997</v>
      </c>
      <c r="R70" s="2206"/>
      <c r="S70" s="2206"/>
      <c r="T70" s="2206"/>
      <c r="U70" s="4586">
        <f>SUM(U12:U69)</f>
        <v>4341489309.7799997</v>
      </c>
      <c r="V70" s="4587">
        <f>SUM(V12:V69)</f>
        <v>1581586420.25</v>
      </c>
      <c r="W70" s="4587">
        <f>SUM(W12:W69)</f>
        <v>1056494012.25</v>
      </c>
      <c r="X70" s="2228"/>
      <c r="Y70" s="2226"/>
      <c r="Z70" s="4588"/>
      <c r="AA70" s="4588"/>
      <c r="AB70" s="4588"/>
      <c r="AC70" s="4588"/>
      <c r="AD70" s="4588"/>
      <c r="AE70" s="4588"/>
      <c r="AF70" s="4588"/>
      <c r="AG70" s="4588"/>
      <c r="AH70" s="4588"/>
      <c r="AI70" s="4588"/>
      <c r="AJ70" s="4588"/>
      <c r="AK70" s="4588"/>
      <c r="AL70" s="4588"/>
      <c r="AM70" s="4588"/>
      <c r="AN70" s="4588"/>
      <c r="AO70" s="4588"/>
      <c r="AP70" s="4588"/>
      <c r="AQ70" s="4588"/>
      <c r="AR70" s="4588"/>
      <c r="AS70" s="4588"/>
      <c r="AT70" s="4588"/>
      <c r="AU70" s="4588"/>
      <c r="AV70" s="4588"/>
      <c r="AW70" s="4588"/>
      <c r="AX70" s="4588"/>
      <c r="AY70" s="4588"/>
      <c r="AZ70" s="4588"/>
      <c r="BA70" s="4588"/>
      <c r="BB70" s="4588"/>
      <c r="BC70" s="4588"/>
      <c r="BD70" s="4588"/>
      <c r="BE70" s="4588"/>
      <c r="BF70" s="4588"/>
      <c r="BG70" s="4588"/>
      <c r="BH70" s="4588"/>
      <c r="BI70" s="4589"/>
      <c r="BJ70" s="4588"/>
      <c r="BK70" s="4588"/>
      <c r="BL70" s="4590"/>
      <c r="BM70" s="4590"/>
      <c r="BN70" s="4591"/>
      <c r="BO70" s="4591"/>
      <c r="BP70" s="4592"/>
    </row>
    <row r="71" spans="1:68" ht="15.75" x14ac:dyDescent="0.25">
      <c r="A71" s="141"/>
      <c r="B71" s="1"/>
      <c r="C71" s="1"/>
      <c r="D71" s="1"/>
      <c r="E71" s="1"/>
      <c r="F71" s="1"/>
      <c r="G71" s="1"/>
      <c r="H71" s="1"/>
      <c r="I71" s="1010"/>
      <c r="J71" s="1011"/>
      <c r="K71" s="18"/>
      <c r="L71" s="18"/>
      <c r="M71" s="147"/>
      <c r="N71" s="148"/>
      <c r="O71" s="158"/>
      <c r="P71" s="1015"/>
      <c r="Q71" s="163"/>
      <c r="R71" s="2209"/>
      <c r="S71" s="2209"/>
      <c r="T71" s="4359"/>
      <c r="U71" s="4361"/>
      <c r="V71" s="4361"/>
      <c r="W71" s="4361"/>
      <c r="X71" s="147"/>
      <c r="Y71" s="148"/>
      <c r="Z71" s="2230"/>
      <c r="AA71" s="2230"/>
      <c r="AB71" s="2230"/>
      <c r="AC71" s="2230"/>
      <c r="AD71" s="2230"/>
      <c r="AE71" s="2230"/>
      <c r="AF71" s="2230"/>
      <c r="AG71" s="2230"/>
      <c r="AH71" s="2230"/>
      <c r="AI71" s="2230"/>
      <c r="AJ71" s="2230"/>
      <c r="AK71" s="2230"/>
      <c r="AL71" s="2230"/>
      <c r="AM71" s="2230"/>
      <c r="AN71" s="2230"/>
      <c r="AO71" s="2230"/>
      <c r="AP71" s="2230"/>
      <c r="AQ71" s="2230"/>
      <c r="AR71" s="2230"/>
      <c r="AS71" s="2230"/>
      <c r="AT71" s="2230"/>
      <c r="AU71" s="2230"/>
      <c r="AV71" s="2230"/>
      <c r="AW71" s="2230"/>
      <c r="AX71" s="2230"/>
      <c r="AY71" s="2230"/>
      <c r="AZ71" s="2230"/>
      <c r="BA71" s="2230"/>
      <c r="BB71" s="2230"/>
      <c r="BC71" s="2230"/>
      <c r="BD71" s="2230"/>
      <c r="BE71" s="2230"/>
      <c r="BF71" s="2230"/>
      <c r="BG71" s="2230"/>
      <c r="BH71" s="2230"/>
      <c r="BI71" s="2230"/>
      <c r="BJ71" s="2230"/>
      <c r="BK71" s="2230"/>
      <c r="BL71" s="4593"/>
      <c r="BM71" s="4593"/>
      <c r="BN71" s="150"/>
      <c r="BO71" s="150"/>
      <c r="BP71" s="151"/>
    </row>
    <row r="72" spans="1:68" ht="15.75" x14ac:dyDescent="0.25">
      <c r="A72" s="141"/>
      <c r="B72" s="1"/>
      <c r="C72" s="1"/>
      <c r="D72" s="1"/>
      <c r="E72" s="1"/>
      <c r="F72" s="1"/>
      <c r="G72" s="1"/>
      <c r="H72" s="1"/>
      <c r="I72" s="1010"/>
      <c r="J72" s="1011"/>
      <c r="K72" s="18"/>
      <c r="L72" s="18"/>
      <c r="M72" s="147"/>
      <c r="N72" s="148"/>
      <c r="O72" s="158"/>
      <c r="P72" s="1015"/>
      <c r="Q72" s="163"/>
      <c r="R72" s="2209"/>
      <c r="S72" s="2209"/>
      <c r="T72" s="4359"/>
      <c r="U72" s="4361"/>
      <c r="V72" s="4361"/>
      <c r="W72" s="4361"/>
      <c r="X72" s="147"/>
      <c r="Y72" s="148"/>
      <c r="Z72" s="2230"/>
      <c r="AA72" s="2230"/>
      <c r="AB72" s="2230"/>
      <c r="AC72" s="2230"/>
      <c r="AD72" s="2230"/>
      <c r="AE72" s="2230"/>
      <c r="AF72" s="2230"/>
      <c r="AG72" s="2230"/>
      <c r="AH72" s="2230"/>
      <c r="AI72" s="2230"/>
      <c r="AJ72" s="2230"/>
      <c r="AK72" s="2230"/>
      <c r="AL72" s="2230"/>
      <c r="AM72" s="2230"/>
      <c r="AN72" s="2230"/>
      <c r="AO72" s="2230"/>
      <c r="AP72" s="2230"/>
      <c r="AQ72" s="2230"/>
      <c r="AR72" s="2230"/>
      <c r="AS72" s="2230"/>
      <c r="AT72" s="2230"/>
      <c r="AU72" s="2230"/>
      <c r="AV72" s="2230"/>
      <c r="AW72" s="2230"/>
      <c r="AX72" s="2230"/>
      <c r="AY72" s="2230"/>
      <c r="AZ72" s="2230"/>
      <c r="BA72" s="2230"/>
      <c r="BB72" s="2230"/>
      <c r="BC72" s="2230"/>
      <c r="BD72" s="2230"/>
      <c r="BE72" s="2230"/>
      <c r="BF72" s="2230"/>
      <c r="BG72" s="2230"/>
      <c r="BH72" s="2230"/>
      <c r="BI72" s="2230"/>
      <c r="BJ72" s="2230"/>
      <c r="BK72" s="2230"/>
      <c r="BL72" s="4593"/>
      <c r="BM72" s="4593"/>
      <c r="BN72" s="150"/>
      <c r="BO72" s="150"/>
      <c r="BP72" s="151"/>
    </row>
    <row r="73" spans="1:68" ht="15.75" x14ac:dyDescent="0.25">
      <c r="A73" s="141"/>
      <c r="B73" s="125"/>
      <c r="C73" s="125"/>
      <c r="D73" s="125"/>
      <c r="E73" s="125"/>
      <c r="F73" s="1016"/>
      <c r="G73" s="125"/>
      <c r="H73" s="1936"/>
      <c r="I73" s="1"/>
      <c r="J73" s="1011"/>
      <c r="K73" s="18"/>
      <c r="L73" s="18"/>
      <c r="M73" s="147"/>
      <c r="N73" s="148"/>
      <c r="O73" s="158"/>
      <c r="P73" s="1015"/>
      <c r="Q73" s="163"/>
      <c r="R73" s="2209"/>
      <c r="S73" s="2209"/>
      <c r="T73" s="4359"/>
      <c r="U73" s="4361"/>
      <c r="V73" s="4361"/>
      <c r="W73" s="4361"/>
      <c r="X73" s="147"/>
      <c r="Y73" s="148"/>
      <c r="Z73" s="2230"/>
      <c r="AA73" s="2230"/>
      <c r="AB73" s="2230"/>
      <c r="AC73" s="2230"/>
      <c r="AD73" s="2230"/>
      <c r="AE73" s="2230"/>
      <c r="AF73" s="2230"/>
      <c r="AG73" s="2230"/>
      <c r="AH73" s="2230"/>
      <c r="AI73" s="2230"/>
      <c r="AJ73" s="2230"/>
      <c r="AK73" s="2230"/>
      <c r="AL73" s="2230"/>
      <c r="AM73" s="2230"/>
      <c r="AN73" s="2230"/>
      <c r="AO73" s="2230"/>
      <c r="AP73" s="2230"/>
      <c r="AQ73" s="2230"/>
      <c r="AR73" s="2230"/>
      <c r="AS73" s="2230"/>
      <c r="AT73" s="2230"/>
      <c r="AU73" s="2230"/>
      <c r="AV73" s="2230"/>
      <c r="AW73" s="2230"/>
      <c r="AX73" s="2230"/>
      <c r="AY73" s="2230"/>
      <c r="AZ73" s="2230"/>
      <c r="BA73" s="2230"/>
      <c r="BB73" s="2230"/>
      <c r="BC73" s="2230"/>
      <c r="BD73" s="2230"/>
      <c r="BE73" s="2230"/>
      <c r="BF73" s="2230"/>
      <c r="BG73" s="2230"/>
      <c r="BH73" s="2230"/>
      <c r="BI73" s="2230"/>
      <c r="BJ73" s="2230"/>
      <c r="BK73" s="2230"/>
      <c r="BL73" s="4593"/>
      <c r="BM73" s="4593"/>
      <c r="BN73" s="150"/>
      <c r="BO73" s="150"/>
      <c r="BP73" s="151"/>
    </row>
    <row r="74" spans="1:68" ht="15.75" x14ac:dyDescent="0.25">
      <c r="A74" s="1"/>
      <c r="B74" s="4594"/>
      <c r="C74" s="4595"/>
      <c r="D74" s="4596" t="s">
        <v>2517</v>
      </c>
      <c r="E74" s="4596"/>
      <c r="F74" s="4596"/>
      <c r="G74" s="1"/>
      <c r="H74" s="1"/>
      <c r="I74" s="1"/>
      <c r="J74" s="1"/>
      <c r="K74" s="2195"/>
      <c r="L74" s="2195"/>
      <c r="M74" s="2195"/>
      <c r="N74" s="2195"/>
      <c r="O74" s="158"/>
      <c r="P74" s="1015"/>
      <c r="Q74" s="163"/>
      <c r="R74" s="2209"/>
      <c r="S74" s="2209"/>
      <c r="T74" s="4359"/>
      <c r="U74" s="4361"/>
      <c r="V74" s="4361"/>
      <c r="W74" s="4361"/>
      <c r="X74" s="147"/>
      <c r="Y74" s="148"/>
      <c r="Z74" s="2230"/>
      <c r="AA74" s="2230"/>
      <c r="AB74" s="2230"/>
      <c r="AC74" s="2230"/>
      <c r="AD74" s="2230"/>
      <c r="AE74" s="2230"/>
      <c r="AF74" s="2230"/>
      <c r="AG74" s="2230"/>
      <c r="AH74" s="2230"/>
      <c r="AI74" s="2230"/>
      <c r="AJ74" s="2230"/>
      <c r="AK74" s="2230"/>
      <c r="AL74" s="2230"/>
      <c r="AM74" s="2230"/>
      <c r="AN74" s="2230"/>
      <c r="AO74" s="2230"/>
      <c r="AP74" s="2230"/>
      <c r="AQ74" s="2230"/>
      <c r="AR74" s="2230"/>
      <c r="AS74" s="2230"/>
      <c r="AT74" s="2230"/>
      <c r="AU74" s="2230"/>
      <c r="AV74" s="2230"/>
      <c r="AW74" s="2230"/>
      <c r="AX74" s="2230"/>
      <c r="AY74" s="2230"/>
      <c r="AZ74" s="2230"/>
      <c r="BA74" s="2230"/>
      <c r="BB74" s="2230"/>
      <c r="BC74" s="2230"/>
      <c r="BD74" s="2230"/>
      <c r="BE74" s="2230"/>
      <c r="BF74" s="2230"/>
      <c r="BG74" s="2230"/>
      <c r="BH74" s="2230"/>
      <c r="BI74" s="2230"/>
      <c r="BJ74" s="2230"/>
      <c r="BK74" s="2230"/>
      <c r="BL74" s="4593"/>
      <c r="BM74" s="4593"/>
      <c r="BN74" s="150"/>
      <c r="BO74" s="150"/>
      <c r="BP74" s="151"/>
    </row>
    <row r="75" spans="1:68" ht="15.75" x14ac:dyDescent="0.25">
      <c r="A75" s="1"/>
      <c r="B75" s="1019"/>
      <c r="C75" s="156"/>
      <c r="D75" s="2195" t="s">
        <v>2518</v>
      </c>
      <c r="E75" s="2195"/>
      <c r="F75" s="2195"/>
      <c r="G75" s="1"/>
      <c r="H75" s="1"/>
      <c r="I75" s="1"/>
      <c r="J75" s="1"/>
      <c r="K75" s="144"/>
      <c r="L75" s="144"/>
      <c r="M75" s="144"/>
      <c r="N75" s="144"/>
      <c r="O75" s="1"/>
      <c r="P75" s="1"/>
      <c r="Q75" s="1"/>
      <c r="R75" s="151"/>
      <c r="S75" s="1"/>
      <c r="T75" s="151"/>
      <c r="U75" s="1"/>
      <c r="V75" s="1"/>
      <c r="W75" s="1"/>
      <c r="X75" s="147"/>
      <c r="Y75" s="148"/>
      <c r="Z75" s="2230"/>
      <c r="AA75" s="2230"/>
      <c r="AB75" s="2230"/>
      <c r="AC75" s="2230"/>
      <c r="AD75" s="2230"/>
      <c r="AE75" s="2230"/>
      <c r="AF75" s="2230"/>
      <c r="AG75" s="2230"/>
      <c r="AH75" s="2230"/>
      <c r="AI75" s="2230"/>
      <c r="AJ75" s="2230"/>
      <c r="AK75" s="2230"/>
      <c r="AL75" s="2230"/>
      <c r="AM75" s="2230"/>
      <c r="AN75" s="2230"/>
      <c r="AO75" s="2230"/>
      <c r="AP75" s="2230"/>
      <c r="AQ75" s="2230"/>
      <c r="AR75" s="2230"/>
      <c r="AS75" s="2230"/>
      <c r="AT75" s="2230"/>
      <c r="AU75" s="2230"/>
      <c r="AV75" s="2230"/>
      <c r="AW75" s="2230"/>
      <c r="AX75" s="2230"/>
      <c r="AY75" s="2230"/>
      <c r="AZ75" s="2230"/>
      <c r="BA75" s="2230"/>
      <c r="BB75" s="2230"/>
      <c r="BC75" s="2230"/>
      <c r="BD75" s="2230"/>
      <c r="BE75" s="2230"/>
      <c r="BF75" s="2230"/>
      <c r="BG75" s="2230"/>
      <c r="BH75" s="2230"/>
      <c r="BI75" s="2230"/>
      <c r="BJ75" s="2230"/>
      <c r="BK75" s="2230"/>
      <c r="BL75" s="4593"/>
      <c r="BM75" s="4593"/>
      <c r="BN75" s="150"/>
      <c r="BO75" s="150"/>
      <c r="BP75" s="151"/>
    </row>
    <row r="76" spans="1:68" ht="15.75" x14ac:dyDescent="0.25">
      <c r="C76" s="144"/>
      <c r="D76" s="2195"/>
      <c r="E76" s="2195"/>
      <c r="F76" s="2195"/>
      <c r="G76" s="2195"/>
      <c r="H76" s="2195"/>
      <c r="I76" s="2195"/>
      <c r="J76" s="144"/>
      <c r="K76" s="144"/>
      <c r="L76" s="144"/>
      <c r="M76" s="144"/>
      <c r="N76" s="144"/>
    </row>
    <row r="77" spans="1:68" x14ac:dyDescent="0.25">
      <c r="C77" s="15"/>
      <c r="D77" s="147"/>
      <c r="E77" s="697"/>
      <c r="F77" s="692"/>
      <c r="G77" s="4598"/>
      <c r="H77" s="4598"/>
      <c r="I77" s="695"/>
      <c r="J77" s="165"/>
      <c r="K77" s="165"/>
      <c r="L77" s="165"/>
      <c r="M77" s="165"/>
      <c r="N77" s="702"/>
    </row>
  </sheetData>
  <sheetProtection password="A60F" sheet="1" objects="1" scenarios="1"/>
  <mergeCells count="525">
    <mergeCell ref="BP65:BP68"/>
    <mergeCell ref="BI65:BI68"/>
    <mergeCell ref="BK65:BK68"/>
    <mergeCell ref="BL65:BL68"/>
    <mergeCell ref="BM65:BM68"/>
    <mergeCell ref="BN65:BN68"/>
    <mergeCell ref="BO65:BO68"/>
    <mergeCell ref="BC65:BC68"/>
    <mergeCell ref="BD65:BD68"/>
    <mergeCell ref="BE65:BE68"/>
    <mergeCell ref="BF65:BF68"/>
    <mergeCell ref="BG65:BG68"/>
    <mergeCell ref="BH65:BH68"/>
    <mergeCell ref="AW65:AW68"/>
    <mergeCell ref="AX65:AX68"/>
    <mergeCell ref="AY65:AY68"/>
    <mergeCell ref="AZ65:AZ68"/>
    <mergeCell ref="BA65:BA68"/>
    <mergeCell ref="BB65:BB68"/>
    <mergeCell ref="AQ65:AQ68"/>
    <mergeCell ref="AR65:AR68"/>
    <mergeCell ref="AS65:AS68"/>
    <mergeCell ref="AT65:AT68"/>
    <mergeCell ref="AU65:AU68"/>
    <mergeCell ref="AV65:AV68"/>
    <mergeCell ref="AK65:AK68"/>
    <mergeCell ref="AL65:AL68"/>
    <mergeCell ref="AM65:AM68"/>
    <mergeCell ref="AN65:AN68"/>
    <mergeCell ref="AO65:AO68"/>
    <mergeCell ref="AP65:AP68"/>
    <mergeCell ref="AE65:AE68"/>
    <mergeCell ref="AF65:AF68"/>
    <mergeCell ref="AG65:AG68"/>
    <mergeCell ref="AH65:AH68"/>
    <mergeCell ref="AI65:AI68"/>
    <mergeCell ref="AJ65:AJ68"/>
    <mergeCell ref="T65:T68"/>
    <mergeCell ref="Z65:Z68"/>
    <mergeCell ref="AA65:AA68"/>
    <mergeCell ref="AB65:AB68"/>
    <mergeCell ref="AC65:AC68"/>
    <mergeCell ref="AD65:AD68"/>
    <mergeCell ref="N65:N68"/>
    <mergeCell ref="O65:O68"/>
    <mergeCell ref="P65:P68"/>
    <mergeCell ref="Q65:Q68"/>
    <mergeCell ref="R65:R68"/>
    <mergeCell ref="S65:S68"/>
    <mergeCell ref="BP59:BP64"/>
    <mergeCell ref="T60:T61"/>
    <mergeCell ref="F63:F69"/>
    <mergeCell ref="T63:T64"/>
    <mergeCell ref="G65:G68"/>
    <mergeCell ref="H65:H68"/>
    <mergeCell ref="I65:I68"/>
    <mergeCell ref="J65:J68"/>
    <mergeCell ref="K65:K68"/>
    <mergeCell ref="L65:L68"/>
    <mergeCell ref="BI59:BI64"/>
    <mergeCell ref="BK59:BK64"/>
    <mergeCell ref="BL59:BL64"/>
    <mergeCell ref="BM59:BM64"/>
    <mergeCell ref="BN59:BN64"/>
    <mergeCell ref="BO59:BO64"/>
    <mergeCell ref="BC59:BC64"/>
    <mergeCell ref="BD59:BD64"/>
    <mergeCell ref="BE59:BE64"/>
    <mergeCell ref="BF59:BF64"/>
    <mergeCell ref="BG59:BG64"/>
    <mergeCell ref="BH59:BH64"/>
    <mergeCell ref="AW59:AW64"/>
    <mergeCell ref="AX59:AX64"/>
    <mergeCell ref="AY59:AY64"/>
    <mergeCell ref="AZ59:AZ64"/>
    <mergeCell ref="BA59:BA64"/>
    <mergeCell ref="BB59:BB64"/>
    <mergeCell ref="AQ59:AQ64"/>
    <mergeCell ref="AR59:AR64"/>
    <mergeCell ref="AS59:AS64"/>
    <mergeCell ref="AT59:AT64"/>
    <mergeCell ref="AU59:AU64"/>
    <mergeCell ref="AV59:AV64"/>
    <mergeCell ref="AK59:AK64"/>
    <mergeCell ref="AL59:AL64"/>
    <mergeCell ref="AM59:AM64"/>
    <mergeCell ref="AN59:AN64"/>
    <mergeCell ref="AO59:AO64"/>
    <mergeCell ref="AP59:AP64"/>
    <mergeCell ref="AE59:AE64"/>
    <mergeCell ref="AF59:AF64"/>
    <mergeCell ref="AG59:AG64"/>
    <mergeCell ref="AH59:AH64"/>
    <mergeCell ref="AI59:AI64"/>
    <mergeCell ref="AJ59:AJ64"/>
    <mergeCell ref="S59:S64"/>
    <mergeCell ref="Z59:Z64"/>
    <mergeCell ref="AA59:AA64"/>
    <mergeCell ref="AB59:AB64"/>
    <mergeCell ref="AC59:AC64"/>
    <mergeCell ref="AD59:AD64"/>
    <mergeCell ref="L59:L64"/>
    <mergeCell ref="N59:N64"/>
    <mergeCell ref="O59:O64"/>
    <mergeCell ref="P59:P64"/>
    <mergeCell ref="Q59:Q64"/>
    <mergeCell ref="R59:R64"/>
    <mergeCell ref="P56:P57"/>
    <mergeCell ref="S56:S57"/>
    <mergeCell ref="T56:T57"/>
    <mergeCell ref="D59:D69"/>
    <mergeCell ref="E59:E69"/>
    <mergeCell ref="G59:G64"/>
    <mergeCell ref="H59:H64"/>
    <mergeCell ref="I59:I64"/>
    <mergeCell ref="J59:J64"/>
    <mergeCell ref="K59:K64"/>
    <mergeCell ref="G56:G57"/>
    <mergeCell ref="H56:H57"/>
    <mergeCell ref="I56:I57"/>
    <mergeCell ref="J56:J57"/>
    <mergeCell ref="K56:K57"/>
    <mergeCell ref="L56:L57"/>
    <mergeCell ref="G52:G55"/>
    <mergeCell ref="H52:H55"/>
    <mergeCell ref="I52:I55"/>
    <mergeCell ref="J52:J55"/>
    <mergeCell ref="K52:K55"/>
    <mergeCell ref="L52:L55"/>
    <mergeCell ref="BM35:BM57"/>
    <mergeCell ref="BN35:BN57"/>
    <mergeCell ref="BO35:BO57"/>
    <mergeCell ref="BP35:BP57"/>
    <mergeCell ref="J49:J51"/>
    <mergeCell ref="K49:K51"/>
    <mergeCell ref="L49:L51"/>
    <mergeCell ref="P49:P51"/>
    <mergeCell ref="P52:P55"/>
    <mergeCell ref="S52:S55"/>
    <mergeCell ref="BF35:BF57"/>
    <mergeCell ref="BG35:BG57"/>
    <mergeCell ref="BH35:BH57"/>
    <mergeCell ref="BI35:BI57"/>
    <mergeCell ref="BK35:BK57"/>
    <mergeCell ref="BL35:BL57"/>
    <mergeCell ref="AZ35:AZ57"/>
    <mergeCell ref="BA35:BA57"/>
    <mergeCell ref="BB35:BB57"/>
    <mergeCell ref="BC35:BC57"/>
    <mergeCell ref="BD35:BD57"/>
    <mergeCell ref="BE35:BE57"/>
    <mergeCell ref="AT35:AT57"/>
    <mergeCell ref="AU35:AU57"/>
    <mergeCell ref="AV35:AV57"/>
    <mergeCell ref="AW35:AW57"/>
    <mergeCell ref="AX35:AX57"/>
    <mergeCell ref="AY35:AY57"/>
    <mergeCell ref="AN35:AN57"/>
    <mergeCell ref="AO35:AO57"/>
    <mergeCell ref="AP35:AP57"/>
    <mergeCell ref="AQ35:AQ57"/>
    <mergeCell ref="AR35:AR57"/>
    <mergeCell ref="AS35:AS57"/>
    <mergeCell ref="AH35:AH57"/>
    <mergeCell ref="AI35:AI57"/>
    <mergeCell ref="AJ35:AJ57"/>
    <mergeCell ref="AK35:AK57"/>
    <mergeCell ref="AL35:AL57"/>
    <mergeCell ref="AM35:AM57"/>
    <mergeCell ref="AB35:AB57"/>
    <mergeCell ref="AC35:AC57"/>
    <mergeCell ref="AD35:AD57"/>
    <mergeCell ref="AE35:AE57"/>
    <mergeCell ref="AF35:AF57"/>
    <mergeCell ref="AG35:AG57"/>
    <mergeCell ref="Q35:Q57"/>
    <mergeCell ref="R35:R57"/>
    <mergeCell ref="S35:S51"/>
    <mergeCell ref="T35:T51"/>
    <mergeCell ref="Z35:Z57"/>
    <mergeCell ref="AA35:AA57"/>
    <mergeCell ref="T52:T55"/>
    <mergeCell ref="BP30:BP34"/>
    <mergeCell ref="G35:G51"/>
    <mergeCell ref="H35:H51"/>
    <mergeCell ref="I35:I51"/>
    <mergeCell ref="J35:J48"/>
    <mergeCell ref="K35:K48"/>
    <mergeCell ref="L35:L48"/>
    <mergeCell ref="N35:N57"/>
    <mergeCell ref="O35:O57"/>
    <mergeCell ref="P35:P48"/>
    <mergeCell ref="BI30:BI34"/>
    <mergeCell ref="BK30:BK34"/>
    <mergeCell ref="BL30:BL34"/>
    <mergeCell ref="BM30:BM34"/>
    <mergeCell ref="BN30:BN34"/>
    <mergeCell ref="BO30:BO34"/>
    <mergeCell ref="BC30:BC34"/>
    <mergeCell ref="BD30:BD34"/>
    <mergeCell ref="BE30:BE34"/>
    <mergeCell ref="BF30:BF34"/>
    <mergeCell ref="BG30:BG34"/>
    <mergeCell ref="BH30:BH34"/>
    <mergeCell ref="AW30:AW34"/>
    <mergeCell ref="AX30:AX34"/>
    <mergeCell ref="AY30:AY34"/>
    <mergeCell ref="AZ30:AZ34"/>
    <mergeCell ref="BA30:BA34"/>
    <mergeCell ref="BB30:BB34"/>
    <mergeCell ref="AQ30:AQ34"/>
    <mergeCell ref="AR30:AR34"/>
    <mergeCell ref="AS30:AS34"/>
    <mergeCell ref="AT30:AT34"/>
    <mergeCell ref="AU30:AU34"/>
    <mergeCell ref="AV30:AV34"/>
    <mergeCell ref="AK30:AK34"/>
    <mergeCell ref="AL30:AL34"/>
    <mergeCell ref="AM30:AM34"/>
    <mergeCell ref="AN30:AN34"/>
    <mergeCell ref="AO30:AO34"/>
    <mergeCell ref="AP30:AP34"/>
    <mergeCell ref="AE30:AE34"/>
    <mergeCell ref="AF30:AF34"/>
    <mergeCell ref="AG30:AG34"/>
    <mergeCell ref="AH30:AH34"/>
    <mergeCell ref="AI30:AI34"/>
    <mergeCell ref="AJ30:AJ34"/>
    <mergeCell ref="T30:T34"/>
    <mergeCell ref="Z30:Z34"/>
    <mergeCell ref="AA30:AA34"/>
    <mergeCell ref="AB30:AB34"/>
    <mergeCell ref="AC30:AC34"/>
    <mergeCell ref="AD30:AD34"/>
    <mergeCell ref="N30:N34"/>
    <mergeCell ref="O30:O34"/>
    <mergeCell ref="P30:P34"/>
    <mergeCell ref="Q30:Q34"/>
    <mergeCell ref="R30:R34"/>
    <mergeCell ref="S30:S34"/>
    <mergeCell ref="G30:G34"/>
    <mergeCell ref="H30:H34"/>
    <mergeCell ref="I30:I34"/>
    <mergeCell ref="J30:J34"/>
    <mergeCell ref="K30:K34"/>
    <mergeCell ref="L30:L34"/>
    <mergeCell ref="BK28:BK29"/>
    <mergeCell ref="BL28:BL29"/>
    <mergeCell ref="BM28:BM29"/>
    <mergeCell ref="BN28:BN29"/>
    <mergeCell ref="BO28:BO29"/>
    <mergeCell ref="BP28:BP29"/>
    <mergeCell ref="BD28:BD29"/>
    <mergeCell ref="BE28:BE29"/>
    <mergeCell ref="BF28:BF29"/>
    <mergeCell ref="BG28:BG29"/>
    <mergeCell ref="BH28:BH29"/>
    <mergeCell ref="BI28:BI29"/>
    <mergeCell ref="AX28:AX29"/>
    <mergeCell ref="AY28:AY29"/>
    <mergeCell ref="AZ28:AZ29"/>
    <mergeCell ref="BA28:BA29"/>
    <mergeCell ref="BB28:BB29"/>
    <mergeCell ref="BC28:BC29"/>
    <mergeCell ref="AR28:AR29"/>
    <mergeCell ref="AS28:AS29"/>
    <mergeCell ref="AT28:AT29"/>
    <mergeCell ref="AU28:AU29"/>
    <mergeCell ref="AV28:AV29"/>
    <mergeCell ref="AW28:AW29"/>
    <mergeCell ref="AL28:AL29"/>
    <mergeCell ref="AM28:AM29"/>
    <mergeCell ref="AN28:AN29"/>
    <mergeCell ref="AO28:AO29"/>
    <mergeCell ref="AP28:AP29"/>
    <mergeCell ref="AQ28:AQ29"/>
    <mergeCell ref="AF28:AF29"/>
    <mergeCell ref="AG28:AG29"/>
    <mergeCell ref="AH28:AH29"/>
    <mergeCell ref="AI28:AI29"/>
    <mergeCell ref="AJ28:AJ29"/>
    <mergeCell ref="AK28:AK29"/>
    <mergeCell ref="Z28:Z29"/>
    <mergeCell ref="AA28:AA29"/>
    <mergeCell ref="AB28:AB29"/>
    <mergeCell ref="AC28:AC29"/>
    <mergeCell ref="AD28:AD29"/>
    <mergeCell ref="AE28:AE29"/>
    <mergeCell ref="N28:N29"/>
    <mergeCell ref="O28:O29"/>
    <mergeCell ref="Q28:Q29"/>
    <mergeCell ref="R28:R29"/>
    <mergeCell ref="S28:S29"/>
    <mergeCell ref="T28:T29"/>
    <mergeCell ref="BM21:BM27"/>
    <mergeCell ref="BN21:BN27"/>
    <mergeCell ref="BO21:BO27"/>
    <mergeCell ref="BP21:BP27"/>
    <mergeCell ref="T23:T24"/>
    <mergeCell ref="T25:T27"/>
    <mergeCell ref="BF21:BF27"/>
    <mergeCell ref="BG21:BG27"/>
    <mergeCell ref="BH21:BH27"/>
    <mergeCell ref="BI21:BI27"/>
    <mergeCell ref="BK21:BK27"/>
    <mergeCell ref="BL21:BL27"/>
    <mergeCell ref="AZ21:AZ27"/>
    <mergeCell ref="BA21:BA27"/>
    <mergeCell ref="BB21:BB27"/>
    <mergeCell ref="BC21:BC27"/>
    <mergeCell ref="BD21:BD27"/>
    <mergeCell ref="BE21:BE27"/>
    <mergeCell ref="AT21:AT27"/>
    <mergeCell ref="AU21:AU27"/>
    <mergeCell ref="AV21:AV27"/>
    <mergeCell ref="AW21:AW27"/>
    <mergeCell ref="AX21:AX27"/>
    <mergeCell ref="AY21:AY27"/>
    <mergeCell ref="AN21:AN27"/>
    <mergeCell ref="AO21:AO27"/>
    <mergeCell ref="AP21:AP27"/>
    <mergeCell ref="AQ21:AQ27"/>
    <mergeCell ref="AR21:AR27"/>
    <mergeCell ref="AS21:AS27"/>
    <mergeCell ref="AH21:AH27"/>
    <mergeCell ref="AI21:AI27"/>
    <mergeCell ref="AJ21:AJ27"/>
    <mergeCell ref="AK21:AK27"/>
    <mergeCell ref="AL21:AL27"/>
    <mergeCell ref="AM21:AM27"/>
    <mergeCell ref="AB21:AB27"/>
    <mergeCell ref="AC21:AC27"/>
    <mergeCell ref="AD21:AD27"/>
    <mergeCell ref="AE21:AE27"/>
    <mergeCell ref="AF21:AF27"/>
    <mergeCell ref="AG21:AG27"/>
    <mergeCell ref="Q21:Q27"/>
    <mergeCell ref="R21:R27"/>
    <mergeCell ref="S21:S27"/>
    <mergeCell ref="T21:T22"/>
    <mergeCell ref="Z21:Z27"/>
    <mergeCell ref="AA21:AA27"/>
    <mergeCell ref="BP18:BP20"/>
    <mergeCell ref="G21:G26"/>
    <mergeCell ref="H21:H26"/>
    <mergeCell ref="I21:I26"/>
    <mergeCell ref="J21:J26"/>
    <mergeCell ref="K21:K26"/>
    <mergeCell ref="L21:L26"/>
    <mergeCell ref="N21:N27"/>
    <mergeCell ref="O21:O27"/>
    <mergeCell ref="P21:P26"/>
    <mergeCell ref="BI18:BI20"/>
    <mergeCell ref="BK18:BK20"/>
    <mergeCell ref="BL18:BL20"/>
    <mergeCell ref="BM18:BM20"/>
    <mergeCell ref="BN18:BN20"/>
    <mergeCell ref="BO18:BO20"/>
    <mergeCell ref="BC18:BC20"/>
    <mergeCell ref="BD18:BD20"/>
    <mergeCell ref="BE18:BE20"/>
    <mergeCell ref="BF18:BF20"/>
    <mergeCell ref="BG18:BG20"/>
    <mergeCell ref="BH18:BH20"/>
    <mergeCell ref="AW18:AW20"/>
    <mergeCell ref="AX18:AX20"/>
    <mergeCell ref="AY18:AY20"/>
    <mergeCell ref="AZ18:AZ20"/>
    <mergeCell ref="BA18:BA20"/>
    <mergeCell ref="BB18:BB20"/>
    <mergeCell ref="AQ18:AQ20"/>
    <mergeCell ref="AR18:AR20"/>
    <mergeCell ref="AS18:AS20"/>
    <mergeCell ref="AT18:AT20"/>
    <mergeCell ref="AU18:AU20"/>
    <mergeCell ref="AV18:AV20"/>
    <mergeCell ref="AK18:AK20"/>
    <mergeCell ref="AL18:AL20"/>
    <mergeCell ref="AM18:AM20"/>
    <mergeCell ref="AN18:AN20"/>
    <mergeCell ref="AO18:AO20"/>
    <mergeCell ref="AP18:AP20"/>
    <mergeCell ref="AE18:AE20"/>
    <mergeCell ref="AF18:AF20"/>
    <mergeCell ref="AG18:AG20"/>
    <mergeCell ref="AH18:AH20"/>
    <mergeCell ref="AI18:AI20"/>
    <mergeCell ref="AJ18:AJ20"/>
    <mergeCell ref="T18:T20"/>
    <mergeCell ref="Z18:Z20"/>
    <mergeCell ref="AA18:AA20"/>
    <mergeCell ref="AB18:AB20"/>
    <mergeCell ref="AC18:AC20"/>
    <mergeCell ref="AD18:AD20"/>
    <mergeCell ref="N18:N20"/>
    <mergeCell ref="O18:O20"/>
    <mergeCell ref="P18:P20"/>
    <mergeCell ref="Q18:Q20"/>
    <mergeCell ref="R18:R20"/>
    <mergeCell ref="S18:S20"/>
    <mergeCell ref="G18:G20"/>
    <mergeCell ref="H18:H20"/>
    <mergeCell ref="I18:I20"/>
    <mergeCell ref="J18:J20"/>
    <mergeCell ref="K18:K20"/>
    <mergeCell ref="L18:L20"/>
    <mergeCell ref="BN12:BN17"/>
    <mergeCell ref="BO12:BO17"/>
    <mergeCell ref="BP12:BP17"/>
    <mergeCell ref="G14:G17"/>
    <mergeCell ref="H14:H17"/>
    <mergeCell ref="I14:I17"/>
    <mergeCell ref="J14:J17"/>
    <mergeCell ref="K14:K17"/>
    <mergeCell ref="L14:L17"/>
    <mergeCell ref="P14:P17"/>
    <mergeCell ref="BG12:BG17"/>
    <mergeCell ref="BH12:BH17"/>
    <mergeCell ref="BI12:BI17"/>
    <mergeCell ref="BK12:BK17"/>
    <mergeCell ref="BL12:BL17"/>
    <mergeCell ref="BM12:BM17"/>
    <mergeCell ref="BA12:BA17"/>
    <mergeCell ref="BB12:BB17"/>
    <mergeCell ref="BC12:BC17"/>
    <mergeCell ref="BD12:BD17"/>
    <mergeCell ref="BE12:BE17"/>
    <mergeCell ref="BF12:BF17"/>
    <mergeCell ref="AU12:AU17"/>
    <mergeCell ref="AV12:AV17"/>
    <mergeCell ref="AW12:AW17"/>
    <mergeCell ref="AX12:AX17"/>
    <mergeCell ref="AY12:AY17"/>
    <mergeCell ref="AZ12:AZ17"/>
    <mergeCell ref="AO12:AO17"/>
    <mergeCell ref="AP12:AP17"/>
    <mergeCell ref="AQ12:AQ17"/>
    <mergeCell ref="AR12:AR17"/>
    <mergeCell ref="AS12:AS17"/>
    <mergeCell ref="AT12:AT17"/>
    <mergeCell ref="AI12:AI17"/>
    <mergeCell ref="AJ12:AJ17"/>
    <mergeCell ref="AK12:AK17"/>
    <mergeCell ref="AL12:AL17"/>
    <mergeCell ref="AM12:AM17"/>
    <mergeCell ref="AN12:AN17"/>
    <mergeCell ref="AC12:AC17"/>
    <mergeCell ref="AD12:AD17"/>
    <mergeCell ref="AE12:AE17"/>
    <mergeCell ref="AF12:AF17"/>
    <mergeCell ref="AG12:AG17"/>
    <mergeCell ref="AH12:AH17"/>
    <mergeCell ref="R12:R17"/>
    <mergeCell ref="S12:S17"/>
    <mergeCell ref="T12:T14"/>
    <mergeCell ref="Z12:Z17"/>
    <mergeCell ref="AA12:AA17"/>
    <mergeCell ref="AB12:AB17"/>
    <mergeCell ref="T16:T17"/>
    <mergeCell ref="K12:K13"/>
    <mergeCell ref="L12:L13"/>
    <mergeCell ref="N12:N17"/>
    <mergeCell ref="O12:O17"/>
    <mergeCell ref="P12:P13"/>
    <mergeCell ref="Q12:Q17"/>
    <mergeCell ref="D12:D13"/>
    <mergeCell ref="E12:E13"/>
    <mergeCell ref="G12:G13"/>
    <mergeCell ref="H12:H13"/>
    <mergeCell ref="I12:I13"/>
    <mergeCell ref="J12:J13"/>
    <mergeCell ref="BF8:BF9"/>
    <mergeCell ref="BG8:BG9"/>
    <mergeCell ref="BH8:BH9"/>
    <mergeCell ref="BI8:BI9"/>
    <mergeCell ref="BJ8:BJ9"/>
    <mergeCell ref="BK8:BK9"/>
    <mergeCell ref="AR8:AS8"/>
    <mergeCell ref="AT8:AU8"/>
    <mergeCell ref="AV8:AW8"/>
    <mergeCell ref="AX8:AY8"/>
    <mergeCell ref="AZ8:BA8"/>
    <mergeCell ref="BB8:BC8"/>
    <mergeCell ref="BD7:BE8"/>
    <mergeCell ref="BF7:BK7"/>
    <mergeCell ref="BL7:BM8"/>
    <mergeCell ref="BN7:BO8"/>
    <mergeCell ref="BP7:BP8"/>
    <mergeCell ref="Z8:AA8"/>
    <mergeCell ref="AB8:AC8"/>
    <mergeCell ref="AD8:AE8"/>
    <mergeCell ref="AF8:AG8"/>
    <mergeCell ref="AH8:AI8"/>
    <mergeCell ref="X7:X8"/>
    <mergeCell ref="Y7:Y8"/>
    <mergeCell ref="Z7:AC7"/>
    <mergeCell ref="AD7:AK7"/>
    <mergeCell ref="AL7:AW7"/>
    <mergeCell ref="AX7:BC7"/>
    <mergeCell ref="AJ8:AK8"/>
    <mergeCell ref="AL8:AM8"/>
    <mergeCell ref="AN8:AO8"/>
    <mergeCell ref="AP8:AQ8"/>
    <mergeCell ref="P7:P8"/>
    <mergeCell ref="Q7:Q8"/>
    <mergeCell ref="R7:R8"/>
    <mergeCell ref="S7:S8"/>
    <mergeCell ref="T7:T8"/>
    <mergeCell ref="U7:W7"/>
    <mergeCell ref="I7:I8"/>
    <mergeCell ref="J7:J8"/>
    <mergeCell ref="K7:L7"/>
    <mergeCell ref="M7:M8"/>
    <mergeCell ref="N7:N8"/>
    <mergeCell ref="O7:O8"/>
    <mergeCell ref="A1:BL4"/>
    <mergeCell ref="A5:K6"/>
    <mergeCell ref="M5:BP5"/>
    <mergeCell ref="Z6:BB6"/>
    <mergeCell ref="A7:A8"/>
    <mergeCell ref="B7:C8"/>
    <mergeCell ref="D7:D8"/>
    <mergeCell ref="E7:F8"/>
    <mergeCell ref="G7:G8"/>
    <mergeCell ref="H7:H8"/>
  </mergeCells>
  <pageMargins left="0.7" right="0.7" top="0.75" bottom="0.75" header="0.3" footer="0.3"/>
  <pageSetup scale="10" orientation="portrait" r:id="rId1"/>
  <colBreaks count="1" manualBreakCount="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X34"/>
  <sheetViews>
    <sheetView showGridLines="0" zoomScale="50" zoomScaleNormal="50" workbookViewId="0">
      <selection activeCell="I14" sqref="I14:I15"/>
    </sheetView>
  </sheetViews>
  <sheetFormatPr baseColWidth="10" defaultRowHeight="15" x14ac:dyDescent="0.25"/>
  <cols>
    <col min="1" max="1" width="14" customWidth="1"/>
    <col min="4" max="4" width="12.85546875" customWidth="1"/>
    <col min="7" max="7" width="20.42578125" bestFit="1" customWidth="1"/>
    <col min="8" max="8" width="14.5703125" customWidth="1"/>
    <col min="9" max="9" width="33.5703125" customWidth="1"/>
    <col min="10" max="10" width="36.85546875" customWidth="1"/>
    <col min="11" max="14" width="15.7109375" customWidth="1"/>
    <col min="15" max="15" width="40.42578125" customWidth="1"/>
    <col min="16" max="16" width="15.7109375" customWidth="1"/>
    <col min="17" max="17" width="25.28515625" customWidth="1"/>
    <col min="18" max="18" width="25.85546875" customWidth="1"/>
    <col min="19" max="19" width="25.5703125" customWidth="1"/>
    <col min="20" max="21" width="34.42578125" customWidth="1"/>
    <col min="22" max="22" width="38.7109375" customWidth="1"/>
    <col min="23" max="23" width="27.28515625" customWidth="1"/>
    <col min="24" max="24" width="15.140625" customWidth="1"/>
    <col min="25" max="25" width="18.85546875" customWidth="1"/>
    <col min="33" max="34" width="11.42578125" customWidth="1"/>
    <col min="38" max="55" width="9.42578125" customWidth="1"/>
    <col min="58" max="58" width="18.28515625" customWidth="1"/>
    <col min="59" max="59" width="21.7109375" customWidth="1"/>
    <col min="60" max="60" width="23.140625" customWidth="1"/>
    <col min="61" max="61" width="18.85546875" customWidth="1"/>
    <col min="62" max="62" width="19.140625" customWidth="1"/>
    <col min="63" max="63" width="23.140625" customWidth="1"/>
    <col min="68" max="68" width="22" customWidth="1"/>
  </cols>
  <sheetData>
    <row r="1" spans="1:76" ht="18" customHeight="1" x14ac:dyDescent="0.25">
      <c r="A1" s="2241" t="s">
        <v>2332</v>
      </c>
      <c r="B1" s="2242"/>
      <c r="C1" s="2242"/>
      <c r="D1" s="2242"/>
      <c r="E1" s="2242"/>
      <c r="F1" s="2242"/>
      <c r="G1" s="2242"/>
      <c r="H1" s="2242"/>
      <c r="I1" s="2242"/>
      <c r="J1" s="2242"/>
      <c r="K1" s="2242"/>
      <c r="L1" s="2242"/>
      <c r="M1" s="2242"/>
      <c r="N1" s="2242"/>
      <c r="O1" s="2242"/>
      <c r="P1" s="2242"/>
      <c r="Q1" s="2242"/>
      <c r="R1" s="2242"/>
      <c r="S1" s="2242"/>
      <c r="T1" s="2242"/>
      <c r="U1" s="2242"/>
      <c r="V1" s="2242"/>
      <c r="W1" s="2242"/>
      <c r="X1" s="2242"/>
      <c r="Y1" s="2242"/>
      <c r="Z1" s="2242"/>
      <c r="AA1" s="2242"/>
      <c r="AB1" s="2242"/>
      <c r="AC1" s="2242"/>
      <c r="AD1" s="2242"/>
      <c r="AE1" s="2242"/>
      <c r="AF1" s="2242"/>
      <c r="AG1" s="2242"/>
      <c r="AH1" s="2242"/>
      <c r="AI1" s="2242"/>
      <c r="AJ1" s="2242"/>
      <c r="AK1" s="2242"/>
      <c r="AL1" s="2242"/>
      <c r="AM1" s="2242"/>
      <c r="AN1" s="2242"/>
      <c r="AO1" s="2242"/>
      <c r="AP1" s="2242"/>
      <c r="AQ1" s="2242"/>
      <c r="AR1" s="2242"/>
      <c r="AS1" s="2242"/>
      <c r="AT1" s="2242"/>
      <c r="AU1" s="2242"/>
      <c r="AV1" s="2242"/>
      <c r="AW1" s="2242"/>
      <c r="AX1" s="2242"/>
      <c r="AY1" s="2242"/>
      <c r="AZ1" s="2242"/>
      <c r="BA1" s="2242"/>
      <c r="BB1" s="2242"/>
      <c r="BC1" s="2242"/>
      <c r="BD1" s="2242"/>
      <c r="BE1" s="2242"/>
      <c r="BF1" s="2242"/>
      <c r="BG1" s="2242"/>
      <c r="BH1" s="2242"/>
      <c r="BI1" s="2242"/>
      <c r="BJ1" s="2242"/>
      <c r="BK1" s="2242"/>
      <c r="BL1" s="2242"/>
      <c r="BM1" s="2200"/>
      <c r="BO1" s="628" t="s">
        <v>29</v>
      </c>
      <c r="BP1" s="705" t="s">
        <v>336</v>
      </c>
      <c r="BQ1" s="15"/>
      <c r="BR1" s="15"/>
      <c r="BS1" s="15"/>
      <c r="BT1" s="15"/>
      <c r="BU1" s="15"/>
      <c r="BV1" s="15"/>
      <c r="BW1" s="15"/>
      <c r="BX1" s="15"/>
    </row>
    <row r="2" spans="1:76" x14ac:dyDescent="0.25">
      <c r="A2" s="2244"/>
      <c r="B2" s="3179"/>
      <c r="C2" s="3179"/>
      <c r="D2" s="3179"/>
      <c r="E2" s="3179"/>
      <c r="F2" s="3179"/>
      <c r="G2" s="3179"/>
      <c r="H2" s="3179"/>
      <c r="I2" s="3179"/>
      <c r="J2" s="3179"/>
      <c r="K2" s="3179"/>
      <c r="L2" s="3179"/>
      <c r="M2" s="3179"/>
      <c r="N2" s="3179"/>
      <c r="O2" s="3179"/>
      <c r="P2" s="3179"/>
      <c r="Q2" s="3179"/>
      <c r="R2" s="3179"/>
      <c r="S2" s="3179"/>
      <c r="T2" s="3179"/>
      <c r="U2" s="3179"/>
      <c r="V2" s="3179"/>
      <c r="W2" s="3179"/>
      <c r="X2" s="3179"/>
      <c r="Y2" s="3179"/>
      <c r="Z2" s="3179"/>
      <c r="AA2" s="3179"/>
      <c r="AB2" s="3179"/>
      <c r="AC2" s="3179"/>
      <c r="AD2" s="3179"/>
      <c r="AE2" s="3179"/>
      <c r="AF2" s="3179"/>
      <c r="AG2" s="3179"/>
      <c r="AH2" s="3179"/>
      <c r="AI2" s="3179"/>
      <c r="AJ2" s="3179"/>
      <c r="AK2" s="3179"/>
      <c r="AL2" s="3179"/>
      <c r="AM2" s="3179"/>
      <c r="AN2" s="3179"/>
      <c r="AO2" s="3179"/>
      <c r="AP2" s="3179"/>
      <c r="AQ2" s="3179"/>
      <c r="AR2" s="3179"/>
      <c r="AS2" s="3179"/>
      <c r="AT2" s="3179"/>
      <c r="AU2" s="3179"/>
      <c r="AV2" s="3179"/>
      <c r="AW2" s="3179"/>
      <c r="AX2" s="3179"/>
      <c r="AY2" s="3179"/>
      <c r="AZ2" s="3179"/>
      <c r="BA2" s="3179"/>
      <c r="BB2" s="3179"/>
      <c r="BC2" s="3179"/>
      <c r="BD2" s="3179"/>
      <c r="BE2" s="3179"/>
      <c r="BF2" s="3179"/>
      <c r="BG2" s="3179"/>
      <c r="BH2" s="3179"/>
      <c r="BI2" s="3179"/>
      <c r="BJ2" s="3179"/>
      <c r="BK2" s="3179"/>
      <c r="BL2" s="3179"/>
      <c r="BM2" s="2212"/>
      <c r="BO2" s="631" t="s">
        <v>30</v>
      </c>
      <c r="BP2" s="707">
        <v>6</v>
      </c>
      <c r="BQ2" s="15"/>
      <c r="BR2" s="15"/>
      <c r="BS2" s="15"/>
      <c r="BT2" s="15"/>
      <c r="BU2" s="15"/>
      <c r="BV2" s="15"/>
      <c r="BW2" s="15"/>
      <c r="BX2" s="15"/>
    </row>
    <row r="3" spans="1:76" x14ac:dyDescent="0.25">
      <c r="A3" s="2244"/>
      <c r="B3" s="3179"/>
      <c r="C3" s="3179"/>
      <c r="D3" s="3179"/>
      <c r="E3" s="3179"/>
      <c r="F3" s="3179"/>
      <c r="G3" s="3179"/>
      <c r="H3" s="3179"/>
      <c r="I3" s="3179"/>
      <c r="J3" s="3179"/>
      <c r="K3" s="3179"/>
      <c r="L3" s="3179"/>
      <c r="M3" s="3179"/>
      <c r="N3" s="3179"/>
      <c r="O3" s="3179"/>
      <c r="P3" s="3179"/>
      <c r="Q3" s="3179"/>
      <c r="R3" s="3179"/>
      <c r="S3" s="3179"/>
      <c r="T3" s="3179"/>
      <c r="U3" s="3179"/>
      <c r="V3" s="3179"/>
      <c r="W3" s="3179"/>
      <c r="X3" s="3179"/>
      <c r="Y3" s="3179"/>
      <c r="Z3" s="3179"/>
      <c r="AA3" s="3179"/>
      <c r="AB3" s="3179"/>
      <c r="AC3" s="3179"/>
      <c r="AD3" s="3179"/>
      <c r="AE3" s="3179"/>
      <c r="AF3" s="3179"/>
      <c r="AG3" s="3179"/>
      <c r="AH3" s="3179"/>
      <c r="AI3" s="3179"/>
      <c r="AJ3" s="3179"/>
      <c r="AK3" s="3179"/>
      <c r="AL3" s="3179"/>
      <c r="AM3" s="3179"/>
      <c r="AN3" s="3179"/>
      <c r="AO3" s="3179"/>
      <c r="AP3" s="3179"/>
      <c r="AQ3" s="3179"/>
      <c r="AR3" s="3179"/>
      <c r="AS3" s="3179"/>
      <c r="AT3" s="3179"/>
      <c r="AU3" s="3179"/>
      <c r="AV3" s="3179"/>
      <c r="AW3" s="3179"/>
      <c r="AX3" s="3179"/>
      <c r="AY3" s="3179"/>
      <c r="AZ3" s="3179"/>
      <c r="BA3" s="3179"/>
      <c r="BB3" s="3179"/>
      <c r="BC3" s="3179"/>
      <c r="BD3" s="3179"/>
      <c r="BE3" s="3179"/>
      <c r="BF3" s="3179"/>
      <c r="BG3" s="3179"/>
      <c r="BH3" s="3179"/>
      <c r="BI3" s="3179"/>
      <c r="BJ3" s="3179"/>
      <c r="BK3" s="3179"/>
      <c r="BL3" s="3179"/>
      <c r="BM3" s="2212"/>
      <c r="BO3" s="631" t="s">
        <v>32</v>
      </c>
      <c r="BP3" s="708" t="s">
        <v>33</v>
      </c>
      <c r="BQ3" s="15"/>
      <c r="BR3" s="15"/>
      <c r="BS3" s="15"/>
      <c r="BT3" s="15"/>
      <c r="BU3" s="15"/>
      <c r="BV3" s="15"/>
      <c r="BW3" s="15"/>
      <c r="BX3" s="15"/>
    </row>
    <row r="4" spans="1:76" x14ac:dyDescent="0.25">
      <c r="A4" s="2247"/>
      <c r="B4" s="2248"/>
      <c r="C4" s="2248"/>
      <c r="D4" s="2248"/>
      <c r="E4" s="2248"/>
      <c r="F4" s="2248"/>
      <c r="G4" s="2248"/>
      <c r="H4" s="2248"/>
      <c r="I4" s="2248"/>
      <c r="J4" s="2248"/>
      <c r="K4" s="2248"/>
      <c r="L4" s="2248"/>
      <c r="M4" s="2248"/>
      <c r="N4" s="2248"/>
      <c r="O4" s="2248"/>
      <c r="P4" s="2248"/>
      <c r="Q4" s="2248"/>
      <c r="R4" s="2248"/>
      <c r="S4" s="2248"/>
      <c r="T4" s="2248"/>
      <c r="U4" s="2248"/>
      <c r="V4" s="2248"/>
      <c r="W4" s="2248"/>
      <c r="X4" s="2248"/>
      <c r="Y4" s="2248"/>
      <c r="Z4" s="2248"/>
      <c r="AA4" s="2248"/>
      <c r="AB4" s="2248"/>
      <c r="AC4" s="2248"/>
      <c r="AD4" s="2248"/>
      <c r="AE4" s="2248"/>
      <c r="AF4" s="2248"/>
      <c r="AG4" s="2248"/>
      <c r="AH4" s="2248"/>
      <c r="AI4" s="2248"/>
      <c r="AJ4" s="2248"/>
      <c r="AK4" s="2248"/>
      <c r="AL4" s="2248"/>
      <c r="AM4" s="2248"/>
      <c r="AN4" s="2248"/>
      <c r="AO4" s="2248"/>
      <c r="AP4" s="2248"/>
      <c r="AQ4" s="2248"/>
      <c r="AR4" s="2248"/>
      <c r="AS4" s="2248"/>
      <c r="AT4" s="2248"/>
      <c r="AU4" s="2248"/>
      <c r="AV4" s="2248"/>
      <c r="AW4" s="2248"/>
      <c r="AX4" s="2248"/>
      <c r="AY4" s="2248"/>
      <c r="AZ4" s="2248"/>
      <c r="BA4" s="2248"/>
      <c r="BB4" s="2248"/>
      <c r="BC4" s="2248"/>
      <c r="BD4" s="2248"/>
      <c r="BE4" s="2248"/>
      <c r="BF4" s="2248"/>
      <c r="BG4" s="2248"/>
      <c r="BH4" s="2248"/>
      <c r="BI4" s="2248"/>
      <c r="BJ4" s="2248"/>
      <c r="BK4" s="2248"/>
      <c r="BL4" s="2248"/>
      <c r="BM4" s="2201"/>
      <c r="BN4" s="950"/>
      <c r="BO4" s="631" t="s">
        <v>34</v>
      </c>
      <c r="BP4" s="710" t="s">
        <v>339</v>
      </c>
      <c r="BQ4" s="15"/>
      <c r="BR4" s="15"/>
      <c r="BS4" s="15"/>
      <c r="BT4" s="15"/>
      <c r="BU4" s="15"/>
      <c r="BV4" s="15"/>
      <c r="BW4" s="15"/>
      <c r="BX4" s="15"/>
    </row>
    <row r="5" spans="1:76" ht="15.75" x14ac:dyDescent="0.25">
      <c r="A5" s="2250" t="s">
        <v>340</v>
      </c>
      <c r="B5" s="2251"/>
      <c r="C5" s="2251"/>
      <c r="D5" s="2251"/>
      <c r="E5" s="2251"/>
      <c r="F5" s="2251"/>
      <c r="G5" s="2251"/>
      <c r="H5" s="2251"/>
      <c r="I5" s="2251"/>
      <c r="J5" s="2251"/>
      <c r="K5" s="2251"/>
      <c r="L5" s="2202"/>
      <c r="M5" s="2555" t="s">
        <v>37</v>
      </c>
      <c r="N5" s="2555"/>
      <c r="O5" s="2555"/>
      <c r="P5" s="2555"/>
      <c r="Q5" s="2555"/>
      <c r="R5" s="2555"/>
      <c r="S5" s="2555"/>
      <c r="T5" s="2555"/>
      <c r="U5" s="2555"/>
      <c r="V5" s="2555"/>
      <c r="W5" s="2555"/>
      <c r="X5" s="2555"/>
      <c r="Y5" s="2555"/>
      <c r="Z5" s="2555"/>
      <c r="AA5" s="2555"/>
      <c r="AB5" s="2555"/>
      <c r="AC5" s="2555"/>
      <c r="AD5" s="2555"/>
      <c r="AE5" s="2555"/>
      <c r="AF5" s="2555"/>
      <c r="AG5" s="2555"/>
      <c r="AH5" s="2555"/>
      <c r="AI5" s="2555"/>
      <c r="AJ5" s="2555"/>
      <c r="AK5" s="2555"/>
      <c r="AL5" s="2555"/>
      <c r="AM5" s="2555"/>
      <c r="AN5" s="2555"/>
      <c r="AO5" s="2555"/>
      <c r="AP5" s="2555"/>
      <c r="AQ5" s="2555"/>
      <c r="AR5" s="2555"/>
      <c r="AS5" s="2555"/>
      <c r="AT5" s="2555"/>
      <c r="AU5" s="2555"/>
      <c r="AV5" s="2555"/>
      <c r="AW5" s="2555"/>
      <c r="AX5" s="2555"/>
      <c r="AY5" s="2555"/>
      <c r="AZ5" s="2555"/>
      <c r="BA5" s="2555"/>
      <c r="BB5" s="2555"/>
      <c r="BC5" s="2555"/>
      <c r="BD5" s="2555"/>
      <c r="BE5" s="2555"/>
      <c r="BF5" s="2555"/>
      <c r="BG5" s="2555"/>
      <c r="BH5" s="2555"/>
      <c r="BI5" s="2555"/>
      <c r="BJ5" s="2555"/>
      <c r="BK5" s="2555"/>
      <c r="BL5" s="2555"/>
      <c r="BM5" s="2555"/>
      <c r="BN5" s="2555"/>
      <c r="BO5" s="2254"/>
      <c r="BP5" s="2556"/>
      <c r="BQ5" s="18"/>
      <c r="BR5" s="18"/>
      <c r="BS5" s="18"/>
      <c r="BT5" s="18"/>
      <c r="BU5" s="18"/>
      <c r="BV5" s="18"/>
      <c r="BW5" s="18"/>
      <c r="BX5" s="18"/>
    </row>
    <row r="6" spans="1:76" ht="16.5" thickBot="1" x14ac:dyDescent="0.3">
      <c r="A6" s="2252"/>
      <c r="B6" s="2253"/>
      <c r="C6" s="2253"/>
      <c r="D6" s="2253"/>
      <c r="E6" s="2253"/>
      <c r="F6" s="2253"/>
      <c r="G6" s="2253"/>
      <c r="H6" s="2253"/>
      <c r="I6" s="2253"/>
      <c r="J6" s="2253"/>
      <c r="K6" s="2253"/>
      <c r="L6" s="2203"/>
      <c r="M6" s="2207"/>
      <c r="N6" s="952"/>
      <c r="O6" s="636"/>
      <c r="P6" s="2203"/>
      <c r="Q6" s="637"/>
      <c r="R6" s="2203"/>
      <c r="S6" s="2203"/>
      <c r="T6" s="2203"/>
      <c r="U6" s="2203"/>
      <c r="V6" s="2203"/>
      <c r="W6" s="2203"/>
      <c r="X6" s="2203"/>
      <c r="Y6" s="2203"/>
      <c r="Z6" s="2557" t="s">
        <v>38</v>
      </c>
      <c r="AA6" s="2253"/>
      <c r="AB6" s="2253"/>
      <c r="AC6" s="2253"/>
      <c r="AD6" s="2253"/>
      <c r="AE6" s="2253"/>
      <c r="AF6" s="2253"/>
      <c r="AG6" s="2253"/>
      <c r="AH6" s="2253"/>
      <c r="AI6" s="2253"/>
      <c r="AJ6" s="2253"/>
      <c r="AK6" s="2253"/>
      <c r="AL6" s="2253"/>
      <c r="AM6" s="2253"/>
      <c r="AN6" s="2253"/>
      <c r="AO6" s="2253"/>
      <c r="AP6" s="2253"/>
      <c r="AQ6" s="2253"/>
      <c r="AR6" s="2253"/>
      <c r="AS6" s="2253"/>
      <c r="AT6" s="2253"/>
      <c r="AU6" s="2253"/>
      <c r="AV6" s="2253"/>
      <c r="AW6" s="2253"/>
      <c r="AX6" s="2253"/>
      <c r="AY6" s="2253"/>
      <c r="AZ6" s="2253"/>
      <c r="BA6" s="2253"/>
      <c r="BB6" s="2253"/>
      <c r="BC6" s="2203"/>
      <c r="BD6" s="638"/>
      <c r="BE6" s="638"/>
      <c r="BF6" s="638"/>
      <c r="BG6" s="638"/>
      <c r="BH6" s="638"/>
      <c r="BI6" s="638"/>
      <c r="BJ6" s="638"/>
      <c r="BK6" s="638"/>
      <c r="BL6" s="639"/>
      <c r="BM6" s="639"/>
      <c r="BN6" s="639"/>
      <c r="BO6" s="639"/>
      <c r="BP6" s="956"/>
      <c r="BQ6" s="18"/>
      <c r="BR6" s="18"/>
      <c r="BS6" s="18"/>
      <c r="BT6" s="18"/>
      <c r="BU6" s="18"/>
      <c r="BV6" s="18"/>
      <c r="BW6" s="18"/>
      <c r="BX6" s="18"/>
    </row>
    <row r="7" spans="1:76" ht="30" customHeight="1" x14ac:dyDescent="0.25">
      <c r="A7" s="4200" t="s">
        <v>39</v>
      </c>
      <c r="B7" s="2303" t="s">
        <v>40</v>
      </c>
      <c r="C7" s="2303"/>
      <c r="D7" s="2303" t="s">
        <v>39</v>
      </c>
      <c r="E7" s="2303" t="s">
        <v>41</v>
      </c>
      <c r="F7" s="2303"/>
      <c r="G7" s="2303" t="s">
        <v>39</v>
      </c>
      <c r="H7" s="2303" t="s">
        <v>42</v>
      </c>
      <c r="I7" s="4228" t="s">
        <v>43</v>
      </c>
      <c r="J7" s="4229" t="s">
        <v>44</v>
      </c>
      <c r="K7" s="2303" t="s">
        <v>876</v>
      </c>
      <c r="L7" s="2303"/>
      <c r="M7" s="2303" t="s">
        <v>46</v>
      </c>
      <c r="N7" s="2303" t="s">
        <v>47</v>
      </c>
      <c r="O7" s="2303" t="s">
        <v>37</v>
      </c>
      <c r="P7" s="4221" t="s">
        <v>48</v>
      </c>
      <c r="Q7" s="2289" t="s">
        <v>49</v>
      </c>
      <c r="R7" s="2289"/>
      <c r="S7" s="2289"/>
      <c r="T7" s="2303" t="s">
        <v>50</v>
      </c>
      <c r="U7" s="2303" t="s">
        <v>51</v>
      </c>
      <c r="V7" s="4229" t="s">
        <v>43</v>
      </c>
      <c r="W7" s="2289" t="s">
        <v>49</v>
      </c>
      <c r="X7" s="2271" t="s">
        <v>39</v>
      </c>
      <c r="Y7" s="4229" t="s">
        <v>53</v>
      </c>
      <c r="Z7" s="4230" t="s">
        <v>54</v>
      </c>
      <c r="AA7" s="4231"/>
      <c r="AB7" s="4231"/>
      <c r="AC7" s="4232"/>
      <c r="AD7" s="4233" t="s">
        <v>55</v>
      </c>
      <c r="AE7" s="4234"/>
      <c r="AF7" s="4234"/>
      <c r="AG7" s="4234"/>
      <c r="AH7" s="4234"/>
      <c r="AI7" s="4234"/>
      <c r="AJ7" s="4234"/>
      <c r="AK7" s="4235"/>
      <c r="AL7" s="4236" t="s">
        <v>56</v>
      </c>
      <c r="AM7" s="4237"/>
      <c r="AN7" s="4237"/>
      <c r="AO7" s="4237"/>
      <c r="AP7" s="4237"/>
      <c r="AQ7" s="4237"/>
      <c r="AR7" s="4237"/>
      <c r="AS7" s="4237"/>
      <c r="AT7" s="4237"/>
      <c r="AU7" s="4237"/>
      <c r="AV7" s="4237"/>
      <c r="AW7" s="4238"/>
      <c r="AX7" s="4239" t="s">
        <v>57</v>
      </c>
      <c r="AY7" s="4239"/>
      <c r="AZ7" s="4239"/>
      <c r="BA7" s="4239"/>
      <c r="BB7" s="4239"/>
      <c r="BC7" s="4240"/>
      <c r="BD7" s="4241" t="s">
        <v>58</v>
      </c>
      <c r="BE7" s="4242"/>
      <c r="BF7" s="3501" t="s">
        <v>335</v>
      </c>
      <c r="BG7" s="3502"/>
      <c r="BH7" s="3502"/>
      <c r="BI7" s="3502"/>
      <c r="BJ7" s="3502"/>
      <c r="BK7" s="3503"/>
      <c r="BL7" s="2264" t="s">
        <v>59</v>
      </c>
      <c r="BM7" s="2265"/>
      <c r="BN7" s="2264" t="s">
        <v>60</v>
      </c>
      <c r="BO7" s="2265"/>
      <c r="BP7" s="2391" t="s">
        <v>61</v>
      </c>
      <c r="BQ7" s="18"/>
      <c r="BR7" s="18"/>
      <c r="BS7" s="18"/>
      <c r="BT7" s="18"/>
      <c r="BU7" s="18"/>
      <c r="BV7" s="18"/>
      <c r="BW7" s="18"/>
      <c r="BX7" s="18"/>
    </row>
    <row r="8" spans="1:76" ht="96.75" customHeight="1" x14ac:dyDescent="0.25">
      <c r="A8" s="4200"/>
      <c r="B8" s="2303"/>
      <c r="C8" s="2303"/>
      <c r="D8" s="2303"/>
      <c r="E8" s="2303"/>
      <c r="F8" s="2303"/>
      <c r="G8" s="2303"/>
      <c r="H8" s="2303"/>
      <c r="I8" s="4228"/>
      <c r="J8" s="4229"/>
      <c r="K8" s="2198" t="s">
        <v>158</v>
      </c>
      <c r="L8" s="2198" t="s">
        <v>159</v>
      </c>
      <c r="M8" s="2303"/>
      <c r="N8" s="2303"/>
      <c r="O8" s="2303"/>
      <c r="P8" s="4221"/>
      <c r="Q8" s="977" t="s">
        <v>2333</v>
      </c>
      <c r="R8" s="2199" t="s">
        <v>150</v>
      </c>
      <c r="S8" s="2199" t="s">
        <v>151</v>
      </c>
      <c r="T8" s="2303"/>
      <c r="U8" s="2303"/>
      <c r="V8" s="4229"/>
      <c r="W8" s="2289"/>
      <c r="X8" s="2273"/>
      <c r="Y8" s="4229"/>
      <c r="Z8" s="2399" t="s">
        <v>63</v>
      </c>
      <c r="AA8" s="2400"/>
      <c r="AB8" s="2445" t="s">
        <v>64</v>
      </c>
      <c r="AC8" s="2446"/>
      <c r="AD8" s="2399" t="s">
        <v>65</v>
      </c>
      <c r="AE8" s="2400"/>
      <c r="AF8" s="2399" t="s">
        <v>66</v>
      </c>
      <c r="AG8" s="2400"/>
      <c r="AH8" s="2399" t="s">
        <v>67</v>
      </c>
      <c r="AI8" s="2400"/>
      <c r="AJ8" s="2399" t="s">
        <v>68</v>
      </c>
      <c r="AK8" s="2400"/>
      <c r="AL8" s="2399" t="s">
        <v>69</v>
      </c>
      <c r="AM8" s="2400"/>
      <c r="AN8" s="2399" t="s">
        <v>70</v>
      </c>
      <c r="AO8" s="2400"/>
      <c r="AP8" s="2399" t="s">
        <v>71</v>
      </c>
      <c r="AQ8" s="2400"/>
      <c r="AR8" s="2399" t="s">
        <v>72</v>
      </c>
      <c r="AS8" s="2400"/>
      <c r="AT8" s="2399" t="s">
        <v>73</v>
      </c>
      <c r="AU8" s="2400"/>
      <c r="AV8" s="2399" t="s">
        <v>74</v>
      </c>
      <c r="AW8" s="2400"/>
      <c r="AX8" s="2399" t="s">
        <v>75</v>
      </c>
      <c r="AY8" s="2400"/>
      <c r="AZ8" s="2399" t="s">
        <v>76</v>
      </c>
      <c r="BA8" s="2400"/>
      <c r="BB8" s="2399" t="s">
        <v>77</v>
      </c>
      <c r="BC8" s="2400"/>
      <c r="BD8" s="4243"/>
      <c r="BE8" s="4244"/>
      <c r="BF8" s="3171" t="s">
        <v>152</v>
      </c>
      <c r="BG8" s="3174" t="s">
        <v>153</v>
      </c>
      <c r="BH8" s="3171" t="s">
        <v>154</v>
      </c>
      <c r="BI8" s="3175" t="s">
        <v>155</v>
      </c>
      <c r="BJ8" s="3171" t="s">
        <v>156</v>
      </c>
      <c r="BK8" s="3172" t="s">
        <v>157</v>
      </c>
      <c r="BL8" s="2397"/>
      <c r="BM8" s="2398"/>
      <c r="BN8" s="2397"/>
      <c r="BO8" s="2398"/>
      <c r="BP8" s="2392"/>
      <c r="BQ8" s="18"/>
      <c r="BR8" s="18"/>
      <c r="BS8" s="18"/>
      <c r="BT8" s="18"/>
      <c r="BU8" s="18"/>
      <c r="BV8" s="18"/>
      <c r="BW8" s="18"/>
      <c r="BX8" s="18"/>
    </row>
    <row r="9" spans="1:76" ht="26.25" customHeight="1" x14ac:dyDescent="0.25">
      <c r="A9" s="4245"/>
      <c r="B9" s="4246"/>
      <c r="C9" s="4246"/>
      <c r="D9" s="4246"/>
      <c r="E9" s="4246"/>
      <c r="F9" s="4246"/>
      <c r="G9" s="4246"/>
      <c r="H9" s="4247"/>
      <c r="I9" s="4248"/>
      <c r="J9" s="4249"/>
      <c r="K9" s="4246"/>
      <c r="L9" s="4246"/>
      <c r="M9" s="4246"/>
      <c r="N9" s="4246"/>
      <c r="O9" s="4249"/>
      <c r="P9" s="4250"/>
      <c r="Q9" s="4251"/>
      <c r="R9" s="4252"/>
      <c r="S9" s="4252"/>
      <c r="T9" s="4246"/>
      <c r="U9" s="4246"/>
      <c r="V9" s="4249"/>
      <c r="W9" s="4252"/>
      <c r="X9" s="4245"/>
      <c r="Y9" s="4249"/>
      <c r="Z9" s="2198" t="s">
        <v>158</v>
      </c>
      <c r="AA9" s="2198" t="s">
        <v>159</v>
      </c>
      <c r="AB9" s="2198" t="s">
        <v>158</v>
      </c>
      <c r="AC9" s="2198" t="s">
        <v>159</v>
      </c>
      <c r="AD9" s="2198" t="s">
        <v>158</v>
      </c>
      <c r="AE9" s="2198" t="s">
        <v>159</v>
      </c>
      <c r="AF9" s="2198" t="s">
        <v>158</v>
      </c>
      <c r="AG9" s="2198" t="s">
        <v>159</v>
      </c>
      <c r="AH9" s="2198" t="s">
        <v>158</v>
      </c>
      <c r="AI9" s="2198" t="s">
        <v>159</v>
      </c>
      <c r="AJ9" s="2198" t="s">
        <v>158</v>
      </c>
      <c r="AK9" s="2198" t="s">
        <v>159</v>
      </c>
      <c r="AL9" s="2198" t="s">
        <v>158</v>
      </c>
      <c r="AM9" s="2198" t="s">
        <v>159</v>
      </c>
      <c r="AN9" s="2198" t="s">
        <v>158</v>
      </c>
      <c r="AO9" s="2198" t="s">
        <v>159</v>
      </c>
      <c r="AP9" s="2198" t="s">
        <v>158</v>
      </c>
      <c r="AQ9" s="2198" t="s">
        <v>159</v>
      </c>
      <c r="AR9" s="2198" t="s">
        <v>158</v>
      </c>
      <c r="AS9" s="2198" t="s">
        <v>159</v>
      </c>
      <c r="AT9" s="2198" t="s">
        <v>158</v>
      </c>
      <c r="AU9" s="2198" t="s">
        <v>159</v>
      </c>
      <c r="AV9" s="2198" t="s">
        <v>158</v>
      </c>
      <c r="AW9" s="2198" t="s">
        <v>159</v>
      </c>
      <c r="AX9" s="2198" t="s">
        <v>158</v>
      </c>
      <c r="AY9" s="2198" t="s">
        <v>159</v>
      </c>
      <c r="AZ9" s="2198" t="s">
        <v>158</v>
      </c>
      <c r="BA9" s="2198" t="s">
        <v>159</v>
      </c>
      <c r="BB9" s="2198" t="s">
        <v>158</v>
      </c>
      <c r="BC9" s="2198" t="s">
        <v>159</v>
      </c>
      <c r="BD9" s="2198" t="s">
        <v>158</v>
      </c>
      <c r="BE9" s="2198" t="s">
        <v>159</v>
      </c>
      <c r="BF9" s="3171"/>
      <c r="BG9" s="3174"/>
      <c r="BH9" s="3171"/>
      <c r="BI9" s="3175"/>
      <c r="BJ9" s="3171"/>
      <c r="BK9" s="3173"/>
      <c r="BL9" s="2198" t="s">
        <v>158</v>
      </c>
      <c r="BM9" s="2198" t="s">
        <v>159</v>
      </c>
      <c r="BN9" s="2198" t="s">
        <v>158</v>
      </c>
      <c r="BO9" s="2198" t="s">
        <v>159</v>
      </c>
      <c r="BP9" s="4253"/>
      <c r="BQ9" s="18"/>
      <c r="BR9" s="18"/>
      <c r="BS9" s="18"/>
      <c r="BT9" s="18"/>
      <c r="BU9" s="18"/>
      <c r="BV9" s="18"/>
      <c r="BW9" s="18"/>
      <c r="BX9" s="18"/>
    </row>
    <row r="10" spans="1:76" ht="15.75" x14ac:dyDescent="0.25">
      <c r="A10" s="711">
        <v>1</v>
      </c>
      <c r="B10" s="27" t="s">
        <v>2334</v>
      </c>
      <c r="C10" s="726"/>
      <c r="D10" s="29"/>
      <c r="E10" s="986"/>
      <c r="F10" s="986"/>
      <c r="G10" s="986"/>
      <c r="H10" s="986"/>
      <c r="I10" s="4254"/>
      <c r="J10" s="1585"/>
      <c r="K10" s="986"/>
      <c r="L10" s="986"/>
      <c r="M10" s="986"/>
      <c r="N10" s="1582"/>
      <c r="O10" s="1582"/>
      <c r="P10" s="1583"/>
      <c r="Q10" s="986"/>
      <c r="R10" s="986"/>
      <c r="S10" s="986"/>
      <c r="T10" s="1582"/>
      <c r="U10" s="1582"/>
      <c r="V10" s="1585"/>
      <c r="W10" s="986"/>
      <c r="X10" s="986"/>
      <c r="Y10" s="1585"/>
      <c r="Z10" s="986"/>
      <c r="AA10" s="986"/>
      <c r="AB10" s="986"/>
      <c r="AC10" s="986"/>
      <c r="AD10" s="986"/>
      <c r="AE10" s="986"/>
      <c r="AF10" s="986"/>
      <c r="AG10" s="986"/>
      <c r="AH10" s="986"/>
      <c r="AI10" s="986"/>
      <c r="AJ10" s="986"/>
      <c r="AK10" s="986"/>
      <c r="AL10" s="986"/>
      <c r="AM10" s="986"/>
      <c r="AN10" s="986"/>
      <c r="AO10" s="986"/>
      <c r="AP10" s="986"/>
      <c r="AQ10" s="986"/>
      <c r="AR10" s="986"/>
      <c r="AS10" s="986"/>
      <c r="AT10" s="986"/>
      <c r="AU10" s="986"/>
      <c r="AV10" s="986"/>
      <c r="AW10" s="986"/>
      <c r="AX10" s="986"/>
      <c r="AY10" s="986"/>
      <c r="AZ10" s="986"/>
      <c r="BA10" s="986"/>
      <c r="BB10" s="986"/>
      <c r="BC10" s="986"/>
      <c r="BD10" s="986"/>
      <c r="BE10" s="986"/>
      <c r="BF10" s="986"/>
      <c r="BG10" s="986"/>
      <c r="BH10" s="986"/>
      <c r="BI10" s="986"/>
      <c r="BJ10" s="986"/>
      <c r="BK10" s="986"/>
      <c r="BL10" s="986"/>
      <c r="BM10" s="986"/>
      <c r="BN10" s="986"/>
      <c r="BO10" s="986"/>
      <c r="BP10" s="986"/>
      <c r="BQ10" s="1"/>
      <c r="BR10" s="1"/>
      <c r="BS10" s="1"/>
      <c r="BT10" s="1"/>
      <c r="BU10" s="1"/>
      <c r="BV10" s="1"/>
      <c r="BW10" s="1"/>
      <c r="BX10" s="1"/>
    </row>
    <row r="11" spans="1:76" ht="15.75" x14ac:dyDescent="0.25">
      <c r="A11" s="4255"/>
      <c r="B11" s="4256"/>
      <c r="C11" s="4257"/>
      <c r="D11" s="960">
        <v>39</v>
      </c>
      <c r="E11" s="989" t="s">
        <v>928</v>
      </c>
      <c r="F11" s="46"/>
      <c r="G11" s="745"/>
      <c r="H11" s="745"/>
      <c r="I11" s="990"/>
      <c r="J11" s="991"/>
      <c r="K11" s="746"/>
      <c r="L11" s="746"/>
      <c r="M11" s="744"/>
      <c r="N11" s="2049"/>
      <c r="O11" s="1588"/>
      <c r="P11" s="993"/>
      <c r="Q11" s="994"/>
      <c r="R11" s="994"/>
      <c r="S11" s="994"/>
      <c r="T11" s="4258"/>
      <c r="U11" s="4258"/>
      <c r="V11" s="744"/>
      <c r="W11" s="996"/>
      <c r="X11" s="995"/>
      <c r="Y11" s="997"/>
      <c r="Z11" s="995"/>
      <c r="AA11" s="995"/>
      <c r="AB11" s="995"/>
      <c r="AC11" s="995"/>
      <c r="AD11" s="995"/>
      <c r="AE11" s="995"/>
      <c r="AF11" s="995"/>
      <c r="AG11" s="995"/>
      <c r="AH11" s="995"/>
      <c r="AI11" s="995"/>
      <c r="AJ11" s="995"/>
      <c r="AK11" s="995"/>
      <c r="AL11" s="995"/>
      <c r="AM11" s="995"/>
      <c r="AN11" s="995"/>
      <c r="AO11" s="995"/>
      <c r="AP11" s="995"/>
      <c r="AQ11" s="995"/>
      <c r="AR11" s="995"/>
      <c r="AS11" s="995"/>
      <c r="AT11" s="995"/>
      <c r="AU11" s="995"/>
      <c r="AV11" s="995"/>
      <c r="AW11" s="995"/>
      <c r="AX11" s="995"/>
      <c r="AY11" s="995"/>
      <c r="AZ11" s="995"/>
      <c r="BA11" s="995"/>
      <c r="BB11" s="995"/>
      <c r="BC11" s="995"/>
      <c r="BD11" s="995"/>
      <c r="BE11" s="995"/>
      <c r="BF11" s="995"/>
      <c r="BG11" s="995"/>
      <c r="BH11" s="995"/>
      <c r="BI11" s="995"/>
      <c r="BJ11" s="995"/>
      <c r="BK11" s="995"/>
      <c r="BL11" s="995"/>
      <c r="BM11" s="995"/>
      <c r="BN11" s="995"/>
      <c r="BO11" s="995"/>
      <c r="BP11" s="995"/>
      <c r="BQ11" s="1"/>
      <c r="BR11" s="1"/>
      <c r="BS11" s="1"/>
      <c r="BT11" s="1"/>
      <c r="BU11" s="1"/>
      <c r="BV11" s="1"/>
      <c r="BW11" s="1"/>
      <c r="BX11" s="1"/>
    </row>
    <row r="12" spans="1:76" ht="207" customHeight="1" x14ac:dyDescent="0.25">
      <c r="A12" s="4259"/>
      <c r="B12" s="4260"/>
      <c r="C12" s="4261"/>
      <c r="D12" s="4262"/>
      <c r="E12" s="1839"/>
      <c r="F12" s="4263"/>
      <c r="G12" s="4264" t="s">
        <v>1140</v>
      </c>
      <c r="H12" s="4265">
        <v>39.4</v>
      </c>
      <c r="I12" s="4266" t="s">
        <v>2335</v>
      </c>
      <c r="J12" s="4267" t="s">
        <v>931</v>
      </c>
      <c r="K12" s="1538">
        <v>3</v>
      </c>
      <c r="L12" s="1538">
        <v>0</v>
      </c>
      <c r="M12" s="2234" t="s">
        <v>2336</v>
      </c>
      <c r="N12" s="4268" t="s">
        <v>2337</v>
      </c>
      <c r="O12" s="2237" t="s">
        <v>2338</v>
      </c>
      <c r="P12" s="814">
        <v>1</v>
      </c>
      <c r="Q12" s="4269">
        <v>372570330</v>
      </c>
      <c r="R12" s="4270">
        <f>+'[2]SGTO PLAN ACCION PROMOTORA'!$U$12</f>
        <v>186429333.33000001</v>
      </c>
      <c r="S12" s="4270">
        <f>+'[2]SGTO PLAN ACCION PROMOTORA'!$V$12</f>
        <v>152169666.66999999</v>
      </c>
      <c r="T12" s="2233" t="s">
        <v>2339</v>
      </c>
      <c r="U12" s="2233" t="s">
        <v>2340</v>
      </c>
      <c r="V12" s="4271" t="s">
        <v>2335</v>
      </c>
      <c r="W12" s="4272">
        <v>372570330</v>
      </c>
      <c r="X12" s="622">
        <v>4</v>
      </c>
      <c r="Y12" s="4273" t="s">
        <v>2341</v>
      </c>
      <c r="Z12" s="4274">
        <v>252272</v>
      </c>
      <c r="AA12" s="4274">
        <v>252272</v>
      </c>
      <c r="AB12" s="4274">
        <v>257368</v>
      </c>
      <c r="AC12" s="4274">
        <v>257368</v>
      </c>
      <c r="AD12" s="4274">
        <v>76446</v>
      </c>
      <c r="AE12" s="4274">
        <v>76446</v>
      </c>
      <c r="AF12" s="4274">
        <v>127410</v>
      </c>
      <c r="AG12" s="4274">
        <v>127410</v>
      </c>
      <c r="AH12" s="4274">
        <v>178374</v>
      </c>
      <c r="AI12" s="4274">
        <v>178374</v>
      </c>
      <c r="AJ12" s="4274">
        <v>127410</v>
      </c>
      <c r="AK12" s="4274">
        <v>127410</v>
      </c>
      <c r="AL12" s="4274">
        <v>0</v>
      </c>
      <c r="AM12" s="4274"/>
      <c r="AN12" s="4274">
        <v>0</v>
      </c>
      <c r="AO12" s="4274"/>
      <c r="AP12" s="4274">
        <v>0</v>
      </c>
      <c r="AQ12" s="4274"/>
      <c r="AR12" s="4274">
        <v>0</v>
      </c>
      <c r="AS12" s="4274"/>
      <c r="AT12" s="4274">
        <v>0</v>
      </c>
      <c r="AU12" s="4274"/>
      <c r="AV12" s="4274">
        <v>0</v>
      </c>
      <c r="AW12" s="4274"/>
      <c r="AX12" s="4274">
        <v>0</v>
      </c>
      <c r="AY12" s="4274"/>
      <c r="AZ12" s="4274">
        <v>0</v>
      </c>
      <c r="BA12" s="4274"/>
      <c r="BB12" s="4274">
        <v>0</v>
      </c>
      <c r="BC12" s="4274"/>
      <c r="BD12" s="4274">
        <v>509640</v>
      </c>
      <c r="BE12" s="4274">
        <v>509640</v>
      </c>
      <c r="BF12" s="4274"/>
      <c r="BG12" s="4274"/>
      <c r="BH12" s="4274"/>
      <c r="BI12" s="4274"/>
      <c r="BJ12" s="4274"/>
      <c r="BK12" s="4274"/>
      <c r="BL12" s="4274">
        <v>43832</v>
      </c>
      <c r="BM12" s="4274">
        <v>43832</v>
      </c>
      <c r="BN12" s="4274">
        <v>44195</v>
      </c>
      <c r="BO12" s="4274">
        <v>44195</v>
      </c>
      <c r="BP12" s="4274" t="s">
        <v>2342</v>
      </c>
      <c r="BQ12" s="1471"/>
      <c r="BR12" s="1471"/>
      <c r="BS12" s="1471"/>
      <c r="BT12" s="1471"/>
      <c r="BU12" s="1471"/>
      <c r="BV12" s="1471"/>
      <c r="BW12" s="1471"/>
      <c r="BX12" s="1471"/>
    </row>
    <row r="13" spans="1:76" ht="15.75" x14ac:dyDescent="0.25">
      <c r="A13" s="4275"/>
      <c r="B13" s="4276"/>
      <c r="C13" s="4277"/>
      <c r="D13" s="960">
        <v>15</v>
      </c>
      <c r="E13" s="989" t="s">
        <v>622</v>
      </c>
      <c r="F13" s="989"/>
      <c r="G13" s="4278"/>
      <c r="H13" s="4278"/>
      <c r="I13" s="46"/>
      <c r="J13" s="4279"/>
      <c r="K13" s="829"/>
      <c r="L13" s="829"/>
      <c r="M13" s="829"/>
      <c r="N13" s="46"/>
      <c r="O13" s="112"/>
      <c r="P13" s="113"/>
      <c r="Q13" s="4280"/>
      <c r="R13" s="113"/>
      <c r="S13" s="113"/>
      <c r="T13" s="4281"/>
      <c r="U13" s="4281"/>
      <c r="V13" s="46"/>
      <c r="W13" s="4282"/>
      <c r="X13" s="4283"/>
      <c r="Y13" s="4284"/>
      <c r="Z13" s="4274"/>
      <c r="AA13" s="4274"/>
      <c r="AB13" s="4274"/>
      <c r="AC13" s="4274"/>
      <c r="AD13" s="4274"/>
      <c r="AE13" s="4274"/>
      <c r="AF13" s="4274"/>
      <c r="AG13" s="4274"/>
      <c r="AH13" s="4274"/>
      <c r="AI13" s="4274"/>
      <c r="AJ13" s="4274"/>
      <c r="AK13" s="4274"/>
      <c r="AL13" s="4274"/>
      <c r="AM13" s="4274"/>
      <c r="AN13" s="4274"/>
      <c r="AO13" s="4274"/>
      <c r="AP13" s="4274"/>
      <c r="AQ13" s="4274"/>
      <c r="AR13" s="4274"/>
      <c r="AS13" s="4274"/>
      <c r="AT13" s="4274"/>
      <c r="AU13" s="4274"/>
      <c r="AV13" s="4274"/>
      <c r="AW13" s="4274"/>
      <c r="AX13" s="4274"/>
      <c r="AY13" s="4274"/>
      <c r="AZ13" s="4274"/>
      <c r="BA13" s="4274"/>
      <c r="BB13" s="4274"/>
      <c r="BC13" s="4274"/>
      <c r="BD13" s="4274"/>
      <c r="BE13" s="4274"/>
      <c r="BF13" s="4274"/>
      <c r="BG13" s="4274"/>
      <c r="BH13" s="4274"/>
      <c r="BI13" s="4274"/>
      <c r="BJ13" s="4274"/>
      <c r="BK13" s="4274"/>
      <c r="BL13" s="4274"/>
      <c r="BM13" s="4274"/>
      <c r="BN13" s="4274"/>
      <c r="BO13" s="4274"/>
      <c r="BP13" s="4274"/>
      <c r="BQ13" s="1"/>
      <c r="BR13" s="1"/>
      <c r="BS13" s="1"/>
      <c r="BT13" s="1"/>
      <c r="BU13" s="1"/>
      <c r="BV13" s="1"/>
      <c r="BW13" s="1"/>
      <c r="BX13" s="1"/>
    </row>
    <row r="14" spans="1:76" ht="30" x14ac:dyDescent="0.25">
      <c r="A14" s="4259"/>
      <c r="B14" s="4260"/>
      <c r="C14" s="4260"/>
      <c r="D14" s="4285"/>
      <c r="E14" s="4286"/>
      <c r="F14" s="4287"/>
      <c r="G14" s="4288" t="s">
        <v>1140</v>
      </c>
      <c r="H14" s="4289">
        <v>15.32</v>
      </c>
      <c r="I14" s="4290" t="s">
        <v>2343</v>
      </c>
      <c r="J14" s="4291" t="s">
        <v>724</v>
      </c>
      <c r="K14" s="4292">
        <v>9</v>
      </c>
      <c r="L14" s="4027">
        <v>1</v>
      </c>
      <c r="M14" s="3975" t="s">
        <v>2344</v>
      </c>
      <c r="N14" s="3975" t="s">
        <v>2337</v>
      </c>
      <c r="O14" s="4214" t="s">
        <v>2338</v>
      </c>
      <c r="P14" s="3796">
        <v>1</v>
      </c>
      <c r="Q14" s="4293">
        <v>372570330</v>
      </c>
      <c r="R14" s="4294">
        <v>306429333.32999998</v>
      </c>
      <c r="S14" s="4294">
        <f>+'[2]SGTO PLAN ACCION PROMOTORA'!$V$14</f>
        <v>252169666.66999999</v>
      </c>
      <c r="T14" s="4214" t="s">
        <v>2339</v>
      </c>
      <c r="U14" s="4214" t="s">
        <v>2340</v>
      </c>
      <c r="V14" s="3980" t="s">
        <v>2343</v>
      </c>
      <c r="W14" s="4295">
        <v>372570330</v>
      </c>
      <c r="X14" s="4296">
        <v>4</v>
      </c>
      <c r="Y14" s="4273" t="s">
        <v>2341</v>
      </c>
      <c r="Z14" s="4274"/>
      <c r="AA14" s="4274"/>
      <c r="AB14" s="4274"/>
      <c r="AC14" s="4274"/>
      <c r="AD14" s="4274"/>
      <c r="AE14" s="4274"/>
      <c r="AF14" s="4274"/>
      <c r="AG14" s="4274"/>
      <c r="AH14" s="4274"/>
      <c r="AI14" s="4274"/>
      <c r="AJ14" s="4274"/>
      <c r="AK14" s="4274"/>
      <c r="AL14" s="4274"/>
      <c r="AM14" s="4274"/>
      <c r="AN14" s="4274"/>
      <c r="AO14" s="4274"/>
      <c r="AP14" s="4274"/>
      <c r="AQ14" s="4274"/>
      <c r="AR14" s="4274"/>
      <c r="AS14" s="4274"/>
      <c r="AT14" s="4274"/>
      <c r="AU14" s="4274"/>
      <c r="AV14" s="4274"/>
      <c r="AW14" s="4274"/>
      <c r="AX14" s="4274"/>
      <c r="AY14" s="4274"/>
      <c r="AZ14" s="4274"/>
      <c r="BA14" s="4274"/>
      <c r="BB14" s="4274"/>
      <c r="BC14" s="4274"/>
      <c r="BD14" s="4274"/>
      <c r="BE14" s="4274"/>
      <c r="BF14" s="4274"/>
      <c r="BG14" s="4274"/>
      <c r="BH14" s="4274"/>
      <c r="BI14" s="4274"/>
      <c r="BJ14" s="4274"/>
      <c r="BK14" s="4274"/>
      <c r="BL14" s="4274"/>
      <c r="BM14" s="4274"/>
      <c r="BN14" s="4274"/>
      <c r="BO14" s="4274"/>
      <c r="BP14" s="4274"/>
      <c r="BQ14" s="1471"/>
      <c r="BR14" s="1471"/>
      <c r="BS14" s="1471"/>
      <c r="BT14" s="1471"/>
      <c r="BU14" s="1471"/>
      <c r="BV14" s="1471"/>
      <c r="BW14" s="1471"/>
      <c r="BX14" s="1471"/>
    </row>
    <row r="15" spans="1:76" ht="85.5" customHeight="1" x14ac:dyDescent="0.25">
      <c r="A15" s="2016"/>
      <c r="B15" s="2017"/>
      <c r="C15" s="2017"/>
      <c r="D15" s="4297"/>
      <c r="E15" s="4298"/>
      <c r="F15" s="4299"/>
      <c r="G15" s="4288"/>
      <c r="H15" s="4300"/>
      <c r="I15" s="4290"/>
      <c r="J15" s="4291"/>
      <c r="K15" s="4292"/>
      <c r="L15" s="4129"/>
      <c r="M15" s="3975"/>
      <c r="N15" s="3975"/>
      <c r="O15" s="4214"/>
      <c r="P15" s="3796"/>
      <c r="Q15" s="4293">
        <v>189176000</v>
      </c>
      <c r="R15" s="4294">
        <f>+'[2]SGTO PLAN ACCION PROMOTORA'!$U$15</f>
        <v>54951375</v>
      </c>
      <c r="S15" s="4294">
        <f>+'[2]SGTO PLAN ACCION PROMOTORA'!$V$15</f>
        <v>42722700</v>
      </c>
      <c r="T15" s="4214"/>
      <c r="U15" s="4214"/>
      <c r="V15" s="3980"/>
      <c r="W15" s="4301">
        <v>189176000</v>
      </c>
      <c r="X15" s="622">
        <v>3</v>
      </c>
      <c r="Y15" s="4273" t="s">
        <v>2345</v>
      </c>
      <c r="Z15" s="4274"/>
      <c r="AA15" s="4274"/>
      <c r="AB15" s="4274"/>
      <c r="AC15" s="4274"/>
      <c r="AD15" s="4274"/>
      <c r="AE15" s="4274"/>
      <c r="AF15" s="4274"/>
      <c r="AG15" s="4274"/>
      <c r="AH15" s="4274"/>
      <c r="AI15" s="4274"/>
      <c r="AJ15" s="4274"/>
      <c r="AK15" s="4274"/>
      <c r="AL15" s="4274"/>
      <c r="AM15" s="4274"/>
      <c r="AN15" s="4274"/>
      <c r="AO15" s="4274"/>
      <c r="AP15" s="4274"/>
      <c r="AQ15" s="4274"/>
      <c r="AR15" s="4274"/>
      <c r="AS15" s="4274"/>
      <c r="AT15" s="4274"/>
      <c r="AU15" s="4274"/>
      <c r="AV15" s="4274"/>
      <c r="AW15" s="4274"/>
      <c r="AX15" s="4274"/>
      <c r="AY15" s="4274"/>
      <c r="AZ15" s="4274"/>
      <c r="BA15" s="4274"/>
      <c r="BB15" s="4274"/>
      <c r="BC15" s="4274"/>
      <c r="BD15" s="4274"/>
      <c r="BE15" s="4274"/>
      <c r="BF15" s="4274"/>
      <c r="BG15" s="4274"/>
      <c r="BH15" s="4274"/>
      <c r="BI15" s="4274"/>
      <c r="BJ15" s="4274"/>
      <c r="BK15" s="4274"/>
      <c r="BL15" s="4274"/>
      <c r="BM15" s="4274"/>
      <c r="BN15" s="4274"/>
      <c r="BO15" s="4274"/>
      <c r="BP15" s="4274"/>
      <c r="BQ15" s="1471"/>
      <c r="BR15" s="1471"/>
      <c r="BS15" s="1471"/>
      <c r="BT15" s="1471"/>
      <c r="BU15" s="1471"/>
      <c r="BV15" s="1471"/>
      <c r="BW15" s="1471"/>
      <c r="BX15" s="1471"/>
    </row>
    <row r="16" spans="1:76" ht="15.75" x14ac:dyDescent="0.25">
      <c r="A16" s="978">
        <v>3</v>
      </c>
      <c r="B16" s="440" t="s">
        <v>847</v>
      </c>
      <c r="C16" s="4302"/>
      <c r="D16" s="4303"/>
      <c r="E16" s="4303"/>
      <c r="F16" s="4303"/>
      <c r="G16" s="4303"/>
      <c r="H16" s="4303"/>
      <c r="I16" s="4304"/>
      <c r="J16" s="4305"/>
      <c r="K16" s="4306"/>
      <c r="L16" s="4306"/>
      <c r="M16" s="4306"/>
      <c r="N16" s="4305"/>
      <c r="O16" s="4304"/>
      <c r="P16" s="4306"/>
      <c r="Q16" s="4307"/>
      <c r="R16" s="4306"/>
      <c r="S16" s="4306"/>
      <c r="T16" s="4308"/>
      <c r="U16" s="4308"/>
      <c r="V16" s="984"/>
      <c r="W16" s="982"/>
      <c r="X16" s="4309"/>
      <c r="Y16" s="984"/>
      <c r="Z16" s="4274"/>
      <c r="AA16" s="4274"/>
      <c r="AB16" s="4274"/>
      <c r="AC16" s="4274"/>
      <c r="AD16" s="4274"/>
      <c r="AE16" s="4274"/>
      <c r="AF16" s="4274"/>
      <c r="AG16" s="4274"/>
      <c r="AH16" s="4274"/>
      <c r="AI16" s="4274"/>
      <c r="AJ16" s="4274"/>
      <c r="AK16" s="4274"/>
      <c r="AL16" s="4274"/>
      <c r="AM16" s="4274"/>
      <c r="AN16" s="4274"/>
      <c r="AO16" s="4274"/>
      <c r="AP16" s="4274"/>
      <c r="AQ16" s="4274"/>
      <c r="AR16" s="4274"/>
      <c r="AS16" s="4274"/>
      <c r="AT16" s="4274"/>
      <c r="AU16" s="4274"/>
      <c r="AV16" s="4274"/>
      <c r="AW16" s="4274"/>
      <c r="AX16" s="4274"/>
      <c r="AY16" s="4274"/>
      <c r="AZ16" s="4274"/>
      <c r="BA16" s="4274"/>
      <c r="BB16" s="4274"/>
      <c r="BC16" s="4274"/>
      <c r="BD16" s="4274"/>
      <c r="BE16" s="4274"/>
      <c r="BF16" s="4274"/>
      <c r="BG16" s="4274"/>
      <c r="BH16" s="4274"/>
      <c r="BI16" s="4274"/>
      <c r="BJ16" s="4274"/>
      <c r="BK16" s="4274"/>
      <c r="BL16" s="4274"/>
      <c r="BM16" s="4274"/>
      <c r="BN16" s="4274"/>
      <c r="BO16" s="4274"/>
      <c r="BP16" s="4274"/>
      <c r="BQ16" s="1"/>
      <c r="BR16" s="1"/>
      <c r="BS16" s="1"/>
      <c r="BT16" s="1"/>
      <c r="BU16" s="1"/>
      <c r="BV16" s="1"/>
      <c r="BW16" s="1"/>
      <c r="BX16" s="1"/>
    </row>
    <row r="17" spans="1:76" ht="15.75" x14ac:dyDescent="0.25">
      <c r="A17" s="4255"/>
      <c r="B17" s="4256"/>
      <c r="C17" s="4257"/>
      <c r="D17" s="960">
        <v>18</v>
      </c>
      <c r="E17" s="989" t="s">
        <v>966</v>
      </c>
      <c r="F17" s="989"/>
      <c r="G17" s="4310"/>
      <c r="H17" s="4310"/>
      <c r="I17" s="744"/>
      <c r="J17" s="991"/>
      <c r="K17" s="743"/>
      <c r="L17" s="743"/>
      <c r="M17" s="743"/>
      <c r="N17" s="744"/>
      <c r="O17" s="112"/>
      <c r="P17" s="113"/>
      <c r="Q17" s="4280"/>
      <c r="R17" s="113"/>
      <c r="S17" s="113"/>
      <c r="T17" s="4281"/>
      <c r="U17" s="4281"/>
      <c r="V17" s="744"/>
      <c r="W17" s="996"/>
      <c r="X17" s="4311"/>
      <c r="Y17" s="997"/>
      <c r="Z17" s="4274"/>
      <c r="AA17" s="4274"/>
      <c r="AB17" s="4274"/>
      <c r="AC17" s="4274"/>
      <c r="AD17" s="4274"/>
      <c r="AE17" s="4274"/>
      <c r="AF17" s="4274"/>
      <c r="AG17" s="4274"/>
      <c r="AH17" s="4274"/>
      <c r="AI17" s="4274"/>
      <c r="AJ17" s="4274"/>
      <c r="AK17" s="4274"/>
      <c r="AL17" s="4274"/>
      <c r="AM17" s="4274"/>
      <c r="AN17" s="4274"/>
      <c r="AO17" s="4274"/>
      <c r="AP17" s="4274"/>
      <c r="AQ17" s="4274"/>
      <c r="AR17" s="4274"/>
      <c r="AS17" s="4274"/>
      <c r="AT17" s="4274"/>
      <c r="AU17" s="4274"/>
      <c r="AV17" s="4274"/>
      <c r="AW17" s="4274"/>
      <c r="AX17" s="4274"/>
      <c r="AY17" s="4274"/>
      <c r="AZ17" s="4274"/>
      <c r="BA17" s="4274"/>
      <c r="BB17" s="4274"/>
      <c r="BC17" s="4274"/>
      <c r="BD17" s="4274"/>
      <c r="BE17" s="4274"/>
      <c r="BF17" s="4274"/>
      <c r="BG17" s="4274"/>
      <c r="BH17" s="4274"/>
      <c r="BI17" s="4274"/>
      <c r="BJ17" s="4274"/>
      <c r="BK17" s="4274"/>
      <c r="BL17" s="4274"/>
      <c r="BM17" s="4274"/>
      <c r="BN17" s="4274"/>
      <c r="BO17" s="4274"/>
      <c r="BP17" s="4274"/>
      <c r="BQ17" s="1"/>
      <c r="BR17" s="1"/>
      <c r="BS17" s="1"/>
      <c r="BT17" s="1"/>
      <c r="BU17" s="1"/>
      <c r="BV17" s="1"/>
      <c r="BW17" s="1"/>
      <c r="BX17" s="1"/>
    </row>
    <row r="18" spans="1:76" ht="94.5" x14ac:dyDescent="0.25">
      <c r="A18" s="615"/>
      <c r="B18" s="1517"/>
      <c r="C18" s="1517"/>
      <c r="D18" s="1838"/>
      <c r="E18" s="1839"/>
      <c r="F18" s="1840"/>
      <c r="G18" s="398" t="s">
        <v>1140</v>
      </c>
      <c r="H18" s="4312">
        <v>18.2</v>
      </c>
      <c r="I18" s="2214" t="s">
        <v>2346</v>
      </c>
      <c r="J18" s="4313" t="s">
        <v>2347</v>
      </c>
      <c r="K18" s="1538">
        <v>130</v>
      </c>
      <c r="L18" s="1538">
        <v>68</v>
      </c>
      <c r="M18" s="2234" t="s">
        <v>2348</v>
      </c>
      <c r="N18" s="2237" t="s">
        <v>2337</v>
      </c>
      <c r="O18" s="2237" t="s">
        <v>2338</v>
      </c>
      <c r="P18" s="2232">
        <v>1</v>
      </c>
      <c r="Q18" s="4293">
        <v>218280000</v>
      </c>
      <c r="R18" s="4314">
        <f>+'[2]SGTO PLAN ACCION PROMOTORA'!$U$18</f>
        <v>218280000</v>
      </c>
      <c r="S18" s="4314">
        <f>+'[2]SGTO PLAN ACCION PROMOTORA'!$V$18</f>
        <v>102692322.03</v>
      </c>
      <c r="T18" s="2233" t="s">
        <v>2339</v>
      </c>
      <c r="U18" s="2237" t="s">
        <v>2340</v>
      </c>
      <c r="V18" s="4315" t="s">
        <v>2349</v>
      </c>
      <c r="W18" s="4316">
        <v>218280000</v>
      </c>
      <c r="X18" s="622">
        <v>3</v>
      </c>
      <c r="Y18" s="4273" t="s">
        <v>2345</v>
      </c>
      <c r="Z18" s="4274"/>
      <c r="AA18" s="4274"/>
      <c r="AB18" s="4274"/>
      <c r="AC18" s="4274"/>
      <c r="AD18" s="4274"/>
      <c r="AE18" s="4274"/>
      <c r="AF18" s="4274"/>
      <c r="AG18" s="4274"/>
      <c r="AH18" s="4274"/>
      <c r="AI18" s="4274"/>
      <c r="AJ18" s="4274"/>
      <c r="AK18" s="4274"/>
      <c r="AL18" s="4274"/>
      <c r="AM18" s="4274"/>
      <c r="AN18" s="4274"/>
      <c r="AO18" s="4274"/>
      <c r="AP18" s="4274"/>
      <c r="AQ18" s="4274"/>
      <c r="AR18" s="4274"/>
      <c r="AS18" s="4274"/>
      <c r="AT18" s="4274"/>
      <c r="AU18" s="4274"/>
      <c r="AV18" s="4274"/>
      <c r="AW18" s="4274"/>
      <c r="AX18" s="4274"/>
      <c r="AY18" s="4274"/>
      <c r="AZ18" s="4274"/>
      <c r="BA18" s="4274"/>
      <c r="BB18" s="4274"/>
      <c r="BC18" s="4274"/>
      <c r="BD18" s="4274"/>
      <c r="BE18" s="4274"/>
      <c r="BF18" s="4274"/>
      <c r="BG18" s="4274"/>
      <c r="BH18" s="4274"/>
      <c r="BI18" s="4274"/>
      <c r="BJ18" s="4274"/>
      <c r="BK18" s="4274"/>
      <c r="BL18" s="4274"/>
      <c r="BM18" s="4274"/>
      <c r="BN18" s="4274"/>
      <c r="BO18" s="4274"/>
      <c r="BP18" s="4274"/>
    </row>
    <row r="19" spans="1:76" ht="15.75" x14ac:dyDescent="0.25">
      <c r="A19" s="4275"/>
      <c r="B19" s="4276"/>
      <c r="C19" s="4277"/>
      <c r="D19" s="4317">
        <v>33</v>
      </c>
      <c r="E19" s="1240" t="s">
        <v>999</v>
      </c>
      <c r="F19" s="1240"/>
      <c r="G19" s="4310"/>
      <c r="H19" s="4278"/>
      <c r="I19" s="46"/>
      <c r="J19" s="4279"/>
      <c r="K19" s="829"/>
      <c r="L19" s="829"/>
      <c r="M19" s="829"/>
      <c r="N19" s="46"/>
      <c r="O19" s="112"/>
      <c r="P19" s="113"/>
      <c r="Q19" s="4280"/>
      <c r="R19" s="113"/>
      <c r="S19" s="113"/>
      <c r="T19" s="4281"/>
      <c r="U19" s="4281"/>
      <c r="V19" s="46"/>
      <c r="W19" s="4282"/>
      <c r="X19" s="4283"/>
      <c r="Y19" s="4284"/>
      <c r="Z19" s="4274"/>
      <c r="AA19" s="4274"/>
      <c r="AB19" s="4274"/>
      <c r="AC19" s="4274"/>
      <c r="AD19" s="4274"/>
      <c r="AE19" s="4274"/>
      <c r="AF19" s="4274"/>
      <c r="AG19" s="4274"/>
      <c r="AH19" s="4274"/>
      <c r="AI19" s="4274"/>
      <c r="AJ19" s="4274"/>
      <c r="AK19" s="4274"/>
      <c r="AL19" s="4274"/>
      <c r="AM19" s="4274"/>
      <c r="AN19" s="4274"/>
      <c r="AO19" s="4274"/>
      <c r="AP19" s="4274"/>
      <c r="AQ19" s="4274"/>
      <c r="AR19" s="4274"/>
      <c r="AS19" s="4274"/>
      <c r="AT19" s="4274"/>
      <c r="AU19" s="4274"/>
      <c r="AV19" s="4274"/>
      <c r="AW19" s="4274"/>
      <c r="AX19" s="4274"/>
      <c r="AY19" s="4274"/>
      <c r="AZ19" s="4274"/>
      <c r="BA19" s="4274"/>
      <c r="BB19" s="4274"/>
      <c r="BC19" s="4274"/>
      <c r="BD19" s="4274"/>
      <c r="BE19" s="4274"/>
      <c r="BF19" s="4274"/>
      <c r="BG19" s="4274"/>
      <c r="BH19" s="4274"/>
      <c r="BI19" s="4274"/>
      <c r="BJ19" s="4274"/>
      <c r="BK19" s="4274"/>
      <c r="BL19" s="4274"/>
      <c r="BM19" s="4274"/>
      <c r="BN19" s="4274"/>
      <c r="BO19" s="4274"/>
      <c r="BP19" s="4274"/>
    </row>
    <row r="20" spans="1:76" ht="45" x14ac:dyDescent="0.25">
      <c r="A20" s="4259"/>
      <c r="B20" s="4260"/>
      <c r="C20" s="4261"/>
      <c r="D20" s="1463"/>
      <c r="E20" s="1463"/>
      <c r="F20" s="4318"/>
      <c r="G20" s="4319" t="s">
        <v>2350</v>
      </c>
      <c r="H20" s="4319">
        <v>33.1</v>
      </c>
      <c r="I20" s="2231" t="s">
        <v>2351</v>
      </c>
      <c r="J20" s="4320" t="s">
        <v>2352</v>
      </c>
      <c r="K20" s="1538">
        <v>3</v>
      </c>
      <c r="L20" s="2210">
        <v>2</v>
      </c>
      <c r="M20" s="4321" t="s">
        <v>2344</v>
      </c>
      <c r="N20" s="3980" t="s">
        <v>2337</v>
      </c>
      <c r="O20" s="4214" t="s">
        <v>2338</v>
      </c>
      <c r="P20" s="814">
        <v>0.15874806098115857</v>
      </c>
      <c r="Q20" s="4293">
        <v>89176000</v>
      </c>
      <c r="R20" s="4294">
        <f>+'[2]SGTO PLAN ACCION PROMOTORA'!$U$20</f>
        <v>50451375</v>
      </c>
      <c r="S20" s="4294">
        <f>+'[2]SGTO PLAN ACCION PROMOTORA'!$V$20</f>
        <v>38992625</v>
      </c>
      <c r="T20" s="4214" t="s">
        <v>2339</v>
      </c>
      <c r="U20" s="4214" t="s">
        <v>2340</v>
      </c>
      <c r="V20" s="2231" t="s">
        <v>2351</v>
      </c>
      <c r="W20" s="4322">
        <v>89176000</v>
      </c>
      <c r="X20" s="4296">
        <v>3</v>
      </c>
      <c r="Y20" s="4273" t="s">
        <v>2345</v>
      </c>
      <c r="Z20" s="4274"/>
      <c r="AA20" s="4274"/>
      <c r="AB20" s="4274"/>
      <c r="AC20" s="4274"/>
      <c r="AD20" s="4274"/>
      <c r="AE20" s="4274"/>
      <c r="AF20" s="4274"/>
      <c r="AG20" s="4274"/>
      <c r="AH20" s="4274"/>
      <c r="AI20" s="4274"/>
      <c r="AJ20" s="4274"/>
      <c r="AK20" s="4274"/>
      <c r="AL20" s="4274"/>
      <c r="AM20" s="4274"/>
      <c r="AN20" s="4274"/>
      <c r="AO20" s="4274"/>
      <c r="AP20" s="4274"/>
      <c r="AQ20" s="4274"/>
      <c r="AR20" s="4274"/>
      <c r="AS20" s="4274"/>
      <c r="AT20" s="4274"/>
      <c r="AU20" s="4274"/>
      <c r="AV20" s="4274"/>
      <c r="AW20" s="4274"/>
      <c r="AX20" s="4274"/>
      <c r="AY20" s="4274"/>
      <c r="AZ20" s="4274"/>
      <c r="BA20" s="4274"/>
      <c r="BB20" s="4274"/>
      <c r="BC20" s="4274"/>
      <c r="BD20" s="4274"/>
      <c r="BE20" s="4274"/>
      <c r="BF20" s="4274"/>
      <c r="BG20" s="4274"/>
      <c r="BH20" s="4274"/>
      <c r="BI20" s="4274"/>
      <c r="BJ20" s="4274"/>
      <c r="BK20" s="4274"/>
      <c r="BL20" s="4274"/>
      <c r="BM20" s="4274"/>
      <c r="BN20" s="4274"/>
      <c r="BO20" s="4274"/>
      <c r="BP20" s="4274"/>
    </row>
    <row r="21" spans="1:76" ht="31.5" x14ac:dyDescent="0.25">
      <c r="A21" s="615"/>
      <c r="B21" s="1517"/>
      <c r="C21" s="1523"/>
      <c r="D21" s="3108"/>
      <c r="E21" s="3671"/>
      <c r="F21" s="3671"/>
      <c r="G21" s="4319" t="s">
        <v>2353</v>
      </c>
      <c r="H21" s="4319">
        <v>33.4</v>
      </c>
      <c r="I21" s="2231" t="s">
        <v>2354</v>
      </c>
      <c r="J21" s="4320" t="s">
        <v>2355</v>
      </c>
      <c r="K21" s="2229">
        <v>25</v>
      </c>
      <c r="L21" s="2197">
        <v>0</v>
      </c>
      <c r="M21" s="4321"/>
      <c r="N21" s="3980"/>
      <c r="O21" s="4214"/>
      <c r="P21" s="814">
        <v>0.17801657506633911</v>
      </c>
      <c r="Q21" s="4293">
        <v>100000000</v>
      </c>
      <c r="R21" s="4294">
        <f>+'[2]SGTO PLAN ACCION PROMOTORA'!$U$21</f>
        <v>20743404</v>
      </c>
      <c r="S21" s="4294">
        <f>+'[2]SGTO PLAN ACCION PROMOTORA'!$V$21</f>
        <v>16873479</v>
      </c>
      <c r="T21" s="4214"/>
      <c r="U21" s="4214"/>
      <c r="V21" s="2231" t="s">
        <v>2354</v>
      </c>
      <c r="W21" s="4322">
        <v>100000000</v>
      </c>
      <c r="X21" s="4323">
        <v>3</v>
      </c>
      <c r="Y21" s="4273" t="s">
        <v>2345</v>
      </c>
      <c r="Z21" s="4274"/>
      <c r="AA21" s="4274"/>
      <c r="AB21" s="4274"/>
      <c r="AC21" s="4274"/>
      <c r="AD21" s="4274"/>
      <c r="AE21" s="4274"/>
      <c r="AF21" s="4274"/>
      <c r="AG21" s="4274"/>
      <c r="AH21" s="4274"/>
      <c r="AI21" s="4274"/>
      <c r="AJ21" s="4274"/>
      <c r="AK21" s="4274"/>
      <c r="AL21" s="4274"/>
      <c r="AM21" s="4274"/>
      <c r="AN21" s="4274"/>
      <c r="AO21" s="4274"/>
      <c r="AP21" s="4274"/>
      <c r="AQ21" s="4274"/>
      <c r="AR21" s="4274"/>
      <c r="AS21" s="4274"/>
      <c r="AT21" s="4274"/>
      <c r="AU21" s="4274"/>
      <c r="AV21" s="4274"/>
      <c r="AW21" s="4274"/>
      <c r="AX21" s="4274"/>
      <c r="AY21" s="4274"/>
      <c r="AZ21" s="4274"/>
      <c r="BA21" s="4274"/>
      <c r="BB21" s="4274"/>
      <c r="BC21" s="4274"/>
      <c r="BD21" s="4274"/>
      <c r="BE21" s="4274"/>
      <c r="BF21" s="4274"/>
      <c r="BG21" s="4274"/>
      <c r="BH21" s="4274"/>
      <c r="BI21" s="4274"/>
      <c r="BJ21" s="4274"/>
      <c r="BK21" s="4274"/>
      <c r="BL21" s="4274"/>
      <c r="BM21" s="4274"/>
      <c r="BN21" s="4274"/>
      <c r="BO21" s="4274"/>
      <c r="BP21" s="4274"/>
    </row>
    <row r="22" spans="1:76" ht="31.5" x14ac:dyDescent="0.25">
      <c r="A22" s="615"/>
      <c r="B22" s="1517"/>
      <c r="C22" s="1523"/>
      <c r="D22" s="3108"/>
      <c r="E22" s="3671"/>
      <c r="F22" s="3671"/>
      <c r="G22" s="4319" t="s">
        <v>2356</v>
      </c>
      <c r="H22" s="4319">
        <v>33.5</v>
      </c>
      <c r="I22" s="2231" t="s">
        <v>2357</v>
      </c>
      <c r="J22" s="4320" t="s">
        <v>2358</v>
      </c>
      <c r="K22" s="1538">
        <v>75</v>
      </c>
      <c r="L22" s="2210">
        <v>32</v>
      </c>
      <c r="M22" s="4321"/>
      <c r="N22" s="3980"/>
      <c r="O22" s="4214"/>
      <c r="P22" s="814">
        <v>0.30720221381982404</v>
      </c>
      <c r="Q22" s="4293">
        <v>172569444</v>
      </c>
      <c r="R22" s="4294">
        <v>166429333.33000001</v>
      </c>
      <c r="S22" s="4294">
        <f>+'[2]SGTO PLAN ACCION PROMOTORA'!$V$22</f>
        <v>152169666.66999999</v>
      </c>
      <c r="T22" s="4214"/>
      <c r="U22" s="4214"/>
      <c r="V22" s="2231" t="s">
        <v>2357</v>
      </c>
      <c r="W22" s="4322">
        <v>172569444</v>
      </c>
      <c r="X22" s="4323">
        <v>4</v>
      </c>
      <c r="Y22" s="1715" t="s">
        <v>2341</v>
      </c>
      <c r="Z22" s="4274"/>
      <c r="AA22" s="4274"/>
      <c r="AB22" s="4274"/>
      <c r="AC22" s="4274"/>
      <c r="AD22" s="4274"/>
      <c r="AE22" s="4274"/>
      <c r="AF22" s="4274"/>
      <c r="AG22" s="4274"/>
      <c r="AH22" s="4274"/>
      <c r="AI22" s="4274"/>
      <c r="AJ22" s="4274"/>
      <c r="AK22" s="4274"/>
      <c r="AL22" s="4274"/>
      <c r="AM22" s="4274"/>
      <c r="AN22" s="4274"/>
      <c r="AO22" s="4274"/>
      <c r="AP22" s="4274"/>
      <c r="AQ22" s="4274"/>
      <c r="AR22" s="4274"/>
      <c r="AS22" s="4274"/>
      <c r="AT22" s="4274"/>
      <c r="AU22" s="4274"/>
      <c r="AV22" s="4274"/>
      <c r="AW22" s="4274"/>
      <c r="AX22" s="4274"/>
      <c r="AY22" s="4274"/>
      <c r="AZ22" s="4274"/>
      <c r="BA22" s="4274"/>
      <c r="BB22" s="4274"/>
      <c r="BC22" s="4274"/>
      <c r="BD22" s="4274"/>
      <c r="BE22" s="4274"/>
      <c r="BF22" s="4274"/>
      <c r="BG22" s="4274"/>
      <c r="BH22" s="4274"/>
      <c r="BI22" s="4274"/>
      <c r="BJ22" s="4274"/>
      <c r="BK22" s="4274"/>
      <c r="BL22" s="4274"/>
      <c r="BM22" s="4274"/>
      <c r="BN22" s="4274"/>
      <c r="BO22" s="4274"/>
      <c r="BP22" s="4274"/>
    </row>
    <row r="23" spans="1:76" ht="31.5" x14ac:dyDescent="0.25">
      <c r="A23" s="2016"/>
      <c r="B23" s="2017"/>
      <c r="C23" s="1528"/>
      <c r="D23" s="2017"/>
      <c r="E23" s="2017"/>
      <c r="F23" s="2017"/>
      <c r="G23" s="4319" t="s">
        <v>2359</v>
      </c>
      <c r="H23" s="4319">
        <v>33.6</v>
      </c>
      <c r="I23" s="4320" t="s">
        <v>1032</v>
      </c>
      <c r="J23" s="4320" t="s">
        <v>1033</v>
      </c>
      <c r="K23" s="1538">
        <v>3</v>
      </c>
      <c r="L23" s="2210">
        <v>0</v>
      </c>
      <c r="M23" s="4321"/>
      <c r="N23" s="3980"/>
      <c r="O23" s="4214"/>
      <c r="P23" s="814">
        <v>0.35603315013267822</v>
      </c>
      <c r="Q23" s="4293">
        <v>200000000</v>
      </c>
      <c r="R23" s="4324">
        <f>+'[2]SGTO PLAN ACCION PROMOTORA'!$U$23</f>
        <v>0</v>
      </c>
      <c r="S23" s="4324">
        <f>+'[2]SGTO PLAN ACCION PROMOTORA'!$V$23</f>
        <v>0</v>
      </c>
      <c r="T23" s="4214"/>
      <c r="U23" s="4214"/>
      <c r="V23" s="2231" t="s">
        <v>1033</v>
      </c>
      <c r="W23" s="4322">
        <v>200000000</v>
      </c>
      <c r="X23" s="4325">
        <v>4</v>
      </c>
      <c r="Y23" s="1715" t="s">
        <v>2341</v>
      </c>
      <c r="Z23" s="4274"/>
      <c r="AA23" s="4274"/>
      <c r="AB23" s="4274"/>
      <c r="AC23" s="4274"/>
      <c r="AD23" s="4274"/>
      <c r="AE23" s="4274"/>
      <c r="AF23" s="4274"/>
      <c r="AG23" s="4274"/>
      <c r="AH23" s="4274"/>
      <c r="AI23" s="4274"/>
      <c r="AJ23" s="4274"/>
      <c r="AK23" s="4274"/>
      <c r="AL23" s="4274"/>
      <c r="AM23" s="4274"/>
      <c r="AN23" s="4274"/>
      <c r="AO23" s="4274"/>
      <c r="AP23" s="4274"/>
      <c r="AQ23" s="4274"/>
      <c r="AR23" s="4274"/>
      <c r="AS23" s="4274"/>
      <c r="AT23" s="4274"/>
      <c r="AU23" s="4274"/>
      <c r="AV23" s="4274"/>
      <c r="AW23" s="4274"/>
      <c r="AX23" s="4274"/>
      <c r="AY23" s="4274"/>
      <c r="AZ23" s="4274"/>
      <c r="BA23" s="4274"/>
      <c r="BB23" s="4274"/>
      <c r="BC23" s="4274"/>
      <c r="BD23" s="4274"/>
      <c r="BE23" s="4274"/>
      <c r="BF23" s="4274"/>
      <c r="BG23" s="4274"/>
      <c r="BH23" s="4274"/>
      <c r="BI23" s="4274"/>
      <c r="BJ23" s="4274"/>
      <c r="BK23" s="4274"/>
      <c r="BL23" s="4274"/>
      <c r="BM23" s="4274"/>
      <c r="BN23" s="4274"/>
      <c r="BO23" s="4274"/>
      <c r="BP23" s="4274"/>
    </row>
    <row r="24" spans="1:76" ht="15.75" x14ac:dyDescent="0.25">
      <c r="A24" s="978">
        <v>4</v>
      </c>
      <c r="B24" s="4326" t="s">
        <v>812</v>
      </c>
      <c r="C24" s="4327"/>
      <c r="D24" s="4328"/>
      <c r="E24" s="4329"/>
      <c r="F24" s="4329"/>
      <c r="G24" s="4329"/>
      <c r="H24" s="4329"/>
      <c r="I24" s="4304"/>
      <c r="J24" s="4304"/>
      <c r="K24" s="4329"/>
      <c r="L24" s="4329"/>
      <c r="M24" s="4329"/>
      <c r="N24" s="4329"/>
      <c r="O24" s="4304"/>
      <c r="P24" s="4329"/>
      <c r="Q24" s="4330"/>
      <c r="R24" s="4303"/>
      <c r="S24" s="4329"/>
      <c r="T24" s="4304"/>
      <c r="U24" s="4304"/>
      <c r="V24" s="4331"/>
      <c r="W24" s="4332"/>
      <c r="X24" s="4333"/>
      <c r="Y24" s="4331"/>
      <c r="Z24" s="4274"/>
      <c r="AA24" s="4274"/>
      <c r="AB24" s="4274"/>
      <c r="AC24" s="4274"/>
      <c r="AD24" s="4274"/>
      <c r="AE24" s="4274"/>
      <c r="AF24" s="4274"/>
      <c r="AG24" s="4274"/>
      <c r="AH24" s="4274"/>
      <c r="AI24" s="4274"/>
      <c r="AJ24" s="4274"/>
      <c r="AK24" s="4274"/>
      <c r="AL24" s="4274"/>
      <c r="AM24" s="4274"/>
      <c r="AN24" s="4274"/>
      <c r="AO24" s="4274"/>
      <c r="AP24" s="4274"/>
      <c r="AQ24" s="4274"/>
      <c r="AR24" s="4274"/>
      <c r="AS24" s="4274"/>
      <c r="AT24" s="4274"/>
      <c r="AU24" s="4274"/>
      <c r="AV24" s="4274"/>
      <c r="AW24" s="4274"/>
      <c r="AX24" s="4274"/>
      <c r="AY24" s="4274"/>
      <c r="AZ24" s="4274"/>
      <c r="BA24" s="4274"/>
      <c r="BB24" s="4274"/>
      <c r="BC24" s="4274"/>
      <c r="BD24" s="4274"/>
      <c r="BE24" s="4274"/>
      <c r="BF24" s="4274"/>
      <c r="BG24" s="4274"/>
      <c r="BH24" s="4274"/>
      <c r="BI24" s="4274"/>
      <c r="BJ24" s="4274"/>
      <c r="BK24" s="4274"/>
      <c r="BL24" s="4274"/>
      <c r="BM24" s="4274"/>
      <c r="BN24" s="4274"/>
      <c r="BO24" s="4274"/>
      <c r="BP24" s="4274"/>
    </row>
    <row r="25" spans="1:76" ht="15.75" x14ac:dyDescent="0.25">
      <c r="A25" s="4255"/>
      <c r="B25" s="4256"/>
      <c r="C25" s="4257"/>
      <c r="D25" s="960">
        <v>45</v>
      </c>
      <c r="E25" s="45" t="s">
        <v>308</v>
      </c>
      <c r="F25" s="45"/>
      <c r="G25" s="255"/>
      <c r="H25" s="255"/>
      <c r="I25" s="4334"/>
      <c r="J25" s="4335"/>
      <c r="K25" s="272"/>
      <c r="L25" s="272"/>
      <c r="M25" s="272"/>
      <c r="N25" s="4334"/>
      <c r="O25" s="4335"/>
      <c r="P25" s="272"/>
      <c r="Q25" s="4336"/>
      <c r="R25" s="272"/>
      <c r="S25" s="272"/>
      <c r="T25" s="4335"/>
      <c r="U25" s="4335"/>
      <c r="V25" s="4334"/>
      <c r="W25" s="4337"/>
      <c r="X25" s="4338"/>
      <c r="Y25" s="4339"/>
      <c r="Z25" s="4274"/>
      <c r="AA25" s="4274"/>
      <c r="AB25" s="4274"/>
      <c r="AC25" s="4274"/>
      <c r="AD25" s="4274"/>
      <c r="AE25" s="4274"/>
      <c r="AF25" s="4274"/>
      <c r="AG25" s="4274"/>
      <c r="AH25" s="4274"/>
      <c r="AI25" s="4274"/>
      <c r="AJ25" s="4274"/>
      <c r="AK25" s="4274"/>
      <c r="AL25" s="4274"/>
      <c r="AM25" s="4274"/>
      <c r="AN25" s="4274"/>
      <c r="AO25" s="4274"/>
      <c r="AP25" s="4274"/>
      <c r="AQ25" s="4274"/>
      <c r="AR25" s="4274"/>
      <c r="AS25" s="4274"/>
      <c r="AT25" s="4274"/>
      <c r="AU25" s="4274"/>
      <c r="AV25" s="4274"/>
      <c r="AW25" s="4274"/>
      <c r="AX25" s="4274"/>
      <c r="AY25" s="4274"/>
      <c r="AZ25" s="4274"/>
      <c r="BA25" s="4274"/>
      <c r="BB25" s="4274"/>
      <c r="BC25" s="4274"/>
      <c r="BD25" s="4274"/>
      <c r="BE25" s="4274"/>
      <c r="BF25" s="4274"/>
      <c r="BG25" s="4274"/>
      <c r="BH25" s="4274"/>
      <c r="BI25" s="4274"/>
      <c r="BJ25" s="4274"/>
      <c r="BK25" s="4274"/>
      <c r="BL25" s="4274"/>
      <c r="BM25" s="4274"/>
      <c r="BN25" s="4274"/>
      <c r="BO25" s="4274"/>
      <c r="BP25" s="4274"/>
    </row>
    <row r="26" spans="1:76" ht="94.5" x14ac:dyDescent="0.25">
      <c r="A26" s="615"/>
      <c r="B26" s="1517"/>
      <c r="C26" s="1517"/>
      <c r="D26" s="1518"/>
      <c r="E26" s="1463"/>
      <c r="F26" s="1519"/>
      <c r="G26" s="4264" t="s">
        <v>1140</v>
      </c>
      <c r="H26" s="4340">
        <v>45.1</v>
      </c>
      <c r="I26" s="4341" t="s">
        <v>2349</v>
      </c>
      <c r="J26" s="4342" t="s">
        <v>1036</v>
      </c>
      <c r="K26" s="1538">
        <v>4</v>
      </c>
      <c r="L26" s="1538">
        <v>1</v>
      </c>
      <c r="M26" s="2234" t="s">
        <v>2348</v>
      </c>
      <c r="N26" s="2237" t="s">
        <v>2337</v>
      </c>
      <c r="O26" s="2237" t="s">
        <v>2338</v>
      </c>
      <c r="P26" s="2232">
        <v>1</v>
      </c>
      <c r="Q26" s="4293">
        <v>189176000</v>
      </c>
      <c r="R26" s="4293">
        <f>+'[2]SGTO PLAN ACCION PROMOTORA'!$U$26</f>
        <v>114951375</v>
      </c>
      <c r="S26" s="4293">
        <f>+'[2]SGTO PLAN ACCION PROMOTORA'!$V$26</f>
        <v>102722700</v>
      </c>
      <c r="T26" s="2237" t="s">
        <v>2339</v>
      </c>
      <c r="U26" s="2237" t="s">
        <v>2340</v>
      </c>
      <c r="V26" s="4341" t="s">
        <v>2349</v>
      </c>
      <c r="W26" s="4272">
        <v>189176000</v>
      </c>
      <c r="X26" s="622">
        <v>3</v>
      </c>
      <c r="Y26" s="4273" t="s">
        <v>2345</v>
      </c>
      <c r="Z26" s="4274"/>
      <c r="AA26" s="4274"/>
      <c r="AB26" s="4274"/>
      <c r="AC26" s="4274"/>
      <c r="AD26" s="4274"/>
      <c r="AE26" s="4274"/>
      <c r="AF26" s="4274"/>
      <c r="AG26" s="4274"/>
      <c r="AH26" s="4274"/>
      <c r="AI26" s="4274"/>
      <c r="AJ26" s="4274"/>
      <c r="AK26" s="4274"/>
      <c r="AL26" s="4274"/>
      <c r="AM26" s="4274"/>
      <c r="AN26" s="4274"/>
      <c r="AO26" s="4274"/>
      <c r="AP26" s="4274"/>
      <c r="AQ26" s="4274"/>
      <c r="AR26" s="4274"/>
      <c r="AS26" s="4274"/>
      <c r="AT26" s="4274"/>
      <c r="AU26" s="4274"/>
      <c r="AV26" s="4274"/>
      <c r="AW26" s="4274"/>
      <c r="AX26" s="4274"/>
      <c r="AY26" s="4274"/>
      <c r="AZ26" s="4274"/>
      <c r="BA26" s="4274"/>
      <c r="BB26" s="4274"/>
      <c r="BC26" s="4274"/>
      <c r="BD26" s="4274"/>
      <c r="BE26" s="4274"/>
      <c r="BF26" s="4274"/>
      <c r="BG26" s="4274"/>
      <c r="BH26" s="4274"/>
      <c r="BI26" s="4274"/>
      <c r="BJ26" s="4274"/>
      <c r="BK26" s="4274"/>
      <c r="BL26" s="4274"/>
      <c r="BM26" s="4274"/>
      <c r="BN26" s="4274"/>
      <c r="BO26" s="4274"/>
      <c r="BP26" s="4274"/>
    </row>
    <row r="27" spans="1:76" ht="15.75" x14ac:dyDescent="0.25">
      <c r="A27" s="4343"/>
      <c r="B27" s="4344"/>
      <c r="C27" s="4345"/>
      <c r="D27" s="4344"/>
      <c r="E27" s="4344"/>
      <c r="F27" s="4345"/>
      <c r="G27" s="4345"/>
      <c r="H27" s="4346"/>
      <c r="I27" s="4347"/>
      <c r="J27" s="4348"/>
      <c r="K27" s="4349"/>
      <c r="L27" s="4349"/>
      <c r="M27" s="4349"/>
      <c r="N27" s="2182"/>
      <c r="O27" s="2182"/>
      <c r="P27" s="4350"/>
      <c r="Q27" s="4351">
        <v>1903518104</v>
      </c>
      <c r="R27" s="4352">
        <f>SUM(R12:R26)</f>
        <v>1118665528.99</v>
      </c>
      <c r="S27" s="4352">
        <f>SUM(S12:S26)</f>
        <v>860512826.03999996</v>
      </c>
      <c r="T27" s="2182"/>
      <c r="U27" s="2182"/>
      <c r="V27" s="4353"/>
      <c r="W27" s="4354">
        <v>1903518104</v>
      </c>
      <c r="X27" s="4355"/>
      <c r="Y27" s="4353"/>
      <c r="Z27" s="4346"/>
      <c r="AA27" s="4346"/>
      <c r="AB27" s="4346"/>
      <c r="AC27" s="4346"/>
      <c r="AD27" s="4346"/>
      <c r="AE27" s="4346"/>
      <c r="AF27" s="4346"/>
      <c r="AG27" s="4346"/>
      <c r="AH27" s="4346"/>
      <c r="AI27" s="4346"/>
      <c r="AJ27" s="4346"/>
      <c r="AK27" s="4346"/>
      <c r="AL27" s="4346"/>
      <c r="AM27" s="4346"/>
      <c r="AN27" s="4346"/>
      <c r="AO27" s="4346"/>
      <c r="AP27" s="4346"/>
      <c r="AQ27" s="4346"/>
      <c r="AR27" s="4346"/>
      <c r="AS27" s="4346"/>
      <c r="AT27" s="4346"/>
      <c r="AU27" s="4346"/>
      <c r="AV27" s="4346"/>
      <c r="AW27" s="4346"/>
      <c r="AX27" s="4346"/>
      <c r="AY27" s="4346"/>
      <c r="AZ27" s="4346"/>
      <c r="BA27" s="4346"/>
      <c r="BB27" s="4346"/>
      <c r="BC27" s="4346"/>
      <c r="BD27" s="4346"/>
      <c r="BE27" s="4346"/>
      <c r="BF27" s="4346"/>
      <c r="BG27" s="4346"/>
      <c r="BH27" s="4346"/>
      <c r="BI27" s="4346"/>
      <c r="BJ27" s="4346"/>
      <c r="BK27" s="4346"/>
      <c r="BL27" s="4356"/>
      <c r="BM27" s="4356"/>
      <c r="BN27" s="4357"/>
      <c r="BO27" s="4357"/>
      <c r="BP27" s="4358"/>
    </row>
    <row r="28" spans="1:76" ht="15.75" x14ac:dyDescent="0.25">
      <c r="A28" s="141"/>
      <c r="B28" s="1"/>
      <c r="C28" s="1"/>
      <c r="D28" s="1"/>
      <c r="E28" s="1"/>
      <c r="F28" s="1"/>
      <c r="G28" s="1"/>
      <c r="H28" s="1"/>
      <c r="I28" s="1010"/>
      <c r="J28" s="1011"/>
      <c r="K28" s="18"/>
      <c r="L28" s="18"/>
      <c r="M28" s="18"/>
      <c r="N28" s="2209"/>
      <c r="O28" s="2209"/>
      <c r="P28" s="1015"/>
      <c r="Q28" s="163"/>
      <c r="R28" s="163"/>
      <c r="S28" s="163"/>
      <c r="T28" s="2209"/>
      <c r="U28" s="4359"/>
      <c r="V28" s="4360"/>
      <c r="W28" s="4361"/>
      <c r="X28" s="4362"/>
      <c r="Y28" s="4360"/>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014"/>
      <c r="BM28" s="1014"/>
      <c r="BN28" s="150"/>
      <c r="BO28" s="150"/>
      <c r="BP28" s="151"/>
    </row>
    <row r="29" spans="1:76" ht="15.75" x14ac:dyDescent="0.25">
      <c r="A29" s="141"/>
      <c r="B29" s="1"/>
      <c r="C29" s="1"/>
      <c r="D29" s="1"/>
      <c r="E29" s="1"/>
      <c r="F29" s="1"/>
      <c r="G29" s="1"/>
      <c r="H29" s="1"/>
      <c r="I29" s="1010"/>
      <c r="J29" s="1011"/>
      <c r="K29" s="18"/>
      <c r="L29" s="18"/>
      <c r="M29" s="18"/>
      <c r="N29" s="2209"/>
      <c r="O29" s="2209"/>
      <c r="P29" s="1015"/>
      <c r="Q29" s="163"/>
      <c r="R29" s="163"/>
      <c r="S29" s="163"/>
      <c r="T29" s="2209"/>
      <c r="U29" s="4359"/>
      <c r="V29" s="1471"/>
      <c r="W29" s="4361"/>
      <c r="X29" s="4362"/>
      <c r="Y29" s="4360"/>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014"/>
      <c r="BM29" s="1014"/>
      <c r="BN29" s="150"/>
      <c r="BO29" s="150"/>
      <c r="BP29" s="151"/>
    </row>
    <row r="30" spans="1:76" ht="15.75" x14ac:dyDescent="0.25">
      <c r="A30" s="141"/>
      <c r="B30" s="1"/>
      <c r="C30" s="1"/>
      <c r="D30" s="1"/>
      <c r="E30" s="1"/>
      <c r="F30" s="1"/>
      <c r="G30" s="1"/>
      <c r="H30" s="1"/>
      <c r="I30" s="1010"/>
      <c r="J30" s="1011"/>
      <c r="K30" s="18"/>
      <c r="L30" s="18"/>
      <c r="M30" s="18"/>
      <c r="N30" s="2209"/>
      <c r="O30" s="2209"/>
      <c r="P30" s="1015"/>
      <c r="Q30" s="163"/>
      <c r="R30" s="163"/>
      <c r="S30" s="163"/>
      <c r="T30" s="2209"/>
      <c r="U30" s="4359"/>
      <c r="V30" s="4360"/>
      <c r="W30" s="4361"/>
      <c r="X30" s="4362"/>
      <c r="Y30" s="4360"/>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014"/>
      <c r="BM30" s="1014"/>
      <c r="BN30" s="150"/>
      <c r="BO30" s="150"/>
      <c r="BP30" s="151"/>
    </row>
    <row r="31" spans="1:76" ht="15.75" x14ac:dyDescent="0.25">
      <c r="A31" s="141"/>
      <c r="B31" s="1"/>
      <c r="C31" s="1"/>
      <c r="D31" s="1"/>
      <c r="E31" s="1"/>
      <c r="F31" s="1"/>
      <c r="G31" s="1"/>
      <c r="H31" s="1"/>
      <c r="I31" s="1010"/>
      <c r="J31" s="1011"/>
      <c r="K31" s="18"/>
      <c r="L31" s="18"/>
      <c r="M31" s="18"/>
      <c r="N31" s="2209"/>
      <c r="O31" s="2209"/>
      <c r="P31" s="1015"/>
      <c r="Q31" s="163"/>
      <c r="R31" s="163"/>
      <c r="S31" s="163"/>
      <c r="T31" s="2209"/>
      <c r="U31" s="4359"/>
      <c r="V31" s="4360"/>
      <c r="W31" s="4361"/>
      <c r="X31" s="4362"/>
      <c r="Y31" s="4360"/>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014"/>
      <c r="BM31" s="1014"/>
      <c r="BN31" s="150"/>
      <c r="BO31" s="150"/>
      <c r="BP31" s="151"/>
    </row>
    <row r="32" spans="1:76" x14ac:dyDescent="0.25">
      <c r="U32" s="1601"/>
      <c r="V32" s="1601"/>
      <c r="W32" s="1601"/>
      <c r="X32" s="1601"/>
      <c r="Y32" s="1601"/>
    </row>
    <row r="33" spans="21:29" ht="15.75" x14ac:dyDescent="0.25">
      <c r="U33" s="4363" t="s">
        <v>2360</v>
      </c>
      <c r="V33" s="4363"/>
      <c r="W33" s="4363"/>
      <c r="X33" s="4363"/>
      <c r="Y33" s="4363"/>
      <c r="Z33" s="2222"/>
      <c r="AA33" s="2222"/>
      <c r="AB33" s="2222"/>
      <c r="AC33" s="2222"/>
    </row>
    <row r="34" spans="21:29" ht="18" x14ac:dyDescent="0.25">
      <c r="U34" s="4364" t="s">
        <v>2361</v>
      </c>
      <c r="V34" s="4364"/>
      <c r="W34" s="4364"/>
      <c r="X34" s="4364"/>
      <c r="Y34" s="4364"/>
    </row>
  </sheetData>
  <sheetProtection password="A60F" sheet="1" objects="1" scenarios="1"/>
  <mergeCells count="123">
    <mergeCell ref="D21:D22"/>
    <mergeCell ref="E21:E22"/>
    <mergeCell ref="F21:F22"/>
    <mergeCell ref="U33:Y33"/>
    <mergeCell ref="U34:Y34"/>
    <mergeCell ref="V14:V15"/>
    <mergeCell ref="M20:M23"/>
    <mergeCell ref="N20:N23"/>
    <mergeCell ref="O20:O23"/>
    <mergeCell ref="T20:T23"/>
    <mergeCell ref="U20:U23"/>
    <mergeCell ref="M14:M15"/>
    <mergeCell ref="N14:N15"/>
    <mergeCell ref="O14:O15"/>
    <mergeCell ref="P14:P15"/>
    <mergeCell ref="T14:T15"/>
    <mergeCell ref="U14:U15"/>
    <mergeCell ref="BP12:BP26"/>
    <mergeCell ref="D14:D15"/>
    <mergeCell ref="E14:E15"/>
    <mergeCell ref="F14:F15"/>
    <mergeCell ref="G14:G15"/>
    <mergeCell ref="H14:H15"/>
    <mergeCell ref="I14:I15"/>
    <mergeCell ref="J14:J15"/>
    <mergeCell ref="K14:K15"/>
    <mergeCell ref="L14:L15"/>
    <mergeCell ref="BJ12:BJ26"/>
    <mergeCell ref="BK12:BK26"/>
    <mergeCell ref="BL12:BL26"/>
    <mergeCell ref="BM12:BM26"/>
    <mergeCell ref="BN12:BN26"/>
    <mergeCell ref="BO12:BO26"/>
    <mergeCell ref="BD12:BD26"/>
    <mergeCell ref="BE12:BE26"/>
    <mergeCell ref="BF12:BF26"/>
    <mergeCell ref="BG12:BG26"/>
    <mergeCell ref="BH12:BH26"/>
    <mergeCell ref="BI12:BI26"/>
    <mergeCell ref="AX12:AX26"/>
    <mergeCell ref="AY12:AY26"/>
    <mergeCell ref="AZ12:AZ26"/>
    <mergeCell ref="BA12:BA26"/>
    <mergeCell ref="BB12:BB26"/>
    <mergeCell ref="BC12:BC26"/>
    <mergeCell ref="AR12:AR26"/>
    <mergeCell ref="AS12:AS26"/>
    <mergeCell ref="AT12:AT26"/>
    <mergeCell ref="AU12:AU26"/>
    <mergeCell ref="AV12:AV26"/>
    <mergeCell ref="AW12:AW26"/>
    <mergeCell ref="AL12:AL26"/>
    <mergeCell ref="AM12:AM26"/>
    <mergeCell ref="AN12:AN26"/>
    <mergeCell ref="AO12:AO26"/>
    <mergeCell ref="AP12:AP26"/>
    <mergeCell ref="AQ12:AQ26"/>
    <mergeCell ref="AF12:AF26"/>
    <mergeCell ref="AG12:AG26"/>
    <mergeCell ref="AH12:AH26"/>
    <mergeCell ref="AI12:AI26"/>
    <mergeCell ref="AJ12:AJ26"/>
    <mergeCell ref="AK12:AK26"/>
    <mergeCell ref="Z12:Z26"/>
    <mergeCell ref="AA12:AA26"/>
    <mergeCell ref="AB12:AB26"/>
    <mergeCell ref="AC12:AC26"/>
    <mergeCell ref="AD12:AD26"/>
    <mergeCell ref="AE12:AE26"/>
    <mergeCell ref="BF8:BF9"/>
    <mergeCell ref="BG8:BG9"/>
    <mergeCell ref="BH8:BH9"/>
    <mergeCell ref="BI8:BI9"/>
    <mergeCell ref="BJ8:BJ9"/>
    <mergeCell ref="BK8:BK9"/>
    <mergeCell ref="AR8:AS8"/>
    <mergeCell ref="AT8:AU8"/>
    <mergeCell ref="AV8:AW8"/>
    <mergeCell ref="AX8:AY8"/>
    <mergeCell ref="AZ8:BA8"/>
    <mergeCell ref="BB8:BC8"/>
    <mergeCell ref="BD7:BE8"/>
    <mergeCell ref="BF7:BK7"/>
    <mergeCell ref="BL7:BM8"/>
    <mergeCell ref="BN7:BO8"/>
    <mergeCell ref="BP7:BP8"/>
    <mergeCell ref="Z8:AA8"/>
    <mergeCell ref="AB8:AC8"/>
    <mergeCell ref="AD8:AE8"/>
    <mergeCell ref="AF8:AG8"/>
    <mergeCell ref="AH8:AI8"/>
    <mergeCell ref="X7:X8"/>
    <mergeCell ref="Y7:Y8"/>
    <mergeCell ref="Z7:AC7"/>
    <mergeCell ref="AD7:AK7"/>
    <mergeCell ref="AL7:AW7"/>
    <mergeCell ref="AX7:BB7"/>
    <mergeCell ref="AJ8:AK8"/>
    <mergeCell ref="AL8:AM8"/>
    <mergeCell ref="AN8:AO8"/>
    <mergeCell ref="AP8:AQ8"/>
    <mergeCell ref="P7:P8"/>
    <mergeCell ref="Q7:S7"/>
    <mergeCell ref="T7:T8"/>
    <mergeCell ref="U7:U8"/>
    <mergeCell ref="V7:V8"/>
    <mergeCell ref="W7:W8"/>
    <mergeCell ref="I7:I8"/>
    <mergeCell ref="J7:J8"/>
    <mergeCell ref="K7:L7"/>
    <mergeCell ref="M7:M8"/>
    <mergeCell ref="N7:N8"/>
    <mergeCell ref="O7:O8"/>
    <mergeCell ref="A1:BL4"/>
    <mergeCell ref="A5:K6"/>
    <mergeCell ref="M5:BP5"/>
    <mergeCell ref="Z6:BB6"/>
    <mergeCell ref="A7:A8"/>
    <mergeCell ref="B7:C8"/>
    <mergeCell ref="D7:D8"/>
    <mergeCell ref="E7:F8"/>
    <mergeCell ref="G7:G8"/>
    <mergeCell ref="H7:H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O22"/>
  <sheetViews>
    <sheetView showGridLines="0" zoomScale="50" zoomScaleNormal="50" workbookViewId="0">
      <selection sqref="A1:BK4"/>
    </sheetView>
  </sheetViews>
  <sheetFormatPr baseColWidth="10" defaultRowHeight="15" x14ac:dyDescent="0.25"/>
  <cols>
    <col min="1" max="1" width="16.5703125" customWidth="1"/>
    <col min="4" max="4" width="22" customWidth="1"/>
    <col min="7" max="7" width="21.140625" customWidth="1"/>
    <col min="8" max="8" width="62.5703125" customWidth="1"/>
    <col min="9" max="9" width="63.7109375" customWidth="1"/>
    <col min="12" max="12" width="22.7109375" customWidth="1"/>
    <col min="13" max="13" width="15" customWidth="1"/>
    <col min="14" max="14" width="32.85546875" customWidth="1"/>
    <col min="15" max="15" width="26.28515625" customWidth="1"/>
    <col min="16" max="20" width="28.28515625" customWidth="1"/>
    <col min="21" max="21" width="31.28515625" customWidth="1"/>
    <col min="22" max="22" width="32.42578125" customWidth="1"/>
    <col min="23" max="23" width="14" customWidth="1"/>
    <col min="24" max="24" width="17.140625" customWidth="1"/>
    <col min="57" max="57" width="22.28515625" customWidth="1"/>
    <col min="58" max="58" width="25.42578125" customWidth="1"/>
    <col min="59" max="59" width="24.140625" customWidth="1"/>
    <col min="60" max="60" width="17.7109375" customWidth="1"/>
    <col min="61" max="61" width="25.7109375" customWidth="1"/>
    <col min="62" max="62" width="21.85546875" customWidth="1"/>
    <col min="63" max="63" width="15" customWidth="1"/>
    <col min="64" max="64" width="19.42578125" customWidth="1"/>
    <col min="65" max="65" width="15" customWidth="1"/>
    <col min="66" max="66" width="13.42578125" bestFit="1" customWidth="1"/>
    <col min="67" max="67" width="22.85546875" customWidth="1"/>
  </cols>
  <sheetData>
    <row r="1" spans="1:67" ht="18" customHeight="1" x14ac:dyDescent="0.25">
      <c r="A1" s="2241" t="s">
        <v>845</v>
      </c>
      <c r="B1" s="2242"/>
      <c r="C1" s="2242"/>
      <c r="D1" s="2242"/>
      <c r="E1" s="2242"/>
      <c r="F1" s="2242"/>
      <c r="G1" s="2242"/>
      <c r="H1" s="2242"/>
      <c r="I1" s="2242"/>
      <c r="J1" s="2242"/>
      <c r="K1" s="2242"/>
      <c r="L1" s="2242"/>
      <c r="M1" s="2242"/>
      <c r="N1" s="2242"/>
      <c r="O1" s="2242"/>
      <c r="P1" s="2242"/>
      <c r="Q1" s="2242"/>
      <c r="R1" s="2242"/>
      <c r="S1" s="2242"/>
      <c r="T1" s="2242"/>
      <c r="U1" s="2242"/>
      <c r="V1" s="2242"/>
      <c r="W1" s="2242"/>
      <c r="X1" s="2242"/>
      <c r="Y1" s="2242"/>
      <c r="Z1" s="2242"/>
      <c r="AA1" s="2242"/>
      <c r="AB1" s="2242"/>
      <c r="AC1" s="2242"/>
      <c r="AD1" s="2242"/>
      <c r="AE1" s="2242"/>
      <c r="AF1" s="2242"/>
      <c r="AG1" s="2242"/>
      <c r="AH1" s="2242"/>
      <c r="AI1" s="2242"/>
      <c r="AJ1" s="2242"/>
      <c r="AK1" s="2242"/>
      <c r="AL1" s="2242"/>
      <c r="AM1" s="2242"/>
      <c r="AN1" s="2242"/>
      <c r="AO1" s="2242"/>
      <c r="AP1" s="2242"/>
      <c r="AQ1" s="2242"/>
      <c r="AR1" s="2242"/>
      <c r="AS1" s="2242"/>
      <c r="AT1" s="2242"/>
      <c r="AU1" s="2242"/>
      <c r="AV1" s="2242"/>
      <c r="AW1" s="2242"/>
      <c r="AX1" s="2242"/>
      <c r="AY1" s="2242"/>
      <c r="AZ1" s="2242"/>
      <c r="BA1" s="2242"/>
      <c r="BB1" s="2242"/>
      <c r="BC1" s="2242"/>
      <c r="BD1" s="2242"/>
      <c r="BE1" s="2242"/>
      <c r="BF1" s="2242"/>
      <c r="BG1" s="2242"/>
      <c r="BH1" s="2242"/>
      <c r="BI1" s="2242"/>
      <c r="BJ1" s="2242"/>
      <c r="BK1" s="2242"/>
      <c r="BL1" s="704"/>
      <c r="BN1" s="628" t="s">
        <v>29</v>
      </c>
      <c r="BO1" s="705" t="s">
        <v>336</v>
      </c>
    </row>
    <row r="2" spans="1:67" x14ac:dyDescent="0.25">
      <c r="A2" s="2244"/>
      <c r="B2" s="2245"/>
      <c r="C2" s="2245"/>
      <c r="D2" s="2245"/>
      <c r="E2" s="2245"/>
      <c r="F2" s="2245"/>
      <c r="G2" s="2245"/>
      <c r="H2" s="2245"/>
      <c r="I2" s="2245"/>
      <c r="J2" s="2245"/>
      <c r="K2" s="2245"/>
      <c r="L2" s="2245"/>
      <c r="M2" s="2245"/>
      <c r="N2" s="2245"/>
      <c r="O2" s="2245"/>
      <c r="P2" s="2245"/>
      <c r="Q2" s="2245"/>
      <c r="R2" s="2245"/>
      <c r="S2" s="2245"/>
      <c r="T2" s="2245"/>
      <c r="U2" s="2245"/>
      <c r="V2" s="2245"/>
      <c r="W2" s="2245"/>
      <c r="X2" s="2245"/>
      <c r="Y2" s="2245"/>
      <c r="Z2" s="2245"/>
      <c r="AA2" s="2245"/>
      <c r="AB2" s="2245"/>
      <c r="AC2" s="2245"/>
      <c r="AD2" s="2245"/>
      <c r="AE2" s="2245"/>
      <c r="AF2" s="2245"/>
      <c r="AG2" s="2245"/>
      <c r="AH2" s="2245"/>
      <c r="AI2" s="2245"/>
      <c r="AJ2" s="2245"/>
      <c r="AK2" s="2245"/>
      <c r="AL2" s="2245"/>
      <c r="AM2" s="2245"/>
      <c r="AN2" s="2245"/>
      <c r="AO2" s="2245"/>
      <c r="AP2" s="2245"/>
      <c r="AQ2" s="2245"/>
      <c r="AR2" s="2245"/>
      <c r="AS2" s="2245"/>
      <c r="AT2" s="2245"/>
      <c r="AU2" s="2245"/>
      <c r="AV2" s="2245"/>
      <c r="AW2" s="2245"/>
      <c r="AX2" s="2245"/>
      <c r="AY2" s="2245"/>
      <c r="AZ2" s="2245"/>
      <c r="BA2" s="2245"/>
      <c r="BB2" s="2245"/>
      <c r="BC2" s="2245"/>
      <c r="BD2" s="2245"/>
      <c r="BE2" s="2245"/>
      <c r="BF2" s="2245"/>
      <c r="BG2" s="2245"/>
      <c r="BH2" s="2245"/>
      <c r="BI2" s="2245"/>
      <c r="BJ2" s="2245"/>
      <c r="BK2" s="2245"/>
      <c r="BL2" s="706"/>
      <c r="BN2" s="631" t="s">
        <v>30</v>
      </c>
      <c r="BO2" s="707">
        <v>6</v>
      </c>
    </row>
    <row r="3" spans="1:67" x14ac:dyDescent="0.25">
      <c r="A3" s="2244"/>
      <c r="B3" s="2245"/>
      <c r="C3" s="2245"/>
      <c r="D3" s="2245"/>
      <c r="E3" s="2245"/>
      <c r="F3" s="2245"/>
      <c r="G3" s="2245"/>
      <c r="H3" s="2245"/>
      <c r="I3" s="2245"/>
      <c r="J3" s="2245"/>
      <c r="K3" s="2245"/>
      <c r="L3" s="2245"/>
      <c r="M3" s="2245"/>
      <c r="N3" s="2245"/>
      <c r="O3" s="2245"/>
      <c r="P3" s="2245"/>
      <c r="Q3" s="2245"/>
      <c r="R3" s="2245"/>
      <c r="S3" s="2245"/>
      <c r="T3" s="2245"/>
      <c r="U3" s="2245"/>
      <c r="V3" s="2245"/>
      <c r="W3" s="2245"/>
      <c r="X3" s="2245"/>
      <c r="Y3" s="2245"/>
      <c r="Z3" s="2245"/>
      <c r="AA3" s="2245"/>
      <c r="AB3" s="2245"/>
      <c r="AC3" s="2245"/>
      <c r="AD3" s="2245"/>
      <c r="AE3" s="2245"/>
      <c r="AF3" s="2245"/>
      <c r="AG3" s="2245"/>
      <c r="AH3" s="2245"/>
      <c r="AI3" s="2245"/>
      <c r="AJ3" s="2245"/>
      <c r="AK3" s="2245"/>
      <c r="AL3" s="2245"/>
      <c r="AM3" s="2245"/>
      <c r="AN3" s="2245"/>
      <c r="AO3" s="2245"/>
      <c r="AP3" s="2245"/>
      <c r="AQ3" s="2245"/>
      <c r="AR3" s="2245"/>
      <c r="AS3" s="2245"/>
      <c r="AT3" s="2245"/>
      <c r="AU3" s="2245"/>
      <c r="AV3" s="2245"/>
      <c r="AW3" s="2245"/>
      <c r="AX3" s="2245"/>
      <c r="AY3" s="2245"/>
      <c r="AZ3" s="2245"/>
      <c r="BA3" s="2245"/>
      <c r="BB3" s="2245"/>
      <c r="BC3" s="2245"/>
      <c r="BD3" s="2245"/>
      <c r="BE3" s="2245"/>
      <c r="BF3" s="2245"/>
      <c r="BG3" s="2245"/>
      <c r="BH3" s="2245"/>
      <c r="BI3" s="2245"/>
      <c r="BJ3" s="2245"/>
      <c r="BK3" s="2245"/>
      <c r="BL3" s="706"/>
      <c r="BN3" s="631" t="s">
        <v>32</v>
      </c>
      <c r="BO3" s="708" t="s">
        <v>33</v>
      </c>
    </row>
    <row r="4" spans="1:67" x14ac:dyDescent="0.25">
      <c r="A4" s="2247"/>
      <c r="B4" s="2248"/>
      <c r="C4" s="2248"/>
      <c r="D4" s="2248"/>
      <c r="E4" s="2248"/>
      <c r="F4" s="2248"/>
      <c r="G4" s="2248"/>
      <c r="H4" s="2248"/>
      <c r="I4" s="2248"/>
      <c r="J4" s="2248"/>
      <c r="K4" s="2248"/>
      <c r="L4" s="2248"/>
      <c r="M4" s="2248"/>
      <c r="N4" s="2248"/>
      <c r="O4" s="2248"/>
      <c r="P4" s="2248"/>
      <c r="Q4" s="2248"/>
      <c r="R4" s="2248"/>
      <c r="S4" s="2248"/>
      <c r="T4" s="2248"/>
      <c r="U4" s="2248"/>
      <c r="V4" s="2248"/>
      <c r="W4" s="2248"/>
      <c r="X4" s="2248"/>
      <c r="Y4" s="2248"/>
      <c r="Z4" s="2248"/>
      <c r="AA4" s="2248"/>
      <c r="AB4" s="2248"/>
      <c r="AC4" s="2248"/>
      <c r="AD4" s="2248"/>
      <c r="AE4" s="2248"/>
      <c r="AF4" s="2248"/>
      <c r="AG4" s="2248"/>
      <c r="AH4" s="2248"/>
      <c r="AI4" s="2248"/>
      <c r="AJ4" s="2248"/>
      <c r="AK4" s="2248"/>
      <c r="AL4" s="2248"/>
      <c r="AM4" s="2248"/>
      <c r="AN4" s="2248"/>
      <c r="AO4" s="2248"/>
      <c r="AP4" s="2248"/>
      <c r="AQ4" s="2248"/>
      <c r="AR4" s="2248"/>
      <c r="AS4" s="2248"/>
      <c r="AT4" s="2248"/>
      <c r="AU4" s="2248"/>
      <c r="AV4" s="2248"/>
      <c r="AW4" s="2248"/>
      <c r="AX4" s="2248"/>
      <c r="AY4" s="2248"/>
      <c r="AZ4" s="2248"/>
      <c r="BA4" s="2248"/>
      <c r="BB4" s="2248"/>
      <c r="BC4" s="2248"/>
      <c r="BD4" s="2248"/>
      <c r="BE4" s="2248"/>
      <c r="BF4" s="2248"/>
      <c r="BG4" s="2248"/>
      <c r="BH4" s="2248"/>
      <c r="BI4" s="2248"/>
      <c r="BJ4" s="2248"/>
      <c r="BK4" s="2248"/>
      <c r="BL4" s="709"/>
      <c r="BM4" s="950"/>
      <c r="BN4" s="631" t="s">
        <v>34</v>
      </c>
      <c r="BO4" s="710" t="s">
        <v>339</v>
      </c>
    </row>
    <row r="5" spans="1:67" ht="15.75" x14ac:dyDescent="0.25">
      <c r="A5" s="2250" t="s">
        <v>340</v>
      </c>
      <c r="B5" s="2251"/>
      <c r="C5" s="2251"/>
      <c r="D5" s="2251"/>
      <c r="E5" s="2251"/>
      <c r="F5" s="2251"/>
      <c r="G5" s="2251"/>
      <c r="H5" s="2251"/>
      <c r="I5" s="2251"/>
      <c r="J5" s="2251"/>
      <c r="K5" s="574"/>
      <c r="L5" s="2555" t="s">
        <v>37</v>
      </c>
      <c r="M5" s="2555"/>
      <c r="N5" s="2555"/>
      <c r="O5" s="2555"/>
      <c r="P5" s="2555"/>
      <c r="Q5" s="2555"/>
      <c r="R5" s="2555"/>
      <c r="S5" s="2555"/>
      <c r="T5" s="2555"/>
      <c r="U5" s="2555"/>
      <c r="V5" s="2555"/>
      <c r="W5" s="2555"/>
      <c r="X5" s="2555"/>
      <c r="Y5" s="2555"/>
      <c r="Z5" s="2555"/>
      <c r="AA5" s="2555"/>
      <c r="AB5" s="2555"/>
      <c r="AC5" s="2555"/>
      <c r="AD5" s="2555"/>
      <c r="AE5" s="2555"/>
      <c r="AF5" s="2555"/>
      <c r="AG5" s="2555"/>
      <c r="AH5" s="2555"/>
      <c r="AI5" s="2555"/>
      <c r="AJ5" s="2555"/>
      <c r="AK5" s="2555"/>
      <c r="AL5" s="2555"/>
      <c r="AM5" s="2555"/>
      <c r="AN5" s="2555"/>
      <c r="AO5" s="2555"/>
      <c r="AP5" s="2555"/>
      <c r="AQ5" s="2555"/>
      <c r="AR5" s="2555"/>
      <c r="AS5" s="2555"/>
      <c r="AT5" s="2555"/>
      <c r="AU5" s="2555"/>
      <c r="AV5" s="2555"/>
      <c r="AW5" s="2555"/>
      <c r="AX5" s="2555"/>
      <c r="AY5" s="2555"/>
      <c r="AZ5" s="2555"/>
      <c r="BA5" s="2555"/>
      <c r="BB5" s="2555"/>
      <c r="BC5" s="2555"/>
      <c r="BD5" s="2555"/>
      <c r="BE5" s="2555"/>
      <c r="BF5" s="2555"/>
      <c r="BG5" s="2555"/>
      <c r="BH5" s="2555"/>
      <c r="BI5" s="2555"/>
      <c r="BJ5" s="2555"/>
      <c r="BK5" s="2555"/>
      <c r="BL5" s="2555"/>
      <c r="BM5" s="2555"/>
      <c r="BN5" s="2254"/>
      <c r="BO5" s="2556"/>
    </row>
    <row r="6" spans="1:67" ht="16.5" thickBot="1" x14ac:dyDescent="0.3">
      <c r="A6" s="2252"/>
      <c r="B6" s="2253"/>
      <c r="C6" s="2253"/>
      <c r="D6" s="2253"/>
      <c r="E6" s="2253"/>
      <c r="F6" s="2253"/>
      <c r="G6" s="2253"/>
      <c r="H6" s="2253"/>
      <c r="I6" s="2253"/>
      <c r="J6" s="2253"/>
      <c r="K6" s="576"/>
      <c r="L6" s="573"/>
      <c r="M6" s="952"/>
      <c r="N6" s="636"/>
      <c r="O6" s="576"/>
      <c r="P6" s="637"/>
      <c r="Q6" s="576"/>
      <c r="R6" s="576"/>
      <c r="S6" s="576"/>
      <c r="T6" s="576"/>
      <c r="U6" s="576"/>
      <c r="V6" s="576"/>
      <c r="W6" s="576"/>
      <c r="X6" s="576"/>
      <c r="Y6" s="2557" t="s">
        <v>38</v>
      </c>
      <c r="Z6" s="2253"/>
      <c r="AA6" s="2253"/>
      <c r="AB6" s="2253"/>
      <c r="AC6" s="2253"/>
      <c r="AD6" s="2253"/>
      <c r="AE6" s="2253"/>
      <c r="AF6" s="2253"/>
      <c r="AG6" s="2253"/>
      <c r="AH6" s="2253"/>
      <c r="AI6" s="2253"/>
      <c r="AJ6" s="2253"/>
      <c r="AK6" s="2253"/>
      <c r="AL6" s="2253"/>
      <c r="AM6" s="2253"/>
      <c r="AN6" s="2253"/>
      <c r="AO6" s="2253"/>
      <c r="AP6" s="2253"/>
      <c r="AQ6" s="2253"/>
      <c r="AR6" s="2253"/>
      <c r="AS6" s="2253"/>
      <c r="AT6" s="2253"/>
      <c r="AU6" s="2253"/>
      <c r="AV6" s="2253"/>
      <c r="AW6" s="2253"/>
      <c r="AX6" s="2253"/>
      <c r="AY6" s="2253"/>
      <c r="AZ6" s="2253"/>
      <c r="BA6" s="2253"/>
      <c r="BB6" s="576"/>
      <c r="BC6" s="638"/>
      <c r="BD6" s="638"/>
      <c r="BE6" s="638"/>
      <c r="BF6" s="638"/>
      <c r="BG6" s="638"/>
      <c r="BH6" s="638"/>
      <c r="BI6" s="638"/>
      <c r="BJ6" s="638"/>
      <c r="BK6" s="639"/>
      <c r="BL6" s="639"/>
      <c r="BM6" s="639"/>
      <c r="BN6" s="639"/>
      <c r="BO6" s="956"/>
    </row>
    <row r="7" spans="1:67" ht="33" customHeight="1" x14ac:dyDescent="0.25">
      <c r="A7" s="4200" t="s">
        <v>39</v>
      </c>
      <c r="B7" s="2303" t="s">
        <v>40</v>
      </c>
      <c r="C7" s="2303"/>
      <c r="D7" s="2303" t="s">
        <v>39</v>
      </c>
      <c r="E7" s="2303" t="s">
        <v>41</v>
      </c>
      <c r="F7" s="2303"/>
      <c r="G7" s="2303" t="s">
        <v>39</v>
      </c>
      <c r="H7" s="2303" t="s">
        <v>43</v>
      </c>
      <c r="I7" s="2303" t="s">
        <v>44</v>
      </c>
      <c r="J7" s="2303" t="s">
        <v>45</v>
      </c>
      <c r="K7" s="2303"/>
      <c r="L7" s="2303" t="s">
        <v>46</v>
      </c>
      <c r="M7" s="2303" t="s">
        <v>47</v>
      </c>
      <c r="N7" s="2303" t="s">
        <v>37</v>
      </c>
      <c r="O7" s="4221" t="s">
        <v>48</v>
      </c>
      <c r="P7" s="2289" t="s">
        <v>49</v>
      </c>
      <c r="Q7" s="2303" t="s">
        <v>50</v>
      </c>
      <c r="R7" s="2303" t="s">
        <v>51</v>
      </c>
      <c r="S7" s="2303" t="s">
        <v>52</v>
      </c>
      <c r="T7" s="2289" t="s">
        <v>49</v>
      </c>
      <c r="U7" s="2289"/>
      <c r="V7" s="2289"/>
      <c r="W7" s="4200" t="s">
        <v>39</v>
      </c>
      <c r="X7" s="2303" t="s">
        <v>53</v>
      </c>
      <c r="Y7" s="2274" t="s">
        <v>54</v>
      </c>
      <c r="Z7" s="2275"/>
      <c r="AA7" s="2275"/>
      <c r="AB7" s="2276"/>
      <c r="AC7" s="2277" t="s">
        <v>55</v>
      </c>
      <c r="AD7" s="2278"/>
      <c r="AE7" s="2278"/>
      <c r="AF7" s="2278"/>
      <c r="AG7" s="2278"/>
      <c r="AH7" s="2278"/>
      <c r="AI7" s="2278"/>
      <c r="AJ7" s="2279"/>
      <c r="AK7" s="2542" t="s">
        <v>56</v>
      </c>
      <c r="AL7" s="2543"/>
      <c r="AM7" s="2543"/>
      <c r="AN7" s="2543"/>
      <c r="AO7" s="2543"/>
      <c r="AP7" s="2543"/>
      <c r="AQ7" s="2543"/>
      <c r="AR7" s="2543"/>
      <c r="AS7" s="2543"/>
      <c r="AT7" s="2543"/>
      <c r="AU7" s="2543"/>
      <c r="AV7" s="2544"/>
      <c r="AW7" s="2277" t="s">
        <v>57</v>
      </c>
      <c r="AX7" s="2278"/>
      <c r="AY7" s="2278"/>
      <c r="AZ7" s="2278"/>
      <c r="BA7" s="2278"/>
      <c r="BB7" s="2279"/>
      <c r="BC7" s="2393" t="s">
        <v>58</v>
      </c>
      <c r="BD7" s="2394"/>
      <c r="BE7" s="3501" t="s">
        <v>335</v>
      </c>
      <c r="BF7" s="3502"/>
      <c r="BG7" s="3502"/>
      <c r="BH7" s="3502"/>
      <c r="BI7" s="3502"/>
      <c r="BJ7" s="3503"/>
      <c r="BK7" s="2264" t="s">
        <v>59</v>
      </c>
      <c r="BL7" s="2265"/>
      <c r="BM7" s="2264" t="s">
        <v>60</v>
      </c>
      <c r="BN7" s="2265"/>
      <c r="BO7" s="2391" t="s">
        <v>61</v>
      </c>
    </row>
    <row r="8" spans="1:67" ht="131.25" customHeight="1" x14ac:dyDescent="0.25">
      <c r="A8" s="4200"/>
      <c r="B8" s="2303"/>
      <c r="C8" s="2303"/>
      <c r="D8" s="2303"/>
      <c r="E8" s="2303"/>
      <c r="F8" s="2303"/>
      <c r="G8" s="2303"/>
      <c r="H8" s="2303"/>
      <c r="I8" s="2303"/>
      <c r="J8" s="2303"/>
      <c r="K8" s="2303"/>
      <c r="L8" s="2303"/>
      <c r="M8" s="2303"/>
      <c r="N8" s="2303"/>
      <c r="O8" s="4221"/>
      <c r="P8" s="2289"/>
      <c r="Q8" s="2303"/>
      <c r="R8" s="2303"/>
      <c r="S8" s="2303"/>
      <c r="T8" s="2289" t="s">
        <v>62</v>
      </c>
      <c r="U8" s="2289" t="s">
        <v>150</v>
      </c>
      <c r="V8" s="977" t="s">
        <v>151</v>
      </c>
      <c r="W8" s="4200"/>
      <c r="X8" s="2303"/>
      <c r="Y8" s="2399" t="s">
        <v>63</v>
      </c>
      <c r="Z8" s="2400"/>
      <c r="AA8" s="2445" t="s">
        <v>64</v>
      </c>
      <c r="AB8" s="2446"/>
      <c r="AC8" s="2399" t="s">
        <v>65</v>
      </c>
      <c r="AD8" s="2400"/>
      <c r="AE8" s="2399" t="s">
        <v>66</v>
      </c>
      <c r="AF8" s="2400"/>
      <c r="AG8" s="2399" t="s">
        <v>846</v>
      </c>
      <c r="AH8" s="2400"/>
      <c r="AI8" s="2399" t="s">
        <v>68</v>
      </c>
      <c r="AJ8" s="2400"/>
      <c r="AK8" s="2399" t="s">
        <v>69</v>
      </c>
      <c r="AL8" s="2400"/>
      <c r="AM8" s="2399" t="s">
        <v>70</v>
      </c>
      <c r="AN8" s="2400"/>
      <c r="AO8" s="2399" t="s">
        <v>71</v>
      </c>
      <c r="AP8" s="2400"/>
      <c r="AQ8" s="2399" t="s">
        <v>72</v>
      </c>
      <c r="AR8" s="2400"/>
      <c r="AS8" s="2399" t="s">
        <v>73</v>
      </c>
      <c r="AT8" s="2400"/>
      <c r="AU8" s="2399" t="s">
        <v>74</v>
      </c>
      <c r="AV8" s="2400"/>
      <c r="AW8" s="2399" t="s">
        <v>75</v>
      </c>
      <c r="AX8" s="2400"/>
      <c r="AY8" s="2399" t="s">
        <v>76</v>
      </c>
      <c r="AZ8" s="2400"/>
      <c r="BA8" s="2399" t="s">
        <v>77</v>
      </c>
      <c r="BB8" s="2400"/>
      <c r="BC8" s="2395"/>
      <c r="BD8" s="2396"/>
      <c r="BE8" s="3171" t="s">
        <v>152</v>
      </c>
      <c r="BF8" s="3174" t="s">
        <v>153</v>
      </c>
      <c r="BG8" s="3171" t="s">
        <v>154</v>
      </c>
      <c r="BH8" s="3175" t="s">
        <v>155</v>
      </c>
      <c r="BI8" s="3171" t="s">
        <v>156</v>
      </c>
      <c r="BJ8" s="3172" t="s">
        <v>157</v>
      </c>
      <c r="BK8" s="2266"/>
      <c r="BL8" s="2267"/>
      <c r="BM8" s="2266"/>
      <c r="BN8" s="2267"/>
      <c r="BO8" s="2392"/>
    </row>
    <row r="9" spans="1:67" ht="33" customHeight="1" x14ac:dyDescent="0.25">
      <c r="A9" s="4200"/>
      <c r="B9" s="2303"/>
      <c r="C9" s="2303"/>
      <c r="D9" s="2303"/>
      <c r="E9" s="2303"/>
      <c r="F9" s="2303"/>
      <c r="G9" s="2303"/>
      <c r="H9" s="2303"/>
      <c r="I9" s="2303"/>
      <c r="J9" s="175" t="s">
        <v>158</v>
      </c>
      <c r="K9" s="175" t="s">
        <v>159</v>
      </c>
      <c r="L9" s="2303"/>
      <c r="M9" s="2303"/>
      <c r="N9" s="2303"/>
      <c r="O9" s="4221"/>
      <c r="P9" s="2289"/>
      <c r="Q9" s="2303"/>
      <c r="R9" s="2303"/>
      <c r="S9" s="2303"/>
      <c r="T9" s="2289"/>
      <c r="U9" s="2289"/>
      <c r="V9" s="977"/>
      <c r="W9" s="4200"/>
      <c r="X9" s="2303"/>
      <c r="Y9" s="175" t="s">
        <v>158</v>
      </c>
      <c r="Z9" s="175" t="s">
        <v>159</v>
      </c>
      <c r="AA9" s="175" t="s">
        <v>158</v>
      </c>
      <c r="AB9" s="175" t="s">
        <v>159</v>
      </c>
      <c r="AC9" s="175" t="s">
        <v>158</v>
      </c>
      <c r="AD9" s="175" t="s">
        <v>159</v>
      </c>
      <c r="AE9" s="175" t="s">
        <v>158</v>
      </c>
      <c r="AF9" s="175" t="s">
        <v>159</v>
      </c>
      <c r="AG9" s="175" t="s">
        <v>158</v>
      </c>
      <c r="AH9" s="175" t="s">
        <v>159</v>
      </c>
      <c r="AI9" s="175" t="s">
        <v>158</v>
      </c>
      <c r="AJ9" s="175" t="s">
        <v>159</v>
      </c>
      <c r="AK9" s="175" t="s">
        <v>158</v>
      </c>
      <c r="AL9" s="175" t="s">
        <v>159</v>
      </c>
      <c r="AM9" s="175" t="s">
        <v>158</v>
      </c>
      <c r="AN9" s="175" t="s">
        <v>159</v>
      </c>
      <c r="AO9" s="175" t="s">
        <v>158</v>
      </c>
      <c r="AP9" s="175" t="s">
        <v>159</v>
      </c>
      <c r="AQ9" s="175" t="s">
        <v>158</v>
      </c>
      <c r="AR9" s="175" t="s">
        <v>159</v>
      </c>
      <c r="AS9" s="175" t="s">
        <v>158</v>
      </c>
      <c r="AT9" s="175" t="s">
        <v>159</v>
      </c>
      <c r="AU9" s="175" t="s">
        <v>158</v>
      </c>
      <c r="AV9" s="175" t="s">
        <v>159</v>
      </c>
      <c r="AW9" s="175" t="s">
        <v>158</v>
      </c>
      <c r="AX9" s="175" t="s">
        <v>159</v>
      </c>
      <c r="AY9" s="175" t="s">
        <v>158</v>
      </c>
      <c r="AZ9" s="175" t="s">
        <v>159</v>
      </c>
      <c r="BA9" s="175" t="s">
        <v>158</v>
      </c>
      <c r="BB9" s="175" t="s">
        <v>159</v>
      </c>
      <c r="BC9" s="175" t="s">
        <v>158</v>
      </c>
      <c r="BD9" s="175" t="s">
        <v>159</v>
      </c>
      <c r="BE9" s="3171"/>
      <c r="BF9" s="3174"/>
      <c r="BG9" s="3171"/>
      <c r="BH9" s="3175"/>
      <c r="BI9" s="3171"/>
      <c r="BJ9" s="3173"/>
      <c r="BK9" s="175" t="s">
        <v>158</v>
      </c>
      <c r="BL9" s="175" t="s">
        <v>159</v>
      </c>
      <c r="BM9" s="175" t="s">
        <v>158</v>
      </c>
      <c r="BN9" s="175" t="s">
        <v>159</v>
      </c>
      <c r="BO9" s="287"/>
    </row>
    <row r="10" spans="1:67" ht="15.75" x14ac:dyDescent="0.25">
      <c r="A10" s="978">
        <v>3</v>
      </c>
      <c r="B10" s="979" t="s">
        <v>847</v>
      </c>
      <c r="C10" s="980"/>
      <c r="D10" s="981"/>
      <c r="E10" s="982"/>
      <c r="F10" s="982"/>
      <c r="G10" s="982"/>
      <c r="H10" s="983"/>
      <c r="I10" s="984"/>
      <c r="J10" s="982"/>
      <c r="K10" s="982"/>
      <c r="L10" s="982"/>
      <c r="M10" s="984"/>
      <c r="N10" s="984"/>
      <c r="O10" s="985"/>
      <c r="P10" s="982"/>
      <c r="Q10" s="982"/>
      <c r="R10" s="982"/>
      <c r="S10" s="984"/>
      <c r="T10" s="982"/>
      <c r="U10" s="982"/>
      <c r="V10" s="982"/>
      <c r="W10" s="982"/>
      <c r="X10" s="984"/>
      <c r="Y10" s="986"/>
      <c r="Z10" s="986"/>
      <c r="AA10" s="986"/>
      <c r="AB10" s="986"/>
      <c r="AC10" s="986"/>
      <c r="AD10" s="986"/>
      <c r="AE10" s="986"/>
      <c r="AF10" s="986"/>
      <c r="AG10" s="986"/>
      <c r="AH10" s="986"/>
      <c r="AI10" s="986"/>
      <c r="AJ10" s="986"/>
      <c r="AK10" s="986"/>
      <c r="AL10" s="986"/>
      <c r="AM10" s="986"/>
      <c r="AN10" s="986"/>
      <c r="AO10" s="986"/>
      <c r="AP10" s="986"/>
      <c r="AQ10" s="986"/>
      <c r="AR10" s="986"/>
      <c r="AS10" s="986"/>
      <c r="AT10" s="986"/>
      <c r="AU10" s="986"/>
      <c r="AV10" s="986"/>
      <c r="AW10" s="986"/>
      <c r="AX10" s="986"/>
      <c r="AY10" s="986"/>
      <c r="AZ10" s="986"/>
      <c r="BA10" s="986"/>
      <c r="BB10" s="986"/>
      <c r="BC10" s="986"/>
      <c r="BD10" s="986"/>
      <c r="BE10" s="986"/>
      <c r="BF10" s="986"/>
      <c r="BG10" s="986"/>
      <c r="BH10" s="986"/>
      <c r="BI10" s="986"/>
      <c r="BJ10" s="986"/>
      <c r="BK10" s="986"/>
      <c r="BL10" s="986"/>
      <c r="BM10" s="986"/>
      <c r="BN10" s="986"/>
      <c r="BO10" s="987"/>
    </row>
    <row r="11" spans="1:67" ht="15.75" x14ac:dyDescent="0.25">
      <c r="A11" s="988"/>
      <c r="B11" s="3304"/>
      <c r="C11" s="3247"/>
      <c r="D11" s="960">
        <v>2409</v>
      </c>
      <c r="E11" s="989" t="s">
        <v>848</v>
      </c>
      <c r="F11" s="46"/>
      <c r="G11" s="47"/>
      <c r="H11" s="990"/>
      <c r="I11" s="991"/>
      <c r="J11" s="48"/>
      <c r="K11" s="48"/>
      <c r="L11" s="744"/>
      <c r="M11" s="745"/>
      <c r="N11" s="992"/>
      <c r="O11" s="993"/>
      <c r="P11" s="994"/>
      <c r="Q11" s="995"/>
      <c r="R11" s="995"/>
      <c r="S11" s="744"/>
      <c r="T11" s="996"/>
      <c r="U11" s="996"/>
      <c r="V11" s="996"/>
      <c r="W11" s="995"/>
      <c r="X11" s="997"/>
      <c r="Y11" s="995"/>
      <c r="Z11" s="995"/>
      <c r="AA11" s="995"/>
      <c r="AB11" s="995"/>
      <c r="AC11" s="995"/>
      <c r="AD11" s="995"/>
      <c r="AE11" s="995"/>
      <c r="AF11" s="995"/>
      <c r="AG11" s="995"/>
      <c r="AH11" s="995"/>
      <c r="AI11" s="995"/>
      <c r="AJ11" s="995"/>
      <c r="AK11" s="995"/>
      <c r="AL11" s="995"/>
      <c r="AM11" s="995"/>
      <c r="AN11" s="995"/>
      <c r="AO11" s="995"/>
      <c r="AP11" s="995"/>
      <c r="AQ11" s="995"/>
      <c r="AR11" s="995"/>
      <c r="AS11" s="995"/>
      <c r="AT11" s="995"/>
      <c r="AU11" s="995"/>
      <c r="AV11" s="995"/>
      <c r="AW11" s="995"/>
      <c r="AX11" s="995"/>
      <c r="AY11" s="995"/>
      <c r="AZ11" s="995"/>
      <c r="BA11" s="995"/>
      <c r="BB11" s="995"/>
      <c r="BC11" s="995"/>
      <c r="BD11" s="995"/>
      <c r="BE11" s="995"/>
      <c r="BF11" s="995"/>
      <c r="BG11" s="995"/>
      <c r="BH11" s="995"/>
      <c r="BI11" s="995"/>
      <c r="BJ11" s="995"/>
      <c r="BK11" s="995"/>
      <c r="BL11" s="995"/>
      <c r="BM11" s="995"/>
      <c r="BN11" s="995"/>
      <c r="BO11" s="998"/>
    </row>
    <row r="12" spans="1:67" ht="45" x14ac:dyDescent="0.25">
      <c r="A12" s="999"/>
      <c r="B12" s="614"/>
      <c r="C12" s="614"/>
      <c r="D12" s="212"/>
      <c r="E12" s="3785"/>
      <c r="F12" s="3785"/>
      <c r="G12" s="1000">
        <v>19.100000000000001</v>
      </c>
      <c r="H12" s="568" t="s">
        <v>849</v>
      </c>
      <c r="I12" s="602" t="s">
        <v>850</v>
      </c>
      <c r="J12" s="594">
        <v>1</v>
      </c>
      <c r="K12" s="1001">
        <v>0.75</v>
      </c>
      <c r="L12" s="2516" t="s">
        <v>851</v>
      </c>
      <c r="M12" s="2307">
        <v>24010101</v>
      </c>
      <c r="N12" s="2423" t="s">
        <v>852</v>
      </c>
      <c r="O12" s="591">
        <f>T12/$T$16</f>
        <v>0.24672897196261681</v>
      </c>
      <c r="P12" s="4222">
        <v>107000000</v>
      </c>
      <c r="Q12" s="2440" t="s">
        <v>853</v>
      </c>
      <c r="R12" s="2308" t="s">
        <v>854</v>
      </c>
      <c r="S12" s="1002" t="s">
        <v>855</v>
      </c>
      <c r="T12" s="1003">
        <v>26400000</v>
      </c>
      <c r="U12" s="1003">
        <f>'[1]Metas Producto F-PLA-47'!S16</f>
        <v>25052000</v>
      </c>
      <c r="V12" s="1003">
        <f>'[1]Metas Producto F-PLA-47'!T16</f>
        <v>11052000</v>
      </c>
      <c r="W12" s="4224" t="s">
        <v>856</v>
      </c>
      <c r="X12" s="2440" t="s">
        <v>857</v>
      </c>
      <c r="Y12" s="2426">
        <v>57163</v>
      </c>
      <c r="Z12" s="2427">
        <f>Y12*W19</f>
        <v>13949.90893457944</v>
      </c>
      <c r="AA12" s="2688">
        <v>57815</v>
      </c>
      <c r="AB12" s="2427">
        <f>AA12*W19</f>
        <v>14109.021308411215</v>
      </c>
      <c r="AC12" s="2688">
        <v>27805</v>
      </c>
      <c r="AD12" s="2427">
        <f>AC12*W19</f>
        <v>6785.4594392523368</v>
      </c>
      <c r="AE12" s="2688">
        <v>8790</v>
      </c>
      <c r="AF12" s="2427">
        <f>AE12*W19</f>
        <v>2145.0885981308411</v>
      </c>
      <c r="AG12" s="2688">
        <v>60583</v>
      </c>
      <c r="AH12" s="2427">
        <f>AG12*W19</f>
        <v>14784.51678504673</v>
      </c>
      <c r="AI12" s="2688">
        <v>17800</v>
      </c>
      <c r="AJ12" s="2427">
        <f>AI12*W19</f>
        <v>4343.8654205607472</v>
      </c>
      <c r="AK12" s="2688">
        <v>283</v>
      </c>
      <c r="AL12" s="2427">
        <f>AK12*W19</f>
        <v>69.062579439252332</v>
      </c>
      <c r="AM12" s="2688">
        <v>1495</v>
      </c>
      <c r="AN12" s="2427">
        <f>AM12*W19</f>
        <v>364.83588785046732</v>
      </c>
      <c r="AO12" s="2688">
        <v>8</v>
      </c>
      <c r="AP12" s="2427">
        <f>AO12*W19</f>
        <v>1.9522990654205608</v>
      </c>
      <c r="AQ12" s="2688">
        <v>0</v>
      </c>
      <c r="AR12" s="2427">
        <v>0</v>
      </c>
      <c r="AS12" s="2688">
        <v>0</v>
      </c>
      <c r="AT12" s="2427">
        <v>0</v>
      </c>
      <c r="AU12" s="2688">
        <v>0</v>
      </c>
      <c r="AV12" s="2427">
        <v>0</v>
      </c>
      <c r="AW12" s="2688">
        <v>44350</v>
      </c>
      <c r="AX12" s="2427">
        <f>AW12*W19</f>
        <v>10823.057943925234</v>
      </c>
      <c r="AY12" s="2688">
        <v>6251</v>
      </c>
      <c r="AZ12" s="2427">
        <f>AY12*W19</f>
        <v>1525.4776822429906</v>
      </c>
      <c r="BA12" s="2688">
        <v>75687</v>
      </c>
      <c r="BB12" s="2427">
        <f>BA12*W19</f>
        <v>18470.457420560746</v>
      </c>
      <c r="BC12" s="2688">
        <v>114978</v>
      </c>
      <c r="BD12" s="2427">
        <f>BC12*W19</f>
        <v>28058.930242990653</v>
      </c>
      <c r="BE12" s="2427">
        <v>6</v>
      </c>
      <c r="BF12" s="2430">
        <f>U16</f>
        <v>50006000</v>
      </c>
      <c r="BG12" s="4226">
        <f>V16</f>
        <v>26112000</v>
      </c>
      <c r="BH12" s="2311">
        <f>W19</f>
        <v>0.24403738317757009</v>
      </c>
      <c r="BI12" s="2427" t="s">
        <v>857</v>
      </c>
      <c r="BJ12" s="2427" t="s">
        <v>858</v>
      </c>
      <c r="BK12" s="3355">
        <v>43831</v>
      </c>
      <c r="BL12" s="3355">
        <v>43838</v>
      </c>
      <c r="BM12" s="3355">
        <v>44196</v>
      </c>
      <c r="BN12" s="3355">
        <v>44196</v>
      </c>
      <c r="BO12" s="2309" t="s">
        <v>859</v>
      </c>
    </row>
    <row r="13" spans="1:67" ht="45" x14ac:dyDescent="0.25">
      <c r="A13" s="124"/>
      <c r="B13" s="1"/>
      <c r="C13" s="1"/>
      <c r="D13" s="212"/>
      <c r="E13" s="3785"/>
      <c r="F13" s="3785"/>
      <c r="G13" s="1000" t="s">
        <v>860</v>
      </c>
      <c r="H13" s="568" t="s">
        <v>861</v>
      </c>
      <c r="I13" s="975" t="s">
        <v>862</v>
      </c>
      <c r="J13" s="594">
        <v>1</v>
      </c>
      <c r="K13" s="1001">
        <v>0.1</v>
      </c>
      <c r="L13" s="2516"/>
      <c r="M13" s="2307"/>
      <c r="N13" s="2423" t="s">
        <v>863</v>
      </c>
      <c r="O13" s="591">
        <f t="shared" ref="O13:O15" si="0">T13/$T$16</f>
        <v>7.8504672897196259E-2</v>
      </c>
      <c r="P13" s="4222"/>
      <c r="Q13" s="2440"/>
      <c r="R13" s="2309"/>
      <c r="S13" s="1004" t="s">
        <v>864</v>
      </c>
      <c r="T13" s="1003">
        <v>8400000</v>
      </c>
      <c r="U13" s="1003">
        <f>'[1]Metas Producto F-PLA-47'!S17</f>
        <v>4590000</v>
      </c>
      <c r="V13" s="1003">
        <f>'[1]Metas Producto F-PLA-47'!T17</f>
        <v>1530000</v>
      </c>
      <c r="W13" s="4224"/>
      <c r="X13" s="2440"/>
      <c r="Y13" s="2427"/>
      <c r="Z13" s="2427"/>
      <c r="AA13" s="2688"/>
      <c r="AB13" s="2427"/>
      <c r="AC13" s="2688"/>
      <c r="AD13" s="2427"/>
      <c r="AE13" s="2688"/>
      <c r="AF13" s="2427"/>
      <c r="AG13" s="2688"/>
      <c r="AH13" s="2427"/>
      <c r="AI13" s="2688"/>
      <c r="AJ13" s="2427"/>
      <c r="AK13" s="2688"/>
      <c r="AL13" s="2427"/>
      <c r="AM13" s="2688"/>
      <c r="AN13" s="2427"/>
      <c r="AO13" s="2688"/>
      <c r="AP13" s="2427"/>
      <c r="AQ13" s="2688"/>
      <c r="AR13" s="2427"/>
      <c r="AS13" s="2688"/>
      <c r="AT13" s="2427"/>
      <c r="AU13" s="2688"/>
      <c r="AV13" s="2427"/>
      <c r="AW13" s="2688"/>
      <c r="AX13" s="2427"/>
      <c r="AY13" s="2688"/>
      <c r="AZ13" s="2427"/>
      <c r="BA13" s="2688"/>
      <c r="BB13" s="2427"/>
      <c r="BC13" s="2688"/>
      <c r="BD13" s="2427"/>
      <c r="BE13" s="2427"/>
      <c r="BF13" s="2430"/>
      <c r="BG13" s="4226"/>
      <c r="BH13" s="2311"/>
      <c r="BI13" s="2427"/>
      <c r="BJ13" s="2427"/>
      <c r="BK13" s="2321"/>
      <c r="BL13" s="3355"/>
      <c r="BM13" s="2321"/>
      <c r="BN13" s="3355"/>
      <c r="BO13" s="2309"/>
    </row>
    <row r="14" spans="1:67" ht="45" x14ac:dyDescent="0.25">
      <c r="A14" s="124"/>
      <c r="B14" s="1"/>
      <c r="C14" s="1"/>
      <c r="D14" s="212"/>
      <c r="E14" s="3785"/>
      <c r="F14" s="3785"/>
      <c r="G14" s="1000" t="s">
        <v>865</v>
      </c>
      <c r="H14" s="568" t="s">
        <v>866</v>
      </c>
      <c r="I14" s="548" t="s">
        <v>867</v>
      </c>
      <c r="J14" s="1005">
        <v>1</v>
      </c>
      <c r="K14" s="1001">
        <v>0.75</v>
      </c>
      <c r="L14" s="2516"/>
      <c r="M14" s="2307"/>
      <c r="N14" s="2423"/>
      <c r="O14" s="591">
        <f t="shared" si="0"/>
        <v>0.23551401869158878</v>
      </c>
      <c r="P14" s="4222"/>
      <c r="Q14" s="2440"/>
      <c r="R14" s="2309"/>
      <c r="S14" s="1004" t="s">
        <v>868</v>
      </c>
      <c r="T14" s="1006">
        <v>25200000</v>
      </c>
      <c r="U14" s="1003">
        <f>'[1]Metas Producto F-PLA-47'!S18</f>
        <v>12000000</v>
      </c>
      <c r="V14" s="1003">
        <f>'[1]Metas Producto F-PLA-47'!T18</f>
        <v>12000000</v>
      </c>
      <c r="W14" s="4224"/>
      <c r="X14" s="2440"/>
      <c r="Y14" s="2427"/>
      <c r="Z14" s="2427"/>
      <c r="AA14" s="2688"/>
      <c r="AB14" s="2427"/>
      <c r="AC14" s="2688"/>
      <c r="AD14" s="2427"/>
      <c r="AE14" s="2688"/>
      <c r="AF14" s="2427"/>
      <c r="AG14" s="2688"/>
      <c r="AH14" s="2427"/>
      <c r="AI14" s="2688"/>
      <c r="AJ14" s="2427"/>
      <c r="AK14" s="2688"/>
      <c r="AL14" s="2427"/>
      <c r="AM14" s="2688"/>
      <c r="AN14" s="2427"/>
      <c r="AO14" s="2688"/>
      <c r="AP14" s="2427"/>
      <c r="AQ14" s="2688"/>
      <c r="AR14" s="2427"/>
      <c r="AS14" s="2688"/>
      <c r="AT14" s="2427"/>
      <c r="AU14" s="2688"/>
      <c r="AV14" s="2427"/>
      <c r="AW14" s="2688"/>
      <c r="AX14" s="2427"/>
      <c r="AY14" s="2688"/>
      <c r="AZ14" s="2427"/>
      <c r="BA14" s="2688"/>
      <c r="BB14" s="2427"/>
      <c r="BC14" s="2688"/>
      <c r="BD14" s="2427"/>
      <c r="BE14" s="2427"/>
      <c r="BF14" s="2430"/>
      <c r="BG14" s="4226"/>
      <c r="BH14" s="2311"/>
      <c r="BI14" s="2427"/>
      <c r="BJ14" s="2427"/>
      <c r="BK14" s="2321"/>
      <c r="BL14" s="3355"/>
      <c r="BM14" s="2321"/>
      <c r="BN14" s="3355"/>
      <c r="BO14" s="2309"/>
    </row>
    <row r="15" spans="1:67" ht="75" customHeight="1" x14ac:dyDescent="0.25">
      <c r="A15" s="124"/>
      <c r="B15" s="1"/>
      <c r="C15" s="1"/>
      <c r="D15" s="212"/>
      <c r="E15" s="3785"/>
      <c r="F15" s="3785"/>
      <c r="G15" s="1007" t="s">
        <v>869</v>
      </c>
      <c r="H15" s="568" t="s">
        <v>870</v>
      </c>
      <c r="I15" s="548" t="s">
        <v>871</v>
      </c>
      <c r="J15" s="465">
        <v>1</v>
      </c>
      <c r="K15" s="1001">
        <v>0.1</v>
      </c>
      <c r="L15" s="3086"/>
      <c r="M15" s="2467"/>
      <c r="N15" s="2424"/>
      <c r="O15" s="591">
        <f t="shared" si="0"/>
        <v>0.43925233644859812</v>
      </c>
      <c r="P15" s="4223"/>
      <c r="Q15" s="2441"/>
      <c r="R15" s="3202"/>
      <c r="S15" s="1004" t="s">
        <v>872</v>
      </c>
      <c r="T15" s="1006">
        <v>47000000</v>
      </c>
      <c r="U15" s="1003">
        <f>'[1]Metas Producto F-PLA-47'!S19</f>
        <v>8364000</v>
      </c>
      <c r="V15" s="1003">
        <f>'[1]Metas Producto F-PLA-47'!T19</f>
        <v>1530000</v>
      </c>
      <c r="W15" s="4225"/>
      <c r="X15" s="2441"/>
      <c r="Y15" s="2428"/>
      <c r="Z15" s="2428"/>
      <c r="AA15" s="2688"/>
      <c r="AB15" s="2428"/>
      <c r="AC15" s="2688"/>
      <c r="AD15" s="2428"/>
      <c r="AE15" s="2688"/>
      <c r="AF15" s="2428"/>
      <c r="AG15" s="2688"/>
      <c r="AH15" s="2428"/>
      <c r="AI15" s="2688"/>
      <c r="AJ15" s="2428"/>
      <c r="AK15" s="2688"/>
      <c r="AL15" s="2428"/>
      <c r="AM15" s="2688"/>
      <c r="AN15" s="2428"/>
      <c r="AO15" s="2688"/>
      <c r="AP15" s="2428"/>
      <c r="AQ15" s="2688"/>
      <c r="AR15" s="2428"/>
      <c r="AS15" s="2688"/>
      <c r="AT15" s="2428"/>
      <c r="AU15" s="2688"/>
      <c r="AV15" s="2428"/>
      <c r="AW15" s="2688"/>
      <c r="AX15" s="2428"/>
      <c r="AY15" s="2688"/>
      <c r="AZ15" s="2428"/>
      <c r="BA15" s="2688"/>
      <c r="BB15" s="2428"/>
      <c r="BC15" s="2688"/>
      <c r="BD15" s="2428"/>
      <c r="BE15" s="2428"/>
      <c r="BF15" s="2431"/>
      <c r="BG15" s="4227"/>
      <c r="BH15" s="2425"/>
      <c r="BI15" s="2428"/>
      <c r="BJ15" s="2428"/>
      <c r="BK15" s="2736"/>
      <c r="BL15" s="3356"/>
      <c r="BM15" s="2736"/>
      <c r="BN15" s="3356"/>
      <c r="BO15" s="3202"/>
    </row>
    <row r="16" spans="1:67" ht="15.75" x14ac:dyDescent="0.25">
      <c r="A16" s="126"/>
      <c r="B16" s="125"/>
      <c r="C16" s="125"/>
      <c r="D16" s="976"/>
      <c r="E16" s="468"/>
      <c r="F16" s="468"/>
      <c r="G16" s="469"/>
      <c r="H16" s="1008"/>
      <c r="I16" s="1009"/>
      <c r="J16" s="684"/>
      <c r="K16" s="684"/>
      <c r="L16" s="684"/>
      <c r="M16" s="1009"/>
      <c r="N16" s="683"/>
      <c r="O16" s="375"/>
      <c r="P16" s="472">
        <v>107000000</v>
      </c>
      <c r="Q16" s="683"/>
      <c r="R16" s="683"/>
      <c r="S16" s="683"/>
      <c r="T16" s="472">
        <v>107000000</v>
      </c>
      <c r="U16" s="472">
        <f>SUM(U12:U15)</f>
        <v>50006000</v>
      </c>
      <c r="V16" s="472">
        <f>SUM(V12:V15)</f>
        <v>26112000</v>
      </c>
      <c r="W16" s="414"/>
      <c r="X16" s="683"/>
      <c r="Y16" s="682"/>
      <c r="Z16" s="682"/>
      <c r="AA16" s="682"/>
      <c r="AB16" s="682"/>
      <c r="AC16" s="682"/>
      <c r="AD16" s="682"/>
      <c r="AE16" s="682"/>
      <c r="AF16" s="682"/>
      <c r="AG16" s="682"/>
      <c r="AH16" s="682"/>
      <c r="AI16" s="682"/>
      <c r="AJ16" s="682"/>
      <c r="AK16" s="682"/>
      <c r="AL16" s="682"/>
      <c r="AM16" s="682"/>
      <c r="AN16" s="682"/>
      <c r="AO16" s="682"/>
      <c r="AP16" s="682"/>
      <c r="AQ16" s="682"/>
      <c r="AR16" s="682"/>
      <c r="AS16" s="682"/>
      <c r="AT16" s="682"/>
      <c r="AU16" s="682"/>
      <c r="AV16" s="682"/>
      <c r="AW16" s="682"/>
      <c r="AX16" s="682"/>
      <c r="AY16" s="682"/>
      <c r="AZ16" s="682"/>
      <c r="BA16" s="682"/>
      <c r="BB16" s="682"/>
      <c r="BC16" s="682"/>
      <c r="BD16" s="682"/>
      <c r="BE16" s="682"/>
      <c r="BF16" s="682"/>
      <c r="BG16" s="682"/>
      <c r="BH16" s="682"/>
      <c r="BI16" s="682"/>
      <c r="BJ16" s="682"/>
      <c r="BK16" s="689"/>
      <c r="BL16" s="689"/>
      <c r="BM16" s="690"/>
      <c r="BN16" s="690"/>
      <c r="BO16" s="473"/>
    </row>
    <row r="17" spans="1:67" ht="15.75" x14ac:dyDescent="0.25">
      <c r="A17" s="141"/>
      <c r="B17" s="1"/>
      <c r="C17" s="1"/>
      <c r="D17" s="1"/>
      <c r="E17" s="1"/>
      <c r="F17" s="1"/>
      <c r="G17" s="1"/>
      <c r="H17" s="1010"/>
      <c r="I17" s="1011"/>
      <c r="J17" s="18"/>
      <c r="K17" s="18"/>
      <c r="L17" s="18"/>
      <c r="M17" s="1011"/>
      <c r="N17" s="158"/>
      <c r="O17" s="1012"/>
      <c r="P17" s="1013"/>
      <c r="Q17" s="158"/>
      <c r="R17" s="158"/>
      <c r="S17" s="158"/>
      <c r="T17" s="1013"/>
      <c r="U17" s="1013"/>
      <c r="V17" s="1013"/>
      <c r="W17" s="147"/>
      <c r="X17" s="158"/>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014"/>
      <c r="BL17" s="1014"/>
      <c r="BM17" s="150"/>
      <c r="BN17" s="150"/>
      <c r="BO17" s="151"/>
    </row>
    <row r="18" spans="1:67" ht="15.75" x14ac:dyDescent="0.25">
      <c r="A18" s="141"/>
      <c r="B18" s="1"/>
      <c r="C18" s="1"/>
      <c r="D18" s="1"/>
      <c r="E18" s="1"/>
      <c r="F18" s="1"/>
      <c r="G18" s="1"/>
      <c r="H18" s="1010"/>
      <c r="I18" s="1011"/>
      <c r="J18" s="18"/>
      <c r="K18" s="18"/>
      <c r="L18" s="18"/>
      <c r="M18" s="1011"/>
      <c r="N18" s="158"/>
      <c r="O18" s="1015"/>
      <c r="P18" s="163"/>
      <c r="Q18" s="158"/>
      <c r="R18" s="158"/>
      <c r="S18" s="151"/>
      <c r="U18" s="164"/>
      <c r="V18" s="164"/>
      <c r="W18" s="147"/>
      <c r="X18" s="158"/>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014"/>
      <c r="BL18" s="1014"/>
      <c r="BM18" s="150"/>
      <c r="BN18" s="150"/>
      <c r="BO18" s="151"/>
    </row>
    <row r="19" spans="1:67" ht="15.75" x14ac:dyDescent="0.25">
      <c r="B19" s="125"/>
      <c r="C19" s="125"/>
      <c r="D19" s="125"/>
      <c r="E19" s="125"/>
      <c r="F19" s="125"/>
      <c r="G19" s="125"/>
      <c r="H19" s="1016"/>
      <c r="I19" s="1011"/>
      <c r="W19" s="1015">
        <f>V16/T16</f>
        <v>0.24403738317757009</v>
      </c>
      <c r="X19" s="165"/>
    </row>
    <row r="20" spans="1:67" ht="20.25" x14ac:dyDescent="0.3">
      <c r="B20" s="141"/>
      <c r="C20" s="156"/>
      <c r="D20" s="156" t="s">
        <v>873</v>
      </c>
      <c r="E20" s="156"/>
      <c r="F20" s="156"/>
      <c r="G20" s="156"/>
      <c r="H20" s="1017"/>
      <c r="I20" s="1017"/>
      <c r="J20" s="1018"/>
      <c r="K20" s="1018"/>
    </row>
    <row r="21" spans="1:67" ht="18" x14ac:dyDescent="0.25">
      <c r="B21" s="1"/>
      <c r="C21" s="1019"/>
      <c r="D21" s="1019"/>
      <c r="E21" s="1017" t="s">
        <v>874</v>
      </c>
      <c r="F21" s="1017"/>
      <c r="G21" s="1017"/>
      <c r="H21" s="1017"/>
      <c r="I21" s="142"/>
      <c r="J21" s="1020"/>
      <c r="K21" s="1020"/>
    </row>
    <row r="22" spans="1:67" x14ac:dyDescent="0.25">
      <c r="C22" s="1021"/>
      <c r="D22" s="1021"/>
      <c r="E22" s="1022"/>
      <c r="F22" s="1022"/>
      <c r="G22" s="1022"/>
      <c r="H22" s="1022"/>
      <c r="I22" s="630"/>
    </row>
  </sheetData>
  <sheetProtection password="A60F" sheet="1" objects="1" scenarios="1"/>
  <mergeCells count="108">
    <mergeCell ref="BN12:BN15"/>
    <mergeCell ref="BO12:BO15"/>
    <mergeCell ref="BH12:BH15"/>
    <mergeCell ref="BI12:BI15"/>
    <mergeCell ref="BJ12:BJ15"/>
    <mergeCell ref="BK12:BK15"/>
    <mergeCell ref="BL12:BL15"/>
    <mergeCell ref="BM12:BM15"/>
    <mergeCell ref="BB12:BB15"/>
    <mergeCell ref="BC12:BC15"/>
    <mergeCell ref="BD12:BD15"/>
    <mergeCell ref="BE12:BE15"/>
    <mergeCell ref="BF12:BF15"/>
    <mergeCell ref="BG12:BG15"/>
    <mergeCell ref="AV12:AV15"/>
    <mergeCell ref="AW12:AW15"/>
    <mergeCell ref="AX12:AX15"/>
    <mergeCell ref="AY12:AY15"/>
    <mergeCell ref="AZ12:AZ15"/>
    <mergeCell ref="BA12:BA15"/>
    <mergeCell ref="AP12:AP15"/>
    <mergeCell ref="AQ12:AQ15"/>
    <mergeCell ref="AR12:AR15"/>
    <mergeCell ref="AS12:AS15"/>
    <mergeCell ref="AT12:AT15"/>
    <mergeCell ref="AU12:AU15"/>
    <mergeCell ref="AJ12:AJ15"/>
    <mergeCell ref="AK12:AK15"/>
    <mergeCell ref="AL12:AL15"/>
    <mergeCell ref="AM12:AM15"/>
    <mergeCell ref="AN12:AN15"/>
    <mergeCell ref="AO12:AO15"/>
    <mergeCell ref="AD12:AD15"/>
    <mergeCell ref="AE12:AE15"/>
    <mergeCell ref="AF12:AF15"/>
    <mergeCell ref="AG12:AG15"/>
    <mergeCell ref="AH12:AH15"/>
    <mergeCell ref="AI12:AI15"/>
    <mergeCell ref="X12:X15"/>
    <mergeCell ref="Y12:Y15"/>
    <mergeCell ref="Z12:Z15"/>
    <mergeCell ref="AA12:AA15"/>
    <mergeCell ref="AB12:AB15"/>
    <mergeCell ref="AC12:AC15"/>
    <mergeCell ref="BJ8:BJ9"/>
    <mergeCell ref="B11:C11"/>
    <mergeCell ref="E12:F15"/>
    <mergeCell ref="L12:L15"/>
    <mergeCell ref="M12:M15"/>
    <mergeCell ref="N12:N15"/>
    <mergeCell ref="P12:P15"/>
    <mergeCell ref="Q12:Q15"/>
    <mergeCell ref="R12:R15"/>
    <mergeCell ref="W12:W15"/>
    <mergeCell ref="BA8:BB8"/>
    <mergeCell ref="BE8:BE9"/>
    <mergeCell ref="BF8:BF9"/>
    <mergeCell ref="BG8:BG9"/>
    <mergeCell ref="BH8:BH9"/>
    <mergeCell ref="BI8:BI9"/>
    <mergeCell ref="AO8:AP8"/>
    <mergeCell ref="AQ8:AR8"/>
    <mergeCell ref="AW8:AX8"/>
    <mergeCell ref="AY8:AZ8"/>
    <mergeCell ref="BE7:BJ7"/>
    <mergeCell ref="BK7:BL8"/>
    <mergeCell ref="BM7:BN8"/>
    <mergeCell ref="BO7:BO8"/>
    <mergeCell ref="T8:T9"/>
    <mergeCell ref="U8:U9"/>
    <mergeCell ref="Y8:Z8"/>
    <mergeCell ref="AA8:AB8"/>
    <mergeCell ref="AC8:AD8"/>
    <mergeCell ref="AE8:AF8"/>
    <mergeCell ref="X7:X9"/>
    <mergeCell ref="Y7:AB7"/>
    <mergeCell ref="AC7:AJ7"/>
    <mergeCell ref="AK7:AV7"/>
    <mergeCell ref="AW7:BB7"/>
    <mergeCell ref="BC7:BD8"/>
    <mergeCell ref="AG8:AH8"/>
    <mergeCell ref="AI8:AJ8"/>
    <mergeCell ref="AK8:AL8"/>
    <mergeCell ref="AM8:AN8"/>
    <mergeCell ref="A1:BK4"/>
    <mergeCell ref="A5:J6"/>
    <mergeCell ref="L5:BO5"/>
    <mergeCell ref="Y6:BA6"/>
    <mergeCell ref="A7:A9"/>
    <mergeCell ref="B7:C9"/>
    <mergeCell ref="D7:D9"/>
    <mergeCell ref="E7:F9"/>
    <mergeCell ref="G7:G9"/>
    <mergeCell ref="H7:H9"/>
    <mergeCell ref="P7:P9"/>
    <mergeCell ref="Q7:Q9"/>
    <mergeCell ref="R7:R9"/>
    <mergeCell ref="S7:S9"/>
    <mergeCell ref="T7:V7"/>
    <mergeCell ref="W7:W9"/>
    <mergeCell ref="I7:I9"/>
    <mergeCell ref="J7:K8"/>
    <mergeCell ref="L7:L9"/>
    <mergeCell ref="M7:M9"/>
    <mergeCell ref="N7:N9"/>
    <mergeCell ref="O7:O9"/>
    <mergeCell ref="AS8:AT8"/>
    <mergeCell ref="AU8:AV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I114"/>
  <sheetViews>
    <sheetView showGridLines="0" zoomScale="50" zoomScaleNormal="50" workbookViewId="0">
      <selection sqref="A1:BN4"/>
    </sheetView>
  </sheetViews>
  <sheetFormatPr baseColWidth="10" defaultColWidth="19.140625" defaultRowHeight="27" customHeight="1" x14ac:dyDescent="0.2"/>
  <cols>
    <col min="1" max="1" width="19.140625" style="141"/>
    <col min="2" max="2" width="19.140625" style="1"/>
    <col min="3" max="3" width="10.85546875" style="1" customWidth="1"/>
    <col min="4" max="5" width="15.140625" style="1" customWidth="1"/>
    <col min="6" max="6" width="12" style="1" customWidth="1"/>
    <col min="7" max="7" width="19.140625" style="1"/>
    <col min="8" max="8" width="25.7109375" style="1" customWidth="1"/>
    <col min="9" max="9" width="42.85546875" style="158" customWidth="1"/>
    <col min="10" max="10" width="36.5703125" style="18" customWidth="1"/>
    <col min="11" max="12" width="20" style="18" customWidth="1"/>
    <col min="13" max="13" width="33.42578125" style="143" customWidth="1"/>
    <col min="14" max="14" width="26.5703125" style="144" customWidth="1"/>
    <col min="15" max="15" width="36.28515625" style="143" customWidth="1"/>
    <col min="16" max="16" width="19.140625" style="145"/>
    <col min="17" max="17" width="27.140625" style="163" customWidth="1"/>
    <col min="18" max="18" width="42" style="158" customWidth="1"/>
    <col min="19" max="19" width="55.7109375" style="158" customWidth="1"/>
    <col min="20" max="20" width="76.5703125" style="195" customWidth="1"/>
    <col min="21" max="21" width="27.7109375" style="194" customWidth="1"/>
    <col min="22" max="22" width="30" style="194" customWidth="1"/>
    <col min="23" max="23" width="27.7109375" style="194" customWidth="1"/>
    <col min="24" max="24" width="19.140625" style="147"/>
    <col min="25" max="25" width="26" style="143" customWidth="1"/>
    <col min="26" max="58" width="13.140625" style="142" customWidth="1"/>
    <col min="59" max="59" width="32.7109375" style="142" customWidth="1"/>
    <col min="60" max="60" width="30.85546875" style="142" customWidth="1"/>
    <col min="61" max="61" width="19.140625" style="142"/>
    <col min="62" max="62" width="28.28515625" style="2" customWidth="1"/>
    <col min="63" max="63" width="34.85546875" style="2" customWidth="1"/>
    <col min="64" max="65" width="19.140625" style="149"/>
    <col min="66" max="67" width="19.140625" style="150"/>
    <col min="68" max="68" width="33" style="151" customWidth="1"/>
    <col min="69" max="16384" width="19.140625" style="1"/>
  </cols>
  <sheetData>
    <row r="1" spans="1:87" ht="33" customHeight="1" x14ac:dyDescent="0.2">
      <c r="A1" s="2545" t="s">
        <v>337</v>
      </c>
      <c r="B1" s="2545"/>
      <c r="C1" s="2545"/>
      <c r="D1" s="2545"/>
      <c r="E1" s="2545"/>
      <c r="F1" s="2545"/>
      <c r="G1" s="2545"/>
      <c r="H1" s="2545"/>
      <c r="I1" s="2545"/>
      <c r="J1" s="2545"/>
      <c r="K1" s="2545"/>
      <c r="L1" s="2545"/>
      <c r="M1" s="2545"/>
      <c r="N1" s="2545"/>
      <c r="O1" s="2545"/>
      <c r="P1" s="2545"/>
      <c r="Q1" s="2545"/>
      <c r="R1" s="2545"/>
      <c r="S1" s="2545"/>
      <c r="T1" s="2545"/>
      <c r="U1" s="2545"/>
      <c r="V1" s="2545"/>
      <c r="W1" s="2545"/>
      <c r="X1" s="2545"/>
      <c r="Y1" s="2545"/>
      <c r="Z1" s="2545"/>
      <c r="AA1" s="2545"/>
      <c r="AB1" s="2545"/>
      <c r="AC1" s="2545"/>
      <c r="AD1" s="2545"/>
      <c r="AE1" s="2545"/>
      <c r="AF1" s="2545"/>
      <c r="AG1" s="2545"/>
      <c r="AH1" s="2545"/>
      <c r="AI1" s="2545"/>
      <c r="AJ1" s="2545"/>
      <c r="AK1" s="2545"/>
      <c r="AL1" s="2545"/>
      <c r="AM1" s="2545"/>
      <c r="AN1" s="2545"/>
      <c r="AO1" s="2545"/>
      <c r="AP1" s="2545"/>
      <c r="AQ1" s="2545"/>
      <c r="AR1" s="2545"/>
      <c r="AS1" s="2545"/>
      <c r="AT1" s="2545"/>
      <c r="AU1" s="2545"/>
      <c r="AV1" s="2545"/>
      <c r="AW1" s="2545"/>
      <c r="AX1" s="2545"/>
      <c r="AY1" s="2545"/>
      <c r="AZ1" s="2545"/>
      <c r="BA1" s="2545"/>
      <c r="BB1" s="2545"/>
      <c r="BC1" s="2545"/>
      <c r="BD1" s="2545"/>
      <c r="BE1" s="2545"/>
      <c r="BF1" s="2545"/>
      <c r="BG1" s="2545"/>
      <c r="BH1" s="2545"/>
      <c r="BI1" s="2545"/>
      <c r="BJ1" s="2545"/>
      <c r="BK1" s="2545"/>
      <c r="BL1" s="2545"/>
      <c r="BM1" s="2545"/>
      <c r="BN1" s="2546"/>
      <c r="BO1" s="305" t="s">
        <v>29</v>
      </c>
      <c r="BP1" s="307" t="s">
        <v>336</v>
      </c>
      <c r="BQ1" s="18"/>
      <c r="BR1" s="18"/>
      <c r="BS1" s="18"/>
      <c r="BT1" s="18"/>
      <c r="BU1" s="18"/>
      <c r="BV1" s="18"/>
      <c r="BW1" s="18"/>
      <c r="BX1" s="18"/>
      <c r="BY1" s="18"/>
      <c r="BZ1" s="18"/>
      <c r="CA1" s="18"/>
      <c r="CB1" s="18"/>
      <c r="CC1" s="18"/>
      <c r="CD1" s="18"/>
      <c r="CE1" s="18"/>
      <c r="CF1" s="18"/>
      <c r="CG1" s="18"/>
      <c r="CH1" s="18"/>
      <c r="CI1" s="18"/>
    </row>
    <row r="2" spans="1:87" ht="33" customHeight="1" x14ac:dyDescent="0.2">
      <c r="A2" s="2545"/>
      <c r="B2" s="2545"/>
      <c r="C2" s="2545"/>
      <c r="D2" s="2545"/>
      <c r="E2" s="2545"/>
      <c r="F2" s="2545"/>
      <c r="G2" s="2545"/>
      <c r="H2" s="2545"/>
      <c r="I2" s="2545"/>
      <c r="J2" s="2545"/>
      <c r="K2" s="2545"/>
      <c r="L2" s="2545"/>
      <c r="M2" s="2545"/>
      <c r="N2" s="2545"/>
      <c r="O2" s="2545"/>
      <c r="P2" s="2545"/>
      <c r="Q2" s="2545"/>
      <c r="R2" s="2545"/>
      <c r="S2" s="2545"/>
      <c r="T2" s="2545"/>
      <c r="U2" s="2545"/>
      <c r="V2" s="2545"/>
      <c r="W2" s="2545"/>
      <c r="X2" s="2545"/>
      <c r="Y2" s="2545"/>
      <c r="Z2" s="2545"/>
      <c r="AA2" s="2545"/>
      <c r="AB2" s="2545"/>
      <c r="AC2" s="2545"/>
      <c r="AD2" s="2545"/>
      <c r="AE2" s="2545"/>
      <c r="AF2" s="2545"/>
      <c r="AG2" s="2545"/>
      <c r="AH2" s="2545"/>
      <c r="AI2" s="2545"/>
      <c r="AJ2" s="2545"/>
      <c r="AK2" s="2545"/>
      <c r="AL2" s="2545"/>
      <c r="AM2" s="2545"/>
      <c r="AN2" s="2545"/>
      <c r="AO2" s="2545"/>
      <c r="AP2" s="2545"/>
      <c r="AQ2" s="2545"/>
      <c r="AR2" s="2545"/>
      <c r="AS2" s="2545"/>
      <c r="AT2" s="2545"/>
      <c r="AU2" s="2545"/>
      <c r="AV2" s="2545"/>
      <c r="AW2" s="2545"/>
      <c r="AX2" s="2545"/>
      <c r="AY2" s="2545"/>
      <c r="AZ2" s="2545"/>
      <c r="BA2" s="2545"/>
      <c r="BB2" s="2545"/>
      <c r="BC2" s="2545"/>
      <c r="BD2" s="2545"/>
      <c r="BE2" s="2545"/>
      <c r="BF2" s="2545"/>
      <c r="BG2" s="2545"/>
      <c r="BH2" s="2545"/>
      <c r="BI2" s="2545"/>
      <c r="BJ2" s="2545"/>
      <c r="BK2" s="2545"/>
      <c r="BL2" s="2545"/>
      <c r="BM2" s="2545"/>
      <c r="BN2" s="2546"/>
      <c r="BO2" s="305" t="s">
        <v>30</v>
      </c>
      <c r="BP2" s="307" t="s">
        <v>31</v>
      </c>
      <c r="BQ2" s="18"/>
      <c r="BR2" s="18"/>
      <c r="BS2" s="18"/>
      <c r="BT2" s="18"/>
      <c r="BU2" s="18"/>
      <c r="BV2" s="18"/>
      <c r="BW2" s="18"/>
      <c r="BX2" s="18"/>
      <c r="BY2" s="18"/>
      <c r="BZ2" s="18"/>
      <c r="CA2" s="18"/>
      <c r="CB2" s="18"/>
      <c r="CC2" s="18"/>
      <c r="CD2" s="18"/>
      <c r="CE2" s="18"/>
      <c r="CF2" s="18"/>
      <c r="CG2" s="18"/>
      <c r="CH2" s="18"/>
      <c r="CI2" s="18"/>
    </row>
    <row r="3" spans="1:87" ht="33" customHeight="1" x14ac:dyDescent="0.2">
      <c r="A3" s="2545"/>
      <c r="B3" s="2545"/>
      <c r="C3" s="2545"/>
      <c r="D3" s="2545"/>
      <c r="E3" s="2545"/>
      <c r="F3" s="2545"/>
      <c r="G3" s="2545"/>
      <c r="H3" s="2545"/>
      <c r="I3" s="2545"/>
      <c r="J3" s="2545"/>
      <c r="K3" s="2545"/>
      <c r="L3" s="2545"/>
      <c r="M3" s="2545"/>
      <c r="N3" s="2545"/>
      <c r="O3" s="2545"/>
      <c r="P3" s="2545"/>
      <c r="Q3" s="2545"/>
      <c r="R3" s="2545"/>
      <c r="S3" s="2545"/>
      <c r="T3" s="2545"/>
      <c r="U3" s="2545"/>
      <c r="V3" s="2545"/>
      <c r="W3" s="2545"/>
      <c r="X3" s="2545"/>
      <c r="Y3" s="2545"/>
      <c r="Z3" s="2545"/>
      <c r="AA3" s="2545"/>
      <c r="AB3" s="2545"/>
      <c r="AC3" s="2545"/>
      <c r="AD3" s="2545"/>
      <c r="AE3" s="2545"/>
      <c r="AF3" s="2545"/>
      <c r="AG3" s="2545"/>
      <c r="AH3" s="2545"/>
      <c r="AI3" s="2545"/>
      <c r="AJ3" s="2545"/>
      <c r="AK3" s="2545"/>
      <c r="AL3" s="2545"/>
      <c r="AM3" s="2545"/>
      <c r="AN3" s="2545"/>
      <c r="AO3" s="2545"/>
      <c r="AP3" s="2545"/>
      <c r="AQ3" s="2545"/>
      <c r="AR3" s="2545"/>
      <c r="AS3" s="2545"/>
      <c r="AT3" s="2545"/>
      <c r="AU3" s="2545"/>
      <c r="AV3" s="2545"/>
      <c r="AW3" s="2545"/>
      <c r="AX3" s="2545"/>
      <c r="AY3" s="2545"/>
      <c r="AZ3" s="2545"/>
      <c r="BA3" s="2545"/>
      <c r="BB3" s="2545"/>
      <c r="BC3" s="2545"/>
      <c r="BD3" s="2545"/>
      <c r="BE3" s="2545"/>
      <c r="BF3" s="2545"/>
      <c r="BG3" s="2545"/>
      <c r="BH3" s="2545"/>
      <c r="BI3" s="2545"/>
      <c r="BJ3" s="2545"/>
      <c r="BK3" s="2545"/>
      <c r="BL3" s="2545"/>
      <c r="BM3" s="2545"/>
      <c r="BN3" s="2546"/>
      <c r="BO3" s="305" t="s">
        <v>32</v>
      </c>
      <c r="BP3" s="306" t="s">
        <v>33</v>
      </c>
      <c r="BQ3" s="18"/>
      <c r="BR3" s="18"/>
      <c r="BS3" s="18"/>
      <c r="BT3" s="18"/>
      <c r="BU3" s="18"/>
      <c r="BV3" s="18"/>
      <c r="BW3" s="18"/>
      <c r="BX3" s="18"/>
      <c r="BY3" s="18"/>
      <c r="BZ3" s="18"/>
      <c r="CA3" s="18"/>
      <c r="CB3" s="18"/>
      <c r="CC3" s="18"/>
      <c r="CD3" s="18"/>
      <c r="CE3" s="18"/>
      <c r="CF3" s="18"/>
      <c r="CG3" s="18"/>
      <c r="CH3" s="18"/>
      <c r="CI3" s="18"/>
    </row>
    <row r="4" spans="1:87" ht="33" customHeight="1" x14ac:dyDescent="0.2">
      <c r="A4" s="2547"/>
      <c r="B4" s="2547"/>
      <c r="C4" s="2547"/>
      <c r="D4" s="2547"/>
      <c r="E4" s="2547"/>
      <c r="F4" s="2547"/>
      <c r="G4" s="2547"/>
      <c r="H4" s="2547"/>
      <c r="I4" s="2547"/>
      <c r="J4" s="2547"/>
      <c r="K4" s="2547"/>
      <c r="L4" s="2547"/>
      <c r="M4" s="2547"/>
      <c r="N4" s="2547"/>
      <c r="O4" s="2547"/>
      <c r="P4" s="2547"/>
      <c r="Q4" s="2547"/>
      <c r="R4" s="2547"/>
      <c r="S4" s="2547"/>
      <c r="T4" s="2547"/>
      <c r="U4" s="2547"/>
      <c r="V4" s="2547"/>
      <c r="W4" s="2547"/>
      <c r="X4" s="2547"/>
      <c r="Y4" s="2547"/>
      <c r="Z4" s="2547"/>
      <c r="AA4" s="2547"/>
      <c r="AB4" s="2547"/>
      <c r="AC4" s="2547"/>
      <c r="AD4" s="2547"/>
      <c r="AE4" s="2547"/>
      <c r="AF4" s="2547"/>
      <c r="AG4" s="2547"/>
      <c r="AH4" s="2547"/>
      <c r="AI4" s="2547"/>
      <c r="AJ4" s="2547"/>
      <c r="AK4" s="2547"/>
      <c r="AL4" s="2547"/>
      <c r="AM4" s="2547"/>
      <c r="AN4" s="2547"/>
      <c r="AO4" s="2547"/>
      <c r="AP4" s="2547"/>
      <c r="AQ4" s="2547"/>
      <c r="AR4" s="2547"/>
      <c r="AS4" s="2547"/>
      <c r="AT4" s="2547"/>
      <c r="AU4" s="2547"/>
      <c r="AV4" s="2547"/>
      <c r="AW4" s="2547"/>
      <c r="AX4" s="2547"/>
      <c r="AY4" s="2547"/>
      <c r="AZ4" s="2547"/>
      <c r="BA4" s="2547"/>
      <c r="BB4" s="2547"/>
      <c r="BC4" s="2547"/>
      <c r="BD4" s="2547"/>
      <c r="BE4" s="2547"/>
      <c r="BF4" s="2547"/>
      <c r="BG4" s="2547"/>
      <c r="BH4" s="2547"/>
      <c r="BI4" s="2547"/>
      <c r="BJ4" s="2547"/>
      <c r="BK4" s="2547"/>
      <c r="BL4" s="2547"/>
      <c r="BM4" s="2547"/>
      <c r="BN4" s="2548"/>
      <c r="BO4" s="305" t="s">
        <v>34</v>
      </c>
      <c r="BP4" s="304" t="s">
        <v>35</v>
      </c>
      <c r="BQ4" s="18"/>
      <c r="BR4" s="18"/>
      <c r="BS4" s="18"/>
      <c r="BT4" s="18"/>
      <c r="BU4" s="18"/>
      <c r="BV4" s="18"/>
      <c r="BW4" s="18"/>
      <c r="BX4" s="18"/>
      <c r="BY4" s="18"/>
      <c r="BZ4" s="18"/>
      <c r="CA4" s="18"/>
      <c r="CB4" s="18"/>
      <c r="CC4" s="18"/>
      <c r="CD4" s="18"/>
      <c r="CE4" s="18"/>
      <c r="CF4" s="18"/>
      <c r="CG4" s="18"/>
      <c r="CH4" s="18"/>
      <c r="CI4" s="18"/>
    </row>
    <row r="5" spans="1:87" ht="42" customHeight="1" x14ac:dyDescent="0.2">
      <c r="A5" s="2381" t="s">
        <v>36</v>
      </c>
      <c r="B5" s="2381"/>
      <c r="C5" s="2381"/>
      <c r="D5" s="2381"/>
      <c r="E5" s="2381"/>
      <c r="F5" s="2381"/>
      <c r="G5" s="2381"/>
      <c r="H5" s="2381"/>
      <c r="I5" s="2381"/>
      <c r="J5" s="2381"/>
      <c r="K5" s="2381"/>
      <c r="L5" s="171"/>
      <c r="M5" s="2383" t="s">
        <v>37</v>
      </c>
      <c r="N5" s="2383"/>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383"/>
      <c r="AR5" s="2383"/>
      <c r="AS5" s="2383"/>
      <c r="AT5" s="2383"/>
      <c r="AU5" s="2383"/>
      <c r="AV5" s="2383"/>
      <c r="AW5" s="2383"/>
      <c r="AX5" s="2383"/>
      <c r="AY5" s="2383"/>
      <c r="AZ5" s="2383"/>
      <c r="BA5" s="2383"/>
      <c r="BB5" s="2383"/>
      <c r="BC5" s="2383"/>
      <c r="BD5" s="2383"/>
      <c r="BE5" s="2383"/>
      <c r="BF5" s="2383"/>
      <c r="BG5" s="2383"/>
      <c r="BH5" s="2383"/>
      <c r="BI5" s="2383"/>
      <c r="BJ5" s="2383"/>
      <c r="BK5" s="2383"/>
      <c r="BL5" s="2383"/>
      <c r="BM5" s="2383"/>
      <c r="BN5" s="2383"/>
      <c r="BO5" s="2383"/>
      <c r="BP5" s="2383"/>
      <c r="BQ5" s="18"/>
      <c r="BR5" s="18"/>
      <c r="BS5" s="18"/>
      <c r="BT5" s="18"/>
      <c r="BU5" s="18"/>
      <c r="BV5" s="18"/>
      <c r="BW5" s="18"/>
      <c r="BX5" s="18"/>
      <c r="BY5" s="18"/>
      <c r="BZ5" s="18"/>
      <c r="CA5" s="18"/>
      <c r="CB5" s="18"/>
      <c r="CC5" s="18"/>
      <c r="CD5" s="18"/>
      <c r="CE5" s="18"/>
      <c r="CF5" s="18"/>
      <c r="CG5" s="18"/>
      <c r="CH5" s="18"/>
      <c r="CI5" s="18"/>
    </row>
    <row r="6" spans="1:87" ht="42" customHeight="1" thickBot="1" x14ac:dyDescent="0.25">
      <c r="A6" s="2382"/>
      <c r="B6" s="2382"/>
      <c r="C6" s="2382"/>
      <c r="D6" s="2382"/>
      <c r="E6" s="2382"/>
      <c r="F6" s="2382"/>
      <c r="G6" s="2382"/>
      <c r="H6" s="2382"/>
      <c r="I6" s="2382"/>
      <c r="J6" s="2382"/>
      <c r="K6" s="2382"/>
      <c r="L6" s="22"/>
      <c r="M6" s="19"/>
      <c r="N6" s="20"/>
      <c r="O6" s="21"/>
      <c r="P6" s="22"/>
      <c r="Q6" s="20"/>
      <c r="R6" s="20"/>
      <c r="S6" s="20"/>
      <c r="T6" s="303"/>
      <c r="U6" s="302"/>
      <c r="V6" s="302"/>
      <c r="W6" s="302"/>
      <c r="X6" s="20"/>
      <c r="Y6" s="21"/>
      <c r="Z6" s="2384" t="s">
        <v>38</v>
      </c>
      <c r="AA6" s="2382"/>
      <c r="AB6" s="2382"/>
      <c r="AC6" s="2382"/>
      <c r="AD6" s="2382"/>
      <c r="AE6" s="2382"/>
      <c r="AF6" s="2382"/>
      <c r="AG6" s="2382"/>
      <c r="AH6" s="2382"/>
      <c r="AI6" s="2382"/>
      <c r="AJ6" s="2382"/>
      <c r="AK6" s="2382"/>
      <c r="AL6" s="2382"/>
      <c r="AM6" s="2382"/>
      <c r="AN6" s="2382"/>
      <c r="AO6" s="2382"/>
      <c r="AP6" s="2382"/>
      <c r="AQ6" s="2382"/>
      <c r="AR6" s="2382"/>
      <c r="AS6" s="2382"/>
      <c r="AT6" s="2382"/>
      <c r="AU6" s="2382"/>
      <c r="AV6" s="2382"/>
      <c r="AW6" s="2382"/>
      <c r="AX6" s="2382"/>
      <c r="AY6" s="2382"/>
      <c r="AZ6" s="2382"/>
      <c r="BA6" s="2382"/>
      <c r="BB6" s="2385"/>
      <c r="BC6" s="22"/>
      <c r="BD6" s="22"/>
      <c r="BE6" s="22"/>
      <c r="BF6" s="22"/>
      <c r="BG6" s="22"/>
      <c r="BH6" s="22"/>
      <c r="BI6" s="22"/>
      <c r="BJ6" s="21"/>
      <c r="BK6" s="21"/>
      <c r="BL6" s="22"/>
      <c r="BM6" s="22"/>
      <c r="BN6" s="22"/>
      <c r="BO6" s="22"/>
      <c r="BP6" s="23"/>
      <c r="BQ6" s="18"/>
      <c r="BR6" s="18"/>
      <c r="BS6" s="18"/>
      <c r="BT6" s="18"/>
      <c r="BU6" s="18"/>
      <c r="BV6" s="18"/>
      <c r="BW6" s="18"/>
      <c r="BX6" s="18"/>
      <c r="BY6" s="18"/>
      <c r="BZ6" s="18"/>
      <c r="CA6" s="18"/>
      <c r="CB6" s="18"/>
      <c r="CC6" s="18"/>
      <c r="CD6" s="18"/>
      <c r="CE6" s="18"/>
      <c r="CF6" s="18"/>
      <c r="CG6" s="18"/>
      <c r="CH6" s="18"/>
      <c r="CI6" s="18"/>
    </row>
    <row r="7" spans="1:87" ht="32.25" customHeight="1" x14ac:dyDescent="0.2">
      <c r="A7" s="2257" t="s">
        <v>39</v>
      </c>
      <c r="B7" s="2259" t="s">
        <v>40</v>
      </c>
      <c r="C7" s="2260"/>
      <c r="D7" s="2260" t="s">
        <v>39</v>
      </c>
      <c r="E7" s="2259" t="s">
        <v>41</v>
      </c>
      <c r="F7" s="2260"/>
      <c r="G7" s="2260" t="s">
        <v>39</v>
      </c>
      <c r="H7" s="301"/>
      <c r="I7" s="2259" t="s">
        <v>43</v>
      </c>
      <c r="J7" s="2239" t="s">
        <v>44</v>
      </c>
      <c r="K7" s="2259" t="s">
        <v>45</v>
      </c>
      <c r="L7" s="2260"/>
      <c r="M7" s="2239" t="s">
        <v>46</v>
      </c>
      <c r="N7" s="2239" t="s">
        <v>47</v>
      </c>
      <c r="O7" s="2386" t="s">
        <v>37</v>
      </c>
      <c r="P7" s="2285" t="s">
        <v>48</v>
      </c>
      <c r="Q7" s="2287" t="s">
        <v>49</v>
      </c>
      <c r="R7" s="2259" t="s">
        <v>50</v>
      </c>
      <c r="S7" s="2239" t="s">
        <v>51</v>
      </c>
      <c r="T7" s="2388" t="s">
        <v>52</v>
      </c>
      <c r="U7" s="2435" t="s">
        <v>49</v>
      </c>
      <c r="V7" s="300"/>
      <c r="W7" s="300"/>
      <c r="X7" s="299"/>
      <c r="Y7" s="2239" t="s">
        <v>53</v>
      </c>
      <c r="Z7" s="2274" t="s">
        <v>54</v>
      </c>
      <c r="AA7" s="2275"/>
      <c r="AB7" s="2275"/>
      <c r="AC7" s="2276"/>
      <c r="AD7" s="2277" t="s">
        <v>55</v>
      </c>
      <c r="AE7" s="2278"/>
      <c r="AF7" s="2278"/>
      <c r="AG7" s="2278"/>
      <c r="AH7" s="2278"/>
      <c r="AI7" s="2278"/>
      <c r="AJ7" s="2278"/>
      <c r="AK7" s="2279"/>
      <c r="AL7" s="2542" t="s">
        <v>56</v>
      </c>
      <c r="AM7" s="2543"/>
      <c r="AN7" s="2543"/>
      <c r="AO7" s="2543"/>
      <c r="AP7" s="2543"/>
      <c r="AQ7" s="2543"/>
      <c r="AR7" s="2543"/>
      <c r="AS7" s="2543"/>
      <c r="AT7" s="2543"/>
      <c r="AU7" s="2543"/>
      <c r="AV7" s="2543"/>
      <c r="AW7" s="2544"/>
      <c r="AX7" s="2535" t="s">
        <v>57</v>
      </c>
      <c r="AY7" s="2535"/>
      <c r="AZ7" s="2535"/>
      <c r="BA7" s="2535"/>
      <c r="BB7" s="2535"/>
      <c r="BC7" s="2535"/>
      <c r="BD7" s="2393" t="s">
        <v>58</v>
      </c>
      <c r="BE7" s="2394"/>
      <c r="BF7" s="2538" t="s">
        <v>335</v>
      </c>
      <c r="BG7" s="2539"/>
      <c r="BH7" s="2539"/>
      <c r="BI7" s="2539"/>
      <c r="BJ7" s="2539"/>
      <c r="BK7" s="2540"/>
      <c r="BL7" s="2264" t="s">
        <v>59</v>
      </c>
      <c r="BM7" s="2265"/>
      <c r="BN7" s="2264" t="s">
        <v>60</v>
      </c>
      <c r="BO7" s="2265"/>
      <c r="BP7" s="2391" t="s">
        <v>61</v>
      </c>
      <c r="BQ7" s="18"/>
      <c r="BR7" s="18"/>
      <c r="BS7" s="18"/>
      <c r="BT7" s="18"/>
      <c r="BU7" s="18"/>
      <c r="BV7" s="18"/>
      <c r="BW7" s="18"/>
      <c r="BX7" s="18"/>
      <c r="BY7" s="18"/>
      <c r="BZ7" s="18"/>
      <c r="CA7" s="18"/>
      <c r="CB7" s="18"/>
      <c r="CC7" s="18"/>
      <c r="CD7" s="18"/>
      <c r="CE7" s="18"/>
      <c r="CF7" s="18"/>
      <c r="CG7" s="18"/>
      <c r="CH7" s="18"/>
      <c r="CI7" s="18"/>
    </row>
    <row r="8" spans="1:87" ht="162" customHeight="1" x14ac:dyDescent="0.2">
      <c r="A8" s="2258"/>
      <c r="B8" s="2261"/>
      <c r="C8" s="2262"/>
      <c r="D8" s="2262"/>
      <c r="E8" s="2261"/>
      <c r="F8" s="2262"/>
      <c r="G8" s="2262"/>
      <c r="H8" s="296" t="s">
        <v>334</v>
      </c>
      <c r="I8" s="2261"/>
      <c r="J8" s="2240"/>
      <c r="K8" s="2417"/>
      <c r="L8" s="2418"/>
      <c r="M8" s="2240"/>
      <c r="N8" s="2240"/>
      <c r="O8" s="2387"/>
      <c r="P8" s="2286"/>
      <c r="Q8" s="2288"/>
      <c r="R8" s="2261"/>
      <c r="S8" s="2240"/>
      <c r="T8" s="2389"/>
      <c r="U8" s="2436"/>
      <c r="V8" s="290" t="s">
        <v>333</v>
      </c>
      <c r="W8" s="290" t="s">
        <v>332</v>
      </c>
      <c r="X8" s="289" t="s">
        <v>39</v>
      </c>
      <c r="Y8" s="2240"/>
      <c r="Z8" s="2399" t="s">
        <v>63</v>
      </c>
      <c r="AA8" s="2400"/>
      <c r="AB8" s="2445" t="s">
        <v>64</v>
      </c>
      <c r="AC8" s="2446"/>
      <c r="AD8" s="2399" t="s">
        <v>65</v>
      </c>
      <c r="AE8" s="2400"/>
      <c r="AF8" s="2399" t="s">
        <v>66</v>
      </c>
      <c r="AG8" s="2400"/>
      <c r="AH8" s="2399" t="s">
        <v>331</v>
      </c>
      <c r="AI8" s="2400"/>
      <c r="AJ8" s="2399" t="s">
        <v>68</v>
      </c>
      <c r="AK8" s="2400"/>
      <c r="AL8" s="2399" t="s">
        <v>69</v>
      </c>
      <c r="AM8" s="2400"/>
      <c r="AN8" s="2399" t="s">
        <v>70</v>
      </c>
      <c r="AO8" s="2400"/>
      <c r="AP8" s="2399" t="s">
        <v>71</v>
      </c>
      <c r="AQ8" s="2400"/>
      <c r="AR8" s="2399" t="s">
        <v>72</v>
      </c>
      <c r="AS8" s="2400"/>
      <c r="AT8" s="2399" t="s">
        <v>73</v>
      </c>
      <c r="AU8" s="2400"/>
      <c r="AV8" s="2399" t="s">
        <v>74</v>
      </c>
      <c r="AW8" s="2400"/>
      <c r="AX8" s="2433" t="s">
        <v>75</v>
      </c>
      <c r="AY8" s="2434"/>
      <c r="AZ8" s="2433" t="s">
        <v>76</v>
      </c>
      <c r="BA8" s="2434"/>
      <c r="BB8" s="2433" t="s">
        <v>77</v>
      </c>
      <c r="BC8" s="2434"/>
      <c r="BD8" s="2395"/>
      <c r="BE8" s="2396"/>
      <c r="BF8" s="2432" t="s">
        <v>152</v>
      </c>
      <c r="BG8" s="2541" t="s">
        <v>153</v>
      </c>
      <c r="BH8" s="2432" t="s">
        <v>154</v>
      </c>
      <c r="BI8" s="2401" t="s">
        <v>155</v>
      </c>
      <c r="BJ8" s="2432" t="s">
        <v>156</v>
      </c>
      <c r="BK8" s="2536" t="s">
        <v>157</v>
      </c>
      <c r="BL8" s="2397"/>
      <c r="BM8" s="2398"/>
      <c r="BN8" s="2266"/>
      <c r="BO8" s="2267"/>
      <c r="BP8" s="2392"/>
      <c r="BQ8" s="18"/>
      <c r="BR8" s="18"/>
      <c r="BS8" s="18"/>
      <c r="BT8" s="18"/>
      <c r="BU8" s="18"/>
      <c r="BV8" s="18"/>
      <c r="BW8" s="18"/>
      <c r="BX8" s="18"/>
      <c r="BY8" s="18"/>
      <c r="BZ8" s="18"/>
      <c r="CA8" s="18"/>
      <c r="CB8" s="18"/>
      <c r="CC8" s="18"/>
      <c r="CD8" s="18"/>
      <c r="CE8" s="18"/>
      <c r="CF8" s="18"/>
      <c r="CG8" s="18"/>
      <c r="CH8" s="18"/>
      <c r="CI8" s="18"/>
    </row>
    <row r="9" spans="1:87" ht="39" customHeight="1" x14ac:dyDescent="0.2">
      <c r="A9" s="298"/>
      <c r="B9" s="291"/>
      <c r="C9" s="297"/>
      <c r="D9" s="297"/>
      <c r="E9" s="291"/>
      <c r="F9" s="297"/>
      <c r="G9" s="297"/>
      <c r="H9" s="296"/>
      <c r="I9" s="291"/>
      <c r="J9" s="295"/>
      <c r="K9" s="295" t="s">
        <v>158</v>
      </c>
      <c r="L9" s="295" t="s">
        <v>159</v>
      </c>
      <c r="M9" s="295"/>
      <c r="N9" s="295"/>
      <c r="O9" s="294"/>
      <c r="P9" s="293"/>
      <c r="Q9" s="292"/>
      <c r="R9" s="291"/>
      <c r="S9" s="2263"/>
      <c r="T9" s="2390"/>
      <c r="U9" s="290"/>
      <c r="V9" s="290"/>
      <c r="W9" s="290"/>
      <c r="X9" s="289"/>
      <c r="Y9" s="2263"/>
      <c r="Z9" s="174" t="s">
        <v>330</v>
      </c>
      <c r="AA9" s="174" t="s">
        <v>159</v>
      </c>
      <c r="AB9" s="174" t="s">
        <v>330</v>
      </c>
      <c r="AC9" s="174" t="s">
        <v>159</v>
      </c>
      <c r="AD9" s="174" t="s">
        <v>330</v>
      </c>
      <c r="AE9" s="174" t="s">
        <v>159</v>
      </c>
      <c r="AF9" s="174" t="s">
        <v>330</v>
      </c>
      <c r="AG9" s="174" t="s">
        <v>159</v>
      </c>
      <c r="AH9" s="174" t="s">
        <v>330</v>
      </c>
      <c r="AI9" s="174" t="s">
        <v>159</v>
      </c>
      <c r="AJ9" s="174" t="s">
        <v>330</v>
      </c>
      <c r="AK9" s="174" t="s">
        <v>159</v>
      </c>
      <c r="AL9" s="174" t="s">
        <v>330</v>
      </c>
      <c r="AM9" s="174" t="s">
        <v>159</v>
      </c>
      <c r="AN9" s="174" t="s">
        <v>330</v>
      </c>
      <c r="AO9" s="174" t="s">
        <v>159</v>
      </c>
      <c r="AP9" s="174" t="s">
        <v>330</v>
      </c>
      <c r="AQ9" s="174" t="s">
        <v>159</v>
      </c>
      <c r="AR9" s="174" t="s">
        <v>330</v>
      </c>
      <c r="AS9" s="174" t="s">
        <v>159</v>
      </c>
      <c r="AT9" s="174" t="s">
        <v>330</v>
      </c>
      <c r="AU9" s="174" t="s">
        <v>159</v>
      </c>
      <c r="AV9" s="174" t="s">
        <v>330</v>
      </c>
      <c r="AW9" s="174" t="s">
        <v>159</v>
      </c>
      <c r="AX9" s="174" t="s">
        <v>330</v>
      </c>
      <c r="AY9" s="174" t="s">
        <v>159</v>
      </c>
      <c r="AZ9" s="174" t="s">
        <v>330</v>
      </c>
      <c r="BA9" s="174" t="s">
        <v>159</v>
      </c>
      <c r="BB9" s="174" t="s">
        <v>330</v>
      </c>
      <c r="BC9" s="174" t="s">
        <v>159</v>
      </c>
      <c r="BD9" s="288" t="s">
        <v>330</v>
      </c>
      <c r="BE9" s="288" t="s">
        <v>159</v>
      </c>
      <c r="BF9" s="2432"/>
      <c r="BG9" s="2541"/>
      <c r="BH9" s="2432"/>
      <c r="BI9" s="2401"/>
      <c r="BJ9" s="2432"/>
      <c r="BK9" s="2537"/>
      <c r="BL9" s="174" t="s">
        <v>330</v>
      </c>
      <c r="BM9" s="174" t="s">
        <v>159</v>
      </c>
      <c r="BN9" s="174" t="s">
        <v>330</v>
      </c>
      <c r="BO9" s="174" t="s">
        <v>159</v>
      </c>
      <c r="BP9" s="287"/>
      <c r="BQ9" s="18"/>
      <c r="BR9" s="18"/>
      <c r="BS9" s="18"/>
      <c r="BT9" s="18"/>
      <c r="BU9" s="18"/>
      <c r="BV9" s="18"/>
      <c r="BW9" s="18"/>
      <c r="BX9" s="18"/>
      <c r="BY9" s="18"/>
      <c r="BZ9" s="18"/>
      <c r="CA9" s="18"/>
      <c r="CB9" s="18"/>
      <c r="CC9" s="18"/>
      <c r="CD9" s="18"/>
      <c r="CE9" s="18"/>
      <c r="CF9" s="18"/>
      <c r="CG9" s="18"/>
      <c r="CH9" s="18"/>
      <c r="CI9" s="18"/>
    </row>
    <row r="10" spans="1:87" ht="27" customHeight="1" x14ac:dyDescent="0.2">
      <c r="A10" s="286">
        <v>4</v>
      </c>
      <c r="B10" s="285" t="s">
        <v>329</v>
      </c>
      <c r="C10" s="284"/>
      <c r="D10" s="283"/>
      <c r="E10" s="283"/>
      <c r="F10" s="283"/>
      <c r="G10" s="283"/>
      <c r="H10" s="283"/>
      <c r="I10" s="280"/>
      <c r="J10" s="283"/>
      <c r="K10" s="283"/>
      <c r="L10" s="283"/>
      <c r="M10" s="275"/>
      <c r="N10" s="276"/>
      <c r="O10" s="275"/>
      <c r="P10" s="282"/>
      <c r="Q10" s="281"/>
      <c r="R10" s="280"/>
      <c r="S10" s="280"/>
      <c r="T10" s="279"/>
      <c r="U10" s="278"/>
      <c r="V10" s="278"/>
      <c r="W10" s="278"/>
      <c r="X10" s="277"/>
      <c r="Y10" s="275"/>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5"/>
      <c r="BK10" s="275"/>
      <c r="BL10" s="274"/>
      <c r="BM10" s="274"/>
      <c r="BN10" s="274"/>
      <c r="BO10" s="274"/>
      <c r="BP10" s="40"/>
      <c r="BQ10" s="18"/>
      <c r="BR10" s="18"/>
      <c r="BS10" s="18"/>
      <c r="BT10" s="18"/>
      <c r="BU10" s="18"/>
      <c r="BV10" s="18"/>
      <c r="BW10" s="18"/>
      <c r="BX10" s="18"/>
      <c r="BY10" s="18"/>
      <c r="BZ10" s="18"/>
      <c r="CA10" s="18"/>
      <c r="CB10" s="18"/>
      <c r="CC10" s="18"/>
      <c r="CD10" s="18"/>
      <c r="CE10" s="18"/>
      <c r="CF10" s="18"/>
      <c r="CG10" s="18"/>
      <c r="CH10" s="18"/>
      <c r="CI10" s="18"/>
    </row>
    <row r="11" spans="1:87" s="18" customFormat="1" ht="27" customHeight="1" x14ac:dyDescent="0.2">
      <c r="A11" s="108"/>
      <c r="B11" s="273"/>
      <c r="C11" s="43"/>
      <c r="D11" s="193">
        <v>42</v>
      </c>
      <c r="E11" s="272" t="s">
        <v>328</v>
      </c>
      <c r="F11" s="271"/>
      <c r="G11" s="271"/>
      <c r="H11" s="270"/>
      <c r="I11" s="269"/>
      <c r="J11" s="270"/>
      <c r="K11" s="270"/>
      <c r="L11" s="270"/>
      <c r="M11" s="49"/>
      <c r="N11" s="50"/>
      <c r="O11" s="49"/>
      <c r="P11" s="51"/>
      <c r="Q11" s="52"/>
      <c r="R11" s="269"/>
      <c r="S11" s="269"/>
      <c r="T11" s="268"/>
      <c r="U11" s="267"/>
      <c r="V11" s="267"/>
      <c r="W11" s="267"/>
      <c r="X11" s="54"/>
      <c r="Y11" s="49"/>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49"/>
      <c r="BK11" s="49"/>
      <c r="BL11" s="55"/>
      <c r="BM11" s="55"/>
      <c r="BN11" s="55"/>
      <c r="BO11" s="55"/>
      <c r="BP11" s="56"/>
    </row>
    <row r="12" spans="1:87" ht="118.5" customHeight="1" x14ac:dyDescent="0.2">
      <c r="A12" s="118"/>
      <c r="B12" s="264"/>
      <c r="C12" s="263"/>
      <c r="D12" s="266"/>
      <c r="E12" s="261"/>
      <c r="F12" s="265"/>
      <c r="G12" s="2410" t="s">
        <v>208</v>
      </c>
      <c r="H12" s="2343" t="s">
        <v>327</v>
      </c>
      <c r="I12" s="2413" t="s">
        <v>326</v>
      </c>
      <c r="J12" s="2331" t="s">
        <v>325</v>
      </c>
      <c r="K12" s="2357">
        <v>1</v>
      </c>
      <c r="L12" s="2357">
        <v>0.6</v>
      </c>
      <c r="M12" s="2349" t="s">
        <v>324</v>
      </c>
      <c r="N12" s="2343" t="s">
        <v>323</v>
      </c>
      <c r="O12" s="2413" t="s">
        <v>322</v>
      </c>
      <c r="P12" s="2414">
        <f>SUM(U12:U23)/Q12</f>
        <v>1</v>
      </c>
      <c r="Q12" s="2415">
        <f>SUM(U12:U23)</f>
        <v>102285179</v>
      </c>
      <c r="R12" s="2416" t="s">
        <v>321</v>
      </c>
      <c r="S12" s="2439" t="s">
        <v>320</v>
      </c>
      <c r="T12" s="241" t="s">
        <v>319</v>
      </c>
      <c r="U12" s="878">
        <v>0</v>
      </c>
      <c r="V12" s="878"/>
      <c r="W12" s="878"/>
      <c r="X12" s="258">
        <v>88</v>
      </c>
      <c r="Y12" s="72" t="s">
        <v>86</v>
      </c>
      <c r="Z12" s="2402">
        <v>295972</v>
      </c>
      <c r="AA12" s="2403"/>
      <c r="AB12" s="2402">
        <v>285580</v>
      </c>
      <c r="AC12" s="2403"/>
      <c r="AD12" s="2402">
        <v>135545</v>
      </c>
      <c r="AE12" s="2403"/>
      <c r="AF12" s="2402">
        <v>44254</v>
      </c>
      <c r="AG12" s="2403"/>
      <c r="AH12" s="2402">
        <v>309146</v>
      </c>
      <c r="AI12" s="2403"/>
      <c r="AJ12" s="2402">
        <v>92607</v>
      </c>
      <c r="AK12" s="2403"/>
      <c r="AL12" s="2402">
        <v>2145</v>
      </c>
      <c r="AM12" s="2403"/>
      <c r="AN12" s="2402">
        <v>12718</v>
      </c>
      <c r="AO12" s="2403"/>
      <c r="AP12" s="2402">
        <v>26</v>
      </c>
      <c r="AQ12" s="2403"/>
      <c r="AR12" s="2402">
        <v>37</v>
      </c>
      <c r="AS12" s="2403"/>
      <c r="AT12" s="2402">
        <v>0</v>
      </c>
      <c r="AU12" s="2403"/>
      <c r="AV12" s="2402">
        <v>0</v>
      </c>
      <c r="AW12" s="2403"/>
      <c r="AX12" s="2402">
        <v>44350</v>
      </c>
      <c r="AY12" s="2403"/>
      <c r="AZ12" s="2402">
        <v>21944</v>
      </c>
      <c r="BA12" s="2403"/>
      <c r="BB12" s="2402">
        <v>75687</v>
      </c>
      <c r="BC12" s="2403"/>
      <c r="BD12" s="2402">
        <v>581552</v>
      </c>
      <c r="BE12" s="2403"/>
      <c r="BF12" s="2403">
        <v>2</v>
      </c>
      <c r="BG12" s="2419">
        <f>SUM(V12:V23)</f>
        <v>14825000</v>
      </c>
      <c r="BH12" s="2419">
        <f>SUM(W12:W23)</f>
        <v>6425000</v>
      </c>
      <c r="BI12" s="2442">
        <f>BH12/BG12</f>
        <v>0.43338954468802698</v>
      </c>
      <c r="BJ12" s="2407" t="s">
        <v>229</v>
      </c>
      <c r="BK12" s="2407" t="s">
        <v>263</v>
      </c>
      <c r="BL12" s="2406">
        <v>43832</v>
      </c>
      <c r="BM12" s="2406">
        <v>43907</v>
      </c>
      <c r="BN12" s="2361">
        <v>44195</v>
      </c>
      <c r="BO12" s="2361"/>
      <c r="BP12" s="2402" t="s">
        <v>196</v>
      </c>
    </row>
    <row r="13" spans="1:87" ht="110.25" customHeight="1" x14ac:dyDescent="0.2">
      <c r="A13" s="118"/>
      <c r="B13" s="264"/>
      <c r="C13" s="263"/>
      <c r="D13" s="262"/>
      <c r="E13" s="261"/>
      <c r="F13" s="260"/>
      <c r="G13" s="2411"/>
      <c r="H13" s="2343"/>
      <c r="I13" s="2413"/>
      <c r="J13" s="2331"/>
      <c r="K13" s="2357"/>
      <c r="L13" s="2357"/>
      <c r="M13" s="2349"/>
      <c r="N13" s="2343"/>
      <c r="O13" s="2413"/>
      <c r="P13" s="2414"/>
      <c r="Q13" s="2415"/>
      <c r="R13" s="2416"/>
      <c r="S13" s="2440"/>
      <c r="T13" s="241" t="s">
        <v>318</v>
      </c>
      <c r="U13" s="878">
        <v>0</v>
      </c>
      <c r="V13" s="878"/>
      <c r="W13" s="878"/>
      <c r="X13" s="258">
        <v>88</v>
      </c>
      <c r="Y13" s="72" t="s">
        <v>86</v>
      </c>
      <c r="Z13" s="2402"/>
      <c r="AA13" s="2404"/>
      <c r="AB13" s="2402"/>
      <c r="AC13" s="2404"/>
      <c r="AD13" s="2402"/>
      <c r="AE13" s="2404"/>
      <c r="AF13" s="2402"/>
      <c r="AG13" s="2404"/>
      <c r="AH13" s="2402"/>
      <c r="AI13" s="2404"/>
      <c r="AJ13" s="2402"/>
      <c r="AK13" s="2404"/>
      <c r="AL13" s="2402"/>
      <c r="AM13" s="2404"/>
      <c r="AN13" s="2402"/>
      <c r="AO13" s="2404"/>
      <c r="AP13" s="2402"/>
      <c r="AQ13" s="2404"/>
      <c r="AR13" s="2402"/>
      <c r="AS13" s="2404"/>
      <c r="AT13" s="2402"/>
      <c r="AU13" s="2404"/>
      <c r="AV13" s="2402"/>
      <c r="AW13" s="2404"/>
      <c r="AX13" s="2402"/>
      <c r="AY13" s="2404"/>
      <c r="AZ13" s="2402"/>
      <c r="BA13" s="2404"/>
      <c r="BB13" s="2402"/>
      <c r="BC13" s="2404"/>
      <c r="BD13" s="2402"/>
      <c r="BE13" s="2404"/>
      <c r="BF13" s="2404"/>
      <c r="BG13" s="2420"/>
      <c r="BH13" s="2420"/>
      <c r="BI13" s="2443"/>
      <c r="BJ13" s="2408"/>
      <c r="BK13" s="2408"/>
      <c r="BL13" s="2406"/>
      <c r="BM13" s="2406"/>
      <c r="BN13" s="2362"/>
      <c r="BO13" s="2362"/>
      <c r="BP13" s="2402"/>
    </row>
    <row r="14" spans="1:87" ht="151.5" customHeight="1" x14ac:dyDescent="0.2">
      <c r="A14" s="118"/>
      <c r="B14" s="264"/>
      <c r="C14" s="263"/>
      <c r="D14" s="262"/>
      <c r="E14" s="261"/>
      <c r="F14" s="260"/>
      <c r="G14" s="2411"/>
      <c r="H14" s="2343"/>
      <c r="I14" s="2413"/>
      <c r="J14" s="2331"/>
      <c r="K14" s="2357"/>
      <c r="L14" s="2357"/>
      <c r="M14" s="2349"/>
      <c r="N14" s="2343"/>
      <c r="O14" s="2413"/>
      <c r="P14" s="2414"/>
      <c r="Q14" s="2415"/>
      <c r="R14" s="2416"/>
      <c r="S14" s="2440"/>
      <c r="T14" s="241" t="s">
        <v>317</v>
      </c>
      <c r="U14" s="878">
        <v>0</v>
      </c>
      <c r="V14" s="878"/>
      <c r="W14" s="878"/>
      <c r="X14" s="258">
        <v>88</v>
      </c>
      <c r="Y14" s="72" t="s">
        <v>86</v>
      </c>
      <c r="Z14" s="2402"/>
      <c r="AA14" s="2404"/>
      <c r="AB14" s="2402"/>
      <c r="AC14" s="2404"/>
      <c r="AD14" s="2402"/>
      <c r="AE14" s="2404"/>
      <c r="AF14" s="2402"/>
      <c r="AG14" s="2404"/>
      <c r="AH14" s="2402"/>
      <c r="AI14" s="2404"/>
      <c r="AJ14" s="2402"/>
      <c r="AK14" s="2404"/>
      <c r="AL14" s="2402"/>
      <c r="AM14" s="2404"/>
      <c r="AN14" s="2402"/>
      <c r="AO14" s="2404"/>
      <c r="AP14" s="2402"/>
      <c r="AQ14" s="2404"/>
      <c r="AR14" s="2402"/>
      <c r="AS14" s="2404"/>
      <c r="AT14" s="2402"/>
      <c r="AU14" s="2404"/>
      <c r="AV14" s="2402"/>
      <c r="AW14" s="2404"/>
      <c r="AX14" s="2402"/>
      <c r="AY14" s="2404"/>
      <c r="AZ14" s="2402"/>
      <c r="BA14" s="2404"/>
      <c r="BB14" s="2402"/>
      <c r="BC14" s="2404"/>
      <c r="BD14" s="2402"/>
      <c r="BE14" s="2404"/>
      <c r="BF14" s="2404"/>
      <c r="BG14" s="2420"/>
      <c r="BH14" s="2420"/>
      <c r="BI14" s="2443"/>
      <c r="BJ14" s="2408"/>
      <c r="BK14" s="2408"/>
      <c r="BL14" s="2406"/>
      <c r="BM14" s="2406"/>
      <c r="BN14" s="2362"/>
      <c r="BO14" s="2362"/>
      <c r="BP14" s="2402"/>
    </row>
    <row r="15" spans="1:87" ht="113.25" customHeight="1" x14ac:dyDescent="0.2">
      <c r="A15" s="118"/>
      <c r="B15" s="264"/>
      <c r="C15" s="263"/>
      <c r="D15" s="262"/>
      <c r="E15" s="261"/>
      <c r="F15" s="260"/>
      <c r="G15" s="2411"/>
      <c r="H15" s="2343"/>
      <c r="I15" s="2413"/>
      <c r="J15" s="2331"/>
      <c r="K15" s="2357"/>
      <c r="L15" s="2357"/>
      <c r="M15" s="2349"/>
      <c r="N15" s="2343"/>
      <c r="O15" s="2413"/>
      <c r="P15" s="2414"/>
      <c r="Q15" s="2415"/>
      <c r="R15" s="2416"/>
      <c r="S15" s="2440"/>
      <c r="T15" s="241" t="s">
        <v>316</v>
      </c>
      <c r="U15" s="878">
        <v>0</v>
      </c>
      <c r="V15" s="878"/>
      <c r="W15" s="878"/>
      <c r="X15" s="258">
        <v>88</v>
      </c>
      <c r="Y15" s="72" t="s">
        <v>86</v>
      </c>
      <c r="Z15" s="2402"/>
      <c r="AA15" s="2404"/>
      <c r="AB15" s="2402"/>
      <c r="AC15" s="2404"/>
      <c r="AD15" s="2402"/>
      <c r="AE15" s="2404"/>
      <c r="AF15" s="2402"/>
      <c r="AG15" s="2404"/>
      <c r="AH15" s="2402"/>
      <c r="AI15" s="2404"/>
      <c r="AJ15" s="2402"/>
      <c r="AK15" s="2404"/>
      <c r="AL15" s="2402"/>
      <c r="AM15" s="2404"/>
      <c r="AN15" s="2402"/>
      <c r="AO15" s="2404"/>
      <c r="AP15" s="2402"/>
      <c r="AQ15" s="2404"/>
      <c r="AR15" s="2402"/>
      <c r="AS15" s="2404"/>
      <c r="AT15" s="2402"/>
      <c r="AU15" s="2404"/>
      <c r="AV15" s="2402"/>
      <c r="AW15" s="2404"/>
      <c r="AX15" s="2402"/>
      <c r="AY15" s="2404"/>
      <c r="AZ15" s="2402"/>
      <c r="BA15" s="2404"/>
      <c r="BB15" s="2402"/>
      <c r="BC15" s="2404"/>
      <c r="BD15" s="2402"/>
      <c r="BE15" s="2404"/>
      <c r="BF15" s="2404"/>
      <c r="BG15" s="2420"/>
      <c r="BH15" s="2420"/>
      <c r="BI15" s="2443"/>
      <c r="BJ15" s="2408"/>
      <c r="BK15" s="2408"/>
      <c r="BL15" s="2406"/>
      <c r="BM15" s="2406"/>
      <c r="BN15" s="2362"/>
      <c r="BO15" s="2362"/>
      <c r="BP15" s="2402"/>
    </row>
    <row r="16" spans="1:87" ht="65.25" customHeight="1" x14ac:dyDescent="0.2">
      <c r="A16" s="118"/>
      <c r="B16" s="264"/>
      <c r="C16" s="263"/>
      <c r="D16" s="262"/>
      <c r="E16" s="261"/>
      <c r="F16" s="260"/>
      <c r="G16" s="2411"/>
      <c r="H16" s="2343"/>
      <c r="I16" s="2413"/>
      <c r="J16" s="2331"/>
      <c r="K16" s="2357"/>
      <c r="L16" s="2357"/>
      <c r="M16" s="2349"/>
      <c r="N16" s="2343"/>
      <c r="O16" s="2413"/>
      <c r="P16" s="2414"/>
      <c r="Q16" s="2415"/>
      <c r="R16" s="2416"/>
      <c r="S16" s="2440"/>
      <c r="T16" s="241" t="s">
        <v>315</v>
      </c>
      <c r="U16" s="878">
        <v>69460179</v>
      </c>
      <c r="V16" s="878"/>
      <c r="W16" s="878"/>
      <c r="X16" s="258">
        <v>88</v>
      </c>
      <c r="Y16" s="72" t="s">
        <v>86</v>
      </c>
      <c r="Z16" s="2402"/>
      <c r="AA16" s="2404"/>
      <c r="AB16" s="2402"/>
      <c r="AC16" s="2404"/>
      <c r="AD16" s="2402"/>
      <c r="AE16" s="2404"/>
      <c r="AF16" s="2402"/>
      <c r="AG16" s="2404"/>
      <c r="AH16" s="2402"/>
      <c r="AI16" s="2404"/>
      <c r="AJ16" s="2402"/>
      <c r="AK16" s="2404"/>
      <c r="AL16" s="2402"/>
      <c r="AM16" s="2404"/>
      <c r="AN16" s="2402"/>
      <c r="AO16" s="2404"/>
      <c r="AP16" s="2402"/>
      <c r="AQ16" s="2404"/>
      <c r="AR16" s="2402"/>
      <c r="AS16" s="2404"/>
      <c r="AT16" s="2402"/>
      <c r="AU16" s="2404"/>
      <c r="AV16" s="2402"/>
      <c r="AW16" s="2404"/>
      <c r="AX16" s="2402"/>
      <c r="AY16" s="2404"/>
      <c r="AZ16" s="2402"/>
      <c r="BA16" s="2404"/>
      <c r="BB16" s="2402"/>
      <c r="BC16" s="2404"/>
      <c r="BD16" s="2402"/>
      <c r="BE16" s="2404"/>
      <c r="BF16" s="2404"/>
      <c r="BG16" s="2420"/>
      <c r="BH16" s="2420"/>
      <c r="BI16" s="2443"/>
      <c r="BJ16" s="2408"/>
      <c r="BK16" s="2408"/>
      <c r="BL16" s="2406"/>
      <c r="BM16" s="2406"/>
      <c r="BN16" s="2362"/>
      <c r="BO16" s="2362"/>
      <c r="BP16" s="2402"/>
    </row>
    <row r="17" spans="1:68" ht="57" customHeight="1" x14ac:dyDescent="0.2">
      <c r="A17" s="118"/>
      <c r="B17" s="264"/>
      <c r="C17" s="263"/>
      <c r="D17" s="262"/>
      <c r="E17" s="261"/>
      <c r="F17" s="260"/>
      <c r="G17" s="2411"/>
      <c r="H17" s="2343"/>
      <c r="I17" s="2413"/>
      <c r="J17" s="2331"/>
      <c r="K17" s="2357"/>
      <c r="L17" s="2357"/>
      <c r="M17" s="2349"/>
      <c r="N17" s="2343"/>
      <c r="O17" s="2413"/>
      <c r="P17" s="2414"/>
      <c r="Q17" s="2415"/>
      <c r="R17" s="2416"/>
      <c r="S17" s="2440"/>
      <c r="T17" s="241" t="s">
        <v>314</v>
      </c>
      <c r="U17" s="878">
        <v>0</v>
      </c>
      <c r="V17" s="878"/>
      <c r="W17" s="878"/>
      <c r="X17" s="258">
        <v>88</v>
      </c>
      <c r="Y17" s="72" t="s">
        <v>86</v>
      </c>
      <c r="Z17" s="2402"/>
      <c r="AA17" s="2404"/>
      <c r="AB17" s="2402"/>
      <c r="AC17" s="2404"/>
      <c r="AD17" s="2402"/>
      <c r="AE17" s="2404"/>
      <c r="AF17" s="2402"/>
      <c r="AG17" s="2404"/>
      <c r="AH17" s="2402"/>
      <c r="AI17" s="2404"/>
      <c r="AJ17" s="2402"/>
      <c r="AK17" s="2404"/>
      <c r="AL17" s="2402"/>
      <c r="AM17" s="2404"/>
      <c r="AN17" s="2402"/>
      <c r="AO17" s="2404"/>
      <c r="AP17" s="2402"/>
      <c r="AQ17" s="2404"/>
      <c r="AR17" s="2402"/>
      <c r="AS17" s="2404"/>
      <c r="AT17" s="2402"/>
      <c r="AU17" s="2404"/>
      <c r="AV17" s="2402"/>
      <c r="AW17" s="2404"/>
      <c r="AX17" s="2402"/>
      <c r="AY17" s="2404"/>
      <c r="AZ17" s="2402"/>
      <c r="BA17" s="2404"/>
      <c r="BB17" s="2402"/>
      <c r="BC17" s="2404"/>
      <c r="BD17" s="2402"/>
      <c r="BE17" s="2404"/>
      <c r="BF17" s="2404"/>
      <c r="BG17" s="2420"/>
      <c r="BH17" s="2420"/>
      <c r="BI17" s="2443"/>
      <c r="BJ17" s="2408"/>
      <c r="BK17" s="2408"/>
      <c r="BL17" s="2406"/>
      <c r="BM17" s="2406"/>
      <c r="BN17" s="2362"/>
      <c r="BO17" s="2362"/>
      <c r="BP17" s="2402"/>
    </row>
    <row r="18" spans="1:68" ht="49.5" customHeight="1" x14ac:dyDescent="0.2">
      <c r="A18" s="118"/>
      <c r="B18" s="264"/>
      <c r="C18" s="263"/>
      <c r="D18" s="262"/>
      <c r="E18" s="261"/>
      <c r="F18" s="260"/>
      <c r="G18" s="2411"/>
      <c r="H18" s="2343"/>
      <c r="I18" s="2413"/>
      <c r="J18" s="2331"/>
      <c r="K18" s="2357"/>
      <c r="L18" s="2357"/>
      <c r="M18" s="2349"/>
      <c r="N18" s="2343"/>
      <c r="O18" s="2413"/>
      <c r="P18" s="2414"/>
      <c r="Q18" s="2415"/>
      <c r="R18" s="2416"/>
      <c r="S18" s="2440"/>
      <c r="T18" s="241" t="s">
        <v>313</v>
      </c>
      <c r="U18" s="878">
        <v>0</v>
      </c>
      <c r="V18" s="878"/>
      <c r="W18" s="878"/>
      <c r="X18" s="258">
        <v>88</v>
      </c>
      <c r="Y18" s="72" t="s">
        <v>86</v>
      </c>
      <c r="Z18" s="2402"/>
      <c r="AA18" s="2404"/>
      <c r="AB18" s="2402"/>
      <c r="AC18" s="2404"/>
      <c r="AD18" s="2402"/>
      <c r="AE18" s="2404"/>
      <c r="AF18" s="2402"/>
      <c r="AG18" s="2404"/>
      <c r="AH18" s="2402"/>
      <c r="AI18" s="2404"/>
      <c r="AJ18" s="2402"/>
      <c r="AK18" s="2404"/>
      <c r="AL18" s="2402"/>
      <c r="AM18" s="2404"/>
      <c r="AN18" s="2402"/>
      <c r="AO18" s="2404"/>
      <c r="AP18" s="2402"/>
      <c r="AQ18" s="2404"/>
      <c r="AR18" s="2402"/>
      <c r="AS18" s="2404"/>
      <c r="AT18" s="2402"/>
      <c r="AU18" s="2404"/>
      <c r="AV18" s="2402"/>
      <c r="AW18" s="2404"/>
      <c r="AX18" s="2402"/>
      <c r="AY18" s="2404"/>
      <c r="AZ18" s="2402"/>
      <c r="BA18" s="2404"/>
      <c r="BB18" s="2402"/>
      <c r="BC18" s="2404"/>
      <c r="BD18" s="2402"/>
      <c r="BE18" s="2404"/>
      <c r="BF18" s="2404"/>
      <c r="BG18" s="2420"/>
      <c r="BH18" s="2420"/>
      <c r="BI18" s="2443"/>
      <c r="BJ18" s="2408"/>
      <c r="BK18" s="2408"/>
      <c r="BL18" s="2406"/>
      <c r="BM18" s="2406"/>
      <c r="BN18" s="2362"/>
      <c r="BO18" s="2362"/>
      <c r="BP18" s="2402"/>
    </row>
    <row r="19" spans="1:68" ht="49.5" customHeight="1" x14ac:dyDescent="0.2">
      <c r="A19" s="118"/>
      <c r="B19" s="264"/>
      <c r="C19" s="263"/>
      <c r="D19" s="262"/>
      <c r="E19" s="261"/>
      <c r="F19" s="260"/>
      <c r="G19" s="2411"/>
      <c r="H19" s="2343"/>
      <c r="I19" s="2413"/>
      <c r="J19" s="2331"/>
      <c r="K19" s="2357"/>
      <c r="L19" s="2357"/>
      <c r="M19" s="2349"/>
      <c r="N19" s="2343"/>
      <c r="O19" s="2413"/>
      <c r="P19" s="2414"/>
      <c r="Q19" s="2415"/>
      <c r="R19" s="2416"/>
      <c r="S19" s="2440"/>
      <c r="T19" s="2437" t="s">
        <v>312</v>
      </c>
      <c r="U19" s="878">
        <v>6425000</v>
      </c>
      <c r="V19" s="878">
        <v>6425000</v>
      </c>
      <c r="W19" s="878">
        <v>6425000</v>
      </c>
      <c r="X19" s="258">
        <v>20</v>
      </c>
      <c r="Y19" s="72" t="s">
        <v>7</v>
      </c>
      <c r="Z19" s="2402"/>
      <c r="AA19" s="2404"/>
      <c r="AB19" s="2402"/>
      <c r="AC19" s="2404"/>
      <c r="AD19" s="2402"/>
      <c r="AE19" s="2404"/>
      <c r="AF19" s="2402"/>
      <c r="AG19" s="2404"/>
      <c r="AH19" s="2402"/>
      <c r="AI19" s="2404"/>
      <c r="AJ19" s="2402"/>
      <c r="AK19" s="2404"/>
      <c r="AL19" s="2402"/>
      <c r="AM19" s="2404"/>
      <c r="AN19" s="2402"/>
      <c r="AO19" s="2404"/>
      <c r="AP19" s="2402"/>
      <c r="AQ19" s="2404"/>
      <c r="AR19" s="2402"/>
      <c r="AS19" s="2404"/>
      <c r="AT19" s="2402"/>
      <c r="AU19" s="2404"/>
      <c r="AV19" s="2402"/>
      <c r="AW19" s="2404"/>
      <c r="AX19" s="2402"/>
      <c r="AY19" s="2404"/>
      <c r="AZ19" s="2402"/>
      <c r="BA19" s="2404"/>
      <c r="BB19" s="2402"/>
      <c r="BC19" s="2404"/>
      <c r="BD19" s="2402"/>
      <c r="BE19" s="2404"/>
      <c r="BF19" s="2404"/>
      <c r="BG19" s="2420"/>
      <c r="BH19" s="2420"/>
      <c r="BI19" s="2443"/>
      <c r="BJ19" s="2408"/>
      <c r="BK19" s="2408"/>
      <c r="BL19" s="2406"/>
      <c r="BM19" s="2406"/>
      <c r="BN19" s="2362"/>
      <c r="BO19" s="2362"/>
      <c r="BP19" s="2402"/>
    </row>
    <row r="20" spans="1:68" ht="57" customHeight="1" x14ac:dyDescent="0.2">
      <c r="A20" s="118"/>
      <c r="B20" s="264"/>
      <c r="C20" s="263"/>
      <c r="D20" s="262"/>
      <c r="E20" s="261"/>
      <c r="F20" s="260"/>
      <c r="G20" s="2411"/>
      <c r="H20" s="2343"/>
      <c r="I20" s="2413"/>
      <c r="J20" s="2331"/>
      <c r="K20" s="2357"/>
      <c r="L20" s="2357"/>
      <c r="M20" s="2349"/>
      <c r="N20" s="2343"/>
      <c r="O20" s="2413"/>
      <c r="P20" s="2414"/>
      <c r="Q20" s="2415"/>
      <c r="R20" s="2416"/>
      <c r="S20" s="2440"/>
      <c r="T20" s="2438"/>
      <c r="U20" s="878">
        <v>8400000</v>
      </c>
      <c r="V20" s="878">
        <v>8400000</v>
      </c>
      <c r="W20" s="878">
        <v>0</v>
      </c>
      <c r="X20" s="258">
        <v>88</v>
      </c>
      <c r="Y20" s="72" t="s">
        <v>86</v>
      </c>
      <c r="Z20" s="2402"/>
      <c r="AA20" s="2404"/>
      <c r="AB20" s="2402"/>
      <c r="AC20" s="2404"/>
      <c r="AD20" s="2402"/>
      <c r="AE20" s="2404"/>
      <c r="AF20" s="2402"/>
      <c r="AG20" s="2404"/>
      <c r="AH20" s="2402"/>
      <c r="AI20" s="2404"/>
      <c r="AJ20" s="2402"/>
      <c r="AK20" s="2404"/>
      <c r="AL20" s="2402"/>
      <c r="AM20" s="2404"/>
      <c r="AN20" s="2402"/>
      <c r="AO20" s="2404"/>
      <c r="AP20" s="2402"/>
      <c r="AQ20" s="2404"/>
      <c r="AR20" s="2402"/>
      <c r="AS20" s="2404"/>
      <c r="AT20" s="2402"/>
      <c r="AU20" s="2404"/>
      <c r="AV20" s="2402"/>
      <c r="AW20" s="2404"/>
      <c r="AX20" s="2402"/>
      <c r="AY20" s="2404"/>
      <c r="AZ20" s="2402"/>
      <c r="BA20" s="2404"/>
      <c r="BB20" s="2402"/>
      <c r="BC20" s="2404"/>
      <c r="BD20" s="2402"/>
      <c r="BE20" s="2404"/>
      <c r="BF20" s="2404"/>
      <c r="BG20" s="2420"/>
      <c r="BH20" s="2420"/>
      <c r="BI20" s="2443"/>
      <c r="BJ20" s="2408"/>
      <c r="BK20" s="2408"/>
      <c r="BL20" s="2406"/>
      <c r="BM20" s="2406"/>
      <c r="BN20" s="2362"/>
      <c r="BO20" s="2362"/>
      <c r="BP20" s="2402"/>
    </row>
    <row r="21" spans="1:68" ht="47.25" customHeight="1" x14ac:dyDescent="0.2">
      <c r="A21" s="118"/>
      <c r="B21" s="264"/>
      <c r="C21" s="263"/>
      <c r="D21" s="262"/>
      <c r="E21" s="261"/>
      <c r="F21" s="260"/>
      <c r="G21" s="2411"/>
      <c r="H21" s="2343"/>
      <c r="I21" s="2413"/>
      <c r="J21" s="2331"/>
      <c r="K21" s="2357"/>
      <c r="L21" s="2357"/>
      <c r="M21" s="2349"/>
      <c r="N21" s="2343"/>
      <c r="O21" s="2413"/>
      <c r="P21" s="2414"/>
      <c r="Q21" s="2415"/>
      <c r="R21" s="2416"/>
      <c r="S21" s="2440"/>
      <c r="T21" s="241" t="s">
        <v>311</v>
      </c>
      <c r="U21" s="878">
        <v>0</v>
      </c>
      <c r="V21" s="878"/>
      <c r="W21" s="878"/>
      <c r="X21" s="258"/>
      <c r="Y21" s="72"/>
      <c r="Z21" s="2402"/>
      <c r="AA21" s="2404"/>
      <c r="AB21" s="2402"/>
      <c r="AC21" s="2404"/>
      <c r="AD21" s="2402"/>
      <c r="AE21" s="2404"/>
      <c r="AF21" s="2402"/>
      <c r="AG21" s="2404"/>
      <c r="AH21" s="2402"/>
      <c r="AI21" s="2404"/>
      <c r="AJ21" s="2402"/>
      <c r="AK21" s="2404"/>
      <c r="AL21" s="2402"/>
      <c r="AM21" s="2404"/>
      <c r="AN21" s="2402"/>
      <c r="AO21" s="2404"/>
      <c r="AP21" s="2402"/>
      <c r="AQ21" s="2404"/>
      <c r="AR21" s="2402"/>
      <c r="AS21" s="2404"/>
      <c r="AT21" s="2402"/>
      <c r="AU21" s="2404"/>
      <c r="AV21" s="2402"/>
      <c r="AW21" s="2404"/>
      <c r="AX21" s="2402"/>
      <c r="AY21" s="2404"/>
      <c r="AZ21" s="2402"/>
      <c r="BA21" s="2404"/>
      <c r="BB21" s="2402"/>
      <c r="BC21" s="2404"/>
      <c r="BD21" s="2402"/>
      <c r="BE21" s="2404"/>
      <c r="BF21" s="2404"/>
      <c r="BG21" s="2420"/>
      <c r="BH21" s="2420"/>
      <c r="BI21" s="2443"/>
      <c r="BJ21" s="2408"/>
      <c r="BK21" s="2408"/>
      <c r="BL21" s="2406"/>
      <c r="BM21" s="2406"/>
      <c r="BN21" s="2362"/>
      <c r="BO21" s="2362"/>
      <c r="BP21" s="2402"/>
    </row>
    <row r="22" spans="1:68" ht="62.25" customHeight="1" x14ac:dyDescent="0.2">
      <c r="A22" s="118"/>
      <c r="B22" s="264"/>
      <c r="C22" s="263"/>
      <c r="D22" s="262"/>
      <c r="E22" s="261"/>
      <c r="F22" s="260"/>
      <c r="G22" s="2411"/>
      <c r="H22" s="2343"/>
      <c r="I22" s="2413"/>
      <c r="J22" s="2331"/>
      <c r="K22" s="2357"/>
      <c r="L22" s="2357"/>
      <c r="M22" s="2349"/>
      <c r="N22" s="2343"/>
      <c r="O22" s="2413"/>
      <c r="P22" s="2414"/>
      <c r="Q22" s="2415"/>
      <c r="R22" s="2416"/>
      <c r="S22" s="2440"/>
      <c r="T22" s="241" t="s">
        <v>310</v>
      </c>
      <c r="U22" s="879">
        <v>10000000</v>
      </c>
      <c r="V22" s="878"/>
      <c r="W22" s="878"/>
      <c r="X22" s="258">
        <v>88</v>
      </c>
      <c r="Y22" s="72" t="s">
        <v>86</v>
      </c>
      <c r="Z22" s="2402"/>
      <c r="AA22" s="2404"/>
      <c r="AB22" s="2402"/>
      <c r="AC22" s="2404"/>
      <c r="AD22" s="2402"/>
      <c r="AE22" s="2404"/>
      <c r="AF22" s="2402"/>
      <c r="AG22" s="2404"/>
      <c r="AH22" s="2402"/>
      <c r="AI22" s="2404"/>
      <c r="AJ22" s="2402"/>
      <c r="AK22" s="2404"/>
      <c r="AL22" s="2402"/>
      <c r="AM22" s="2404"/>
      <c r="AN22" s="2402"/>
      <c r="AO22" s="2404"/>
      <c r="AP22" s="2402"/>
      <c r="AQ22" s="2404"/>
      <c r="AR22" s="2402"/>
      <c r="AS22" s="2404"/>
      <c r="AT22" s="2402"/>
      <c r="AU22" s="2404"/>
      <c r="AV22" s="2402"/>
      <c r="AW22" s="2404"/>
      <c r="AX22" s="2402"/>
      <c r="AY22" s="2404"/>
      <c r="AZ22" s="2402"/>
      <c r="BA22" s="2404"/>
      <c r="BB22" s="2402"/>
      <c r="BC22" s="2404"/>
      <c r="BD22" s="2402"/>
      <c r="BE22" s="2404"/>
      <c r="BF22" s="2404"/>
      <c r="BG22" s="2420"/>
      <c r="BH22" s="2420"/>
      <c r="BI22" s="2443"/>
      <c r="BJ22" s="2408"/>
      <c r="BK22" s="2408"/>
      <c r="BL22" s="2406"/>
      <c r="BM22" s="2406"/>
      <c r="BN22" s="2362"/>
      <c r="BO22" s="2362"/>
      <c r="BP22" s="2402"/>
    </row>
    <row r="23" spans="1:68" s="18" customFormat="1" ht="54.75" customHeight="1" x14ac:dyDescent="0.2">
      <c r="A23" s="57"/>
      <c r="B23" s="228"/>
      <c r="C23" s="58"/>
      <c r="D23" s="74"/>
      <c r="E23" s="24"/>
      <c r="F23" s="259"/>
      <c r="G23" s="2412"/>
      <c r="H23" s="2343"/>
      <c r="I23" s="2413"/>
      <c r="J23" s="2331"/>
      <c r="K23" s="2357"/>
      <c r="L23" s="2357"/>
      <c r="M23" s="2349"/>
      <c r="N23" s="2343"/>
      <c r="O23" s="2413"/>
      <c r="P23" s="2414"/>
      <c r="Q23" s="2415"/>
      <c r="R23" s="2416"/>
      <c r="S23" s="2441"/>
      <c r="T23" s="241" t="s">
        <v>309</v>
      </c>
      <c r="U23" s="879">
        <v>8000000</v>
      </c>
      <c r="V23" s="879"/>
      <c r="W23" s="879"/>
      <c r="X23" s="258">
        <v>88</v>
      </c>
      <c r="Y23" s="72" t="s">
        <v>86</v>
      </c>
      <c r="Z23" s="2402"/>
      <c r="AA23" s="2405"/>
      <c r="AB23" s="2402"/>
      <c r="AC23" s="2405"/>
      <c r="AD23" s="2402"/>
      <c r="AE23" s="2405"/>
      <c r="AF23" s="2402"/>
      <c r="AG23" s="2405"/>
      <c r="AH23" s="2402"/>
      <c r="AI23" s="2405"/>
      <c r="AJ23" s="2402"/>
      <c r="AK23" s="2405"/>
      <c r="AL23" s="2402"/>
      <c r="AM23" s="2405"/>
      <c r="AN23" s="2402"/>
      <c r="AO23" s="2405"/>
      <c r="AP23" s="2402"/>
      <c r="AQ23" s="2405"/>
      <c r="AR23" s="2402"/>
      <c r="AS23" s="2405"/>
      <c r="AT23" s="2402"/>
      <c r="AU23" s="2405"/>
      <c r="AV23" s="2402"/>
      <c r="AW23" s="2405"/>
      <c r="AX23" s="2402"/>
      <c r="AY23" s="2405"/>
      <c r="AZ23" s="2402"/>
      <c r="BA23" s="2405"/>
      <c r="BB23" s="2402"/>
      <c r="BC23" s="2405"/>
      <c r="BD23" s="2402"/>
      <c r="BE23" s="2405"/>
      <c r="BF23" s="2405"/>
      <c r="BG23" s="2421"/>
      <c r="BH23" s="2421"/>
      <c r="BI23" s="2444"/>
      <c r="BJ23" s="2409"/>
      <c r="BK23" s="2409"/>
      <c r="BL23" s="2406"/>
      <c r="BM23" s="2406"/>
      <c r="BN23" s="2363"/>
      <c r="BO23" s="2363"/>
      <c r="BP23" s="2402"/>
    </row>
    <row r="24" spans="1:68" s="18" customFormat="1" ht="33.75" customHeight="1" x14ac:dyDescent="0.2">
      <c r="A24" s="57"/>
      <c r="B24" s="228"/>
      <c r="C24" s="58"/>
      <c r="D24" s="257">
        <v>45</v>
      </c>
      <c r="E24" s="193" t="s">
        <v>308</v>
      </c>
      <c r="F24" s="256"/>
      <c r="G24" s="255"/>
      <c r="H24" s="253"/>
      <c r="I24" s="249"/>
      <c r="J24" s="249"/>
      <c r="K24" s="254"/>
      <c r="L24" s="254"/>
      <c r="M24" s="249"/>
      <c r="N24" s="253"/>
      <c r="O24" s="249"/>
      <c r="P24" s="252"/>
      <c r="Q24" s="902"/>
      <c r="R24" s="249"/>
      <c r="S24" s="249"/>
      <c r="T24" s="251"/>
      <c r="U24" s="880"/>
      <c r="V24" s="880"/>
      <c r="W24" s="880"/>
      <c r="X24" s="250"/>
      <c r="Y24" s="249"/>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877"/>
      <c r="BH24" s="877"/>
      <c r="BI24" s="247"/>
      <c r="BJ24" s="248"/>
      <c r="BK24" s="248"/>
      <c r="BL24" s="247"/>
      <c r="BM24" s="247"/>
      <c r="BN24" s="247"/>
      <c r="BO24" s="247"/>
      <c r="BP24" s="246"/>
    </row>
    <row r="25" spans="1:68" s="18" customFormat="1" ht="75" customHeight="1" x14ac:dyDescent="0.2">
      <c r="A25" s="57"/>
      <c r="B25" s="228"/>
      <c r="C25" s="58"/>
      <c r="D25" s="245"/>
      <c r="E25" s="244"/>
      <c r="F25" s="243"/>
      <c r="G25" s="2306" t="s">
        <v>208</v>
      </c>
      <c r="H25" s="2306" t="s">
        <v>286</v>
      </c>
      <c r="I25" s="2463" t="s">
        <v>285</v>
      </c>
      <c r="J25" s="2464" t="s">
        <v>284</v>
      </c>
      <c r="K25" s="2318">
        <v>1</v>
      </c>
      <c r="L25" s="2318">
        <v>1</v>
      </c>
      <c r="M25" s="2475" t="s">
        <v>307</v>
      </c>
      <c r="N25" s="2306" t="s">
        <v>306</v>
      </c>
      <c r="O25" s="2422" t="s">
        <v>305</v>
      </c>
      <c r="P25" s="2310">
        <f>SUM(U25:U36)/Q25</f>
        <v>1</v>
      </c>
      <c r="Q25" s="2471">
        <f>SUM(U25:U36)</f>
        <v>153233333</v>
      </c>
      <c r="R25" s="2439" t="s">
        <v>304</v>
      </c>
      <c r="S25" s="2439" t="s">
        <v>303</v>
      </c>
      <c r="T25" s="241" t="s">
        <v>302</v>
      </c>
      <c r="U25" s="881">
        <v>9807000</v>
      </c>
      <c r="V25" s="881">
        <v>9807000</v>
      </c>
      <c r="W25" s="881">
        <v>9807000</v>
      </c>
      <c r="X25" s="71">
        <v>20</v>
      </c>
      <c r="Y25" s="131" t="s">
        <v>287</v>
      </c>
      <c r="Z25" s="2426">
        <v>295972</v>
      </c>
      <c r="AA25" s="2426">
        <v>295972</v>
      </c>
      <c r="AB25" s="2426">
        <v>285580</v>
      </c>
      <c r="AC25" s="2426">
        <v>285580</v>
      </c>
      <c r="AD25" s="2426">
        <v>135545</v>
      </c>
      <c r="AE25" s="2426">
        <v>135545</v>
      </c>
      <c r="AF25" s="2426">
        <v>44254</v>
      </c>
      <c r="AG25" s="2426">
        <v>44254</v>
      </c>
      <c r="AH25" s="2426">
        <v>309146</v>
      </c>
      <c r="AI25" s="2426">
        <v>309146</v>
      </c>
      <c r="AJ25" s="2426">
        <v>92607</v>
      </c>
      <c r="AK25" s="2426">
        <v>92607</v>
      </c>
      <c r="AL25" s="2426">
        <v>2145</v>
      </c>
      <c r="AM25" s="2426">
        <v>2145</v>
      </c>
      <c r="AN25" s="2426">
        <v>12718</v>
      </c>
      <c r="AO25" s="2426">
        <v>12718</v>
      </c>
      <c r="AP25" s="2426">
        <v>26</v>
      </c>
      <c r="AQ25" s="2426">
        <v>26</v>
      </c>
      <c r="AR25" s="2426">
        <v>37</v>
      </c>
      <c r="AS25" s="2426">
        <v>37</v>
      </c>
      <c r="AT25" s="2426">
        <v>0</v>
      </c>
      <c r="AU25" s="2426">
        <v>0</v>
      </c>
      <c r="AV25" s="2426">
        <v>0</v>
      </c>
      <c r="AW25" s="2426">
        <v>0</v>
      </c>
      <c r="AX25" s="2426">
        <v>44350</v>
      </c>
      <c r="AY25" s="2426">
        <v>44350</v>
      </c>
      <c r="AZ25" s="2426">
        <v>21944</v>
      </c>
      <c r="BA25" s="2426">
        <v>21944</v>
      </c>
      <c r="BB25" s="2426">
        <v>75687</v>
      </c>
      <c r="BC25" s="2426">
        <v>75687</v>
      </c>
      <c r="BD25" s="2426">
        <v>581552</v>
      </c>
      <c r="BE25" s="2426">
        <v>581552</v>
      </c>
      <c r="BF25" s="2426">
        <v>9</v>
      </c>
      <c r="BG25" s="2429">
        <f>SUM(V25:V36)</f>
        <v>153233333</v>
      </c>
      <c r="BH25" s="2429">
        <f>SUM(W25:W36)</f>
        <v>113733333</v>
      </c>
      <c r="BI25" s="2310">
        <f>BH25/BG25</f>
        <v>0.742223188475578</v>
      </c>
      <c r="BJ25" s="2338" t="s">
        <v>301</v>
      </c>
      <c r="BK25" s="2338" t="s">
        <v>300</v>
      </c>
      <c r="BL25" s="2488">
        <v>43832</v>
      </c>
      <c r="BM25" s="2488">
        <v>43880</v>
      </c>
      <c r="BN25" s="2354">
        <v>44195</v>
      </c>
      <c r="BO25" s="2354"/>
      <c r="BP25" s="2426" t="s">
        <v>299</v>
      </c>
    </row>
    <row r="26" spans="1:68" s="18" customFormat="1" ht="75" customHeight="1" x14ac:dyDescent="0.2">
      <c r="A26" s="57"/>
      <c r="B26" s="228"/>
      <c r="C26" s="58"/>
      <c r="D26" s="227"/>
      <c r="E26" s="24"/>
      <c r="F26" s="58"/>
      <c r="G26" s="2307"/>
      <c r="H26" s="2307"/>
      <c r="I26" s="2463"/>
      <c r="J26" s="2464"/>
      <c r="K26" s="2319"/>
      <c r="L26" s="2319"/>
      <c r="M26" s="2475"/>
      <c r="N26" s="2307"/>
      <c r="O26" s="2423"/>
      <c r="P26" s="2311"/>
      <c r="Q26" s="2472"/>
      <c r="R26" s="2440"/>
      <c r="S26" s="2440"/>
      <c r="T26" s="241" t="s">
        <v>298</v>
      </c>
      <c r="U26" s="881">
        <v>4230400</v>
      </c>
      <c r="V26" s="881">
        <v>4230400</v>
      </c>
      <c r="W26" s="881">
        <v>4230400</v>
      </c>
      <c r="X26" s="71">
        <v>20</v>
      </c>
      <c r="Y26" s="131" t="s">
        <v>287</v>
      </c>
      <c r="Z26" s="2427"/>
      <c r="AA26" s="2427"/>
      <c r="AB26" s="2427"/>
      <c r="AC26" s="2427"/>
      <c r="AD26" s="2427"/>
      <c r="AE26" s="2427"/>
      <c r="AF26" s="2427"/>
      <c r="AG26" s="2427"/>
      <c r="AH26" s="2427"/>
      <c r="AI26" s="2427"/>
      <c r="AJ26" s="2427"/>
      <c r="AK26" s="2427"/>
      <c r="AL26" s="2427"/>
      <c r="AM26" s="2427"/>
      <c r="AN26" s="2427"/>
      <c r="AO26" s="2427"/>
      <c r="AP26" s="2427"/>
      <c r="AQ26" s="2427"/>
      <c r="AR26" s="2427"/>
      <c r="AS26" s="2427"/>
      <c r="AT26" s="2427"/>
      <c r="AU26" s="2427"/>
      <c r="AV26" s="2427"/>
      <c r="AW26" s="2427"/>
      <c r="AX26" s="2427"/>
      <c r="AY26" s="2427"/>
      <c r="AZ26" s="2427"/>
      <c r="BA26" s="2427"/>
      <c r="BB26" s="2427"/>
      <c r="BC26" s="2427"/>
      <c r="BD26" s="2427"/>
      <c r="BE26" s="2427"/>
      <c r="BF26" s="2427"/>
      <c r="BG26" s="2430"/>
      <c r="BH26" s="2430"/>
      <c r="BI26" s="2311"/>
      <c r="BJ26" s="2339"/>
      <c r="BK26" s="2339"/>
      <c r="BL26" s="2489"/>
      <c r="BM26" s="2489"/>
      <c r="BN26" s="2355"/>
      <c r="BO26" s="2355"/>
      <c r="BP26" s="2427"/>
    </row>
    <row r="27" spans="1:68" s="18" customFormat="1" ht="52.5" customHeight="1" x14ac:dyDescent="0.2">
      <c r="A27" s="57"/>
      <c r="B27" s="228"/>
      <c r="C27" s="58"/>
      <c r="D27" s="227"/>
      <c r="E27" s="24"/>
      <c r="F27" s="58"/>
      <c r="G27" s="2307"/>
      <c r="H27" s="2307"/>
      <c r="I27" s="2463"/>
      <c r="J27" s="2464"/>
      <c r="K27" s="2319"/>
      <c r="L27" s="2319"/>
      <c r="M27" s="2475"/>
      <c r="N27" s="2307"/>
      <c r="O27" s="2423"/>
      <c r="P27" s="2311"/>
      <c r="Q27" s="2472"/>
      <c r="R27" s="2440"/>
      <c r="S27" s="2440"/>
      <c r="T27" s="241" t="s">
        <v>297</v>
      </c>
      <c r="U27" s="881">
        <v>10821424</v>
      </c>
      <c r="V27" s="881">
        <v>10821424</v>
      </c>
      <c r="W27" s="881">
        <v>10821424</v>
      </c>
      <c r="X27" s="71">
        <v>20</v>
      </c>
      <c r="Y27" s="131" t="s">
        <v>287</v>
      </c>
      <c r="Z27" s="2427"/>
      <c r="AA27" s="2427"/>
      <c r="AB27" s="2427"/>
      <c r="AC27" s="2427"/>
      <c r="AD27" s="2427"/>
      <c r="AE27" s="2427"/>
      <c r="AF27" s="2427"/>
      <c r="AG27" s="2427"/>
      <c r="AH27" s="2427"/>
      <c r="AI27" s="2427"/>
      <c r="AJ27" s="2427"/>
      <c r="AK27" s="2427"/>
      <c r="AL27" s="2427"/>
      <c r="AM27" s="2427"/>
      <c r="AN27" s="2427"/>
      <c r="AO27" s="2427"/>
      <c r="AP27" s="2427"/>
      <c r="AQ27" s="2427"/>
      <c r="AR27" s="2427"/>
      <c r="AS27" s="2427"/>
      <c r="AT27" s="2427"/>
      <c r="AU27" s="2427"/>
      <c r="AV27" s="2427"/>
      <c r="AW27" s="2427"/>
      <c r="AX27" s="2427"/>
      <c r="AY27" s="2427"/>
      <c r="AZ27" s="2427"/>
      <c r="BA27" s="2427"/>
      <c r="BB27" s="2427"/>
      <c r="BC27" s="2427"/>
      <c r="BD27" s="2427"/>
      <c r="BE27" s="2427"/>
      <c r="BF27" s="2427"/>
      <c r="BG27" s="2430"/>
      <c r="BH27" s="2430"/>
      <c r="BI27" s="2311"/>
      <c r="BJ27" s="2339"/>
      <c r="BK27" s="2339"/>
      <c r="BL27" s="2489"/>
      <c r="BM27" s="2489"/>
      <c r="BN27" s="2355"/>
      <c r="BO27" s="2355"/>
      <c r="BP27" s="2427"/>
    </row>
    <row r="28" spans="1:68" s="18" customFormat="1" ht="39" customHeight="1" x14ac:dyDescent="0.2">
      <c r="A28" s="57"/>
      <c r="B28" s="228"/>
      <c r="C28" s="58"/>
      <c r="D28" s="227"/>
      <c r="E28" s="24"/>
      <c r="F28" s="58"/>
      <c r="G28" s="2307"/>
      <c r="H28" s="2307"/>
      <c r="I28" s="2463"/>
      <c r="J28" s="2464"/>
      <c r="K28" s="2319"/>
      <c r="L28" s="2319"/>
      <c r="M28" s="2475"/>
      <c r="N28" s="2307"/>
      <c r="O28" s="2423"/>
      <c r="P28" s="2311"/>
      <c r="Q28" s="2472"/>
      <c r="R28" s="2440"/>
      <c r="S28" s="2440"/>
      <c r="T28" s="241" t="s">
        <v>296</v>
      </c>
      <c r="U28" s="881">
        <v>1680000</v>
      </c>
      <c r="V28" s="881">
        <v>1680000</v>
      </c>
      <c r="W28" s="881">
        <v>1680000</v>
      </c>
      <c r="X28" s="71">
        <v>20</v>
      </c>
      <c r="Y28" s="131" t="s">
        <v>287</v>
      </c>
      <c r="Z28" s="2427"/>
      <c r="AA28" s="2427"/>
      <c r="AB28" s="2427"/>
      <c r="AC28" s="2427"/>
      <c r="AD28" s="2427"/>
      <c r="AE28" s="2427"/>
      <c r="AF28" s="2427"/>
      <c r="AG28" s="2427"/>
      <c r="AH28" s="2427"/>
      <c r="AI28" s="2427"/>
      <c r="AJ28" s="2427"/>
      <c r="AK28" s="2427"/>
      <c r="AL28" s="2427"/>
      <c r="AM28" s="2427"/>
      <c r="AN28" s="2427"/>
      <c r="AO28" s="2427"/>
      <c r="AP28" s="2427"/>
      <c r="AQ28" s="2427"/>
      <c r="AR28" s="2427"/>
      <c r="AS28" s="2427"/>
      <c r="AT28" s="2427"/>
      <c r="AU28" s="2427"/>
      <c r="AV28" s="2427"/>
      <c r="AW28" s="2427"/>
      <c r="AX28" s="2427"/>
      <c r="AY28" s="2427"/>
      <c r="AZ28" s="2427"/>
      <c r="BA28" s="2427"/>
      <c r="BB28" s="2427"/>
      <c r="BC28" s="2427"/>
      <c r="BD28" s="2427"/>
      <c r="BE28" s="2427"/>
      <c r="BF28" s="2427"/>
      <c r="BG28" s="2430"/>
      <c r="BH28" s="2430"/>
      <c r="BI28" s="2311"/>
      <c r="BJ28" s="2339"/>
      <c r="BK28" s="2339"/>
      <c r="BL28" s="2489"/>
      <c r="BM28" s="2489"/>
      <c r="BN28" s="2355"/>
      <c r="BO28" s="2355"/>
      <c r="BP28" s="2427"/>
    </row>
    <row r="29" spans="1:68" s="18" customFormat="1" ht="51" customHeight="1" x14ac:dyDescent="0.2">
      <c r="A29" s="57"/>
      <c r="B29" s="228"/>
      <c r="C29" s="58"/>
      <c r="D29" s="227"/>
      <c r="E29" s="24"/>
      <c r="F29" s="58"/>
      <c r="G29" s="2307"/>
      <c r="H29" s="2307"/>
      <c r="I29" s="2463"/>
      <c r="J29" s="2464"/>
      <c r="K29" s="2319"/>
      <c r="L29" s="2319"/>
      <c r="M29" s="2475"/>
      <c r="N29" s="2307"/>
      <c r="O29" s="2423"/>
      <c r="P29" s="2311"/>
      <c r="Q29" s="2472"/>
      <c r="R29" s="2440"/>
      <c r="S29" s="2440"/>
      <c r="T29" s="241" t="s">
        <v>295</v>
      </c>
      <c r="U29" s="881">
        <v>5040000</v>
      </c>
      <c r="V29" s="881">
        <v>5040000</v>
      </c>
      <c r="W29" s="881">
        <v>5040000</v>
      </c>
      <c r="X29" s="71">
        <v>20</v>
      </c>
      <c r="Y29" s="131" t="s">
        <v>287</v>
      </c>
      <c r="Z29" s="2427"/>
      <c r="AA29" s="2427"/>
      <c r="AB29" s="2427"/>
      <c r="AC29" s="2427"/>
      <c r="AD29" s="2427"/>
      <c r="AE29" s="2427"/>
      <c r="AF29" s="2427"/>
      <c r="AG29" s="2427"/>
      <c r="AH29" s="2427"/>
      <c r="AI29" s="2427"/>
      <c r="AJ29" s="2427"/>
      <c r="AK29" s="2427"/>
      <c r="AL29" s="2427"/>
      <c r="AM29" s="2427"/>
      <c r="AN29" s="2427"/>
      <c r="AO29" s="2427"/>
      <c r="AP29" s="2427"/>
      <c r="AQ29" s="2427"/>
      <c r="AR29" s="2427"/>
      <c r="AS29" s="2427"/>
      <c r="AT29" s="2427"/>
      <c r="AU29" s="2427"/>
      <c r="AV29" s="2427"/>
      <c r="AW29" s="2427"/>
      <c r="AX29" s="2427"/>
      <c r="AY29" s="2427"/>
      <c r="AZ29" s="2427"/>
      <c r="BA29" s="2427"/>
      <c r="BB29" s="2427"/>
      <c r="BC29" s="2427"/>
      <c r="BD29" s="2427"/>
      <c r="BE29" s="2427"/>
      <c r="BF29" s="2427"/>
      <c r="BG29" s="2430"/>
      <c r="BH29" s="2430"/>
      <c r="BI29" s="2311"/>
      <c r="BJ29" s="2339"/>
      <c r="BK29" s="2339"/>
      <c r="BL29" s="2489"/>
      <c r="BM29" s="2489"/>
      <c r="BN29" s="2355"/>
      <c r="BO29" s="2355"/>
      <c r="BP29" s="2427"/>
    </row>
    <row r="30" spans="1:68" s="18" customFormat="1" ht="40.5" customHeight="1" x14ac:dyDescent="0.2">
      <c r="A30" s="57"/>
      <c r="B30" s="228"/>
      <c r="C30" s="58"/>
      <c r="D30" s="227"/>
      <c r="E30" s="24"/>
      <c r="F30" s="58"/>
      <c r="G30" s="2307"/>
      <c r="H30" s="2307"/>
      <c r="I30" s="2463"/>
      <c r="J30" s="2464"/>
      <c r="K30" s="2319"/>
      <c r="L30" s="2319"/>
      <c r="M30" s="2475"/>
      <c r="N30" s="2307"/>
      <c r="O30" s="2423"/>
      <c r="P30" s="2311"/>
      <c r="Q30" s="2472"/>
      <c r="R30" s="2440"/>
      <c r="S30" s="2440"/>
      <c r="T30" s="241" t="s">
        <v>294</v>
      </c>
      <c r="U30" s="881">
        <v>13014000</v>
      </c>
      <c r="V30" s="881">
        <v>13014000</v>
      </c>
      <c r="W30" s="881">
        <v>13014000</v>
      </c>
      <c r="X30" s="71">
        <v>20</v>
      </c>
      <c r="Y30" s="131" t="s">
        <v>287</v>
      </c>
      <c r="Z30" s="2427"/>
      <c r="AA30" s="2427"/>
      <c r="AB30" s="2427"/>
      <c r="AC30" s="2427"/>
      <c r="AD30" s="2427"/>
      <c r="AE30" s="2427"/>
      <c r="AF30" s="2427"/>
      <c r="AG30" s="2427"/>
      <c r="AH30" s="2427"/>
      <c r="AI30" s="2427"/>
      <c r="AJ30" s="2427"/>
      <c r="AK30" s="2427"/>
      <c r="AL30" s="2427"/>
      <c r="AM30" s="2427"/>
      <c r="AN30" s="2427"/>
      <c r="AO30" s="2427"/>
      <c r="AP30" s="2427"/>
      <c r="AQ30" s="2427"/>
      <c r="AR30" s="2427"/>
      <c r="AS30" s="2427"/>
      <c r="AT30" s="2427"/>
      <c r="AU30" s="2427"/>
      <c r="AV30" s="2427"/>
      <c r="AW30" s="2427"/>
      <c r="AX30" s="2427"/>
      <c r="AY30" s="2427"/>
      <c r="AZ30" s="2427"/>
      <c r="BA30" s="2427"/>
      <c r="BB30" s="2427"/>
      <c r="BC30" s="2427"/>
      <c r="BD30" s="2427"/>
      <c r="BE30" s="2427"/>
      <c r="BF30" s="2427"/>
      <c r="BG30" s="2430"/>
      <c r="BH30" s="2430"/>
      <c r="BI30" s="2311"/>
      <c r="BJ30" s="2339"/>
      <c r="BK30" s="2339"/>
      <c r="BL30" s="2489"/>
      <c r="BM30" s="2489"/>
      <c r="BN30" s="2355"/>
      <c r="BO30" s="2355"/>
      <c r="BP30" s="2427"/>
    </row>
    <row r="31" spans="1:68" s="18" customFormat="1" ht="75" customHeight="1" x14ac:dyDescent="0.2">
      <c r="A31" s="57"/>
      <c r="B31" s="228"/>
      <c r="C31" s="58"/>
      <c r="D31" s="227"/>
      <c r="E31" s="24"/>
      <c r="F31" s="58"/>
      <c r="G31" s="2307"/>
      <c r="H31" s="2307"/>
      <c r="I31" s="2463"/>
      <c r="J31" s="2464"/>
      <c r="K31" s="2319"/>
      <c r="L31" s="2319"/>
      <c r="M31" s="2475"/>
      <c r="N31" s="2307"/>
      <c r="O31" s="2423"/>
      <c r="P31" s="2311"/>
      <c r="Q31" s="2472"/>
      <c r="R31" s="2440"/>
      <c r="S31" s="2440"/>
      <c r="T31" s="241" t="s">
        <v>293</v>
      </c>
      <c r="U31" s="881">
        <v>13568283</v>
      </c>
      <c r="V31" s="881">
        <v>13568283</v>
      </c>
      <c r="W31" s="881">
        <v>13568283</v>
      </c>
      <c r="X31" s="71">
        <v>20</v>
      </c>
      <c r="Y31" s="131" t="s">
        <v>287</v>
      </c>
      <c r="Z31" s="2427"/>
      <c r="AA31" s="2427"/>
      <c r="AB31" s="2427"/>
      <c r="AC31" s="2427"/>
      <c r="AD31" s="2427"/>
      <c r="AE31" s="2427"/>
      <c r="AF31" s="2427"/>
      <c r="AG31" s="2427"/>
      <c r="AH31" s="2427"/>
      <c r="AI31" s="2427"/>
      <c r="AJ31" s="2427"/>
      <c r="AK31" s="2427"/>
      <c r="AL31" s="2427"/>
      <c r="AM31" s="2427"/>
      <c r="AN31" s="2427"/>
      <c r="AO31" s="2427"/>
      <c r="AP31" s="2427"/>
      <c r="AQ31" s="2427"/>
      <c r="AR31" s="2427"/>
      <c r="AS31" s="2427"/>
      <c r="AT31" s="2427"/>
      <c r="AU31" s="2427"/>
      <c r="AV31" s="2427"/>
      <c r="AW31" s="2427"/>
      <c r="AX31" s="2427"/>
      <c r="AY31" s="2427"/>
      <c r="AZ31" s="2427"/>
      <c r="BA31" s="2427"/>
      <c r="BB31" s="2427"/>
      <c r="BC31" s="2427"/>
      <c r="BD31" s="2427"/>
      <c r="BE31" s="2427"/>
      <c r="BF31" s="2427"/>
      <c r="BG31" s="2430"/>
      <c r="BH31" s="2430"/>
      <c r="BI31" s="2311"/>
      <c r="BJ31" s="2339"/>
      <c r="BK31" s="2339"/>
      <c r="BL31" s="2489"/>
      <c r="BM31" s="2489"/>
      <c r="BN31" s="2355"/>
      <c r="BO31" s="2355"/>
      <c r="BP31" s="2427"/>
    </row>
    <row r="32" spans="1:68" s="18" customFormat="1" ht="75" customHeight="1" x14ac:dyDescent="0.2">
      <c r="A32" s="57"/>
      <c r="B32" s="228"/>
      <c r="C32" s="58"/>
      <c r="D32" s="227"/>
      <c r="E32" s="24"/>
      <c r="F32" s="58"/>
      <c r="G32" s="2307"/>
      <c r="H32" s="2307"/>
      <c r="I32" s="2463"/>
      <c r="J32" s="2464"/>
      <c r="K32" s="2319"/>
      <c r="L32" s="2319"/>
      <c r="M32" s="2475"/>
      <c r="N32" s="2307"/>
      <c r="O32" s="2423"/>
      <c r="P32" s="2311"/>
      <c r="Q32" s="2472"/>
      <c r="R32" s="2440"/>
      <c r="S32" s="2440"/>
      <c r="T32" s="241" t="s">
        <v>292</v>
      </c>
      <c r="U32" s="881">
        <v>27555226</v>
      </c>
      <c r="V32" s="881">
        <v>27555226</v>
      </c>
      <c r="W32" s="881">
        <v>27555226</v>
      </c>
      <c r="X32" s="71">
        <v>20</v>
      </c>
      <c r="Y32" s="131" t="s">
        <v>287</v>
      </c>
      <c r="Z32" s="2427"/>
      <c r="AA32" s="2427"/>
      <c r="AB32" s="2427"/>
      <c r="AC32" s="2427"/>
      <c r="AD32" s="2427"/>
      <c r="AE32" s="2427"/>
      <c r="AF32" s="2427"/>
      <c r="AG32" s="2427"/>
      <c r="AH32" s="2427"/>
      <c r="AI32" s="2427"/>
      <c r="AJ32" s="2427"/>
      <c r="AK32" s="2427"/>
      <c r="AL32" s="2427"/>
      <c r="AM32" s="2427"/>
      <c r="AN32" s="2427"/>
      <c r="AO32" s="2427"/>
      <c r="AP32" s="2427"/>
      <c r="AQ32" s="2427"/>
      <c r="AR32" s="2427"/>
      <c r="AS32" s="2427"/>
      <c r="AT32" s="2427"/>
      <c r="AU32" s="2427"/>
      <c r="AV32" s="2427"/>
      <c r="AW32" s="2427"/>
      <c r="AX32" s="2427"/>
      <c r="AY32" s="2427"/>
      <c r="AZ32" s="2427"/>
      <c r="BA32" s="2427"/>
      <c r="BB32" s="2427"/>
      <c r="BC32" s="2427"/>
      <c r="BD32" s="2427"/>
      <c r="BE32" s="2427"/>
      <c r="BF32" s="2427"/>
      <c r="BG32" s="2430"/>
      <c r="BH32" s="2430"/>
      <c r="BI32" s="2311"/>
      <c r="BJ32" s="2339"/>
      <c r="BK32" s="2339"/>
      <c r="BL32" s="2489"/>
      <c r="BM32" s="2489"/>
      <c r="BN32" s="2355"/>
      <c r="BO32" s="2355"/>
      <c r="BP32" s="2427"/>
    </row>
    <row r="33" spans="1:68" s="18" customFormat="1" ht="51" customHeight="1" x14ac:dyDescent="0.2">
      <c r="A33" s="57"/>
      <c r="B33" s="228"/>
      <c r="C33" s="58"/>
      <c r="D33" s="227"/>
      <c r="E33" s="24"/>
      <c r="F33" s="58"/>
      <c r="G33" s="2307"/>
      <c r="H33" s="2307"/>
      <c r="I33" s="2463"/>
      <c r="J33" s="2464"/>
      <c r="K33" s="2319"/>
      <c r="L33" s="2319"/>
      <c r="M33" s="2475"/>
      <c r="N33" s="2307"/>
      <c r="O33" s="2423"/>
      <c r="P33" s="2311"/>
      <c r="Q33" s="2472"/>
      <c r="R33" s="2440"/>
      <c r="S33" s="2440"/>
      <c r="T33" s="241" t="s">
        <v>291</v>
      </c>
      <c r="U33" s="881">
        <v>14430000</v>
      </c>
      <c r="V33" s="881">
        <v>14430000</v>
      </c>
      <c r="W33" s="881">
        <v>14430000</v>
      </c>
      <c r="X33" s="71">
        <v>20</v>
      </c>
      <c r="Y33" s="131" t="s">
        <v>287</v>
      </c>
      <c r="Z33" s="2427"/>
      <c r="AA33" s="2427"/>
      <c r="AB33" s="2427"/>
      <c r="AC33" s="2427"/>
      <c r="AD33" s="2427"/>
      <c r="AE33" s="2427"/>
      <c r="AF33" s="2427"/>
      <c r="AG33" s="2427"/>
      <c r="AH33" s="2427"/>
      <c r="AI33" s="2427"/>
      <c r="AJ33" s="2427"/>
      <c r="AK33" s="2427"/>
      <c r="AL33" s="2427"/>
      <c r="AM33" s="2427"/>
      <c r="AN33" s="2427"/>
      <c r="AO33" s="2427"/>
      <c r="AP33" s="2427"/>
      <c r="AQ33" s="2427"/>
      <c r="AR33" s="2427"/>
      <c r="AS33" s="2427"/>
      <c r="AT33" s="2427"/>
      <c r="AU33" s="2427"/>
      <c r="AV33" s="2427"/>
      <c r="AW33" s="2427"/>
      <c r="AX33" s="2427"/>
      <c r="AY33" s="2427"/>
      <c r="AZ33" s="2427"/>
      <c r="BA33" s="2427"/>
      <c r="BB33" s="2427"/>
      <c r="BC33" s="2427"/>
      <c r="BD33" s="2427"/>
      <c r="BE33" s="2427"/>
      <c r="BF33" s="2427"/>
      <c r="BG33" s="2430"/>
      <c r="BH33" s="2430"/>
      <c r="BI33" s="2311"/>
      <c r="BJ33" s="2339"/>
      <c r="BK33" s="2339"/>
      <c r="BL33" s="2489"/>
      <c r="BM33" s="2489"/>
      <c r="BN33" s="2355"/>
      <c r="BO33" s="2355"/>
      <c r="BP33" s="2427"/>
    </row>
    <row r="34" spans="1:68" s="18" customFormat="1" ht="75" customHeight="1" x14ac:dyDescent="0.2">
      <c r="A34" s="57"/>
      <c r="B34" s="228"/>
      <c r="C34" s="58"/>
      <c r="D34" s="227"/>
      <c r="E34" s="24"/>
      <c r="F34" s="58"/>
      <c r="G34" s="2307"/>
      <c r="H34" s="2307"/>
      <c r="I34" s="2463"/>
      <c r="J34" s="2464"/>
      <c r="K34" s="2319"/>
      <c r="L34" s="2319"/>
      <c r="M34" s="2475"/>
      <c r="N34" s="2307"/>
      <c r="O34" s="2423"/>
      <c r="P34" s="2311"/>
      <c r="Q34" s="2472"/>
      <c r="R34" s="2440"/>
      <c r="S34" s="2440"/>
      <c r="T34" s="241" t="s">
        <v>290</v>
      </c>
      <c r="U34" s="881">
        <v>4200000</v>
      </c>
      <c r="V34" s="881">
        <v>4200000</v>
      </c>
      <c r="W34" s="881">
        <v>4200000</v>
      </c>
      <c r="X34" s="71">
        <v>20</v>
      </c>
      <c r="Y34" s="131" t="s">
        <v>287</v>
      </c>
      <c r="Z34" s="2427"/>
      <c r="AA34" s="2427"/>
      <c r="AB34" s="2427"/>
      <c r="AC34" s="2427"/>
      <c r="AD34" s="2427"/>
      <c r="AE34" s="2427"/>
      <c r="AF34" s="2427"/>
      <c r="AG34" s="2427"/>
      <c r="AH34" s="2427"/>
      <c r="AI34" s="2427"/>
      <c r="AJ34" s="2427"/>
      <c r="AK34" s="2427"/>
      <c r="AL34" s="2427"/>
      <c r="AM34" s="2427"/>
      <c r="AN34" s="2427"/>
      <c r="AO34" s="2427"/>
      <c r="AP34" s="2427"/>
      <c r="AQ34" s="2427"/>
      <c r="AR34" s="2427"/>
      <c r="AS34" s="2427"/>
      <c r="AT34" s="2427"/>
      <c r="AU34" s="2427"/>
      <c r="AV34" s="2427"/>
      <c r="AW34" s="2427"/>
      <c r="AX34" s="2427"/>
      <c r="AY34" s="2427"/>
      <c r="AZ34" s="2427"/>
      <c r="BA34" s="2427"/>
      <c r="BB34" s="2427"/>
      <c r="BC34" s="2427"/>
      <c r="BD34" s="2427"/>
      <c r="BE34" s="2427"/>
      <c r="BF34" s="2427"/>
      <c r="BG34" s="2430"/>
      <c r="BH34" s="2430"/>
      <c r="BI34" s="2311"/>
      <c r="BJ34" s="2339"/>
      <c r="BK34" s="2339"/>
      <c r="BL34" s="2489"/>
      <c r="BM34" s="2489"/>
      <c r="BN34" s="2355"/>
      <c r="BO34" s="2355"/>
      <c r="BP34" s="2427"/>
    </row>
    <row r="35" spans="1:68" s="18" customFormat="1" ht="74.25" customHeight="1" x14ac:dyDescent="0.2">
      <c r="A35" s="57"/>
      <c r="B35" s="228"/>
      <c r="C35" s="58"/>
      <c r="D35" s="227"/>
      <c r="E35" s="24"/>
      <c r="F35" s="58"/>
      <c r="G35" s="2307"/>
      <c r="H35" s="2307"/>
      <c r="I35" s="2463"/>
      <c r="J35" s="2464"/>
      <c r="K35" s="2319"/>
      <c r="L35" s="2319"/>
      <c r="M35" s="2475"/>
      <c r="N35" s="2307"/>
      <c r="O35" s="2423"/>
      <c r="P35" s="2311"/>
      <c r="Q35" s="2472"/>
      <c r="R35" s="2440"/>
      <c r="S35" s="2440"/>
      <c r="T35" s="241" t="s">
        <v>289</v>
      </c>
      <c r="U35" s="881">
        <v>9387000</v>
      </c>
      <c r="V35" s="881">
        <v>9387000</v>
      </c>
      <c r="W35" s="881">
        <v>9387000</v>
      </c>
      <c r="X35" s="71">
        <v>20</v>
      </c>
      <c r="Y35" s="131" t="s">
        <v>287</v>
      </c>
      <c r="Z35" s="2427"/>
      <c r="AA35" s="2427"/>
      <c r="AB35" s="2427"/>
      <c r="AC35" s="2427"/>
      <c r="AD35" s="2427"/>
      <c r="AE35" s="2427"/>
      <c r="AF35" s="2427"/>
      <c r="AG35" s="2427"/>
      <c r="AH35" s="2427"/>
      <c r="AI35" s="2427"/>
      <c r="AJ35" s="2427"/>
      <c r="AK35" s="2427"/>
      <c r="AL35" s="2427"/>
      <c r="AM35" s="2427"/>
      <c r="AN35" s="2427"/>
      <c r="AO35" s="2427"/>
      <c r="AP35" s="2427"/>
      <c r="AQ35" s="2427"/>
      <c r="AR35" s="2427"/>
      <c r="AS35" s="2427"/>
      <c r="AT35" s="2427"/>
      <c r="AU35" s="2427"/>
      <c r="AV35" s="2427"/>
      <c r="AW35" s="2427"/>
      <c r="AX35" s="2427"/>
      <c r="AY35" s="2427"/>
      <c r="AZ35" s="2427"/>
      <c r="BA35" s="2427"/>
      <c r="BB35" s="2427"/>
      <c r="BC35" s="2427"/>
      <c r="BD35" s="2427"/>
      <c r="BE35" s="2427"/>
      <c r="BF35" s="2427"/>
      <c r="BG35" s="2430"/>
      <c r="BH35" s="2430"/>
      <c r="BI35" s="2311"/>
      <c r="BJ35" s="2339"/>
      <c r="BK35" s="2339"/>
      <c r="BL35" s="2489"/>
      <c r="BM35" s="2489"/>
      <c r="BN35" s="2355"/>
      <c r="BO35" s="2355"/>
      <c r="BP35" s="2427"/>
    </row>
    <row r="36" spans="1:68" s="18" customFormat="1" ht="42.75" customHeight="1" x14ac:dyDescent="0.2">
      <c r="A36" s="57"/>
      <c r="B36" s="228"/>
      <c r="C36" s="58"/>
      <c r="D36" s="227"/>
      <c r="E36" s="24"/>
      <c r="F36" s="58"/>
      <c r="G36" s="2467"/>
      <c r="H36" s="2467"/>
      <c r="I36" s="2463"/>
      <c r="J36" s="2464"/>
      <c r="K36" s="2465"/>
      <c r="L36" s="2465"/>
      <c r="M36" s="2475"/>
      <c r="N36" s="2467"/>
      <c r="O36" s="2424"/>
      <c r="P36" s="2425"/>
      <c r="Q36" s="2473"/>
      <c r="R36" s="2441"/>
      <c r="S36" s="2441"/>
      <c r="T36" s="241" t="s">
        <v>288</v>
      </c>
      <c r="U36" s="881">
        <v>39500000</v>
      </c>
      <c r="V36" s="881">
        <v>39500000</v>
      </c>
      <c r="W36" s="882"/>
      <c r="X36" s="71">
        <v>20</v>
      </c>
      <c r="Y36" s="131" t="s">
        <v>287</v>
      </c>
      <c r="Z36" s="2428"/>
      <c r="AA36" s="2428"/>
      <c r="AB36" s="2428"/>
      <c r="AC36" s="2428"/>
      <c r="AD36" s="2428"/>
      <c r="AE36" s="2428"/>
      <c r="AF36" s="2428"/>
      <c r="AG36" s="2428"/>
      <c r="AH36" s="2428"/>
      <c r="AI36" s="2428"/>
      <c r="AJ36" s="2428"/>
      <c r="AK36" s="2428"/>
      <c r="AL36" s="2428"/>
      <c r="AM36" s="2428"/>
      <c r="AN36" s="2428"/>
      <c r="AO36" s="2428"/>
      <c r="AP36" s="2428"/>
      <c r="AQ36" s="2428"/>
      <c r="AR36" s="2428"/>
      <c r="AS36" s="2428"/>
      <c r="AT36" s="2428"/>
      <c r="AU36" s="2428"/>
      <c r="AV36" s="2428"/>
      <c r="AW36" s="2428"/>
      <c r="AX36" s="2428"/>
      <c r="AY36" s="2428"/>
      <c r="AZ36" s="2428"/>
      <c r="BA36" s="2428"/>
      <c r="BB36" s="2428"/>
      <c r="BC36" s="2428"/>
      <c r="BD36" s="2428"/>
      <c r="BE36" s="2428"/>
      <c r="BF36" s="2428"/>
      <c r="BG36" s="2431"/>
      <c r="BH36" s="2431"/>
      <c r="BI36" s="2425"/>
      <c r="BJ36" s="2479"/>
      <c r="BK36" s="2479"/>
      <c r="BL36" s="2490"/>
      <c r="BM36" s="2490"/>
      <c r="BN36" s="2478"/>
      <c r="BO36" s="2478"/>
      <c r="BP36" s="2428"/>
    </row>
    <row r="37" spans="1:68" s="18" customFormat="1" ht="43.5" customHeight="1" x14ac:dyDescent="0.2">
      <c r="A37" s="57"/>
      <c r="B37" s="228"/>
      <c r="C37" s="58"/>
      <c r="D37" s="227"/>
      <c r="E37" s="24"/>
      <c r="F37" s="58"/>
      <c r="G37" s="2460"/>
      <c r="H37" s="2315" t="s">
        <v>286</v>
      </c>
      <c r="I37" s="2463" t="s">
        <v>285</v>
      </c>
      <c r="J37" s="2464" t="s">
        <v>284</v>
      </c>
      <c r="K37" s="2318">
        <v>4</v>
      </c>
      <c r="L37" s="2318">
        <v>4</v>
      </c>
      <c r="M37" s="2466" t="s">
        <v>283</v>
      </c>
      <c r="N37" s="2306" t="s">
        <v>282</v>
      </c>
      <c r="O37" s="2422" t="s">
        <v>281</v>
      </c>
      <c r="P37" s="2310">
        <f>SUM(U37:U44)/Q37</f>
        <v>1</v>
      </c>
      <c r="Q37" s="2468">
        <f>SUM(U37:U44)</f>
        <v>93916667</v>
      </c>
      <c r="R37" s="2439" t="s">
        <v>280</v>
      </c>
      <c r="S37" s="2439" t="s">
        <v>279</v>
      </c>
      <c r="T37" s="241" t="s">
        <v>278</v>
      </c>
      <c r="U37" s="883">
        <v>18000000</v>
      </c>
      <c r="V37" s="884">
        <v>8400000</v>
      </c>
      <c r="W37" s="884">
        <v>2800000</v>
      </c>
      <c r="X37" s="71">
        <v>88</v>
      </c>
      <c r="Y37" s="72" t="s">
        <v>86</v>
      </c>
      <c r="Z37" s="2476">
        <v>295972</v>
      </c>
      <c r="AA37" s="2426">
        <v>295972</v>
      </c>
      <c r="AB37" s="2426">
        <v>285580</v>
      </c>
      <c r="AC37" s="2426">
        <v>285580</v>
      </c>
      <c r="AD37" s="2426">
        <v>135545</v>
      </c>
      <c r="AE37" s="2426">
        <v>135545</v>
      </c>
      <c r="AF37" s="2426">
        <v>44254</v>
      </c>
      <c r="AG37" s="2426">
        <v>44254</v>
      </c>
      <c r="AH37" s="2426">
        <v>309146</v>
      </c>
      <c r="AI37" s="2426">
        <v>309146</v>
      </c>
      <c r="AJ37" s="2426">
        <v>92607</v>
      </c>
      <c r="AK37" s="2426">
        <v>92607</v>
      </c>
      <c r="AL37" s="2426">
        <v>2145</v>
      </c>
      <c r="AM37" s="2426">
        <v>2145</v>
      </c>
      <c r="AN37" s="2426">
        <v>12718</v>
      </c>
      <c r="AO37" s="2426">
        <v>12718</v>
      </c>
      <c r="AP37" s="2426">
        <v>26</v>
      </c>
      <c r="AQ37" s="2426">
        <v>26</v>
      </c>
      <c r="AR37" s="2426">
        <v>37</v>
      </c>
      <c r="AS37" s="2426">
        <v>37</v>
      </c>
      <c r="AT37" s="2426">
        <v>0</v>
      </c>
      <c r="AU37" s="2426">
        <v>0</v>
      </c>
      <c r="AV37" s="2426">
        <v>0</v>
      </c>
      <c r="AW37" s="2426">
        <v>0</v>
      </c>
      <c r="AX37" s="2426">
        <v>44350</v>
      </c>
      <c r="AY37" s="2426">
        <v>44350</v>
      </c>
      <c r="AZ37" s="2426">
        <v>21944</v>
      </c>
      <c r="BA37" s="2426">
        <v>21944</v>
      </c>
      <c r="BB37" s="2426">
        <v>75687</v>
      </c>
      <c r="BC37" s="2426">
        <v>75687</v>
      </c>
      <c r="BD37" s="2426">
        <v>581552</v>
      </c>
      <c r="BE37" s="2426">
        <v>581552</v>
      </c>
      <c r="BF37" s="2426">
        <v>5</v>
      </c>
      <c r="BG37" s="2429">
        <f>SUM(V37:V44)</f>
        <v>37766667</v>
      </c>
      <c r="BH37" s="2429">
        <f>SUM(W37:W44)</f>
        <v>18866667</v>
      </c>
      <c r="BI37" s="2310">
        <f>BH37/BG37</f>
        <v>0.49955869815040865</v>
      </c>
      <c r="BJ37" s="2338" t="s">
        <v>229</v>
      </c>
      <c r="BK37" s="2338" t="s">
        <v>263</v>
      </c>
      <c r="BL37" s="2488">
        <v>43832</v>
      </c>
      <c r="BM37" s="2488">
        <v>43885</v>
      </c>
      <c r="BN37" s="2354">
        <v>44195</v>
      </c>
      <c r="BO37" s="2354"/>
      <c r="BP37" s="2426" t="s">
        <v>196</v>
      </c>
    </row>
    <row r="38" spans="1:68" s="18" customFormat="1" ht="43.5" customHeight="1" x14ac:dyDescent="0.2">
      <c r="A38" s="57"/>
      <c r="B38" s="228"/>
      <c r="C38" s="58"/>
      <c r="D38" s="227"/>
      <c r="E38" s="24"/>
      <c r="F38" s="58"/>
      <c r="G38" s="2461"/>
      <c r="H38" s="2315"/>
      <c r="I38" s="2463"/>
      <c r="J38" s="2464"/>
      <c r="K38" s="2319"/>
      <c r="L38" s="2319"/>
      <c r="M38" s="2466"/>
      <c r="N38" s="2307"/>
      <c r="O38" s="2423"/>
      <c r="P38" s="2311"/>
      <c r="Q38" s="2469"/>
      <c r="R38" s="2440"/>
      <c r="S38" s="2440"/>
      <c r="T38" s="241" t="s">
        <v>277</v>
      </c>
      <c r="U38" s="883">
        <v>18000000</v>
      </c>
      <c r="V38" s="884">
        <v>9000000</v>
      </c>
      <c r="W38" s="884">
        <v>0</v>
      </c>
      <c r="X38" s="71">
        <v>88</v>
      </c>
      <c r="Y38" s="72" t="s">
        <v>86</v>
      </c>
      <c r="Z38" s="2375"/>
      <c r="AA38" s="2427"/>
      <c r="AB38" s="2427"/>
      <c r="AC38" s="2427"/>
      <c r="AD38" s="2427"/>
      <c r="AE38" s="2427"/>
      <c r="AF38" s="2427"/>
      <c r="AG38" s="2427"/>
      <c r="AH38" s="2427"/>
      <c r="AI38" s="2427"/>
      <c r="AJ38" s="2427"/>
      <c r="AK38" s="2427"/>
      <c r="AL38" s="2427"/>
      <c r="AM38" s="2427"/>
      <c r="AN38" s="2427"/>
      <c r="AO38" s="2427"/>
      <c r="AP38" s="2427"/>
      <c r="AQ38" s="2427"/>
      <c r="AR38" s="2427"/>
      <c r="AS38" s="2427"/>
      <c r="AT38" s="2427"/>
      <c r="AU38" s="2427"/>
      <c r="AV38" s="2427"/>
      <c r="AW38" s="2427"/>
      <c r="AX38" s="2427"/>
      <c r="AY38" s="2427"/>
      <c r="AZ38" s="2427"/>
      <c r="BA38" s="2427"/>
      <c r="BB38" s="2427"/>
      <c r="BC38" s="2427"/>
      <c r="BD38" s="2427"/>
      <c r="BE38" s="2427"/>
      <c r="BF38" s="2427"/>
      <c r="BG38" s="2430"/>
      <c r="BH38" s="2430"/>
      <c r="BI38" s="2311"/>
      <c r="BJ38" s="2339"/>
      <c r="BK38" s="2339"/>
      <c r="BL38" s="2489"/>
      <c r="BM38" s="2489"/>
      <c r="BN38" s="2355"/>
      <c r="BO38" s="2355"/>
      <c r="BP38" s="2427"/>
    </row>
    <row r="39" spans="1:68" s="18" customFormat="1" ht="43.5" customHeight="1" x14ac:dyDescent="0.2">
      <c r="A39" s="57"/>
      <c r="B39" s="228"/>
      <c r="C39" s="58"/>
      <c r="D39" s="227"/>
      <c r="E39" s="24"/>
      <c r="F39" s="58"/>
      <c r="G39" s="2461"/>
      <c r="H39" s="2315"/>
      <c r="I39" s="2463"/>
      <c r="J39" s="2464"/>
      <c r="K39" s="2319"/>
      <c r="L39" s="2319"/>
      <c r="M39" s="2466"/>
      <c r="N39" s="2307"/>
      <c r="O39" s="2423"/>
      <c r="P39" s="2311"/>
      <c r="Q39" s="2469"/>
      <c r="R39" s="2440"/>
      <c r="S39" s="2440"/>
      <c r="T39" s="241" t="s">
        <v>276</v>
      </c>
      <c r="U39" s="883">
        <v>0</v>
      </c>
      <c r="V39" s="884"/>
      <c r="W39" s="884"/>
      <c r="X39" s="71"/>
      <c r="Y39" s="72"/>
      <c r="Z39" s="2375"/>
      <c r="AA39" s="2427"/>
      <c r="AB39" s="2427"/>
      <c r="AC39" s="2427"/>
      <c r="AD39" s="2427"/>
      <c r="AE39" s="2427"/>
      <c r="AF39" s="2427"/>
      <c r="AG39" s="2427"/>
      <c r="AH39" s="2427"/>
      <c r="AI39" s="2427"/>
      <c r="AJ39" s="2427"/>
      <c r="AK39" s="2427"/>
      <c r="AL39" s="2427"/>
      <c r="AM39" s="2427"/>
      <c r="AN39" s="2427"/>
      <c r="AO39" s="2427"/>
      <c r="AP39" s="2427"/>
      <c r="AQ39" s="2427"/>
      <c r="AR39" s="2427"/>
      <c r="AS39" s="2427"/>
      <c r="AT39" s="2427"/>
      <c r="AU39" s="2427"/>
      <c r="AV39" s="2427"/>
      <c r="AW39" s="2427"/>
      <c r="AX39" s="2427"/>
      <c r="AY39" s="2427"/>
      <c r="AZ39" s="2427"/>
      <c r="BA39" s="2427"/>
      <c r="BB39" s="2427"/>
      <c r="BC39" s="2427"/>
      <c r="BD39" s="2427"/>
      <c r="BE39" s="2427"/>
      <c r="BF39" s="2427"/>
      <c r="BG39" s="2430"/>
      <c r="BH39" s="2430"/>
      <c r="BI39" s="2311"/>
      <c r="BJ39" s="2339"/>
      <c r="BK39" s="2339"/>
      <c r="BL39" s="2489"/>
      <c r="BM39" s="2489"/>
      <c r="BN39" s="2355"/>
      <c r="BO39" s="2355"/>
      <c r="BP39" s="2427"/>
    </row>
    <row r="40" spans="1:68" s="18" customFormat="1" ht="43.5" customHeight="1" x14ac:dyDescent="0.2">
      <c r="A40" s="57"/>
      <c r="B40" s="228"/>
      <c r="C40" s="58"/>
      <c r="D40" s="227"/>
      <c r="E40" s="24"/>
      <c r="F40" s="58"/>
      <c r="G40" s="2461"/>
      <c r="H40" s="2315"/>
      <c r="I40" s="2463"/>
      <c r="J40" s="2464"/>
      <c r="K40" s="2319"/>
      <c r="L40" s="2319"/>
      <c r="M40" s="2466"/>
      <c r="N40" s="2307"/>
      <c r="O40" s="2423"/>
      <c r="P40" s="2311"/>
      <c r="Q40" s="2469"/>
      <c r="R40" s="2440"/>
      <c r="S40" s="2440"/>
      <c r="T40" s="242" t="s">
        <v>275</v>
      </c>
      <c r="U40" s="883">
        <v>0</v>
      </c>
      <c r="V40" s="884"/>
      <c r="W40" s="884"/>
      <c r="X40" s="71"/>
      <c r="Y40" s="72"/>
      <c r="Z40" s="2375"/>
      <c r="AA40" s="2427"/>
      <c r="AB40" s="2427"/>
      <c r="AC40" s="2427"/>
      <c r="AD40" s="2427"/>
      <c r="AE40" s="2427"/>
      <c r="AF40" s="2427"/>
      <c r="AG40" s="2427"/>
      <c r="AH40" s="2427"/>
      <c r="AI40" s="2427"/>
      <c r="AJ40" s="2427"/>
      <c r="AK40" s="2427"/>
      <c r="AL40" s="2427"/>
      <c r="AM40" s="2427"/>
      <c r="AN40" s="2427"/>
      <c r="AO40" s="2427"/>
      <c r="AP40" s="2427"/>
      <c r="AQ40" s="2427"/>
      <c r="AR40" s="2427"/>
      <c r="AS40" s="2427"/>
      <c r="AT40" s="2427"/>
      <c r="AU40" s="2427"/>
      <c r="AV40" s="2427"/>
      <c r="AW40" s="2427"/>
      <c r="AX40" s="2427"/>
      <c r="AY40" s="2427"/>
      <c r="AZ40" s="2427"/>
      <c r="BA40" s="2427"/>
      <c r="BB40" s="2427"/>
      <c r="BC40" s="2427"/>
      <c r="BD40" s="2427"/>
      <c r="BE40" s="2427"/>
      <c r="BF40" s="2427"/>
      <c r="BG40" s="2430"/>
      <c r="BH40" s="2430"/>
      <c r="BI40" s="2311"/>
      <c r="BJ40" s="2339"/>
      <c r="BK40" s="2339"/>
      <c r="BL40" s="2489"/>
      <c r="BM40" s="2489"/>
      <c r="BN40" s="2355"/>
      <c r="BO40" s="2355"/>
      <c r="BP40" s="2427"/>
    </row>
    <row r="41" spans="1:68" s="18" customFormat="1" ht="43.5" customHeight="1" x14ac:dyDescent="0.2">
      <c r="A41" s="57"/>
      <c r="B41" s="228"/>
      <c r="C41" s="58"/>
      <c r="D41" s="227"/>
      <c r="E41" s="24"/>
      <c r="F41" s="58"/>
      <c r="G41" s="2461"/>
      <c r="H41" s="2315"/>
      <c r="I41" s="2463"/>
      <c r="J41" s="2464"/>
      <c r="K41" s="2319"/>
      <c r="L41" s="2319"/>
      <c r="M41" s="2466"/>
      <c r="N41" s="2307"/>
      <c r="O41" s="2423"/>
      <c r="P41" s="2311"/>
      <c r="Q41" s="2469"/>
      <c r="R41" s="2440"/>
      <c r="S41" s="2470"/>
      <c r="T41" s="2474" t="s">
        <v>274</v>
      </c>
      <c r="U41" s="885">
        <v>6450000</v>
      </c>
      <c r="V41" s="884">
        <v>6450000</v>
      </c>
      <c r="W41" s="884">
        <v>6450000</v>
      </c>
      <c r="X41" s="71">
        <v>20</v>
      </c>
      <c r="Y41" s="131" t="s">
        <v>7</v>
      </c>
      <c r="Z41" s="2375"/>
      <c r="AA41" s="2427"/>
      <c r="AB41" s="2427"/>
      <c r="AC41" s="2427"/>
      <c r="AD41" s="2427"/>
      <c r="AE41" s="2427"/>
      <c r="AF41" s="2427"/>
      <c r="AG41" s="2427"/>
      <c r="AH41" s="2427"/>
      <c r="AI41" s="2427"/>
      <c r="AJ41" s="2427"/>
      <c r="AK41" s="2427"/>
      <c r="AL41" s="2427"/>
      <c r="AM41" s="2427"/>
      <c r="AN41" s="2427"/>
      <c r="AO41" s="2427"/>
      <c r="AP41" s="2427"/>
      <c r="AQ41" s="2427"/>
      <c r="AR41" s="2427"/>
      <c r="AS41" s="2427"/>
      <c r="AT41" s="2427"/>
      <c r="AU41" s="2427"/>
      <c r="AV41" s="2427"/>
      <c r="AW41" s="2427"/>
      <c r="AX41" s="2427"/>
      <c r="AY41" s="2427"/>
      <c r="AZ41" s="2427"/>
      <c r="BA41" s="2427"/>
      <c r="BB41" s="2427"/>
      <c r="BC41" s="2427"/>
      <c r="BD41" s="2427"/>
      <c r="BE41" s="2427"/>
      <c r="BF41" s="2427"/>
      <c r="BG41" s="2430"/>
      <c r="BH41" s="2430"/>
      <c r="BI41" s="2311"/>
      <c r="BJ41" s="2339"/>
      <c r="BK41" s="2339"/>
      <c r="BL41" s="2489"/>
      <c r="BM41" s="2489"/>
      <c r="BN41" s="2355"/>
      <c r="BO41" s="2355"/>
      <c r="BP41" s="2427"/>
    </row>
    <row r="42" spans="1:68" s="18" customFormat="1" ht="43.5" customHeight="1" x14ac:dyDescent="0.2">
      <c r="A42" s="57"/>
      <c r="B42" s="228"/>
      <c r="C42" s="58"/>
      <c r="D42" s="227"/>
      <c r="E42" s="24"/>
      <c r="F42" s="58"/>
      <c r="G42" s="2461"/>
      <c r="H42" s="2315"/>
      <c r="I42" s="2463"/>
      <c r="J42" s="2464"/>
      <c r="K42" s="2319"/>
      <c r="L42" s="2319"/>
      <c r="M42" s="2466"/>
      <c r="N42" s="2307"/>
      <c r="O42" s="2423"/>
      <c r="P42" s="2311"/>
      <c r="Q42" s="2469"/>
      <c r="R42" s="2440"/>
      <c r="S42" s="2470"/>
      <c r="T42" s="2474"/>
      <c r="U42" s="885">
        <v>33250000</v>
      </c>
      <c r="V42" s="884">
        <v>0</v>
      </c>
      <c r="W42" s="884">
        <v>0</v>
      </c>
      <c r="X42" s="71">
        <v>88</v>
      </c>
      <c r="Y42" s="72" t="s">
        <v>86</v>
      </c>
      <c r="Z42" s="2375"/>
      <c r="AA42" s="2427"/>
      <c r="AB42" s="2427"/>
      <c r="AC42" s="2427"/>
      <c r="AD42" s="2427"/>
      <c r="AE42" s="2427"/>
      <c r="AF42" s="2427"/>
      <c r="AG42" s="2427"/>
      <c r="AH42" s="2427"/>
      <c r="AI42" s="2427"/>
      <c r="AJ42" s="2427"/>
      <c r="AK42" s="2427"/>
      <c r="AL42" s="2427"/>
      <c r="AM42" s="2427"/>
      <c r="AN42" s="2427"/>
      <c r="AO42" s="2427"/>
      <c r="AP42" s="2427"/>
      <c r="AQ42" s="2427"/>
      <c r="AR42" s="2427"/>
      <c r="AS42" s="2427"/>
      <c r="AT42" s="2427"/>
      <c r="AU42" s="2427"/>
      <c r="AV42" s="2427"/>
      <c r="AW42" s="2427"/>
      <c r="AX42" s="2427"/>
      <c r="AY42" s="2427"/>
      <c r="AZ42" s="2427"/>
      <c r="BA42" s="2427"/>
      <c r="BB42" s="2427"/>
      <c r="BC42" s="2427"/>
      <c r="BD42" s="2427"/>
      <c r="BE42" s="2427"/>
      <c r="BF42" s="2427"/>
      <c r="BG42" s="2430"/>
      <c r="BH42" s="2430"/>
      <c r="BI42" s="2311"/>
      <c r="BJ42" s="2339"/>
      <c r="BK42" s="2339"/>
      <c r="BL42" s="2489"/>
      <c r="BM42" s="2489"/>
      <c r="BN42" s="2355"/>
      <c r="BO42" s="2355"/>
      <c r="BP42" s="2427"/>
    </row>
    <row r="43" spans="1:68" s="18" customFormat="1" ht="43.5" customHeight="1" x14ac:dyDescent="0.2">
      <c r="A43" s="57"/>
      <c r="B43" s="228"/>
      <c r="C43" s="58"/>
      <c r="D43" s="227"/>
      <c r="E43" s="24"/>
      <c r="F43" s="58"/>
      <c r="G43" s="2461"/>
      <c r="H43" s="2315"/>
      <c r="I43" s="2463"/>
      <c r="J43" s="2464"/>
      <c r="K43" s="2319"/>
      <c r="L43" s="2319"/>
      <c r="M43" s="2466"/>
      <c r="N43" s="2307"/>
      <c r="O43" s="2423"/>
      <c r="P43" s="2311"/>
      <c r="Q43" s="2469"/>
      <c r="R43" s="2440"/>
      <c r="S43" s="2470"/>
      <c r="T43" s="2474" t="s">
        <v>273</v>
      </c>
      <c r="U43" s="885">
        <v>10750000</v>
      </c>
      <c r="V43" s="884">
        <v>6450000</v>
      </c>
      <c r="W43" s="884">
        <v>2150000</v>
      </c>
      <c r="X43" s="71">
        <v>88</v>
      </c>
      <c r="Y43" s="72" t="s">
        <v>86</v>
      </c>
      <c r="Z43" s="2375"/>
      <c r="AA43" s="2427"/>
      <c r="AB43" s="2427"/>
      <c r="AC43" s="2427"/>
      <c r="AD43" s="2427"/>
      <c r="AE43" s="2427"/>
      <c r="AF43" s="2427"/>
      <c r="AG43" s="2427"/>
      <c r="AH43" s="2427"/>
      <c r="AI43" s="2427"/>
      <c r="AJ43" s="2427"/>
      <c r="AK43" s="2427"/>
      <c r="AL43" s="2427"/>
      <c r="AM43" s="2427"/>
      <c r="AN43" s="2427"/>
      <c r="AO43" s="2427"/>
      <c r="AP43" s="2427"/>
      <c r="AQ43" s="2427"/>
      <c r="AR43" s="2427"/>
      <c r="AS43" s="2427"/>
      <c r="AT43" s="2427"/>
      <c r="AU43" s="2427"/>
      <c r="AV43" s="2427"/>
      <c r="AW43" s="2427"/>
      <c r="AX43" s="2427"/>
      <c r="AY43" s="2427"/>
      <c r="AZ43" s="2427"/>
      <c r="BA43" s="2427"/>
      <c r="BB43" s="2427"/>
      <c r="BC43" s="2427"/>
      <c r="BD43" s="2427"/>
      <c r="BE43" s="2427"/>
      <c r="BF43" s="2427"/>
      <c r="BG43" s="2430"/>
      <c r="BH43" s="2430"/>
      <c r="BI43" s="2311"/>
      <c r="BJ43" s="2339"/>
      <c r="BK43" s="2339"/>
      <c r="BL43" s="2489"/>
      <c r="BM43" s="2489"/>
      <c r="BN43" s="2355"/>
      <c r="BO43" s="2355"/>
      <c r="BP43" s="2427"/>
    </row>
    <row r="44" spans="1:68" s="18" customFormat="1" ht="43.5" customHeight="1" x14ac:dyDescent="0.2">
      <c r="A44" s="57"/>
      <c r="B44" s="228"/>
      <c r="C44" s="58"/>
      <c r="D44" s="227"/>
      <c r="E44" s="24"/>
      <c r="F44" s="58"/>
      <c r="G44" s="2462"/>
      <c r="H44" s="2315"/>
      <c r="I44" s="2463"/>
      <c r="J44" s="2464"/>
      <c r="K44" s="2465"/>
      <c r="L44" s="2465"/>
      <c r="M44" s="2466"/>
      <c r="N44" s="2307"/>
      <c r="O44" s="2423"/>
      <c r="P44" s="2311"/>
      <c r="Q44" s="2469"/>
      <c r="R44" s="2440"/>
      <c r="S44" s="2470"/>
      <c r="T44" s="2474"/>
      <c r="U44" s="885">
        <v>7466667</v>
      </c>
      <c r="V44" s="883">
        <v>7466667</v>
      </c>
      <c r="W44" s="883">
        <v>7466667</v>
      </c>
      <c r="X44" s="71">
        <v>20</v>
      </c>
      <c r="Y44" s="131" t="s">
        <v>261</v>
      </c>
      <c r="Z44" s="2477"/>
      <c r="AA44" s="2428"/>
      <c r="AB44" s="2428"/>
      <c r="AC44" s="2428"/>
      <c r="AD44" s="2428"/>
      <c r="AE44" s="2428"/>
      <c r="AF44" s="2428"/>
      <c r="AG44" s="2428"/>
      <c r="AH44" s="2428"/>
      <c r="AI44" s="2428"/>
      <c r="AJ44" s="2428"/>
      <c r="AK44" s="2428"/>
      <c r="AL44" s="2428"/>
      <c r="AM44" s="2428"/>
      <c r="AN44" s="2428"/>
      <c r="AO44" s="2428"/>
      <c r="AP44" s="2428"/>
      <c r="AQ44" s="2428"/>
      <c r="AR44" s="2428"/>
      <c r="AS44" s="2428"/>
      <c r="AT44" s="2428"/>
      <c r="AU44" s="2428"/>
      <c r="AV44" s="2428"/>
      <c r="AW44" s="2428"/>
      <c r="AX44" s="2428"/>
      <c r="AY44" s="2428"/>
      <c r="AZ44" s="2428"/>
      <c r="BA44" s="2428"/>
      <c r="BB44" s="2428"/>
      <c r="BC44" s="2428"/>
      <c r="BD44" s="2428"/>
      <c r="BE44" s="2428"/>
      <c r="BF44" s="2428"/>
      <c r="BG44" s="2431"/>
      <c r="BH44" s="2431"/>
      <c r="BI44" s="2425"/>
      <c r="BJ44" s="2479"/>
      <c r="BK44" s="2479"/>
      <c r="BL44" s="2490"/>
      <c r="BM44" s="2490"/>
      <c r="BN44" s="2478"/>
      <c r="BO44" s="2478"/>
      <c r="BP44" s="2428"/>
    </row>
    <row r="45" spans="1:68" s="18" customFormat="1" ht="64.5" customHeight="1" x14ac:dyDescent="0.2">
      <c r="A45" s="57"/>
      <c r="B45" s="228"/>
      <c r="C45" s="58"/>
      <c r="D45" s="227"/>
      <c r="E45" s="24"/>
      <c r="F45" s="58"/>
      <c r="G45" s="2447" t="s">
        <v>208</v>
      </c>
      <c r="H45" s="2450" t="s">
        <v>272</v>
      </c>
      <c r="I45" s="2452" t="s">
        <v>271</v>
      </c>
      <c r="J45" s="2454" t="s">
        <v>270</v>
      </c>
      <c r="K45" s="2456">
        <v>1</v>
      </c>
      <c r="L45" s="2456">
        <v>0.28000000000000003</v>
      </c>
      <c r="M45" s="2458" t="s">
        <v>269</v>
      </c>
      <c r="N45" s="2306" t="s">
        <v>268</v>
      </c>
      <c r="O45" s="2422" t="s">
        <v>267</v>
      </c>
      <c r="P45" s="2310">
        <f>SUM(U45:U52)/Q45</f>
        <v>1</v>
      </c>
      <c r="Q45" s="2468">
        <f>SUM(U45:U52)</f>
        <v>24906666</v>
      </c>
      <c r="R45" s="2439" t="s">
        <v>266</v>
      </c>
      <c r="S45" s="2439" t="s">
        <v>265</v>
      </c>
      <c r="T45" s="2482" t="s">
        <v>264</v>
      </c>
      <c r="U45" s="884">
        <v>1974000</v>
      </c>
      <c r="V45" s="884">
        <v>1974000</v>
      </c>
      <c r="W45" s="884">
        <v>1974000</v>
      </c>
      <c r="X45" s="71">
        <v>20</v>
      </c>
      <c r="Y45" s="131" t="s">
        <v>261</v>
      </c>
      <c r="Z45" s="2426">
        <v>295972</v>
      </c>
      <c r="AA45" s="2426"/>
      <c r="AB45" s="2426">
        <v>285580</v>
      </c>
      <c r="AC45" s="2426"/>
      <c r="AD45" s="2426">
        <v>135545</v>
      </c>
      <c r="AE45" s="2426"/>
      <c r="AF45" s="2426">
        <v>44254</v>
      </c>
      <c r="AG45" s="2426"/>
      <c r="AH45" s="2426">
        <v>309146</v>
      </c>
      <c r="AI45" s="2426"/>
      <c r="AJ45" s="2426">
        <v>92607</v>
      </c>
      <c r="AK45" s="2426"/>
      <c r="AL45" s="2426">
        <v>2145</v>
      </c>
      <c r="AM45" s="2426"/>
      <c r="AN45" s="2426">
        <v>12718</v>
      </c>
      <c r="AO45" s="2426"/>
      <c r="AP45" s="2426">
        <v>26</v>
      </c>
      <c r="AQ45" s="2426"/>
      <c r="AR45" s="2426">
        <v>37</v>
      </c>
      <c r="AS45" s="2426"/>
      <c r="AT45" s="2426">
        <v>0</v>
      </c>
      <c r="AU45" s="2426"/>
      <c r="AV45" s="2485">
        <v>0</v>
      </c>
      <c r="AW45" s="2426"/>
      <c r="AX45" s="2426">
        <v>44350</v>
      </c>
      <c r="AY45" s="2426"/>
      <c r="AZ45" s="2426">
        <v>21944</v>
      </c>
      <c r="BA45" s="2426"/>
      <c r="BB45" s="2426">
        <v>75687</v>
      </c>
      <c r="BC45" s="2426"/>
      <c r="BD45" s="2426">
        <v>581552</v>
      </c>
      <c r="BE45" s="2426"/>
      <c r="BF45" s="2426">
        <v>3</v>
      </c>
      <c r="BG45" s="2429">
        <f>SUM(V45:V52)</f>
        <v>24306666</v>
      </c>
      <c r="BH45" s="2429">
        <f>SUM(W45:W52)</f>
        <v>6906666</v>
      </c>
      <c r="BI45" s="2310">
        <f>BH45/BG45</f>
        <v>0.28414699078845285</v>
      </c>
      <c r="BJ45" s="2338" t="s">
        <v>229</v>
      </c>
      <c r="BK45" s="2338" t="s">
        <v>263</v>
      </c>
      <c r="BL45" s="2488">
        <v>43832</v>
      </c>
      <c r="BM45" s="2488">
        <v>43885</v>
      </c>
      <c r="BN45" s="2354">
        <v>44195</v>
      </c>
      <c r="BO45" s="2426"/>
      <c r="BP45" s="2426" t="s">
        <v>196</v>
      </c>
    </row>
    <row r="46" spans="1:68" s="18" customFormat="1" ht="64.5" customHeight="1" x14ac:dyDescent="0.2">
      <c r="A46" s="57"/>
      <c r="B46" s="228"/>
      <c r="C46" s="58"/>
      <c r="D46" s="227"/>
      <c r="E46" s="24"/>
      <c r="F46" s="58"/>
      <c r="G46" s="2448"/>
      <c r="H46" s="2451"/>
      <c r="I46" s="2453"/>
      <c r="J46" s="2455"/>
      <c r="K46" s="2456"/>
      <c r="L46" s="2456"/>
      <c r="M46" s="2458"/>
      <c r="N46" s="2307"/>
      <c r="O46" s="2423"/>
      <c r="P46" s="2311"/>
      <c r="Q46" s="2469"/>
      <c r="R46" s="2440"/>
      <c r="S46" s="2440"/>
      <c r="T46" s="2483"/>
      <c r="U46" s="884">
        <v>9000000</v>
      </c>
      <c r="V46" s="884">
        <v>9000000</v>
      </c>
      <c r="W46" s="884">
        <v>0</v>
      </c>
      <c r="X46" s="71">
        <v>88</v>
      </c>
      <c r="Y46" s="131" t="s">
        <v>168</v>
      </c>
      <c r="Z46" s="2427"/>
      <c r="AA46" s="2427"/>
      <c r="AB46" s="2427"/>
      <c r="AC46" s="2427"/>
      <c r="AD46" s="2427"/>
      <c r="AE46" s="2427"/>
      <c r="AF46" s="2427"/>
      <c r="AG46" s="2427"/>
      <c r="AH46" s="2427"/>
      <c r="AI46" s="2427"/>
      <c r="AJ46" s="2427"/>
      <c r="AK46" s="2427"/>
      <c r="AL46" s="2427"/>
      <c r="AM46" s="2427"/>
      <c r="AN46" s="2427"/>
      <c r="AO46" s="2427"/>
      <c r="AP46" s="2427"/>
      <c r="AQ46" s="2427"/>
      <c r="AR46" s="2427"/>
      <c r="AS46" s="2427"/>
      <c r="AT46" s="2427"/>
      <c r="AU46" s="2427"/>
      <c r="AV46" s="2486"/>
      <c r="AW46" s="2427"/>
      <c r="AX46" s="2427"/>
      <c r="AY46" s="2427"/>
      <c r="AZ46" s="2427"/>
      <c r="BA46" s="2427"/>
      <c r="BB46" s="2427"/>
      <c r="BC46" s="2427"/>
      <c r="BD46" s="2427"/>
      <c r="BE46" s="2427"/>
      <c r="BF46" s="2427"/>
      <c r="BG46" s="2430"/>
      <c r="BH46" s="2430"/>
      <c r="BI46" s="2311"/>
      <c r="BJ46" s="2339"/>
      <c r="BK46" s="2339"/>
      <c r="BL46" s="2489"/>
      <c r="BM46" s="2489"/>
      <c r="BN46" s="2355"/>
      <c r="BO46" s="2427"/>
      <c r="BP46" s="2427"/>
    </row>
    <row r="47" spans="1:68" s="18" customFormat="1" ht="64.5" customHeight="1" x14ac:dyDescent="0.2">
      <c r="A47" s="57"/>
      <c r="B47" s="228"/>
      <c r="C47" s="58"/>
      <c r="D47" s="227"/>
      <c r="E47" s="24"/>
      <c r="F47" s="58"/>
      <c r="G47" s="2448"/>
      <c r="H47" s="2451"/>
      <c r="I47" s="2453"/>
      <c r="J47" s="2455"/>
      <c r="K47" s="2456"/>
      <c r="L47" s="2456"/>
      <c r="M47" s="2458"/>
      <c r="N47" s="2307"/>
      <c r="O47" s="2423"/>
      <c r="P47" s="2311"/>
      <c r="Q47" s="2469"/>
      <c r="R47" s="2440"/>
      <c r="S47" s="2440"/>
      <c r="T47" s="2484" t="s">
        <v>262</v>
      </c>
      <c r="U47" s="884">
        <v>3948000</v>
      </c>
      <c r="V47" s="884">
        <v>3948000</v>
      </c>
      <c r="W47" s="884">
        <v>3948000</v>
      </c>
      <c r="X47" s="71">
        <v>20</v>
      </c>
      <c r="Y47" s="131" t="s">
        <v>261</v>
      </c>
      <c r="Z47" s="2427"/>
      <c r="AA47" s="2427"/>
      <c r="AB47" s="2427"/>
      <c r="AC47" s="2427"/>
      <c r="AD47" s="2427"/>
      <c r="AE47" s="2427"/>
      <c r="AF47" s="2427"/>
      <c r="AG47" s="2427"/>
      <c r="AH47" s="2427"/>
      <c r="AI47" s="2427"/>
      <c r="AJ47" s="2427"/>
      <c r="AK47" s="2427"/>
      <c r="AL47" s="2427"/>
      <c r="AM47" s="2427"/>
      <c r="AN47" s="2427"/>
      <c r="AO47" s="2427"/>
      <c r="AP47" s="2427"/>
      <c r="AQ47" s="2427"/>
      <c r="AR47" s="2427"/>
      <c r="AS47" s="2427"/>
      <c r="AT47" s="2427"/>
      <c r="AU47" s="2427"/>
      <c r="AV47" s="2486"/>
      <c r="AW47" s="2427"/>
      <c r="AX47" s="2427"/>
      <c r="AY47" s="2427"/>
      <c r="AZ47" s="2427"/>
      <c r="BA47" s="2427"/>
      <c r="BB47" s="2427"/>
      <c r="BC47" s="2427"/>
      <c r="BD47" s="2427"/>
      <c r="BE47" s="2427"/>
      <c r="BF47" s="2427"/>
      <c r="BG47" s="2430"/>
      <c r="BH47" s="2430"/>
      <c r="BI47" s="2311"/>
      <c r="BJ47" s="2339"/>
      <c r="BK47" s="2339"/>
      <c r="BL47" s="2489"/>
      <c r="BM47" s="2489"/>
      <c r="BN47" s="2355"/>
      <c r="BO47" s="2427"/>
      <c r="BP47" s="2427"/>
    </row>
    <row r="48" spans="1:68" s="18" customFormat="1" ht="64.5" customHeight="1" x14ac:dyDescent="0.2">
      <c r="A48" s="57"/>
      <c r="B48" s="228"/>
      <c r="C48" s="58"/>
      <c r="D48" s="227"/>
      <c r="E48" s="24"/>
      <c r="F48" s="58"/>
      <c r="G48" s="2448"/>
      <c r="H48" s="2451"/>
      <c r="I48" s="2453"/>
      <c r="J48" s="2455"/>
      <c r="K48" s="2456"/>
      <c r="L48" s="2456"/>
      <c r="M48" s="2458"/>
      <c r="N48" s="2307"/>
      <c r="O48" s="2423"/>
      <c r="P48" s="2311"/>
      <c r="Q48" s="2469"/>
      <c r="R48" s="2440"/>
      <c r="S48" s="2440"/>
      <c r="T48" s="2483"/>
      <c r="U48" s="884">
        <v>9000000</v>
      </c>
      <c r="V48" s="884">
        <v>8400000</v>
      </c>
      <c r="W48" s="884">
        <v>0</v>
      </c>
      <c r="X48" s="71">
        <v>88</v>
      </c>
      <c r="Y48" s="131" t="s">
        <v>168</v>
      </c>
      <c r="Z48" s="2427"/>
      <c r="AA48" s="2427"/>
      <c r="AB48" s="2427"/>
      <c r="AC48" s="2427"/>
      <c r="AD48" s="2427"/>
      <c r="AE48" s="2427"/>
      <c r="AF48" s="2427"/>
      <c r="AG48" s="2427"/>
      <c r="AH48" s="2427"/>
      <c r="AI48" s="2427"/>
      <c r="AJ48" s="2427"/>
      <c r="AK48" s="2427"/>
      <c r="AL48" s="2427"/>
      <c r="AM48" s="2427"/>
      <c r="AN48" s="2427"/>
      <c r="AO48" s="2427"/>
      <c r="AP48" s="2427"/>
      <c r="AQ48" s="2427"/>
      <c r="AR48" s="2427"/>
      <c r="AS48" s="2427"/>
      <c r="AT48" s="2427"/>
      <c r="AU48" s="2427"/>
      <c r="AV48" s="2486"/>
      <c r="AW48" s="2427"/>
      <c r="AX48" s="2427"/>
      <c r="AY48" s="2427"/>
      <c r="AZ48" s="2427"/>
      <c r="BA48" s="2427"/>
      <c r="BB48" s="2427"/>
      <c r="BC48" s="2427"/>
      <c r="BD48" s="2427"/>
      <c r="BE48" s="2427"/>
      <c r="BF48" s="2427"/>
      <c r="BG48" s="2430"/>
      <c r="BH48" s="2430"/>
      <c r="BI48" s="2311"/>
      <c r="BJ48" s="2339"/>
      <c r="BK48" s="2339"/>
      <c r="BL48" s="2489"/>
      <c r="BM48" s="2489"/>
      <c r="BN48" s="2355"/>
      <c r="BO48" s="2427"/>
      <c r="BP48" s="2427"/>
    </row>
    <row r="49" spans="1:68" s="18" customFormat="1" ht="64.5" customHeight="1" x14ac:dyDescent="0.2">
      <c r="A49" s="57"/>
      <c r="B49" s="228"/>
      <c r="C49" s="58"/>
      <c r="D49" s="227"/>
      <c r="E49" s="24"/>
      <c r="F49" s="58"/>
      <c r="G49" s="2448"/>
      <c r="H49" s="2451"/>
      <c r="I49" s="2453"/>
      <c r="J49" s="2455"/>
      <c r="K49" s="2456"/>
      <c r="L49" s="2456"/>
      <c r="M49" s="2458"/>
      <c r="N49" s="2307"/>
      <c r="O49" s="2423"/>
      <c r="P49" s="2311"/>
      <c r="Q49" s="2469"/>
      <c r="R49" s="2440"/>
      <c r="S49" s="2440"/>
      <c r="T49" s="241" t="s">
        <v>260</v>
      </c>
      <c r="U49" s="884">
        <v>0</v>
      </c>
      <c r="V49" s="884"/>
      <c r="W49" s="884"/>
      <c r="X49" s="71">
        <v>88</v>
      </c>
      <c r="Y49" s="131" t="s">
        <v>168</v>
      </c>
      <c r="Z49" s="2427"/>
      <c r="AA49" s="2427"/>
      <c r="AB49" s="2427"/>
      <c r="AC49" s="2427"/>
      <c r="AD49" s="2427"/>
      <c r="AE49" s="2427"/>
      <c r="AF49" s="2427"/>
      <c r="AG49" s="2427"/>
      <c r="AH49" s="2427"/>
      <c r="AI49" s="2427"/>
      <c r="AJ49" s="2427"/>
      <c r="AK49" s="2427"/>
      <c r="AL49" s="2427"/>
      <c r="AM49" s="2427"/>
      <c r="AN49" s="2427"/>
      <c r="AO49" s="2427"/>
      <c r="AP49" s="2427"/>
      <c r="AQ49" s="2427"/>
      <c r="AR49" s="2427"/>
      <c r="AS49" s="2427"/>
      <c r="AT49" s="2427"/>
      <c r="AU49" s="2427"/>
      <c r="AV49" s="2486"/>
      <c r="AW49" s="2427"/>
      <c r="AX49" s="2427"/>
      <c r="AY49" s="2427"/>
      <c r="AZ49" s="2427"/>
      <c r="BA49" s="2427"/>
      <c r="BB49" s="2427"/>
      <c r="BC49" s="2427"/>
      <c r="BD49" s="2427"/>
      <c r="BE49" s="2427"/>
      <c r="BF49" s="2427"/>
      <c r="BG49" s="2430"/>
      <c r="BH49" s="2430"/>
      <c r="BI49" s="2311"/>
      <c r="BJ49" s="2339"/>
      <c r="BK49" s="2339"/>
      <c r="BL49" s="2489"/>
      <c r="BM49" s="2489"/>
      <c r="BN49" s="2355"/>
      <c r="BO49" s="2427"/>
      <c r="BP49" s="2427"/>
    </row>
    <row r="50" spans="1:68" s="18" customFormat="1" ht="64.5" customHeight="1" x14ac:dyDescent="0.2">
      <c r="A50" s="57"/>
      <c r="B50" s="228"/>
      <c r="C50" s="58"/>
      <c r="D50" s="227"/>
      <c r="E50" s="24"/>
      <c r="F50" s="58"/>
      <c r="G50" s="2448"/>
      <c r="H50" s="2451"/>
      <c r="I50" s="2453"/>
      <c r="J50" s="2455"/>
      <c r="K50" s="2456"/>
      <c r="L50" s="2456"/>
      <c r="M50" s="2458"/>
      <c r="N50" s="2307"/>
      <c r="O50" s="2423"/>
      <c r="P50" s="2311"/>
      <c r="Q50" s="2469"/>
      <c r="R50" s="2440"/>
      <c r="S50" s="2440"/>
      <c r="T50" s="241" t="s">
        <v>259</v>
      </c>
      <c r="U50" s="884">
        <v>0</v>
      </c>
      <c r="V50" s="884"/>
      <c r="W50" s="884"/>
      <c r="X50" s="71">
        <v>88</v>
      </c>
      <c r="Y50" s="131" t="s">
        <v>168</v>
      </c>
      <c r="Z50" s="2427"/>
      <c r="AA50" s="2427"/>
      <c r="AB50" s="2427"/>
      <c r="AC50" s="2427"/>
      <c r="AD50" s="2427"/>
      <c r="AE50" s="2427"/>
      <c r="AF50" s="2427"/>
      <c r="AG50" s="2427"/>
      <c r="AH50" s="2427"/>
      <c r="AI50" s="2427"/>
      <c r="AJ50" s="2427"/>
      <c r="AK50" s="2427"/>
      <c r="AL50" s="2427"/>
      <c r="AM50" s="2427"/>
      <c r="AN50" s="2427"/>
      <c r="AO50" s="2427"/>
      <c r="AP50" s="2427"/>
      <c r="AQ50" s="2427"/>
      <c r="AR50" s="2427"/>
      <c r="AS50" s="2427"/>
      <c r="AT50" s="2427"/>
      <c r="AU50" s="2427"/>
      <c r="AV50" s="2486"/>
      <c r="AW50" s="2427"/>
      <c r="AX50" s="2427"/>
      <c r="AY50" s="2427"/>
      <c r="AZ50" s="2427"/>
      <c r="BA50" s="2427"/>
      <c r="BB50" s="2427"/>
      <c r="BC50" s="2427"/>
      <c r="BD50" s="2427"/>
      <c r="BE50" s="2427"/>
      <c r="BF50" s="2427"/>
      <c r="BG50" s="2430"/>
      <c r="BH50" s="2430"/>
      <c r="BI50" s="2311"/>
      <c r="BJ50" s="2339"/>
      <c r="BK50" s="2339"/>
      <c r="BL50" s="2489"/>
      <c r="BM50" s="2489"/>
      <c r="BN50" s="2355"/>
      <c r="BO50" s="2427"/>
      <c r="BP50" s="2427"/>
    </row>
    <row r="51" spans="1:68" s="18" customFormat="1" ht="64.5" customHeight="1" x14ac:dyDescent="0.2">
      <c r="A51" s="57"/>
      <c r="B51" s="228"/>
      <c r="C51" s="58"/>
      <c r="D51" s="227"/>
      <c r="E51" s="24"/>
      <c r="F51" s="58"/>
      <c r="G51" s="2448"/>
      <c r="H51" s="2451"/>
      <c r="I51" s="2453"/>
      <c r="J51" s="2455"/>
      <c r="K51" s="2456"/>
      <c r="L51" s="2456"/>
      <c r="M51" s="2458"/>
      <c r="N51" s="2307"/>
      <c r="O51" s="2423"/>
      <c r="P51" s="2311"/>
      <c r="Q51" s="2469"/>
      <c r="R51" s="2440"/>
      <c r="S51" s="2440"/>
      <c r="T51" s="241" t="s">
        <v>258</v>
      </c>
      <c r="U51" s="886">
        <v>0</v>
      </c>
      <c r="V51" s="884"/>
      <c r="W51" s="884"/>
      <c r="X51" s="71">
        <v>88</v>
      </c>
      <c r="Y51" s="131" t="s">
        <v>168</v>
      </c>
      <c r="Z51" s="2427"/>
      <c r="AA51" s="2427"/>
      <c r="AB51" s="2427"/>
      <c r="AC51" s="2427"/>
      <c r="AD51" s="2427"/>
      <c r="AE51" s="2427"/>
      <c r="AF51" s="2427"/>
      <c r="AG51" s="2427"/>
      <c r="AH51" s="2427"/>
      <c r="AI51" s="2427"/>
      <c r="AJ51" s="2427"/>
      <c r="AK51" s="2427"/>
      <c r="AL51" s="2427"/>
      <c r="AM51" s="2427"/>
      <c r="AN51" s="2427"/>
      <c r="AO51" s="2427"/>
      <c r="AP51" s="2427"/>
      <c r="AQ51" s="2427"/>
      <c r="AR51" s="2427"/>
      <c r="AS51" s="2427"/>
      <c r="AT51" s="2427"/>
      <c r="AU51" s="2427"/>
      <c r="AV51" s="2486"/>
      <c r="AW51" s="2427"/>
      <c r="AX51" s="2427"/>
      <c r="AY51" s="2427"/>
      <c r="AZ51" s="2427"/>
      <c r="BA51" s="2427"/>
      <c r="BB51" s="2427"/>
      <c r="BC51" s="2427"/>
      <c r="BD51" s="2427"/>
      <c r="BE51" s="2427"/>
      <c r="BF51" s="2427"/>
      <c r="BG51" s="2430"/>
      <c r="BH51" s="2430"/>
      <c r="BI51" s="2311"/>
      <c r="BJ51" s="2339"/>
      <c r="BK51" s="2339"/>
      <c r="BL51" s="2489"/>
      <c r="BM51" s="2489"/>
      <c r="BN51" s="2355"/>
      <c r="BO51" s="2427"/>
      <c r="BP51" s="2427"/>
    </row>
    <row r="52" spans="1:68" s="18" customFormat="1" ht="64.5" customHeight="1" x14ac:dyDescent="0.2">
      <c r="A52" s="57"/>
      <c r="B52" s="228"/>
      <c r="C52" s="58"/>
      <c r="D52" s="227"/>
      <c r="E52" s="24"/>
      <c r="F52" s="58"/>
      <c r="G52" s="2449"/>
      <c r="H52" s="2451"/>
      <c r="I52" s="2453"/>
      <c r="J52" s="2455"/>
      <c r="K52" s="2457"/>
      <c r="L52" s="2457"/>
      <c r="M52" s="2459"/>
      <c r="N52" s="2467"/>
      <c r="O52" s="2424"/>
      <c r="P52" s="2425"/>
      <c r="Q52" s="2480"/>
      <c r="R52" s="2481"/>
      <c r="S52" s="2481"/>
      <c r="T52" s="240" t="s">
        <v>257</v>
      </c>
      <c r="U52" s="887">
        <v>984666</v>
      </c>
      <c r="V52" s="887">
        <v>984666</v>
      </c>
      <c r="W52" s="887">
        <v>984666</v>
      </c>
      <c r="X52" s="71">
        <v>20</v>
      </c>
      <c r="Y52" s="131" t="s">
        <v>7</v>
      </c>
      <c r="Z52" s="2428"/>
      <c r="AA52" s="2428"/>
      <c r="AB52" s="2428"/>
      <c r="AC52" s="2428"/>
      <c r="AD52" s="2428"/>
      <c r="AE52" s="2428"/>
      <c r="AF52" s="2428"/>
      <c r="AG52" s="2428"/>
      <c r="AH52" s="2428"/>
      <c r="AI52" s="2428"/>
      <c r="AJ52" s="2428"/>
      <c r="AK52" s="2428"/>
      <c r="AL52" s="2428"/>
      <c r="AM52" s="2428"/>
      <c r="AN52" s="2428"/>
      <c r="AO52" s="2428"/>
      <c r="AP52" s="2428"/>
      <c r="AQ52" s="2428"/>
      <c r="AR52" s="2428"/>
      <c r="AS52" s="2428"/>
      <c r="AT52" s="2428"/>
      <c r="AU52" s="2428"/>
      <c r="AV52" s="2487"/>
      <c r="AW52" s="2428"/>
      <c r="AX52" s="2428"/>
      <c r="AY52" s="2428"/>
      <c r="AZ52" s="2428"/>
      <c r="BA52" s="2428"/>
      <c r="BB52" s="2428"/>
      <c r="BC52" s="2428"/>
      <c r="BD52" s="2428"/>
      <c r="BE52" s="2428"/>
      <c r="BF52" s="2428"/>
      <c r="BG52" s="2431"/>
      <c r="BH52" s="2431"/>
      <c r="BI52" s="2425"/>
      <c r="BJ52" s="2479"/>
      <c r="BK52" s="2479"/>
      <c r="BL52" s="2490"/>
      <c r="BM52" s="2490"/>
      <c r="BN52" s="2478"/>
      <c r="BO52" s="2428"/>
      <c r="BP52" s="2428"/>
    </row>
    <row r="53" spans="1:68" s="18" customFormat="1" ht="70.5" customHeight="1" x14ac:dyDescent="0.2">
      <c r="A53" s="57"/>
      <c r="B53" s="228"/>
      <c r="C53" s="58"/>
      <c r="D53" s="227"/>
      <c r="E53" s="24"/>
      <c r="F53" s="58"/>
      <c r="G53" s="2447" t="s">
        <v>208</v>
      </c>
      <c r="H53" s="2343" t="s">
        <v>256</v>
      </c>
      <c r="I53" s="2492" t="s">
        <v>255</v>
      </c>
      <c r="J53" s="2331" t="s">
        <v>254</v>
      </c>
      <c r="K53" s="2348">
        <v>1</v>
      </c>
      <c r="L53" s="2348">
        <v>0.6</v>
      </c>
      <c r="M53" s="2494" t="s">
        <v>253</v>
      </c>
      <c r="N53" s="2495" t="s">
        <v>252</v>
      </c>
      <c r="O53" s="2331" t="s">
        <v>251</v>
      </c>
      <c r="P53" s="2310">
        <f>SUM(U53:U69)/Q53</f>
        <v>1</v>
      </c>
      <c r="Q53" s="2498">
        <f>SUM(U53:U69)</f>
        <v>148786666</v>
      </c>
      <c r="R53" s="2331" t="s">
        <v>250</v>
      </c>
      <c r="S53" s="2331" t="s">
        <v>249</v>
      </c>
      <c r="T53" s="2501" t="s">
        <v>248</v>
      </c>
      <c r="U53" s="887">
        <v>7350000</v>
      </c>
      <c r="V53" s="887">
        <v>7350000</v>
      </c>
      <c r="W53" s="887">
        <v>7350000</v>
      </c>
      <c r="X53" s="71">
        <v>20</v>
      </c>
      <c r="Y53" s="131" t="s">
        <v>7</v>
      </c>
      <c r="Z53" s="2426">
        <v>295972</v>
      </c>
      <c r="AA53" s="2426"/>
      <c r="AB53" s="2426">
        <v>285580</v>
      </c>
      <c r="AC53" s="2426"/>
      <c r="AD53" s="2426">
        <v>135545</v>
      </c>
      <c r="AE53" s="2426"/>
      <c r="AF53" s="2426">
        <v>44254</v>
      </c>
      <c r="AG53" s="2426"/>
      <c r="AH53" s="2426">
        <v>309146</v>
      </c>
      <c r="AI53" s="2426"/>
      <c r="AJ53" s="2426">
        <v>92607</v>
      </c>
      <c r="AK53" s="2426"/>
      <c r="AL53" s="2426">
        <v>2145</v>
      </c>
      <c r="AM53" s="2426"/>
      <c r="AN53" s="2426">
        <v>12718</v>
      </c>
      <c r="AO53" s="2426"/>
      <c r="AP53" s="2426">
        <v>26</v>
      </c>
      <c r="AQ53" s="2426"/>
      <c r="AR53" s="2426">
        <v>37</v>
      </c>
      <c r="AS53" s="2426"/>
      <c r="AT53" s="2426">
        <v>0</v>
      </c>
      <c r="AU53" s="2426"/>
      <c r="AV53" s="2426">
        <v>0</v>
      </c>
      <c r="AW53" s="2426"/>
      <c r="AX53" s="2426">
        <v>44350</v>
      </c>
      <c r="AY53" s="2426"/>
      <c r="AZ53" s="2426">
        <v>21944</v>
      </c>
      <c r="BA53" s="2426"/>
      <c r="BB53" s="2426">
        <v>75687</v>
      </c>
      <c r="BC53" s="2426"/>
      <c r="BD53" s="2426">
        <v>581552</v>
      </c>
      <c r="BE53" s="2426"/>
      <c r="BF53" s="2426">
        <v>11</v>
      </c>
      <c r="BG53" s="2429">
        <f>SUM(V53:V69)</f>
        <v>114586666</v>
      </c>
      <c r="BH53" s="2429">
        <f>SUM(W53:W69)</f>
        <v>73586666</v>
      </c>
      <c r="BI53" s="2310">
        <f>BH53/BG53</f>
        <v>0.6421922250534805</v>
      </c>
      <c r="BJ53" s="2338" t="s">
        <v>229</v>
      </c>
      <c r="BK53" s="2338" t="s">
        <v>247</v>
      </c>
      <c r="BL53" s="2488">
        <v>43854</v>
      </c>
      <c r="BM53" s="2488">
        <v>43857</v>
      </c>
      <c r="BN53" s="2354">
        <v>44195</v>
      </c>
      <c r="BO53" s="2354"/>
      <c r="BP53" s="2426" t="s">
        <v>196</v>
      </c>
    </row>
    <row r="54" spans="1:68" s="18" customFormat="1" ht="70.5" customHeight="1" x14ac:dyDescent="0.2">
      <c r="A54" s="57"/>
      <c r="B54" s="228"/>
      <c r="C54" s="58"/>
      <c r="D54" s="227"/>
      <c r="E54" s="24"/>
      <c r="F54" s="58"/>
      <c r="G54" s="2448"/>
      <c r="H54" s="2343"/>
      <c r="I54" s="2413"/>
      <c r="J54" s="2331"/>
      <c r="K54" s="2348"/>
      <c r="L54" s="2348"/>
      <c r="M54" s="2494"/>
      <c r="N54" s="2496"/>
      <c r="O54" s="2331"/>
      <c r="P54" s="2311"/>
      <c r="Q54" s="2499"/>
      <c r="R54" s="2331"/>
      <c r="S54" s="2331"/>
      <c r="T54" s="2438"/>
      <c r="U54" s="888">
        <v>15750000</v>
      </c>
      <c r="V54" s="889">
        <v>9750000</v>
      </c>
      <c r="W54" s="889">
        <v>780000</v>
      </c>
      <c r="X54" s="71">
        <v>88</v>
      </c>
      <c r="Y54" s="131" t="s">
        <v>168</v>
      </c>
      <c r="Z54" s="2427"/>
      <c r="AA54" s="2427"/>
      <c r="AB54" s="2427"/>
      <c r="AC54" s="2427"/>
      <c r="AD54" s="2427"/>
      <c r="AE54" s="2427"/>
      <c r="AF54" s="2427"/>
      <c r="AG54" s="2427"/>
      <c r="AH54" s="2427"/>
      <c r="AI54" s="2427"/>
      <c r="AJ54" s="2427"/>
      <c r="AK54" s="2427"/>
      <c r="AL54" s="2427"/>
      <c r="AM54" s="2427"/>
      <c r="AN54" s="2427"/>
      <c r="AO54" s="2427"/>
      <c r="AP54" s="2427"/>
      <c r="AQ54" s="2427"/>
      <c r="AR54" s="2427"/>
      <c r="AS54" s="2427"/>
      <c r="AT54" s="2427"/>
      <c r="AU54" s="2427"/>
      <c r="AV54" s="2427"/>
      <c r="AW54" s="2427"/>
      <c r="AX54" s="2427"/>
      <c r="AY54" s="2427"/>
      <c r="AZ54" s="2427"/>
      <c r="BA54" s="2427"/>
      <c r="BB54" s="2427"/>
      <c r="BC54" s="2427"/>
      <c r="BD54" s="2427"/>
      <c r="BE54" s="2427"/>
      <c r="BF54" s="2427"/>
      <c r="BG54" s="2430"/>
      <c r="BH54" s="2430"/>
      <c r="BI54" s="2311"/>
      <c r="BJ54" s="2339"/>
      <c r="BK54" s="2339"/>
      <c r="BL54" s="2489"/>
      <c r="BM54" s="2489"/>
      <c r="BN54" s="2355"/>
      <c r="BO54" s="2355"/>
      <c r="BP54" s="2427"/>
    </row>
    <row r="55" spans="1:68" s="18" customFormat="1" ht="83.25" customHeight="1" x14ac:dyDescent="0.2">
      <c r="A55" s="57"/>
      <c r="B55" s="228"/>
      <c r="C55" s="58"/>
      <c r="D55" s="227"/>
      <c r="E55" s="24"/>
      <c r="F55" s="58"/>
      <c r="G55" s="2448"/>
      <c r="H55" s="2343"/>
      <c r="I55" s="2413"/>
      <c r="J55" s="2331"/>
      <c r="K55" s="2348"/>
      <c r="L55" s="2348"/>
      <c r="M55" s="2494"/>
      <c r="N55" s="2496"/>
      <c r="O55" s="2331"/>
      <c r="P55" s="2311"/>
      <c r="Q55" s="2499"/>
      <c r="R55" s="2331"/>
      <c r="S55" s="2331"/>
      <c r="T55" s="2501" t="s">
        <v>246</v>
      </c>
      <c r="U55" s="887">
        <v>23400000</v>
      </c>
      <c r="V55" s="889">
        <v>23400000</v>
      </c>
      <c r="W55" s="889">
        <v>23400000</v>
      </c>
      <c r="X55" s="71">
        <v>20</v>
      </c>
      <c r="Y55" s="131" t="s">
        <v>7</v>
      </c>
      <c r="Z55" s="2427"/>
      <c r="AA55" s="2427"/>
      <c r="AB55" s="2427"/>
      <c r="AC55" s="2427"/>
      <c r="AD55" s="2427"/>
      <c r="AE55" s="2427"/>
      <c r="AF55" s="2427"/>
      <c r="AG55" s="2427"/>
      <c r="AH55" s="2427"/>
      <c r="AI55" s="2427"/>
      <c r="AJ55" s="2427"/>
      <c r="AK55" s="2427"/>
      <c r="AL55" s="2427"/>
      <c r="AM55" s="2427"/>
      <c r="AN55" s="2427"/>
      <c r="AO55" s="2427"/>
      <c r="AP55" s="2427"/>
      <c r="AQ55" s="2427"/>
      <c r="AR55" s="2427"/>
      <c r="AS55" s="2427"/>
      <c r="AT55" s="2427"/>
      <c r="AU55" s="2427"/>
      <c r="AV55" s="2427"/>
      <c r="AW55" s="2427"/>
      <c r="AX55" s="2427"/>
      <c r="AY55" s="2427"/>
      <c r="AZ55" s="2427"/>
      <c r="BA55" s="2427"/>
      <c r="BB55" s="2427"/>
      <c r="BC55" s="2427"/>
      <c r="BD55" s="2427"/>
      <c r="BE55" s="2427"/>
      <c r="BF55" s="2427"/>
      <c r="BG55" s="2430"/>
      <c r="BH55" s="2430"/>
      <c r="BI55" s="2311"/>
      <c r="BJ55" s="2339"/>
      <c r="BK55" s="2339"/>
      <c r="BL55" s="2489"/>
      <c r="BM55" s="2489"/>
      <c r="BN55" s="2355"/>
      <c r="BO55" s="2355"/>
      <c r="BP55" s="2427"/>
    </row>
    <row r="56" spans="1:68" s="18" customFormat="1" ht="83.25" customHeight="1" x14ac:dyDescent="0.2">
      <c r="A56" s="57"/>
      <c r="B56" s="228"/>
      <c r="C56" s="58"/>
      <c r="D56" s="227"/>
      <c r="E56" s="24"/>
      <c r="F56" s="58"/>
      <c r="G56" s="2448"/>
      <c r="H56" s="2343"/>
      <c r="I56" s="2413"/>
      <c r="J56" s="2331"/>
      <c r="K56" s="2348"/>
      <c r="L56" s="2348"/>
      <c r="M56" s="2494"/>
      <c r="N56" s="2496"/>
      <c r="O56" s="2331"/>
      <c r="P56" s="2311"/>
      <c r="Q56" s="2499"/>
      <c r="R56" s="2331"/>
      <c r="S56" s="2331"/>
      <c r="T56" s="2502"/>
      <c r="U56" s="887">
        <v>18950000</v>
      </c>
      <c r="V56" s="889">
        <v>11220000</v>
      </c>
      <c r="W56" s="889">
        <v>3740000</v>
      </c>
      <c r="X56" s="71">
        <v>88</v>
      </c>
      <c r="Y56" s="131" t="s">
        <v>168</v>
      </c>
      <c r="Z56" s="2427"/>
      <c r="AA56" s="2427"/>
      <c r="AB56" s="2427"/>
      <c r="AC56" s="2427"/>
      <c r="AD56" s="2427"/>
      <c r="AE56" s="2427"/>
      <c r="AF56" s="2427"/>
      <c r="AG56" s="2427"/>
      <c r="AH56" s="2427"/>
      <c r="AI56" s="2427"/>
      <c r="AJ56" s="2427"/>
      <c r="AK56" s="2427"/>
      <c r="AL56" s="2427"/>
      <c r="AM56" s="2427"/>
      <c r="AN56" s="2427"/>
      <c r="AO56" s="2427"/>
      <c r="AP56" s="2427"/>
      <c r="AQ56" s="2427"/>
      <c r="AR56" s="2427"/>
      <c r="AS56" s="2427"/>
      <c r="AT56" s="2427"/>
      <c r="AU56" s="2427"/>
      <c r="AV56" s="2427"/>
      <c r="AW56" s="2427"/>
      <c r="AX56" s="2427"/>
      <c r="AY56" s="2427"/>
      <c r="AZ56" s="2427"/>
      <c r="BA56" s="2427"/>
      <c r="BB56" s="2427"/>
      <c r="BC56" s="2427"/>
      <c r="BD56" s="2427"/>
      <c r="BE56" s="2427"/>
      <c r="BF56" s="2427"/>
      <c r="BG56" s="2430"/>
      <c r="BH56" s="2430"/>
      <c r="BI56" s="2311"/>
      <c r="BJ56" s="2339"/>
      <c r="BK56" s="2339"/>
      <c r="BL56" s="2489"/>
      <c r="BM56" s="2489"/>
      <c r="BN56" s="2355"/>
      <c r="BO56" s="2355"/>
      <c r="BP56" s="2427"/>
    </row>
    <row r="57" spans="1:68" s="18" customFormat="1" ht="57.75" customHeight="1" x14ac:dyDescent="0.2">
      <c r="A57" s="57"/>
      <c r="B57" s="228"/>
      <c r="C57" s="58"/>
      <c r="D57" s="227"/>
      <c r="E57" s="24"/>
      <c r="F57" s="58"/>
      <c r="G57" s="2448"/>
      <c r="H57" s="2343"/>
      <c r="I57" s="2413"/>
      <c r="J57" s="2331"/>
      <c r="K57" s="2348"/>
      <c r="L57" s="2348"/>
      <c r="M57" s="2494"/>
      <c r="N57" s="2496"/>
      <c r="O57" s="2331"/>
      <c r="P57" s="2311"/>
      <c r="Q57" s="2499"/>
      <c r="R57" s="2331"/>
      <c r="S57" s="2331"/>
      <c r="T57" s="2503" t="s">
        <v>245</v>
      </c>
      <c r="U57" s="890">
        <v>9583333</v>
      </c>
      <c r="V57" s="890">
        <v>9583333</v>
      </c>
      <c r="W57" s="890">
        <v>9583333</v>
      </c>
      <c r="X57" s="71">
        <v>20</v>
      </c>
      <c r="Y57" s="131" t="s">
        <v>216</v>
      </c>
      <c r="Z57" s="2427"/>
      <c r="AA57" s="2427"/>
      <c r="AB57" s="2427"/>
      <c r="AC57" s="2427"/>
      <c r="AD57" s="2427"/>
      <c r="AE57" s="2427"/>
      <c r="AF57" s="2427"/>
      <c r="AG57" s="2427"/>
      <c r="AH57" s="2427"/>
      <c r="AI57" s="2427"/>
      <c r="AJ57" s="2427"/>
      <c r="AK57" s="2427"/>
      <c r="AL57" s="2427"/>
      <c r="AM57" s="2427"/>
      <c r="AN57" s="2427"/>
      <c r="AO57" s="2427"/>
      <c r="AP57" s="2427"/>
      <c r="AQ57" s="2427"/>
      <c r="AR57" s="2427"/>
      <c r="AS57" s="2427"/>
      <c r="AT57" s="2427"/>
      <c r="AU57" s="2427"/>
      <c r="AV57" s="2427"/>
      <c r="AW57" s="2427"/>
      <c r="AX57" s="2427"/>
      <c r="AY57" s="2427"/>
      <c r="AZ57" s="2427"/>
      <c r="BA57" s="2427"/>
      <c r="BB57" s="2427"/>
      <c r="BC57" s="2427"/>
      <c r="BD57" s="2427"/>
      <c r="BE57" s="2427"/>
      <c r="BF57" s="2427"/>
      <c r="BG57" s="2430"/>
      <c r="BH57" s="2430"/>
      <c r="BI57" s="2311"/>
      <c r="BJ57" s="2339"/>
      <c r="BK57" s="2339"/>
      <c r="BL57" s="2489"/>
      <c r="BM57" s="2489"/>
      <c r="BN57" s="2355"/>
      <c r="BO57" s="2355"/>
      <c r="BP57" s="2427"/>
    </row>
    <row r="58" spans="1:68" s="18" customFormat="1" ht="57.75" customHeight="1" x14ac:dyDescent="0.2">
      <c r="A58" s="57"/>
      <c r="B58" s="228"/>
      <c r="C58" s="58"/>
      <c r="D58" s="227"/>
      <c r="E58" s="24"/>
      <c r="F58" s="58"/>
      <c r="G58" s="2448"/>
      <c r="H58" s="2343"/>
      <c r="I58" s="2413"/>
      <c r="J58" s="2331"/>
      <c r="K58" s="2348"/>
      <c r="L58" s="2348"/>
      <c r="M58" s="2494"/>
      <c r="N58" s="2496"/>
      <c r="O58" s="2331"/>
      <c r="P58" s="2311"/>
      <c r="Q58" s="2499"/>
      <c r="R58" s="2331"/>
      <c r="S58" s="2331"/>
      <c r="T58" s="2504"/>
      <c r="U58" s="890">
        <v>17416667</v>
      </c>
      <c r="V58" s="889">
        <v>8700000</v>
      </c>
      <c r="W58" s="889">
        <v>3000000</v>
      </c>
      <c r="X58" s="71">
        <v>88</v>
      </c>
      <c r="Y58" s="131" t="s">
        <v>168</v>
      </c>
      <c r="Z58" s="2427"/>
      <c r="AA58" s="2427"/>
      <c r="AB58" s="2427"/>
      <c r="AC58" s="2427"/>
      <c r="AD58" s="2427"/>
      <c r="AE58" s="2427"/>
      <c r="AF58" s="2427"/>
      <c r="AG58" s="2427"/>
      <c r="AH58" s="2427"/>
      <c r="AI58" s="2427"/>
      <c r="AJ58" s="2427"/>
      <c r="AK58" s="2427"/>
      <c r="AL58" s="2427"/>
      <c r="AM58" s="2427"/>
      <c r="AN58" s="2427"/>
      <c r="AO58" s="2427"/>
      <c r="AP58" s="2427"/>
      <c r="AQ58" s="2427"/>
      <c r="AR58" s="2427"/>
      <c r="AS58" s="2427"/>
      <c r="AT58" s="2427"/>
      <c r="AU58" s="2427"/>
      <c r="AV58" s="2427"/>
      <c r="AW58" s="2427"/>
      <c r="AX58" s="2427"/>
      <c r="AY58" s="2427"/>
      <c r="AZ58" s="2427"/>
      <c r="BA58" s="2427"/>
      <c r="BB58" s="2427"/>
      <c r="BC58" s="2427"/>
      <c r="BD58" s="2427"/>
      <c r="BE58" s="2427"/>
      <c r="BF58" s="2427"/>
      <c r="BG58" s="2430"/>
      <c r="BH58" s="2430"/>
      <c r="BI58" s="2311"/>
      <c r="BJ58" s="2339"/>
      <c r="BK58" s="2339"/>
      <c r="BL58" s="2489"/>
      <c r="BM58" s="2489"/>
      <c r="BN58" s="2355"/>
      <c r="BO58" s="2355"/>
      <c r="BP58" s="2427"/>
    </row>
    <row r="59" spans="1:68" s="18" customFormat="1" ht="70.5" customHeight="1" x14ac:dyDescent="0.2">
      <c r="A59" s="57"/>
      <c r="B59" s="228"/>
      <c r="C59" s="58"/>
      <c r="D59" s="227"/>
      <c r="E59" s="24"/>
      <c r="F59" s="58"/>
      <c r="G59" s="2448"/>
      <c r="H59" s="2343"/>
      <c r="I59" s="2413"/>
      <c r="J59" s="2331"/>
      <c r="K59" s="2348"/>
      <c r="L59" s="2348"/>
      <c r="M59" s="2494"/>
      <c r="N59" s="2496"/>
      <c r="O59" s="2331"/>
      <c r="P59" s="2311"/>
      <c r="Q59" s="2499"/>
      <c r="R59" s="2331"/>
      <c r="S59" s="2331"/>
      <c r="T59" s="2503" t="s">
        <v>244</v>
      </c>
      <c r="U59" s="890">
        <v>9450000</v>
      </c>
      <c r="V59" s="890">
        <v>9450000</v>
      </c>
      <c r="W59" s="890">
        <v>9450000</v>
      </c>
      <c r="X59" s="71">
        <v>20</v>
      </c>
      <c r="Y59" s="131" t="s">
        <v>216</v>
      </c>
      <c r="Z59" s="2427"/>
      <c r="AA59" s="2427"/>
      <c r="AB59" s="2427"/>
      <c r="AC59" s="2427"/>
      <c r="AD59" s="2427"/>
      <c r="AE59" s="2427"/>
      <c r="AF59" s="2427"/>
      <c r="AG59" s="2427"/>
      <c r="AH59" s="2427"/>
      <c r="AI59" s="2427"/>
      <c r="AJ59" s="2427"/>
      <c r="AK59" s="2427"/>
      <c r="AL59" s="2427"/>
      <c r="AM59" s="2427"/>
      <c r="AN59" s="2427"/>
      <c r="AO59" s="2427"/>
      <c r="AP59" s="2427"/>
      <c r="AQ59" s="2427"/>
      <c r="AR59" s="2427"/>
      <c r="AS59" s="2427"/>
      <c r="AT59" s="2427"/>
      <c r="AU59" s="2427"/>
      <c r="AV59" s="2427"/>
      <c r="AW59" s="2427"/>
      <c r="AX59" s="2427"/>
      <c r="AY59" s="2427"/>
      <c r="AZ59" s="2427"/>
      <c r="BA59" s="2427"/>
      <c r="BB59" s="2427"/>
      <c r="BC59" s="2427"/>
      <c r="BD59" s="2427"/>
      <c r="BE59" s="2427"/>
      <c r="BF59" s="2427"/>
      <c r="BG59" s="2430"/>
      <c r="BH59" s="2430"/>
      <c r="BI59" s="2311"/>
      <c r="BJ59" s="2339"/>
      <c r="BK59" s="2339"/>
      <c r="BL59" s="2489"/>
      <c r="BM59" s="2489"/>
      <c r="BN59" s="2355"/>
      <c r="BO59" s="2355"/>
      <c r="BP59" s="2427"/>
    </row>
    <row r="60" spans="1:68" s="18" customFormat="1" ht="70.5" customHeight="1" x14ac:dyDescent="0.2">
      <c r="A60" s="57"/>
      <c r="B60" s="228"/>
      <c r="C60" s="58"/>
      <c r="D60" s="227"/>
      <c r="E60" s="24"/>
      <c r="F60" s="58"/>
      <c r="G60" s="2448"/>
      <c r="H60" s="2343"/>
      <c r="I60" s="2413"/>
      <c r="J60" s="2331"/>
      <c r="K60" s="2348"/>
      <c r="L60" s="2348"/>
      <c r="M60" s="2494"/>
      <c r="N60" s="2496"/>
      <c r="O60" s="2331"/>
      <c r="P60" s="2311"/>
      <c r="Q60" s="2499"/>
      <c r="R60" s="2331"/>
      <c r="S60" s="2331"/>
      <c r="T60" s="2504"/>
      <c r="U60" s="890">
        <v>12450000</v>
      </c>
      <c r="V60" s="889">
        <v>11250000</v>
      </c>
      <c r="W60" s="889">
        <v>2250000</v>
      </c>
      <c r="X60" s="71">
        <v>88</v>
      </c>
      <c r="Y60" s="131" t="s">
        <v>168</v>
      </c>
      <c r="Z60" s="2427"/>
      <c r="AA60" s="2427"/>
      <c r="AB60" s="2427"/>
      <c r="AC60" s="2427"/>
      <c r="AD60" s="2427"/>
      <c r="AE60" s="2427"/>
      <c r="AF60" s="2427"/>
      <c r="AG60" s="2427"/>
      <c r="AH60" s="2427"/>
      <c r="AI60" s="2427"/>
      <c r="AJ60" s="2427"/>
      <c r="AK60" s="2427"/>
      <c r="AL60" s="2427"/>
      <c r="AM60" s="2427"/>
      <c r="AN60" s="2427"/>
      <c r="AO60" s="2427"/>
      <c r="AP60" s="2427"/>
      <c r="AQ60" s="2427"/>
      <c r="AR60" s="2427"/>
      <c r="AS60" s="2427"/>
      <c r="AT60" s="2427"/>
      <c r="AU60" s="2427"/>
      <c r="AV60" s="2427"/>
      <c r="AW60" s="2427"/>
      <c r="AX60" s="2427"/>
      <c r="AY60" s="2427"/>
      <c r="AZ60" s="2427"/>
      <c r="BA60" s="2427"/>
      <c r="BB60" s="2427"/>
      <c r="BC60" s="2427"/>
      <c r="BD60" s="2427"/>
      <c r="BE60" s="2427"/>
      <c r="BF60" s="2427"/>
      <c r="BG60" s="2430"/>
      <c r="BH60" s="2430"/>
      <c r="BI60" s="2311"/>
      <c r="BJ60" s="2339"/>
      <c r="BK60" s="2339"/>
      <c r="BL60" s="2489"/>
      <c r="BM60" s="2489"/>
      <c r="BN60" s="2355"/>
      <c r="BO60" s="2355"/>
      <c r="BP60" s="2427"/>
    </row>
    <row r="61" spans="1:68" s="18" customFormat="1" ht="71.25" customHeight="1" x14ac:dyDescent="0.2">
      <c r="A61" s="57"/>
      <c r="B61" s="228"/>
      <c r="C61" s="58"/>
      <c r="D61" s="227"/>
      <c r="E61" s="24"/>
      <c r="F61" s="58"/>
      <c r="G61" s="2448"/>
      <c r="H61" s="2343"/>
      <c r="I61" s="2413"/>
      <c r="J61" s="2331"/>
      <c r="K61" s="2348"/>
      <c r="L61" s="2348"/>
      <c r="M61" s="2494"/>
      <c r="N61" s="2496"/>
      <c r="O61" s="2331"/>
      <c r="P61" s="2311"/>
      <c r="Q61" s="2499"/>
      <c r="R61" s="2331"/>
      <c r="S61" s="2331"/>
      <c r="T61" s="2503" t="s">
        <v>243</v>
      </c>
      <c r="U61" s="890">
        <v>6393333</v>
      </c>
      <c r="V61" s="890">
        <v>6393333</v>
      </c>
      <c r="W61" s="890">
        <v>6393333</v>
      </c>
      <c r="X61" s="71">
        <v>20</v>
      </c>
      <c r="Y61" s="131" t="s">
        <v>216</v>
      </c>
      <c r="Z61" s="2427"/>
      <c r="AA61" s="2427"/>
      <c r="AB61" s="2427"/>
      <c r="AC61" s="2427"/>
      <c r="AD61" s="2427"/>
      <c r="AE61" s="2427"/>
      <c r="AF61" s="2427"/>
      <c r="AG61" s="2427"/>
      <c r="AH61" s="2427"/>
      <c r="AI61" s="2427"/>
      <c r="AJ61" s="2427"/>
      <c r="AK61" s="2427"/>
      <c r="AL61" s="2427"/>
      <c r="AM61" s="2427"/>
      <c r="AN61" s="2427"/>
      <c r="AO61" s="2427"/>
      <c r="AP61" s="2427"/>
      <c r="AQ61" s="2427"/>
      <c r="AR61" s="2427"/>
      <c r="AS61" s="2427"/>
      <c r="AT61" s="2427"/>
      <c r="AU61" s="2427"/>
      <c r="AV61" s="2427"/>
      <c r="AW61" s="2427"/>
      <c r="AX61" s="2427"/>
      <c r="AY61" s="2427"/>
      <c r="AZ61" s="2427"/>
      <c r="BA61" s="2427"/>
      <c r="BB61" s="2427"/>
      <c r="BC61" s="2427"/>
      <c r="BD61" s="2427"/>
      <c r="BE61" s="2427"/>
      <c r="BF61" s="2427"/>
      <c r="BG61" s="2430"/>
      <c r="BH61" s="2430"/>
      <c r="BI61" s="2311"/>
      <c r="BJ61" s="2339"/>
      <c r="BK61" s="2339"/>
      <c r="BL61" s="2489"/>
      <c r="BM61" s="2489"/>
      <c r="BN61" s="2355"/>
      <c r="BO61" s="2355"/>
      <c r="BP61" s="2427"/>
    </row>
    <row r="62" spans="1:68" s="18" customFormat="1" ht="71.25" customHeight="1" x14ac:dyDescent="0.2">
      <c r="A62" s="57"/>
      <c r="B62" s="228"/>
      <c r="C62" s="58"/>
      <c r="D62" s="227"/>
      <c r="E62" s="24"/>
      <c r="F62" s="58"/>
      <c r="G62" s="2448"/>
      <c r="H62" s="2343"/>
      <c r="I62" s="2413"/>
      <c r="J62" s="2331"/>
      <c r="K62" s="2348"/>
      <c r="L62" s="2348"/>
      <c r="M62" s="2494"/>
      <c r="N62" s="2496"/>
      <c r="O62" s="2331"/>
      <c r="P62" s="2311"/>
      <c r="Q62" s="2499"/>
      <c r="R62" s="2331"/>
      <c r="S62" s="2331"/>
      <c r="T62" s="2504"/>
      <c r="U62" s="890">
        <v>11726667</v>
      </c>
      <c r="V62" s="889">
        <v>4200000</v>
      </c>
      <c r="W62" s="889">
        <v>1200000</v>
      </c>
      <c r="X62" s="71">
        <v>88</v>
      </c>
      <c r="Y62" s="131" t="s">
        <v>168</v>
      </c>
      <c r="Z62" s="2427"/>
      <c r="AA62" s="2427"/>
      <c r="AB62" s="2427"/>
      <c r="AC62" s="2427"/>
      <c r="AD62" s="2427"/>
      <c r="AE62" s="2427"/>
      <c r="AF62" s="2427"/>
      <c r="AG62" s="2427"/>
      <c r="AH62" s="2427"/>
      <c r="AI62" s="2427"/>
      <c r="AJ62" s="2427"/>
      <c r="AK62" s="2427"/>
      <c r="AL62" s="2427"/>
      <c r="AM62" s="2427"/>
      <c r="AN62" s="2427"/>
      <c r="AO62" s="2427"/>
      <c r="AP62" s="2427"/>
      <c r="AQ62" s="2427"/>
      <c r="AR62" s="2427"/>
      <c r="AS62" s="2427"/>
      <c r="AT62" s="2427"/>
      <c r="AU62" s="2427"/>
      <c r="AV62" s="2427"/>
      <c r="AW62" s="2427"/>
      <c r="AX62" s="2427"/>
      <c r="AY62" s="2427"/>
      <c r="AZ62" s="2427"/>
      <c r="BA62" s="2427"/>
      <c r="BB62" s="2427"/>
      <c r="BC62" s="2427"/>
      <c r="BD62" s="2427"/>
      <c r="BE62" s="2427"/>
      <c r="BF62" s="2427"/>
      <c r="BG62" s="2430"/>
      <c r="BH62" s="2430"/>
      <c r="BI62" s="2311"/>
      <c r="BJ62" s="2339"/>
      <c r="BK62" s="2339"/>
      <c r="BL62" s="2489"/>
      <c r="BM62" s="2489"/>
      <c r="BN62" s="2355"/>
      <c r="BO62" s="2355"/>
      <c r="BP62" s="2427"/>
    </row>
    <row r="63" spans="1:68" s="18" customFormat="1" ht="67.5" customHeight="1" x14ac:dyDescent="0.2">
      <c r="A63" s="57"/>
      <c r="B63" s="228"/>
      <c r="C63" s="58"/>
      <c r="D63" s="227"/>
      <c r="E63" s="24"/>
      <c r="F63" s="58"/>
      <c r="G63" s="2448"/>
      <c r="H63" s="2343"/>
      <c r="I63" s="2413"/>
      <c r="J63" s="2331"/>
      <c r="K63" s="2348"/>
      <c r="L63" s="2348"/>
      <c r="M63" s="2494"/>
      <c r="N63" s="2496"/>
      <c r="O63" s="2331"/>
      <c r="P63" s="2311"/>
      <c r="Q63" s="2499"/>
      <c r="R63" s="2331"/>
      <c r="S63" s="2331"/>
      <c r="T63" s="2503" t="s">
        <v>242</v>
      </c>
      <c r="U63" s="890">
        <v>2550000</v>
      </c>
      <c r="V63" s="890">
        <v>2550000</v>
      </c>
      <c r="W63" s="890">
        <v>2550000</v>
      </c>
      <c r="X63" s="71">
        <v>20</v>
      </c>
      <c r="Y63" s="131" t="s">
        <v>216</v>
      </c>
      <c r="Z63" s="2427"/>
      <c r="AA63" s="2427"/>
      <c r="AB63" s="2427"/>
      <c r="AC63" s="2427"/>
      <c r="AD63" s="2427"/>
      <c r="AE63" s="2427"/>
      <c r="AF63" s="2427"/>
      <c r="AG63" s="2427"/>
      <c r="AH63" s="2427"/>
      <c r="AI63" s="2427"/>
      <c r="AJ63" s="2427"/>
      <c r="AK63" s="2427"/>
      <c r="AL63" s="2427"/>
      <c r="AM63" s="2427"/>
      <c r="AN63" s="2427"/>
      <c r="AO63" s="2427"/>
      <c r="AP63" s="2427"/>
      <c r="AQ63" s="2427"/>
      <c r="AR63" s="2427"/>
      <c r="AS63" s="2427"/>
      <c r="AT63" s="2427"/>
      <c r="AU63" s="2427"/>
      <c r="AV63" s="2427"/>
      <c r="AW63" s="2427"/>
      <c r="AX63" s="2427"/>
      <c r="AY63" s="2427"/>
      <c r="AZ63" s="2427"/>
      <c r="BA63" s="2427"/>
      <c r="BB63" s="2427"/>
      <c r="BC63" s="2427"/>
      <c r="BD63" s="2427"/>
      <c r="BE63" s="2427"/>
      <c r="BF63" s="2427"/>
      <c r="BG63" s="2430"/>
      <c r="BH63" s="2430"/>
      <c r="BI63" s="2311"/>
      <c r="BJ63" s="2339"/>
      <c r="BK63" s="2339"/>
      <c r="BL63" s="2489"/>
      <c r="BM63" s="2489"/>
      <c r="BN63" s="2355"/>
      <c r="BO63" s="2355"/>
      <c r="BP63" s="2427"/>
    </row>
    <row r="64" spans="1:68" s="18" customFormat="1" ht="67.5" customHeight="1" x14ac:dyDescent="0.2">
      <c r="A64" s="57"/>
      <c r="B64" s="228"/>
      <c r="C64" s="58"/>
      <c r="D64" s="227"/>
      <c r="E64" s="24"/>
      <c r="F64" s="58"/>
      <c r="G64" s="2448"/>
      <c r="H64" s="2343"/>
      <c r="I64" s="2413"/>
      <c r="J64" s="2331"/>
      <c r="K64" s="2348"/>
      <c r="L64" s="2348"/>
      <c r="M64" s="2494"/>
      <c r="N64" s="2496"/>
      <c r="O64" s="2331"/>
      <c r="P64" s="2311"/>
      <c r="Q64" s="2499"/>
      <c r="R64" s="2331"/>
      <c r="S64" s="2331"/>
      <c r="T64" s="2504"/>
      <c r="U64" s="890">
        <v>4500000</v>
      </c>
      <c r="V64" s="889">
        <v>4500000</v>
      </c>
      <c r="W64" s="889">
        <v>0</v>
      </c>
      <c r="X64" s="71">
        <v>88</v>
      </c>
      <c r="Y64" s="131" t="s">
        <v>168</v>
      </c>
      <c r="Z64" s="2427"/>
      <c r="AA64" s="2427"/>
      <c r="AB64" s="2427"/>
      <c r="AC64" s="2427"/>
      <c r="AD64" s="2427"/>
      <c r="AE64" s="2427"/>
      <c r="AF64" s="2427"/>
      <c r="AG64" s="2427"/>
      <c r="AH64" s="2427"/>
      <c r="AI64" s="2427"/>
      <c r="AJ64" s="2427"/>
      <c r="AK64" s="2427"/>
      <c r="AL64" s="2427"/>
      <c r="AM64" s="2427"/>
      <c r="AN64" s="2427"/>
      <c r="AO64" s="2427"/>
      <c r="AP64" s="2427"/>
      <c r="AQ64" s="2427"/>
      <c r="AR64" s="2427"/>
      <c r="AS64" s="2427"/>
      <c r="AT64" s="2427"/>
      <c r="AU64" s="2427"/>
      <c r="AV64" s="2427"/>
      <c r="AW64" s="2427"/>
      <c r="AX64" s="2427"/>
      <c r="AY64" s="2427"/>
      <c r="AZ64" s="2427"/>
      <c r="BA64" s="2427"/>
      <c r="BB64" s="2427"/>
      <c r="BC64" s="2427"/>
      <c r="BD64" s="2427"/>
      <c r="BE64" s="2427"/>
      <c r="BF64" s="2427"/>
      <c r="BG64" s="2430"/>
      <c r="BH64" s="2430"/>
      <c r="BI64" s="2311"/>
      <c r="BJ64" s="2339"/>
      <c r="BK64" s="2339"/>
      <c r="BL64" s="2489"/>
      <c r="BM64" s="2489"/>
      <c r="BN64" s="2355"/>
      <c r="BO64" s="2355"/>
      <c r="BP64" s="2427"/>
    </row>
    <row r="65" spans="1:68" s="18" customFormat="1" ht="94.5" customHeight="1" x14ac:dyDescent="0.2">
      <c r="A65" s="57"/>
      <c r="B65" s="228"/>
      <c r="C65" s="58"/>
      <c r="D65" s="227"/>
      <c r="E65" s="24"/>
      <c r="F65" s="58"/>
      <c r="G65" s="2448"/>
      <c r="H65" s="2343"/>
      <c r="I65" s="2413"/>
      <c r="J65" s="2331"/>
      <c r="K65" s="2348"/>
      <c r="L65" s="2348"/>
      <c r="M65" s="2494"/>
      <c r="N65" s="2496"/>
      <c r="O65" s="2331"/>
      <c r="P65" s="2311"/>
      <c r="Q65" s="2499"/>
      <c r="R65" s="2331"/>
      <c r="S65" s="2331"/>
      <c r="T65" s="239" t="s">
        <v>241</v>
      </c>
      <c r="U65" s="890">
        <v>4516666</v>
      </c>
      <c r="V65" s="889">
        <v>2280000</v>
      </c>
      <c r="W65" s="889">
        <v>610000</v>
      </c>
      <c r="X65" s="71">
        <v>88</v>
      </c>
      <c r="Y65" s="131" t="s">
        <v>168</v>
      </c>
      <c r="Z65" s="2427"/>
      <c r="AA65" s="2427"/>
      <c r="AB65" s="2427"/>
      <c r="AC65" s="2427"/>
      <c r="AD65" s="2427"/>
      <c r="AE65" s="2427"/>
      <c r="AF65" s="2427"/>
      <c r="AG65" s="2427"/>
      <c r="AH65" s="2427"/>
      <c r="AI65" s="2427"/>
      <c r="AJ65" s="2427"/>
      <c r="AK65" s="2427"/>
      <c r="AL65" s="2427"/>
      <c r="AM65" s="2427"/>
      <c r="AN65" s="2427"/>
      <c r="AO65" s="2427"/>
      <c r="AP65" s="2427"/>
      <c r="AQ65" s="2427"/>
      <c r="AR65" s="2427"/>
      <c r="AS65" s="2427"/>
      <c r="AT65" s="2427"/>
      <c r="AU65" s="2427"/>
      <c r="AV65" s="2427"/>
      <c r="AW65" s="2427"/>
      <c r="AX65" s="2427"/>
      <c r="AY65" s="2427"/>
      <c r="AZ65" s="2427"/>
      <c r="BA65" s="2427"/>
      <c r="BB65" s="2427"/>
      <c r="BC65" s="2427"/>
      <c r="BD65" s="2427"/>
      <c r="BE65" s="2427"/>
      <c r="BF65" s="2427"/>
      <c r="BG65" s="2430"/>
      <c r="BH65" s="2430"/>
      <c r="BI65" s="2311"/>
      <c r="BJ65" s="2339"/>
      <c r="BK65" s="2339"/>
      <c r="BL65" s="2489"/>
      <c r="BM65" s="2489"/>
      <c r="BN65" s="2355"/>
      <c r="BO65" s="2355"/>
      <c r="BP65" s="2427"/>
    </row>
    <row r="66" spans="1:68" s="18" customFormat="1" ht="70.5" customHeight="1" x14ac:dyDescent="0.2">
      <c r="A66" s="57"/>
      <c r="B66" s="228"/>
      <c r="C66" s="58"/>
      <c r="D66" s="227"/>
      <c r="E66" s="24"/>
      <c r="F66" s="58"/>
      <c r="G66" s="2448"/>
      <c r="H66" s="2343"/>
      <c r="I66" s="2413"/>
      <c r="J66" s="2331"/>
      <c r="K66" s="2348"/>
      <c r="L66" s="2348"/>
      <c r="M66" s="2494"/>
      <c r="N66" s="2496"/>
      <c r="O66" s="2331"/>
      <c r="P66" s="2311"/>
      <c r="Q66" s="2499"/>
      <c r="R66" s="2331"/>
      <c r="S66" s="2331"/>
      <c r="T66" s="2474" t="s">
        <v>240</v>
      </c>
      <c r="U66" s="889">
        <v>1600000</v>
      </c>
      <c r="V66" s="890">
        <v>1600000</v>
      </c>
      <c r="W66" s="890">
        <v>1600000</v>
      </c>
      <c r="X66" s="71">
        <v>20</v>
      </c>
      <c r="Y66" s="131" t="s">
        <v>216</v>
      </c>
      <c r="Z66" s="2427"/>
      <c r="AA66" s="2427"/>
      <c r="AB66" s="2427"/>
      <c r="AC66" s="2427"/>
      <c r="AD66" s="2427"/>
      <c r="AE66" s="2427"/>
      <c r="AF66" s="2427"/>
      <c r="AG66" s="2427"/>
      <c r="AH66" s="2427"/>
      <c r="AI66" s="2427"/>
      <c r="AJ66" s="2427"/>
      <c r="AK66" s="2427"/>
      <c r="AL66" s="2427"/>
      <c r="AM66" s="2427"/>
      <c r="AN66" s="2427"/>
      <c r="AO66" s="2427"/>
      <c r="AP66" s="2427"/>
      <c r="AQ66" s="2427"/>
      <c r="AR66" s="2427"/>
      <c r="AS66" s="2427"/>
      <c r="AT66" s="2427"/>
      <c r="AU66" s="2427"/>
      <c r="AV66" s="2427"/>
      <c r="AW66" s="2427"/>
      <c r="AX66" s="2427"/>
      <c r="AY66" s="2427"/>
      <c r="AZ66" s="2427"/>
      <c r="BA66" s="2427"/>
      <c r="BB66" s="2427"/>
      <c r="BC66" s="2427"/>
      <c r="BD66" s="2427"/>
      <c r="BE66" s="2427"/>
      <c r="BF66" s="2427"/>
      <c r="BG66" s="2430"/>
      <c r="BH66" s="2430"/>
      <c r="BI66" s="2311"/>
      <c r="BJ66" s="2339"/>
      <c r="BK66" s="2339"/>
      <c r="BL66" s="2489"/>
      <c r="BM66" s="2489"/>
      <c r="BN66" s="2355"/>
      <c r="BO66" s="2355"/>
      <c r="BP66" s="2427"/>
    </row>
    <row r="67" spans="1:68" s="18" customFormat="1" ht="70.5" customHeight="1" x14ac:dyDescent="0.2">
      <c r="A67" s="57"/>
      <c r="B67" s="228"/>
      <c r="C67" s="58"/>
      <c r="D67" s="227"/>
      <c r="E67" s="24"/>
      <c r="F67" s="58"/>
      <c r="G67" s="2448"/>
      <c r="H67" s="2343"/>
      <c r="I67" s="2413"/>
      <c r="J67" s="2331"/>
      <c r="K67" s="2348"/>
      <c r="L67" s="2348"/>
      <c r="M67" s="2494"/>
      <c r="N67" s="2496"/>
      <c r="O67" s="2331"/>
      <c r="P67" s="2311"/>
      <c r="Q67" s="2499"/>
      <c r="R67" s="2331"/>
      <c r="S67" s="2331"/>
      <c r="T67" s="2474"/>
      <c r="U67" s="889">
        <v>1600000</v>
      </c>
      <c r="V67" s="889">
        <v>900000</v>
      </c>
      <c r="W67" s="889">
        <v>220000</v>
      </c>
      <c r="X67" s="71">
        <v>88</v>
      </c>
      <c r="Y67" s="131" t="s">
        <v>168</v>
      </c>
      <c r="Z67" s="2427"/>
      <c r="AA67" s="2427"/>
      <c r="AB67" s="2427"/>
      <c r="AC67" s="2427"/>
      <c r="AD67" s="2427"/>
      <c r="AE67" s="2427"/>
      <c r="AF67" s="2427"/>
      <c r="AG67" s="2427"/>
      <c r="AH67" s="2427"/>
      <c r="AI67" s="2427"/>
      <c r="AJ67" s="2427"/>
      <c r="AK67" s="2427"/>
      <c r="AL67" s="2427"/>
      <c r="AM67" s="2427"/>
      <c r="AN67" s="2427"/>
      <c r="AO67" s="2427"/>
      <c r="AP67" s="2427"/>
      <c r="AQ67" s="2427"/>
      <c r="AR67" s="2427"/>
      <c r="AS67" s="2427"/>
      <c r="AT67" s="2427"/>
      <c r="AU67" s="2427"/>
      <c r="AV67" s="2427"/>
      <c r="AW67" s="2427"/>
      <c r="AX67" s="2427"/>
      <c r="AY67" s="2427"/>
      <c r="AZ67" s="2427"/>
      <c r="BA67" s="2427"/>
      <c r="BB67" s="2427"/>
      <c r="BC67" s="2427"/>
      <c r="BD67" s="2427"/>
      <c r="BE67" s="2427"/>
      <c r="BF67" s="2427"/>
      <c r="BG67" s="2430"/>
      <c r="BH67" s="2430"/>
      <c r="BI67" s="2311"/>
      <c r="BJ67" s="2339"/>
      <c r="BK67" s="2339"/>
      <c r="BL67" s="2489"/>
      <c r="BM67" s="2489"/>
      <c r="BN67" s="2355"/>
      <c r="BO67" s="2355"/>
      <c r="BP67" s="2427"/>
    </row>
    <row r="68" spans="1:68" s="18" customFormat="1" ht="50.25" customHeight="1" x14ac:dyDescent="0.2">
      <c r="A68" s="57"/>
      <c r="B68" s="228"/>
      <c r="C68" s="58"/>
      <c r="D68" s="227"/>
      <c r="E68" s="24"/>
      <c r="F68" s="58"/>
      <c r="G68" s="2448"/>
      <c r="H68" s="2343"/>
      <c r="I68" s="2413"/>
      <c r="J68" s="2331"/>
      <c r="K68" s="2348"/>
      <c r="L68" s="2348"/>
      <c r="M68" s="2494"/>
      <c r="N68" s="2496"/>
      <c r="O68" s="2331"/>
      <c r="P68" s="2311"/>
      <c r="Q68" s="2499"/>
      <c r="R68" s="2331"/>
      <c r="S68" s="2331"/>
      <c r="T68" s="2474" t="s">
        <v>239</v>
      </c>
      <c r="U68" s="889">
        <v>1460000</v>
      </c>
      <c r="V68" s="890">
        <v>1460000</v>
      </c>
      <c r="W68" s="890">
        <v>1460000</v>
      </c>
      <c r="X68" s="71">
        <v>20</v>
      </c>
      <c r="Y68" s="131" t="s">
        <v>216</v>
      </c>
      <c r="Z68" s="2427"/>
      <c r="AA68" s="2427"/>
      <c r="AB68" s="2427"/>
      <c r="AC68" s="2427"/>
      <c r="AD68" s="2427"/>
      <c r="AE68" s="2427"/>
      <c r="AF68" s="2427"/>
      <c r="AG68" s="2427"/>
      <c r="AH68" s="2427"/>
      <c r="AI68" s="2427"/>
      <c r="AJ68" s="2427"/>
      <c r="AK68" s="2427"/>
      <c r="AL68" s="2427"/>
      <c r="AM68" s="2427"/>
      <c r="AN68" s="2427"/>
      <c r="AO68" s="2427"/>
      <c r="AP68" s="2427"/>
      <c r="AQ68" s="2427"/>
      <c r="AR68" s="2427"/>
      <c r="AS68" s="2427"/>
      <c r="AT68" s="2427"/>
      <c r="AU68" s="2427"/>
      <c r="AV68" s="2427"/>
      <c r="AW68" s="2427"/>
      <c r="AX68" s="2427"/>
      <c r="AY68" s="2427"/>
      <c r="AZ68" s="2427"/>
      <c r="BA68" s="2427"/>
      <c r="BB68" s="2427"/>
      <c r="BC68" s="2427"/>
      <c r="BD68" s="2427"/>
      <c r="BE68" s="2427"/>
      <c r="BF68" s="2427"/>
      <c r="BG68" s="2430"/>
      <c r="BH68" s="2430"/>
      <c r="BI68" s="2311"/>
      <c r="BJ68" s="2339"/>
      <c r="BK68" s="2339"/>
      <c r="BL68" s="2489"/>
      <c r="BM68" s="2489"/>
      <c r="BN68" s="2355"/>
      <c r="BO68" s="2355"/>
      <c r="BP68" s="2427"/>
    </row>
    <row r="69" spans="1:68" s="18" customFormat="1" ht="63.75" customHeight="1" x14ac:dyDescent="0.2">
      <c r="A69" s="57"/>
      <c r="B69" s="228"/>
      <c r="C69" s="58"/>
      <c r="D69" s="227"/>
      <c r="E69" s="24"/>
      <c r="F69" s="58"/>
      <c r="G69" s="2449"/>
      <c r="H69" s="2491"/>
      <c r="I69" s="2493"/>
      <c r="J69" s="2371"/>
      <c r="K69" s="2348"/>
      <c r="L69" s="2348"/>
      <c r="M69" s="2494"/>
      <c r="N69" s="2497"/>
      <c r="O69" s="2371"/>
      <c r="P69" s="2311"/>
      <c r="Q69" s="2500"/>
      <c r="R69" s="2371"/>
      <c r="S69" s="2371"/>
      <c r="T69" s="2474"/>
      <c r="U69" s="891">
        <v>90000</v>
      </c>
      <c r="V69" s="889">
        <v>0</v>
      </c>
      <c r="W69" s="889">
        <v>0</v>
      </c>
      <c r="X69" s="238">
        <v>88</v>
      </c>
      <c r="Y69" s="131" t="s">
        <v>168</v>
      </c>
      <c r="Z69" s="2428"/>
      <c r="AA69" s="2428"/>
      <c r="AB69" s="2428"/>
      <c r="AC69" s="2428"/>
      <c r="AD69" s="2428"/>
      <c r="AE69" s="2428"/>
      <c r="AF69" s="2428"/>
      <c r="AG69" s="2428"/>
      <c r="AH69" s="2428"/>
      <c r="AI69" s="2428"/>
      <c r="AJ69" s="2428"/>
      <c r="AK69" s="2428"/>
      <c r="AL69" s="2428"/>
      <c r="AM69" s="2428"/>
      <c r="AN69" s="2428"/>
      <c r="AO69" s="2428"/>
      <c r="AP69" s="2428"/>
      <c r="AQ69" s="2428"/>
      <c r="AR69" s="2428"/>
      <c r="AS69" s="2428"/>
      <c r="AT69" s="2428"/>
      <c r="AU69" s="2428"/>
      <c r="AV69" s="2428"/>
      <c r="AW69" s="2428"/>
      <c r="AX69" s="2428"/>
      <c r="AY69" s="2428"/>
      <c r="AZ69" s="2428"/>
      <c r="BA69" s="2428"/>
      <c r="BB69" s="2428"/>
      <c r="BC69" s="2428"/>
      <c r="BD69" s="2428"/>
      <c r="BE69" s="2428"/>
      <c r="BF69" s="2428"/>
      <c r="BG69" s="2431"/>
      <c r="BH69" s="2431"/>
      <c r="BI69" s="2425"/>
      <c r="BJ69" s="2479"/>
      <c r="BK69" s="2479"/>
      <c r="BL69" s="2490"/>
      <c r="BM69" s="2490"/>
      <c r="BN69" s="2478"/>
      <c r="BO69" s="2478"/>
      <c r="BP69" s="2428"/>
    </row>
    <row r="70" spans="1:68" s="18" customFormat="1" ht="51.75" customHeight="1" x14ac:dyDescent="0.2">
      <c r="A70" s="57"/>
      <c r="B70" s="2515"/>
      <c r="C70" s="2516"/>
      <c r="D70" s="227"/>
      <c r="E70" s="2517"/>
      <c r="F70" s="2516"/>
      <c r="G70" s="2460" t="s">
        <v>208</v>
      </c>
      <c r="H70" s="2451" t="s">
        <v>238</v>
      </c>
      <c r="I70" s="2413" t="s">
        <v>237</v>
      </c>
      <c r="J70" s="2331" t="s">
        <v>236</v>
      </c>
      <c r="K70" s="2519">
        <v>12</v>
      </c>
      <c r="L70" s="2519">
        <v>12</v>
      </c>
      <c r="M70" s="2348" t="s">
        <v>235</v>
      </c>
      <c r="N70" s="2495" t="s">
        <v>234</v>
      </c>
      <c r="O70" s="2513" t="s">
        <v>233</v>
      </c>
      <c r="P70" s="2332">
        <f>SUM(U70:U72)/Q70</f>
        <v>0.29113924050632911</v>
      </c>
      <c r="Q70" s="2530">
        <f>SUM(U70:U78)</f>
        <v>118500000</v>
      </c>
      <c r="R70" s="2439" t="s">
        <v>232</v>
      </c>
      <c r="S70" s="2513" t="s">
        <v>231</v>
      </c>
      <c r="T70" s="237" t="s">
        <v>230</v>
      </c>
      <c r="U70" s="892">
        <v>15000000</v>
      </c>
      <c r="V70" s="893">
        <v>9000000</v>
      </c>
      <c r="W70" s="893">
        <v>0</v>
      </c>
      <c r="X70" s="222">
        <v>88</v>
      </c>
      <c r="Y70" s="131" t="s">
        <v>168</v>
      </c>
      <c r="Z70" s="2476">
        <v>295972</v>
      </c>
      <c r="AA70" s="2476"/>
      <c r="AB70" s="2426">
        <v>285580</v>
      </c>
      <c r="AC70" s="2476"/>
      <c r="AD70" s="2426">
        <v>135545</v>
      </c>
      <c r="AE70" s="2476"/>
      <c r="AF70" s="2426">
        <v>44254</v>
      </c>
      <c r="AG70" s="2476"/>
      <c r="AH70" s="2426">
        <v>309146</v>
      </c>
      <c r="AI70" s="2476"/>
      <c r="AJ70" s="2426">
        <v>92607</v>
      </c>
      <c r="AK70" s="2476"/>
      <c r="AL70" s="2426">
        <v>2145</v>
      </c>
      <c r="AM70" s="2476"/>
      <c r="AN70" s="2426">
        <v>12718</v>
      </c>
      <c r="AO70" s="2476"/>
      <c r="AP70" s="2426">
        <v>26</v>
      </c>
      <c r="AQ70" s="2476"/>
      <c r="AR70" s="2426">
        <v>37</v>
      </c>
      <c r="AS70" s="2476"/>
      <c r="AT70" s="2426">
        <v>0</v>
      </c>
      <c r="AU70" s="2476"/>
      <c r="AV70" s="2426">
        <v>0</v>
      </c>
      <c r="AW70" s="2476"/>
      <c r="AX70" s="2426">
        <v>44350</v>
      </c>
      <c r="AY70" s="2476"/>
      <c r="AZ70" s="2426">
        <v>21944</v>
      </c>
      <c r="BA70" s="2476"/>
      <c r="BB70" s="2426">
        <v>75687</v>
      </c>
      <c r="BC70" s="2476"/>
      <c r="BD70" s="2426">
        <v>581552</v>
      </c>
      <c r="BE70" s="2476"/>
      <c r="BF70" s="2476">
        <v>7</v>
      </c>
      <c r="BG70" s="2530">
        <f>SUM(V70:V78)</f>
        <v>71700000</v>
      </c>
      <c r="BH70" s="2530">
        <f>SUM(W70:W78)</f>
        <v>31300000</v>
      </c>
      <c r="BI70" s="2551">
        <f>BH70/BG70</f>
        <v>0.43654114365411434</v>
      </c>
      <c r="BJ70" s="2338" t="s">
        <v>229</v>
      </c>
      <c r="BK70" s="2553" t="s">
        <v>228</v>
      </c>
      <c r="BL70" s="2488">
        <v>43832</v>
      </c>
      <c r="BM70" s="2488">
        <v>43860</v>
      </c>
      <c r="BN70" s="2354">
        <v>44195</v>
      </c>
      <c r="BO70" s="2354"/>
      <c r="BP70" s="2426" t="s">
        <v>196</v>
      </c>
    </row>
    <row r="71" spans="1:68" s="18" customFormat="1" ht="51.75" customHeight="1" x14ac:dyDescent="0.2">
      <c r="A71" s="57"/>
      <c r="B71" s="228"/>
      <c r="C71" s="58"/>
      <c r="D71" s="227"/>
      <c r="E71" s="24"/>
      <c r="F71" s="58"/>
      <c r="G71" s="2461"/>
      <c r="H71" s="2451"/>
      <c r="I71" s="2413"/>
      <c r="J71" s="2331"/>
      <c r="K71" s="2521"/>
      <c r="L71" s="2521"/>
      <c r="M71" s="2348"/>
      <c r="N71" s="2496"/>
      <c r="O71" s="2514"/>
      <c r="P71" s="2332"/>
      <c r="Q71" s="2531"/>
      <c r="R71" s="2440"/>
      <c r="S71" s="2514"/>
      <c r="T71" s="230" t="s">
        <v>227</v>
      </c>
      <c r="U71" s="894">
        <v>2400000</v>
      </c>
      <c r="V71" s="894">
        <v>2400000</v>
      </c>
      <c r="W71" s="894">
        <v>2400000</v>
      </c>
      <c r="X71" s="222">
        <v>20</v>
      </c>
      <c r="Y71" s="131" t="s">
        <v>216</v>
      </c>
      <c r="Z71" s="2375"/>
      <c r="AA71" s="2375"/>
      <c r="AB71" s="2427"/>
      <c r="AC71" s="2375"/>
      <c r="AD71" s="2427"/>
      <c r="AE71" s="2375"/>
      <c r="AF71" s="2427"/>
      <c r="AG71" s="2375"/>
      <c r="AH71" s="2427"/>
      <c r="AI71" s="2375"/>
      <c r="AJ71" s="2427"/>
      <c r="AK71" s="2375"/>
      <c r="AL71" s="2427"/>
      <c r="AM71" s="2375"/>
      <c r="AN71" s="2427"/>
      <c r="AO71" s="2375"/>
      <c r="AP71" s="2427"/>
      <c r="AQ71" s="2375"/>
      <c r="AR71" s="2427"/>
      <c r="AS71" s="2375"/>
      <c r="AT71" s="2427"/>
      <c r="AU71" s="2375"/>
      <c r="AV71" s="2427"/>
      <c r="AW71" s="2375"/>
      <c r="AX71" s="2427"/>
      <c r="AY71" s="2375"/>
      <c r="AZ71" s="2427"/>
      <c r="BA71" s="2375"/>
      <c r="BB71" s="2427"/>
      <c r="BC71" s="2375"/>
      <c r="BD71" s="2427"/>
      <c r="BE71" s="2375"/>
      <c r="BF71" s="2375"/>
      <c r="BG71" s="2531"/>
      <c r="BH71" s="2531"/>
      <c r="BI71" s="2552"/>
      <c r="BJ71" s="2339"/>
      <c r="BK71" s="2554"/>
      <c r="BL71" s="2489"/>
      <c r="BM71" s="2489"/>
      <c r="BN71" s="2355"/>
      <c r="BO71" s="2355"/>
      <c r="BP71" s="2427"/>
    </row>
    <row r="72" spans="1:68" s="18" customFormat="1" ht="47.25" customHeight="1" x14ac:dyDescent="0.2">
      <c r="A72" s="57"/>
      <c r="B72" s="228"/>
      <c r="C72" s="58"/>
      <c r="D72" s="227"/>
      <c r="E72" s="24"/>
      <c r="F72" s="58"/>
      <c r="G72" s="2462"/>
      <c r="H72" s="2451"/>
      <c r="I72" s="2413"/>
      <c r="J72" s="2331"/>
      <c r="K72" s="2520"/>
      <c r="L72" s="2520"/>
      <c r="M72" s="2348"/>
      <c r="N72" s="2496"/>
      <c r="O72" s="2514"/>
      <c r="P72" s="2332"/>
      <c r="Q72" s="2531"/>
      <c r="R72" s="2440"/>
      <c r="S72" s="2514"/>
      <c r="T72" s="230" t="s">
        <v>226</v>
      </c>
      <c r="U72" s="894">
        <v>17100000</v>
      </c>
      <c r="V72" s="894">
        <v>17100000</v>
      </c>
      <c r="W72" s="894">
        <v>17100000</v>
      </c>
      <c r="X72" s="222">
        <v>20</v>
      </c>
      <c r="Y72" s="131" t="s">
        <v>216</v>
      </c>
      <c r="Z72" s="2375"/>
      <c r="AA72" s="2375"/>
      <c r="AB72" s="2427"/>
      <c r="AC72" s="2375"/>
      <c r="AD72" s="2427"/>
      <c r="AE72" s="2375"/>
      <c r="AF72" s="2427"/>
      <c r="AG72" s="2375"/>
      <c r="AH72" s="2427"/>
      <c r="AI72" s="2375"/>
      <c r="AJ72" s="2427"/>
      <c r="AK72" s="2375"/>
      <c r="AL72" s="2427"/>
      <c r="AM72" s="2375"/>
      <c r="AN72" s="2427"/>
      <c r="AO72" s="2375"/>
      <c r="AP72" s="2427"/>
      <c r="AQ72" s="2375"/>
      <c r="AR72" s="2427"/>
      <c r="AS72" s="2375"/>
      <c r="AT72" s="2427"/>
      <c r="AU72" s="2375"/>
      <c r="AV72" s="2427"/>
      <c r="AW72" s="2375"/>
      <c r="AX72" s="2427"/>
      <c r="AY72" s="2375"/>
      <c r="AZ72" s="2427"/>
      <c r="BA72" s="2375"/>
      <c r="BB72" s="2427"/>
      <c r="BC72" s="2375"/>
      <c r="BD72" s="2427"/>
      <c r="BE72" s="2375"/>
      <c r="BF72" s="2375"/>
      <c r="BG72" s="2531"/>
      <c r="BH72" s="2531"/>
      <c r="BI72" s="2552"/>
      <c r="BJ72" s="2339"/>
      <c r="BK72" s="2554"/>
      <c r="BL72" s="2489"/>
      <c r="BM72" s="2489"/>
      <c r="BN72" s="2355"/>
      <c r="BO72" s="2355"/>
      <c r="BP72" s="2427"/>
    </row>
    <row r="73" spans="1:68" s="18" customFormat="1" ht="96.75" customHeight="1" x14ac:dyDescent="0.2">
      <c r="A73" s="57"/>
      <c r="B73" s="228"/>
      <c r="C73" s="58"/>
      <c r="D73" s="227"/>
      <c r="E73" s="24"/>
      <c r="F73" s="58"/>
      <c r="G73" s="236" t="s">
        <v>208</v>
      </c>
      <c r="H73" s="235" t="s">
        <v>225</v>
      </c>
      <c r="I73" s="76" t="s">
        <v>224</v>
      </c>
      <c r="J73" s="72" t="s">
        <v>210</v>
      </c>
      <c r="K73" s="219">
        <v>12</v>
      </c>
      <c r="L73" s="219">
        <v>12</v>
      </c>
      <c r="M73" s="2348"/>
      <c r="N73" s="2496"/>
      <c r="O73" s="2309"/>
      <c r="P73" s="234">
        <f>U73/Q70</f>
        <v>0.12658227848101267</v>
      </c>
      <c r="Q73" s="2430"/>
      <c r="R73" s="2440"/>
      <c r="S73" s="2514"/>
      <c r="T73" s="223" t="s">
        <v>223</v>
      </c>
      <c r="U73" s="895">
        <v>15000000</v>
      </c>
      <c r="V73" s="895">
        <v>9000000</v>
      </c>
      <c r="W73" s="895">
        <v>0</v>
      </c>
      <c r="X73" s="222">
        <v>88</v>
      </c>
      <c r="Y73" s="131" t="s">
        <v>168</v>
      </c>
      <c r="Z73" s="2375"/>
      <c r="AA73" s="2375"/>
      <c r="AB73" s="2427"/>
      <c r="AC73" s="2375"/>
      <c r="AD73" s="2427"/>
      <c r="AE73" s="2375"/>
      <c r="AF73" s="2427"/>
      <c r="AG73" s="2375"/>
      <c r="AH73" s="2427"/>
      <c r="AI73" s="2375"/>
      <c r="AJ73" s="2427"/>
      <c r="AK73" s="2375"/>
      <c r="AL73" s="2427"/>
      <c r="AM73" s="2375"/>
      <c r="AN73" s="2427"/>
      <c r="AO73" s="2375"/>
      <c r="AP73" s="2427"/>
      <c r="AQ73" s="2375"/>
      <c r="AR73" s="2427"/>
      <c r="AS73" s="2375"/>
      <c r="AT73" s="2427"/>
      <c r="AU73" s="2375"/>
      <c r="AV73" s="2427"/>
      <c r="AW73" s="2375"/>
      <c r="AX73" s="2427"/>
      <c r="AY73" s="2375"/>
      <c r="AZ73" s="2427"/>
      <c r="BA73" s="2375"/>
      <c r="BB73" s="2427"/>
      <c r="BC73" s="2375"/>
      <c r="BD73" s="2427"/>
      <c r="BE73" s="2375"/>
      <c r="BF73" s="2375"/>
      <c r="BG73" s="2531"/>
      <c r="BH73" s="2531"/>
      <c r="BI73" s="2552"/>
      <c r="BJ73" s="2339"/>
      <c r="BK73" s="2554"/>
      <c r="BL73" s="2489"/>
      <c r="BM73" s="2489"/>
      <c r="BN73" s="2355"/>
      <c r="BO73" s="2355"/>
      <c r="BP73" s="2427"/>
    </row>
    <row r="74" spans="1:68" s="18" customFormat="1" ht="84.75" customHeight="1" x14ac:dyDescent="0.2">
      <c r="A74" s="57"/>
      <c r="B74" s="2515"/>
      <c r="C74" s="2516"/>
      <c r="D74" s="227"/>
      <c r="E74" s="2517"/>
      <c r="F74" s="2516"/>
      <c r="G74" s="4" t="s">
        <v>208</v>
      </c>
      <c r="H74" s="233" t="s">
        <v>222</v>
      </c>
      <c r="I74" s="232" t="s">
        <v>221</v>
      </c>
      <c r="J74" s="231" t="s">
        <v>210</v>
      </c>
      <c r="K74" s="219">
        <v>12</v>
      </c>
      <c r="L74" s="219">
        <v>12</v>
      </c>
      <c r="M74" s="2348"/>
      <c r="N74" s="2496"/>
      <c r="O74" s="2309"/>
      <c r="P74" s="224">
        <f>U74/Q70</f>
        <v>0.12658227848101267</v>
      </c>
      <c r="Q74" s="2430"/>
      <c r="R74" s="2440"/>
      <c r="S74" s="2514"/>
      <c r="T74" s="230" t="s">
        <v>220</v>
      </c>
      <c r="U74" s="895">
        <v>15000000</v>
      </c>
      <c r="V74" s="895">
        <v>8400000</v>
      </c>
      <c r="W74" s="895">
        <v>0</v>
      </c>
      <c r="X74" s="222">
        <v>88</v>
      </c>
      <c r="Y74" s="131" t="s">
        <v>168</v>
      </c>
      <c r="Z74" s="2375"/>
      <c r="AA74" s="2375"/>
      <c r="AB74" s="2427"/>
      <c r="AC74" s="2375"/>
      <c r="AD74" s="2427"/>
      <c r="AE74" s="2375"/>
      <c r="AF74" s="2427"/>
      <c r="AG74" s="2375"/>
      <c r="AH74" s="2427"/>
      <c r="AI74" s="2375"/>
      <c r="AJ74" s="2427"/>
      <c r="AK74" s="2375"/>
      <c r="AL74" s="2427"/>
      <c r="AM74" s="2375"/>
      <c r="AN74" s="2427"/>
      <c r="AO74" s="2375"/>
      <c r="AP74" s="2427"/>
      <c r="AQ74" s="2375"/>
      <c r="AR74" s="2427"/>
      <c r="AS74" s="2375"/>
      <c r="AT74" s="2427"/>
      <c r="AU74" s="2375"/>
      <c r="AV74" s="2427"/>
      <c r="AW74" s="2375"/>
      <c r="AX74" s="2427"/>
      <c r="AY74" s="2375"/>
      <c r="AZ74" s="2427"/>
      <c r="BA74" s="2375"/>
      <c r="BB74" s="2427"/>
      <c r="BC74" s="2375"/>
      <c r="BD74" s="2427"/>
      <c r="BE74" s="2375"/>
      <c r="BF74" s="2375"/>
      <c r="BG74" s="2531"/>
      <c r="BH74" s="2531"/>
      <c r="BI74" s="2552"/>
      <c r="BJ74" s="2339"/>
      <c r="BK74" s="2554"/>
      <c r="BL74" s="2489"/>
      <c r="BM74" s="2489"/>
      <c r="BN74" s="2355"/>
      <c r="BO74" s="2355"/>
      <c r="BP74" s="2427"/>
    </row>
    <row r="75" spans="1:68" s="18" customFormat="1" ht="67.5" customHeight="1" x14ac:dyDescent="0.2">
      <c r="A75" s="229"/>
      <c r="B75" s="228"/>
      <c r="C75" s="58"/>
      <c r="D75" s="227"/>
      <c r="E75" s="24"/>
      <c r="F75" s="58"/>
      <c r="G75" s="2306" t="s">
        <v>208</v>
      </c>
      <c r="H75" s="2306" t="s">
        <v>219</v>
      </c>
      <c r="I75" s="2422" t="s">
        <v>218</v>
      </c>
      <c r="J75" s="2378" t="s">
        <v>210</v>
      </c>
      <c r="K75" s="2519">
        <v>12</v>
      </c>
      <c r="L75" s="2519">
        <v>12</v>
      </c>
      <c r="M75" s="2348"/>
      <c r="N75" s="2496"/>
      <c r="O75" s="2309"/>
      <c r="P75" s="2310">
        <f>SUM(U75:U76)/Q70</f>
        <v>0.20253164556962025</v>
      </c>
      <c r="Q75" s="2430"/>
      <c r="R75" s="2440"/>
      <c r="S75" s="2514"/>
      <c r="T75" s="2512" t="s">
        <v>217</v>
      </c>
      <c r="U75" s="895">
        <v>9000000</v>
      </c>
      <c r="V75" s="895">
        <v>9000000</v>
      </c>
      <c r="W75" s="895">
        <v>9000000</v>
      </c>
      <c r="X75" s="222">
        <v>20</v>
      </c>
      <c r="Y75" s="226" t="s">
        <v>216</v>
      </c>
      <c r="Z75" s="2375"/>
      <c r="AA75" s="2375"/>
      <c r="AB75" s="2427"/>
      <c r="AC75" s="2375"/>
      <c r="AD75" s="2427"/>
      <c r="AE75" s="2375"/>
      <c r="AF75" s="2427"/>
      <c r="AG75" s="2375"/>
      <c r="AH75" s="2427"/>
      <c r="AI75" s="2375"/>
      <c r="AJ75" s="2427"/>
      <c r="AK75" s="2375"/>
      <c r="AL75" s="2427"/>
      <c r="AM75" s="2375"/>
      <c r="AN75" s="2427"/>
      <c r="AO75" s="2375"/>
      <c r="AP75" s="2427"/>
      <c r="AQ75" s="2375"/>
      <c r="AR75" s="2427"/>
      <c r="AS75" s="2375"/>
      <c r="AT75" s="2427"/>
      <c r="AU75" s="2375"/>
      <c r="AV75" s="2427"/>
      <c r="AW75" s="2375"/>
      <c r="AX75" s="2427"/>
      <c r="AY75" s="2375"/>
      <c r="AZ75" s="2427"/>
      <c r="BA75" s="2375"/>
      <c r="BB75" s="2427"/>
      <c r="BC75" s="2375"/>
      <c r="BD75" s="2427"/>
      <c r="BE75" s="2375"/>
      <c r="BF75" s="2375"/>
      <c r="BG75" s="2531"/>
      <c r="BH75" s="2531"/>
      <c r="BI75" s="2552"/>
      <c r="BJ75" s="2339"/>
      <c r="BK75" s="2554"/>
      <c r="BL75" s="2489"/>
      <c r="BM75" s="2489"/>
      <c r="BN75" s="2355"/>
      <c r="BO75" s="2355"/>
      <c r="BP75" s="2427"/>
    </row>
    <row r="76" spans="1:68" ht="71.25" customHeight="1" x14ac:dyDescent="0.2">
      <c r="B76" s="212"/>
      <c r="C76" s="3"/>
      <c r="D76" s="211"/>
      <c r="F76" s="3"/>
      <c r="G76" s="2467"/>
      <c r="H76" s="2467"/>
      <c r="I76" s="2424"/>
      <c r="J76" s="2518"/>
      <c r="K76" s="2520"/>
      <c r="L76" s="2520"/>
      <c r="M76" s="2348"/>
      <c r="N76" s="2496"/>
      <c r="O76" s="2309"/>
      <c r="P76" s="2425"/>
      <c r="Q76" s="2430"/>
      <c r="R76" s="2440"/>
      <c r="S76" s="2514"/>
      <c r="T76" s="2512"/>
      <c r="U76" s="895">
        <v>15000000</v>
      </c>
      <c r="V76" s="895">
        <v>8400000</v>
      </c>
      <c r="W76" s="895">
        <v>2800000</v>
      </c>
      <c r="X76" s="222">
        <v>88</v>
      </c>
      <c r="Y76" s="131" t="s">
        <v>168</v>
      </c>
      <c r="Z76" s="2375"/>
      <c r="AA76" s="2375"/>
      <c r="AB76" s="2427"/>
      <c r="AC76" s="2375"/>
      <c r="AD76" s="2427"/>
      <c r="AE76" s="2375"/>
      <c r="AF76" s="2427"/>
      <c r="AG76" s="2375"/>
      <c r="AH76" s="2427"/>
      <c r="AI76" s="2375"/>
      <c r="AJ76" s="2427"/>
      <c r="AK76" s="2375"/>
      <c r="AL76" s="2427"/>
      <c r="AM76" s="2375"/>
      <c r="AN76" s="2427"/>
      <c r="AO76" s="2375"/>
      <c r="AP76" s="2427"/>
      <c r="AQ76" s="2375"/>
      <c r="AR76" s="2427"/>
      <c r="AS76" s="2375"/>
      <c r="AT76" s="2427"/>
      <c r="AU76" s="2375"/>
      <c r="AV76" s="2427"/>
      <c r="AW76" s="2375"/>
      <c r="AX76" s="2427"/>
      <c r="AY76" s="2375"/>
      <c r="AZ76" s="2427"/>
      <c r="BA76" s="2375"/>
      <c r="BB76" s="2427"/>
      <c r="BC76" s="2375"/>
      <c r="BD76" s="2427"/>
      <c r="BE76" s="2375"/>
      <c r="BF76" s="2375"/>
      <c r="BG76" s="2531"/>
      <c r="BH76" s="2531"/>
      <c r="BI76" s="2552"/>
      <c r="BJ76" s="2339"/>
      <c r="BK76" s="2554"/>
      <c r="BL76" s="2489"/>
      <c r="BM76" s="2489"/>
      <c r="BN76" s="2355"/>
      <c r="BO76" s="2355"/>
      <c r="BP76" s="2427"/>
    </row>
    <row r="77" spans="1:68" ht="98.25" customHeight="1" x14ac:dyDescent="0.2">
      <c r="B77" s="212"/>
      <c r="C77" s="3"/>
      <c r="D77" s="211"/>
      <c r="F77" s="3"/>
      <c r="G77" s="6" t="s">
        <v>208</v>
      </c>
      <c r="H77" s="6" t="s">
        <v>215</v>
      </c>
      <c r="I77" s="9" t="s">
        <v>214</v>
      </c>
      <c r="J77" s="225" t="s">
        <v>210</v>
      </c>
      <c r="K77" s="219">
        <v>12</v>
      </c>
      <c r="L77" s="219">
        <v>0</v>
      </c>
      <c r="M77" s="2348"/>
      <c r="N77" s="2496"/>
      <c r="O77" s="2309"/>
      <c r="P77" s="224">
        <f>U77/Q70</f>
        <v>0.12658227848101267</v>
      </c>
      <c r="Q77" s="2430"/>
      <c r="R77" s="2440"/>
      <c r="S77" s="2514"/>
      <c r="T77" s="223" t="s">
        <v>213</v>
      </c>
      <c r="U77" s="895">
        <v>15000000</v>
      </c>
      <c r="V77" s="895">
        <v>0</v>
      </c>
      <c r="W77" s="895">
        <v>0</v>
      </c>
      <c r="X77" s="222">
        <v>88</v>
      </c>
      <c r="Y77" s="131" t="s">
        <v>168</v>
      </c>
      <c r="Z77" s="2375"/>
      <c r="AA77" s="2375"/>
      <c r="AB77" s="2427"/>
      <c r="AC77" s="2375"/>
      <c r="AD77" s="2427"/>
      <c r="AE77" s="2375"/>
      <c r="AF77" s="2427"/>
      <c r="AG77" s="2375"/>
      <c r="AH77" s="2427"/>
      <c r="AI77" s="2375"/>
      <c r="AJ77" s="2427"/>
      <c r="AK77" s="2375"/>
      <c r="AL77" s="2427"/>
      <c r="AM77" s="2375"/>
      <c r="AN77" s="2427"/>
      <c r="AO77" s="2375"/>
      <c r="AP77" s="2427"/>
      <c r="AQ77" s="2375"/>
      <c r="AR77" s="2427"/>
      <c r="AS77" s="2375"/>
      <c r="AT77" s="2427"/>
      <c r="AU77" s="2375"/>
      <c r="AV77" s="2427"/>
      <c r="AW77" s="2375"/>
      <c r="AX77" s="2427"/>
      <c r="AY77" s="2375"/>
      <c r="AZ77" s="2427"/>
      <c r="BA77" s="2375"/>
      <c r="BB77" s="2427"/>
      <c r="BC77" s="2375"/>
      <c r="BD77" s="2427"/>
      <c r="BE77" s="2375"/>
      <c r="BF77" s="2375"/>
      <c r="BG77" s="2531"/>
      <c r="BH77" s="2531"/>
      <c r="BI77" s="2552"/>
      <c r="BJ77" s="2339"/>
      <c r="BK77" s="2554"/>
      <c r="BL77" s="2489"/>
      <c r="BM77" s="2489"/>
      <c r="BN77" s="2355"/>
      <c r="BO77" s="2355"/>
      <c r="BP77" s="2427"/>
    </row>
    <row r="78" spans="1:68" ht="104.25" customHeight="1" x14ac:dyDescent="0.2">
      <c r="B78" s="212"/>
      <c r="C78" s="3"/>
      <c r="D78" s="211"/>
      <c r="E78" s="210"/>
      <c r="F78" s="3"/>
      <c r="G78" s="6" t="s">
        <v>208</v>
      </c>
      <c r="H78" s="10" t="s">
        <v>212</v>
      </c>
      <c r="I78" s="221" t="s">
        <v>211</v>
      </c>
      <c r="J78" s="220" t="s">
        <v>210</v>
      </c>
      <c r="K78" s="219">
        <v>12</v>
      </c>
      <c r="L78" s="219">
        <v>12</v>
      </c>
      <c r="M78" s="2522"/>
      <c r="N78" s="2496"/>
      <c r="O78" s="2309"/>
      <c r="P78" s="218">
        <f>U78/$Q$70</f>
        <v>0.12658227848101267</v>
      </c>
      <c r="Q78" s="2430"/>
      <c r="R78" s="2440"/>
      <c r="S78" s="2514"/>
      <c r="T78" s="85" t="s">
        <v>209</v>
      </c>
      <c r="U78" s="881">
        <v>15000000</v>
      </c>
      <c r="V78" s="896">
        <v>8400000</v>
      </c>
      <c r="W78" s="897">
        <v>0</v>
      </c>
      <c r="X78" s="213">
        <v>88</v>
      </c>
      <c r="Y78" s="131" t="s">
        <v>168</v>
      </c>
      <c r="Z78" s="2375"/>
      <c r="AA78" s="2375"/>
      <c r="AB78" s="2427"/>
      <c r="AC78" s="2375"/>
      <c r="AD78" s="2427"/>
      <c r="AE78" s="2375"/>
      <c r="AF78" s="2427"/>
      <c r="AG78" s="2375"/>
      <c r="AH78" s="2427"/>
      <c r="AI78" s="2375"/>
      <c r="AJ78" s="2427"/>
      <c r="AK78" s="2375"/>
      <c r="AL78" s="2427"/>
      <c r="AM78" s="2375"/>
      <c r="AN78" s="2427"/>
      <c r="AO78" s="2375"/>
      <c r="AP78" s="2427"/>
      <c r="AQ78" s="2375"/>
      <c r="AR78" s="2427"/>
      <c r="AS78" s="2375"/>
      <c r="AT78" s="2427"/>
      <c r="AU78" s="2375"/>
      <c r="AV78" s="2427"/>
      <c r="AW78" s="2375"/>
      <c r="AX78" s="2427"/>
      <c r="AY78" s="2375"/>
      <c r="AZ78" s="2427"/>
      <c r="BA78" s="2375"/>
      <c r="BB78" s="2427"/>
      <c r="BC78" s="2375"/>
      <c r="BD78" s="2427"/>
      <c r="BE78" s="2375"/>
      <c r="BF78" s="2375"/>
      <c r="BG78" s="2531"/>
      <c r="BH78" s="2531"/>
      <c r="BI78" s="2552"/>
      <c r="BJ78" s="2550"/>
      <c r="BK78" s="2554"/>
      <c r="BL78" s="2489"/>
      <c r="BM78" s="2489"/>
      <c r="BN78" s="2356"/>
      <c r="BO78" s="2356"/>
      <c r="BP78" s="2427"/>
    </row>
    <row r="79" spans="1:68" ht="74.25" customHeight="1" x14ac:dyDescent="0.2">
      <c r="B79" s="212"/>
      <c r="C79" s="3"/>
      <c r="D79" s="211"/>
      <c r="E79" s="210"/>
      <c r="F79" s="3"/>
      <c r="G79" s="2523" t="s">
        <v>208</v>
      </c>
      <c r="H79" s="2358" t="s">
        <v>207</v>
      </c>
      <c r="I79" s="2493" t="s">
        <v>206</v>
      </c>
      <c r="J79" s="2527" t="s">
        <v>205</v>
      </c>
      <c r="K79" s="2519">
        <v>18</v>
      </c>
      <c r="L79" s="2519">
        <v>18</v>
      </c>
      <c r="M79" s="2522" t="s">
        <v>204</v>
      </c>
      <c r="N79" s="2519" t="s">
        <v>203</v>
      </c>
      <c r="O79" s="2493" t="s">
        <v>202</v>
      </c>
      <c r="P79" s="2442">
        <f>SUM(U79:U106)/Q79</f>
        <v>1</v>
      </c>
      <c r="Q79" s="2419">
        <f>SUM(U79:U106)</f>
        <v>36000000</v>
      </c>
      <c r="R79" s="2505" t="s">
        <v>201</v>
      </c>
      <c r="S79" s="2508" t="s">
        <v>200</v>
      </c>
      <c r="T79" s="217" t="s">
        <v>199</v>
      </c>
      <c r="U79" s="898">
        <v>500000</v>
      </c>
      <c r="V79" s="898">
        <v>500000</v>
      </c>
      <c r="W79" s="899">
        <v>0</v>
      </c>
      <c r="X79" s="213">
        <v>88</v>
      </c>
      <c r="Y79" s="131" t="s">
        <v>168</v>
      </c>
      <c r="Z79" s="2402">
        <v>295972</v>
      </c>
      <c r="AA79" s="2403"/>
      <c r="AB79" s="2402">
        <v>285580</v>
      </c>
      <c r="AC79" s="2403"/>
      <c r="AD79" s="2402">
        <v>135545</v>
      </c>
      <c r="AE79" s="2403"/>
      <c r="AF79" s="2402">
        <v>44254</v>
      </c>
      <c r="AG79" s="2403"/>
      <c r="AH79" s="2402">
        <v>309146</v>
      </c>
      <c r="AI79" s="2403"/>
      <c r="AJ79" s="2403">
        <v>92607</v>
      </c>
      <c r="AK79" s="2403"/>
      <c r="AL79" s="2402">
        <v>2145</v>
      </c>
      <c r="AM79" s="2403"/>
      <c r="AN79" s="2402">
        <v>12718</v>
      </c>
      <c r="AO79" s="2403"/>
      <c r="AP79" s="2402">
        <v>26</v>
      </c>
      <c r="AQ79" s="2403"/>
      <c r="AR79" s="2402">
        <v>37</v>
      </c>
      <c r="AS79" s="2403"/>
      <c r="AT79" s="2402">
        <v>0</v>
      </c>
      <c r="AU79" s="2402"/>
      <c r="AV79" s="2402">
        <v>0</v>
      </c>
      <c r="AW79" s="2402"/>
      <c r="AX79" s="2402">
        <v>44350</v>
      </c>
      <c r="AY79" s="2402"/>
      <c r="AZ79" s="2402">
        <v>21944</v>
      </c>
      <c r="BA79" s="2402"/>
      <c r="BB79" s="2402">
        <v>75687</v>
      </c>
      <c r="BC79" s="2402"/>
      <c r="BD79" s="2402">
        <v>581552</v>
      </c>
      <c r="BE79" s="2402"/>
      <c r="BF79" s="2402">
        <v>2</v>
      </c>
      <c r="BG79" s="2532">
        <f>SUM(V79:V106)</f>
        <v>18000000</v>
      </c>
      <c r="BH79" s="2532">
        <f>SUM(W79:W106)</f>
        <v>0</v>
      </c>
      <c r="BI79" s="2332">
        <f>BH79/BG79</f>
        <v>0</v>
      </c>
      <c r="BJ79" s="2364" t="s">
        <v>198</v>
      </c>
      <c r="BK79" s="2364" t="s">
        <v>197</v>
      </c>
      <c r="BL79" s="2406">
        <v>44013</v>
      </c>
      <c r="BM79" s="2406">
        <v>44067</v>
      </c>
      <c r="BN79" s="2361">
        <v>44195</v>
      </c>
      <c r="BO79" s="2361"/>
      <c r="BP79" s="2402" t="s">
        <v>196</v>
      </c>
    </row>
    <row r="80" spans="1:68" ht="54.75" customHeight="1" x14ac:dyDescent="0.2">
      <c r="B80" s="212"/>
      <c r="C80" s="3"/>
      <c r="D80" s="211"/>
      <c r="E80" s="210"/>
      <c r="F80" s="3"/>
      <c r="G80" s="2524"/>
      <c r="H80" s="2359"/>
      <c r="I80" s="2526"/>
      <c r="J80" s="2528"/>
      <c r="K80" s="2521"/>
      <c r="L80" s="2521"/>
      <c r="M80" s="2456"/>
      <c r="N80" s="2521"/>
      <c r="O80" s="2526"/>
      <c r="P80" s="2443"/>
      <c r="Q80" s="2420"/>
      <c r="R80" s="2506"/>
      <c r="S80" s="2509"/>
      <c r="T80" s="216" t="s">
        <v>195</v>
      </c>
      <c r="U80" s="899">
        <v>500000</v>
      </c>
      <c r="V80" s="899">
        <v>0</v>
      </c>
      <c r="W80" s="899">
        <v>0</v>
      </c>
      <c r="X80" s="213">
        <v>88</v>
      </c>
      <c r="Y80" s="131" t="s">
        <v>168</v>
      </c>
      <c r="Z80" s="2402"/>
      <c r="AA80" s="2404"/>
      <c r="AB80" s="2402"/>
      <c r="AC80" s="2404"/>
      <c r="AD80" s="2402"/>
      <c r="AE80" s="2404"/>
      <c r="AF80" s="2402"/>
      <c r="AG80" s="2404"/>
      <c r="AH80" s="2402"/>
      <c r="AI80" s="2404"/>
      <c r="AJ80" s="2404"/>
      <c r="AK80" s="2404"/>
      <c r="AL80" s="2402"/>
      <c r="AM80" s="2404"/>
      <c r="AN80" s="2402"/>
      <c r="AO80" s="2404"/>
      <c r="AP80" s="2402"/>
      <c r="AQ80" s="2404"/>
      <c r="AR80" s="2402"/>
      <c r="AS80" s="2404"/>
      <c r="AT80" s="2402"/>
      <c r="AU80" s="2402"/>
      <c r="AV80" s="2402"/>
      <c r="AW80" s="2402"/>
      <c r="AX80" s="2402"/>
      <c r="AY80" s="2402"/>
      <c r="AZ80" s="2402"/>
      <c r="BA80" s="2402"/>
      <c r="BB80" s="2402"/>
      <c r="BC80" s="2402"/>
      <c r="BD80" s="2402"/>
      <c r="BE80" s="2402"/>
      <c r="BF80" s="2402"/>
      <c r="BG80" s="2532"/>
      <c r="BH80" s="2532"/>
      <c r="BI80" s="2332"/>
      <c r="BJ80" s="2364"/>
      <c r="BK80" s="2364"/>
      <c r="BL80" s="2406"/>
      <c r="BM80" s="2406"/>
      <c r="BN80" s="2362"/>
      <c r="BO80" s="2362"/>
      <c r="BP80" s="2402"/>
    </row>
    <row r="81" spans="2:68" ht="66.75" customHeight="1" x14ac:dyDescent="0.2">
      <c r="B81" s="212"/>
      <c r="C81" s="3"/>
      <c r="D81" s="211"/>
      <c r="E81" s="210"/>
      <c r="F81" s="3"/>
      <c r="G81" s="2524"/>
      <c r="H81" s="2359"/>
      <c r="I81" s="2526"/>
      <c r="J81" s="2528"/>
      <c r="K81" s="2521"/>
      <c r="L81" s="2521"/>
      <c r="M81" s="2456"/>
      <c r="N81" s="2521"/>
      <c r="O81" s="2526"/>
      <c r="P81" s="2443"/>
      <c r="Q81" s="2420"/>
      <c r="R81" s="2506"/>
      <c r="S81" s="2509"/>
      <c r="T81" s="216" t="s">
        <v>194</v>
      </c>
      <c r="U81" s="899">
        <v>500000</v>
      </c>
      <c r="V81" s="899">
        <v>500000</v>
      </c>
      <c r="W81" s="899">
        <v>0</v>
      </c>
      <c r="X81" s="213">
        <v>88</v>
      </c>
      <c r="Y81" s="131" t="s">
        <v>168</v>
      </c>
      <c r="Z81" s="2402"/>
      <c r="AA81" s="2404"/>
      <c r="AB81" s="2402"/>
      <c r="AC81" s="2404"/>
      <c r="AD81" s="2402"/>
      <c r="AE81" s="2404"/>
      <c r="AF81" s="2402"/>
      <c r="AG81" s="2404"/>
      <c r="AH81" s="2402"/>
      <c r="AI81" s="2404"/>
      <c r="AJ81" s="2404"/>
      <c r="AK81" s="2404"/>
      <c r="AL81" s="2402"/>
      <c r="AM81" s="2404"/>
      <c r="AN81" s="2402"/>
      <c r="AO81" s="2404"/>
      <c r="AP81" s="2402"/>
      <c r="AQ81" s="2404"/>
      <c r="AR81" s="2402"/>
      <c r="AS81" s="2404"/>
      <c r="AT81" s="2402"/>
      <c r="AU81" s="2402"/>
      <c r="AV81" s="2402"/>
      <c r="AW81" s="2402"/>
      <c r="AX81" s="2402"/>
      <c r="AY81" s="2402"/>
      <c r="AZ81" s="2402"/>
      <c r="BA81" s="2402"/>
      <c r="BB81" s="2402"/>
      <c r="BC81" s="2402"/>
      <c r="BD81" s="2402"/>
      <c r="BE81" s="2402"/>
      <c r="BF81" s="2402"/>
      <c r="BG81" s="2532"/>
      <c r="BH81" s="2532"/>
      <c r="BI81" s="2332"/>
      <c r="BJ81" s="2364"/>
      <c r="BK81" s="2364"/>
      <c r="BL81" s="2406"/>
      <c r="BM81" s="2406"/>
      <c r="BN81" s="2362"/>
      <c r="BO81" s="2362"/>
      <c r="BP81" s="2402"/>
    </row>
    <row r="82" spans="2:68" ht="63.75" customHeight="1" x14ac:dyDescent="0.2">
      <c r="B82" s="212"/>
      <c r="C82" s="3"/>
      <c r="D82" s="211"/>
      <c r="E82" s="210"/>
      <c r="F82" s="3"/>
      <c r="G82" s="2524"/>
      <c r="H82" s="2359"/>
      <c r="I82" s="2526"/>
      <c r="J82" s="2528"/>
      <c r="K82" s="2521"/>
      <c r="L82" s="2521"/>
      <c r="M82" s="2456"/>
      <c r="N82" s="2521"/>
      <c r="O82" s="2526"/>
      <c r="P82" s="2443"/>
      <c r="Q82" s="2420"/>
      <c r="R82" s="2506"/>
      <c r="S82" s="2509"/>
      <c r="T82" s="216" t="s">
        <v>193</v>
      </c>
      <c r="U82" s="899">
        <v>500000</v>
      </c>
      <c r="V82" s="899">
        <v>0</v>
      </c>
      <c r="W82" s="899">
        <v>0</v>
      </c>
      <c r="X82" s="213">
        <v>88</v>
      </c>
      <c r="Y82" s="131" t="s">
        <v>168</v>
      </c>
      <c r="Z82" s="2402"/>
      <c r="AA82" s="2404"/>
      <c r="AB82" s="2402"/>
      <c r="AC82" s="2404"/>
      <c r="AD82" s="2402"/>
      <c r="AE82" s="2404"/>
      <c r="AF82" s="2402"/>
      <c r="AG82" s="2404"/>
      <c r="AH82" s="2402"/>
      <c r="AI82" s="2404"/>
      <c r="AJ82" s="2404"/>
      <c r="AK82" s="2404"/>
      <c r="AL82" s="2402"/>
      <c r="AM82" s="2404"/>
      <c r="AN82" s="2402"/>
      <c r="AO82" s="2404"/>
      <c r="AP82" s="2402"/>
      <c r="AQ82" s="2404"/>
      <c r="AR82" s="2402"/>
      <c r="AS82" s="2404"/>
      <c r="AT82" s="2402"/>
      <c r="AU82" s="2402"/>
      <c r="AV82" s="2402"/>
      <c r="AW82" s="2402"/>
      <c r="AX82" s="2402"/>
      <c r="AY82" s="2402"/>
      <c r="AZ82" s="2402"/>
      <c r="BA82" s="2402"/>
      <c r="BB82" s="2402"/>
      <c r="BC82" s="2402"/>
      <c r="BD82" s="2402"/>
      <c r="BE82" s="2402"/>
      <c r="BF82" s="2402"/>
      <c r="BG82" s="2532"/>
      <c r="BH82" s="2532"/>
      <c r="BI82" s="2332"/>
      <c r="BJ82" s="2364"/>
      <c r="BK82" s="2364"/>
      <c r="BL82" s="2406"/>
      <c r="BM82" s="2406"/>
      <c r="BN82" s="2362"/>
      <c r="BO82" s="2362"/>
      <c r="BP82" s="2402"/>
    </row>
    <row r="83" spans="2:68" ht="59.25" customHeight="1" x14ac:dyDescent="0.2">
      <c r="B83" s="212"/>
      <c r="C83" s="3"/>
      <c r="D83" s="211"/>
      <c r="E83" s="210"/>
      <c r="F83" s="3"/>
      <c r="G83" s="2524"/>
      <c r="H83" s="2359"/>
      <c r="I83" s="2526"/>
      <c r="J83" s="2528"/>
      <c r="K83" s="2521"/>
      <c r="L83" s="2521"/>
      <c r="M83" s="2456"/>
      <c r="N83" s="2521"/>
      <c r="O83" s="2526"/>
      <c r="P83" s="2443"/>
      <c r="Q83" s="2420"/>
      <c r="R83" s="2506"/>
      <c r="S83" s="2509"/>
      <c r="T83" s="216" t="s">
        <v>192</v>
      </c>
      <c r="U83" s="899">
        <v>500000</v>
      </c>
      <c r="V83" s="899">
        <v>0</v>
      </c>
      <c r="W83" s="899">
        <v>0</v>
      </c>
      <c r="X83" s="213">
        <v>88</v>
      </c>
      <c r="Y83" s="131" t="s">
        <v>168</v>
      </c>
      <c r="Z83" s="2402"/>
      <c r="AA83" s="2404"/>
      <c r="AB83" s="2402"/>
      <c r="AC83" s="2404"/>
      <c r="AD83" s="2402"/>
      <c r="AE83" s="2404"/>
      <c r="AF83" s="2402"/>
      <c r="AG83" s="2404"/>
      <c r="AH83" s="2402"/>
      <c r="AI83" s="2404"/>
      <c r="AJ83" s="2404"/>
      <c r="AK83" s="2404"/>
      <c r="AL83" s="2402"/>
      <c r="AM83" s="2404"/>
      <c r="AN83" s="2402"/>
      <c r="AO83" s="2404"/>
      <c r="AP83" s="2402"/>
      <c r="AQ83" s="2404"/>
      <c r="AR83" s="2402"/>
      <c r="AS83" s="2404"/>
      <c r="AT83" s="2402"/>
      <c r="AU83" s="2402"/>
      <c r="AV83" s="2402"/>
      <c r="AW83" s="2402"/>
      <c r="AX83" s="2402"/>
      <c r="AY83" s="2402"/>
      <c r="AZ83" s="2402"/>
      <c r="BA83" s="2402"/>
      <c r="BB83" s="2402"/>
      <c r="BC83" s="2402"/>
      <c r="BD83" s="2402"/>
      <c r="BE83" s="2402"/>
      <c r="BF83" s="2402"/>
      <c r="BG83" s="2532"/>
      <c r="BH83" s="2532"/>
      <c r="BI83" s="2332"/>
      <c r="BJ83" s="2364"/>
      <c r="BK83" s="2364"/>
      <c r="BL83" s="2406"/>
      <c r="BM83" s="2406"/>
      <c r="BN83" s="2362"/>
      <c r="BO83" s="2362"/>
      <c r="BP83" s="2402"/>
    </row>
    <row r="84" spans="2:68" ht="59.25" customHeight="1" x14ac:dyDescent="0.2">
      <c r="B84" s="212"/>
      <c r="C84" s="3"/>
      <c r="D84" s="211"/>
      <c r="E84" s="210"/>
      <c r="F84" s="3"/>
      <c r="G84" s="2524"/>
      <c r="H84" s="2359"/>
      <c r="I84" s="2526"/>
      <c r="J84" s="2528"/>
      <c r="K84" s="2521"/>
      <c r="L84" s="2521"/>
      <c r="M84" s="2456"/>
      <c r="N84" s="2521"/>
      <c r="O84" s="2526"/>
      <c r="P84" s="2443"/>
      <c r="Q84" s="2420"/>
      <c r="R84" s="2506"/>
      <c r="S84" s="2509"/>
      <c r="T84" s="216" t="s">
        <v>191</v>
      </c>
      <c r="U84" s="899">
        <v>500000</v>
      </c>
      <c r="V84" s="899">
        <v>0</v>
      </c>
      <c r="W84" s="899">
        <v>0</v>
      </c>
      <c r="X84" s="213">
        <v>88</v>
      </c>
      <c r="Y84" s="131" t="s">
        <v>168</v>
      </c>
      <c r="Z84" s="2402"/>
      <c r="AA84" s="2404"/>
      <c r="AB84" s="2402"/>
      <c r="AC84" s="2404"/>
      <c r="AD84" s="2402"/>
      <c r="AE84" s="2404"/>
      <c r="AF84" s="2402"/>
      <c r="AG84" s="2404"/>
      <c r="AH84" s="2402"/>
      <c r="AI84" s="2404"/>
      <c r="AJ84" s="2404"/>
      <c r="AK84" s="2404"/>
      <c r="AL84" s="2402"/>
      <c r="AM84" s="2404"/>
      <c r="AN84" s="2402"/>
      <c r="AO84" s="2404"/>
      <c r="AP84" s="2402"/>
      <c r="AQ84" s="2404"/>
      <c r="AR84" s="2402"/>
      <c r="AS84" s="2404"/>
      <c r="AT84" s="2402"/>
      <c r="AU84" s="2402"/>
      <c r="AV84" s="2402"/>
      <c r="AW84" s="2402"/>
      <c r="AX84" s="2402"/>
      <c r="AY84" s="2402"/>
      <c r="AZ84" s="2402"/>
      <c r="BA84" s="2402"/>
      <c r="BB84" s="2402"/>
      <c r="BC84" s="2402"/>
      <c r="BD84" s="2402"/>
      <c r="BE84" s="2402"/>
      <c r="BF84" s="2402"/>
      <c r="BG84" s="2532"/>
      <c r="BH84" s="2532"/>
      <c r="BI84" s="2332"/>
      <c r="BJ84" s="2364"/>
      <c r="BK84" s="2364"/>
      <c r="BL84" s="2406"/>
      <c r="BM84" s="2406"/>
      <c r="BN84" s="2362"/>
      <c r="BO84" s="2362"/>
      <c r="BP84" s="2402"/>
    </row>
    <row r="85" spans="2:68" ht="54.75" customHeight="1" x14ac:dyDescent="0.2">
      <c r="B85" s="212"/>
      <c r="C85" s="3"/>
      <c r="D85" s="211"/>
      <c r="E85" s="210"/>
      <c r="F85" s="3"/>
      <c r="G85" s="2524"/>
      <c r="H85" s="2359"/>
      <c r="I85" s="2526"/>
      <c r="J85" s="2528"/>
      <c r="K85" s="2521"/>
      <c r="L85" s="2521"/>
      <c r="M85" s="2456"/>
      <c r="N85" s="2521"/>
      <c r="O85" s="2526"/>
      <c r="P85" s="2443"/>
      <c r="Q85" s="2420"/>
      <c r="R85" s="2506"/>
      <c r="S85" s="2509"/>
      <c r="T85" s="216" t="s">
        <v>190</v>
      </c>
      <c r="U85" s="899">
        <v>500000</v>
      </c>
      <c r="V85" s="899">
        <v>0</v>
      </c>
      <c r="W85" s="899">
        <v>0</v>
      </c>
      <c r="X85" s="213">
        <v>88</v>
      </c>
      <c r="Y85" s="131" t="s">
        <v>168</v>
      </c>
      <c r="Z85" s="2402"/>
      <c r="AA85" s="2404"/>
      <c r="AB85" s="2402"/>
      <c r="AC85" s="2404"/>
      <c r="AD85" s="2402"/>
      <c r="AE85" s="2404"/>
      <c r="AF85" s="2402"/>
      <c r="AG85" s="2404"/>
      <c r="AH85" s="2402"/>
      <c r="AI85" s="2404"/>
      <c r="AJ85" s="2404"/>
      <c r="AK85" s="2404"/>
      <c r="AL85" s="2402"/>
      <c r="AM85" s="2404"/>
      <c r="AN85" s="2402"/>
      <c r="AO85" s="2404"/>
      <c r="AP85" s="2402"/>
      <c r="AQ85" s="2404"/>
      <c r="AR85" s="2402"/>
      <c r="AS85" s="2404"/>
      <c r="AT85" s="2402"/>
      <c r="AU85" s="2402"/>
      <c r="AV85" s="2402"/>
      <c r="AW85" s="2402"/>
      <c r="AX85" s="2402"/>
      <c r="AY85" s="2402"/>
      <c r="AZ85" s="2402"/>
      <c r="BA85" s="2402"/>
      <c r="BB85" s="2402"/>
      <c r="BC85" s="2402"/>
      <c r="BD85" s="2402"/>
      <c r="BE85" s="2402"/>
      <c r="BF85" s="2402"/>
      <c r="BG85" s="2532"/>
      <c r="BH85" s="2532"/>
      <c r="BI85" s="2332"/>
      <c r="BJ85" s="2364"/>
      <c r="BK85" s="2364"/>
      <c r="BL85" s="2406"/>
      <c r="BM85" s="2406"/>
      <c r="BN85" s="2362"/>
      <c r="BO85" s="2362"/>
      <c r="BP85" s="2402"/>
    </row>
    <row r="86" spans="2:68" ht="62.25" customHeight="1" x14ac:dyDescent="0.2">
      <c r="B86" s="212"/>
      <c r="C86" s="3"/>
      <c r="D86" s="211"/>
      <c r="E86" s="210"/>
      <c r="F86" s="3"/>
      <c r="G86" s="2524"/>
      <c r="H86" s="2359"/>
      <c r="I86" s="2526"/>
      <c r="J86" s="2528"/>
      <c r="K86" s="2521"/>
      <c r="L86" s="2521"/>
      <c r="M86" s="2456"/>
      <c r="N86" s="2521"/>
      <c r="O86" s="2526"/>
      <c r="P86" s="2443"/>
      <c r="Q86" s="2420"/>
      <c r="R86" s="2506"/>
      <c r="S86" s="2509"/>
      <c r="T86" s="214" t="s">
        <v>189</v>
      </c>
      <c r="U86" s="899">
        <v>1500000</v>
      </c>
      <c r="V86" s="899">
        <v>1500000</v>
      </c>
      <c r="W86" s="899">
        <v>0</v>
      </c>
      <c r="X86" s="213">
        <v>88</v>
      </c>
      <c r="Y86" s="131" t="s">
        <v>168</v>
      </c>
      <c r="Z86" s="2402"/>
      <c r="AA86" s="2404"/>
      <c r="AB86" s="2402"/>
      <c r="AC86" s="2404"/>
      <c r="AD86" s="2402"/>
      <c r="AE86" s="2404"/>
      <c r="AF86" s="2402"/>
      <c r="AG86" s="2404"/>
      <c r="AH86" s="2402"/>
      <c r="AI86" s="2404"/>
      <c r="AJ86" s="2404"/>
      <c r="AK86" s="2404"/>
      <c r="AL86" s="2402"/>
      <c r="AM86" s="2404"/>
      <c r="AN86" s="2402"/>
      <c r="AO86" s="2404"/>
      <c r="AP86" s="2402"/>
      <c r="AQ86" s="2404"/>
      <c r="AR86" s="2402"/>
      <c r="AS86" s="2404"/>
      <c r="AT86" s="2402"/>
      <c r="AU86" s="2402"/>
      <c r="AV86" s="2402"/>
      <c r="AW86" s="2402"/>
      <c r="AX86" s="2402"/>
      <c r="AY86" s="2402"/>
      <c r="AZ86" s="2402"/>
      <c r="BA86" s="2402"/>
      <c r="BB86" s="2402"/>
      <c r="BC86" s="2402"/>
      <c r="BD86" s="2402"/>
      <c r="BE86" s="2402"/>
      <c r="BF86" s="2402"/>
      <c r="BG86" s="2532"/>
      <c r="BH86" s="2532"/>
      <c r="BI86" s="2332"/>
      <c r="BJ86" s="2364"/>
      <c r="BK86" s="2364"/>
      <c r="BL86" s="2406"/>
      <c r="BM86" s="2406"/>
      <c r="BN86" s="2362"/>
      <c r="BO86" s="2362"/>
      <c r="BP86" s="2402"/>
    </row>
    <row r="87" spans="2:68" ht="56.25" customHeight="1" x14ac:dyDescent="0.2">
      <c r="B87" s="212"/>
      <c r="C87" s="3"/>
      <c r="D87" s="211"/>
      <c r="E87" s="210"/>
      <c r="F87" s="3"/>
      <c r="G87" s="2524"/>
      <c r="H87" s="2359"/>
      <c r="I87" s="2526"/>
      <c r="J87" s="2528"/>
      <c r="K87" s="2521"/>
      <c r="L87" s="2521"/>
      <c r="M87" s="2456"/>
      <c r="N87" s="2521"/>
      <c r="O87" s="2526"/>
      <c r="P87" s="2443"/>
      <c r="Q87" s="2420"/>
      <c r="R87" s="2506"/>
      <c r="S87" s="2509"/>
      <c r="T87" s="214" t="s">
        <v>188</v>
      </c>
      <c r="U87" s="899">
        <v>600000</v>
      </c>
      <c r="V87" s="899">
        <v>600000</v>
      </c>
      <c r="W87" s="899">
        <v>0</v>
      </c>
      <c r="X87" s="213">
        <v>88</v>
      </c>
      <c r="Y87" s="131" t="s">
        <v>168</v>
      </c>
      <c r="Z87" s="2402"/>
      <c r="AA87" s="2404"/>
      <c r="AB87" s="2402"/>
      <c r="AC87" s="2404"/>
      <c r="AD87" s="2402"/>
      <c r="AE87" s="2404"/>
      <c r="AF87" s="2402"/>
      <c r="AG87" s="2404"/>
      <c r="AH87" s="2402"/>
      <c r="AI87" s="2404"/>
      <c r="AJ87" s="2404"/>
      <c r="AK87" s="2404"/>
      <c r="AL87" s="2402"/>
      <c r="AM87" s="2404"/>
      <c r="AN87" s="2402"/>
      <c r="AO87" s="2404"/>
      <c r="AP87" s="2402"/>
      <c r="AQ87" s="2404"/>
      <c r="AR87" s="2402"/>
      <c r="AS87" s="2404"/>
      <c r="AT87" s="2402"/>
      <c r="AU87" s="2402"/>
      <c r="AV87" s="2402"/>
      <c r="AW87" s="2402"/>
      <c r="AX87" s="2402"/>
      <c r="AY87" s="2402"/>
      <c r="AZ87" s="2402"/>
      <c r="BA87" s="2402"/>
      <c r="BB87" s="2402"/>
      <c r="BC87" s="2402"/>
      <c r="BD87" s="2402"/>
      <c r="BE87" s="2402"/>
      <c r="BF87" s="2402"/>
      <c r="BG87" s="2532"/>
      <c r="BH87" s="2532"/>
      <c r="BI87" s="2332"/>
      <c r="BJ87" s="2364"/>
      <c r="BK87" s="2364"/>
      <c r="BL87" s="2406"/>
      <c r="BM87" s="2406"/>
      <c r="BN87" s="2362"/>
      <c r="BO87" s="2362"/>
      <c r="BP87" s="2402"/>
    </row>
    <row r="88" spans="2:68" ht="56.25" customHeight="1" x14ac:dyDescent="0.2">
      <c r="B88" s="212"/>
      <c r="C88" s="3"/>
      <c r="D88" s="211"/>
      <c r="E88" s="210"/>
      <c r="F88" s="3"/>
      <c r="G88" s="2524"/>
      <c r="H88" s="2359"/>
      <c r="I88" s="2526"/>
      <c r="J88" s="2528"/>
      <c r="K88" s="2521"/>
      <c r="L88" s="2521"/>
      <c r="M88" s="2456"/>
      <c r="N88" s="2521"/>
      <c r="O88" s="2526"/>
      <c r="P88" s="2443"/>
      <c r="Q88" s="2420"/>
      <c r="R88" s="2506"/>
      <c r="S88" s="2509"/>
      <c r="T88" s="214" t="s">
        <v>187</v>
      </c>
      <c r="U88" s="899">
        <v>1500000</v>
      </c>
      <c r="V88" s="899">
        <v>0</v>
      </c>
      <c r="W88" s="899">
        <v>0</v>
      </c>
      <c r="X88" s="213">
        <v>88</v>
      </c>
      <c r="Y88" s="131" t="s">
        <v>168</v>
      </c>
      <c r="Z88" s="2402"/>
      <c r="AA88" s="2404"/>
      <c r="AB88" s="2402"/>
      <c r="AC88" s="2404"/>
      <c r="AD88" s="2402"/>
      <c r="AE88" s="2404"/>
      <c r="AF88" s="2402"/>
      <c r="AG88" s="2404"/>
      <c r="AH88" s="2402"/>
      <c r="AI88" s="2404"/>
      <c r="AJ88" s="2404"/>
      <c r="AK88" s="2404"/>
      <c r="AL88" s="2402"/>
      <c r="AM88" s="2404"/>
      <c r="AN88" s="2402"/>
      <c r="AO88" s="2404"/>
      <c r="AP88" s="2402"/>
      <c r="AQ88" s="2404"/>
      <c r="AR88" s="2402"/>
      <c r="AS88" s="2404"/>
      <c r="AT88" s="2402"/>
      <c r="AU88" s="2402"/>
      <c r="AV88" s="2402"/>
      <c r="AW88" s="2402"/>
      <c r="AX88" s="2402"/>
      <c r="AY88" s="2402"/>
      <c r="AZ88" s="2402"/>
      <c r="BA88" s="2402"/>
      <c r="BB88" s="2402"/>
      <c r="BC88" s="2402"/>
      <c r="BD88" s="2402"/>
      <c r="BE88" s="2402"/>
      <c r="BF88" s="2402"/>
      <c r="BG88" s="2532"/>
      <c r="BH88" s="2532"/>
      <c r="BI88" s="2332"/>
      <c r="BJ88" s="2364"/>
      <c r="BK88" s="2364"/>
      <c r="BL88" s="2406"/>
      <c r="BM88" s="2406"/>
      <c r="BN88" s="2362"/>
      <c r="BO88" s="2362"/>
      <c r="BP88" s="2402"/>
    </row>
    <row r="89" spans="2:68" ht="56.25" customHeight="1" x14ac:dyDescent="0.2">
      <c r="B89" s="212"/>
      <c r="C89" s="3"/>
      <c r="D89" s="211"/>
      <c r="E89" s="210"/>
      <c r="F89" s="3"/>
      <c r="G89" s="2524"/>
      <c r="H89" s="2359"/>
      <c r="I89" s="2526"/>
      <c r="J89" s="2528"/>
      <c r="K89" s="2521"/>
      <c r="L89" s="2521"/>
      <c r="M89" s="2456"/>
      <c r="N89" s="2521"/>
      <c r="O89" s="2526"/>
      <c r="P89" s="2443"/>
      <c r="Q89" s="2420"/>
      <c r="R89" s="2506"/>
      <c r="S89" s="2509"/>
      <c r="T89" s="214" t="s">
        <v>186</v>
      </c>
      <c r="U89" s="899">
        <v>600000</v>
      </c>
      <c r="V89" s="899">
        <v>0</v>
      </c>
      <c r="W89" s="899">
        <v>0</v>
      </c>
      <c r="X89" s="213">
        <v>88</v>
      </c>
      <c r="Y89" s="131" t="s">
        <v>168</v>
      </c>
      <c r="Z89" s="2402"/>
      <c r="AA89" s="2404"/>
      <c r="AB89" s="2402"/>
      <c r="AC89" s="2404"/>
      <c r="AD89" s="2402"/>
      <c r="AE89" s="2404"/>
      <c r="AF89" s="2402"/>
      <c r="AG89" s="2404"/>
      <c r="AH89" s="2402"/>
      <c r="AI89" s="2404"/>
      <c r="AJ89" s="2404"/>
      <c r="AK89" s="2404"/>
      <c r="AL89" s="2402"/>
      <c r="AM89" s="2404"/>
      <c r="AN89" s="2402"/>
      <c r="AO89" s="2404"/>
      <c r="AP89" s="2402"/>
      <c r="AQ89" s="2404"/>
      <c r="AR89" s="2402"/>
      <c r="AS89" s="2404"/>
      <c r="AT89" s="2402"/>
      <c r="AU89" s="2402"/>
      <c r="AV89" s="2402"/>
      <c r="AW89" s="2402"/>
      <c r="AX89" s="2402"/>
      <c r="AY89" s="2402"/>
      <c r="AZ89" s="2402"/>
      <c r="BA89" s="2402"/>
      <c r="BB89" s="2402"/>
      <c r="BC89" s="2402"/>
      <c r="BD89" s="2402"/>
      <c r="BE89" s="2402"/>
      <c r="BF89" s="2402"/>
      <c r="BG89" s="2532"/>
      <c r="BH89" s="2532"/>
      <c r="BI89" s="2332"/>
      <c r="BJ89" s="2364"/>
      <c r="BK89" s="2364"/>
      <c r="BL89" s="2406"/>
      <c r="BM89" s="2406"/>
      <c r="BN89" s="2362"/>
      <c r="BO89" s="2362"/>
      <c r="BP89" s="2402"/>
    </row>
    <row r="90" spans="2:68" ht="56.25" customHeight="1" x14ac:dyDescent="0.2">
      <c r="B90" s="212"/>
      <c r="C90" s="3"/>
      <c r="D90" s="211"/>
      <c r="E90" s="210"/>
      <c r="F90" s="3"/>
      <c r="G90" s="2524"/>
      <c r="H90" s="2359"/>
      <c r="I90" s="2526"/>
      <c r="J90" s="2528"/>
      <c r="K90" s="2521"/>
      <c r="L90" s="2521"/>
      <c r="M90" s="2456"/>
      <c r="N90" s="2521"/>
      <c r="O90" s="2526"/>
      <c r="P90" s="2443"/>
      <c r="Q90" s="2420"/>
      <c r="R90" s="2506"/>
      <c r="S90" s="2509"/>
      <c r="T90" s="214" t="s">
        <v>185</v>
      </c>
      <c r="U90" s="900">
        <v>3000000</v>
      </c>
      <c r="V90" s="899">
        <v>2700000</v>
      </c>
      <c r="W90" s="899">
        <v>0</v>
      </c>
      <c r="X90" s="213">
        <v>88</v>
      </c>
      <c r="Y90" s="131" t="s">
        <v>168</v>
      </c>
      <c r="Z90" s="2402"/>
      <c r="AA90" s="2404"/>
      <c r="AB90" s="2402"/>
      <c r="AC90" s="2404"/>
      <c r="AD90" s="2402"/>
      <c r="AE90" s="2404"/>
      <c r="AF90" s="2402"/>
      <c r="AG90" s="2404"/>
      <c r="AH90" s="2402"/>
      <c r="AI90" s="2404"/>
      <c r="AJ90" s="2404"/>
      <c r="AK90" s="2404"/>
      <c r="AL90" s="2402"/>
      <c r="AM90" s="2404"/>
      <c r="AN90" s="2402"/>
      <c r="AO90" s="2404"/>
      <c r="AP90" s="2402"/>
      <c r="AQ90" s="2404"/>
      <c r="AR90" s="2402"/>
      <c r="AS90" s="2404"/>
      <c r="AT90" s="2402"/>
      <c r="AU90" s="2402"/>
      <c r="AV90" s="2402"/>
      <c r="AW90" s="2402"/>
      <c r="AX90" s="2402"/>
      <c r="AY90" s="2402"/>
      <c r="AZ90" s="2402"/>
      <c r="BA90" s="2402"/>
      <c r="BB90" s="2402"/>
      <c r="BC90" s="2402"/>
      <c r="BD90" s="2402"/>
      <c r="BE90" s="2402"/>
      <c r="BF90" s="2402"/>
      <c r="BG90" s="2532"/>
      <c r="BH90" s="2532"/>
      <c r="BI90" s="2332"/>
      <c r="BJ90" s="2364"/>
      <c r="BK90" s="2364"/>
      <c r="BL90" s="2406"/>
      <c r="BM90" s="2406"/>
      <c r="BN90" s="2362"/>
      <c r="BO90" s="2362"/>
      <c r="BP90" s="2402"/>
    </row>
    <row r="91" spans="2:68" ht="81" customHeight="1" x14ac:dyDescent="0.2">
      <c r="B91" s="212"/>
      <c r="C91" s="3"/>
      <c r="D91" s="211"/>
      <c r="E91" s="210"/>
      <c r="F91" s="3"/>
      <c r="G91" s="2524"/>
      <c r="H91" s="2359"/>
      <c r="I91" s="2526"/>
      <c r="J91" s="2528"/>
      <c r="K91" s="2521"/>
      <c r="L91" s="2521"/>
      <c r="M91" s="2456"/>
      <c r="N91" s="2521"/>
      <c r="O91" s="2526"/>
      <c r="P91" s="2443"/>
      <c r="Q91" s="2420"/>
      <c r="R91" s="2506"/>
      <c r="S91" s="2509"/>
      <c r="T91" s="214" t="s">
        <v>184</v>
      </c>
      <c r="U91" s="900">
        <v>1500000</v>
      </c>
      <c r="V91" s="899">
        <v>1500000</v>
      </c>
      <c r="W91" s="899">
        <v>0</v>
      </c>
      <c r="X91" s="213">
        <v>88</v>
      </c>
      <c r="Y91" s="131" t="s">
        <v>168</v>
      </c>
      <c r="Z91" s="2402"/>
      <c r="AA91" s="2404"/>
      <c r="AB91" s="2402"/>
      <c r="AC91" s="2404"/>
      <c r="AD91" s="2402"/>
      <c r="AE91" s="2404"/>
      <c r="AF91" s="2402"/>
      <c r="AG91" s="2404"/>
      <c r="AH91" s="2402"/>
      <c r="AI91" s="2404"/>
      <c r="AJ91" s="2404"/>
      <c r="AK91" s="2404"/>
      <c r="AL91" s="2402"/>
      <c r="AM91" s="2404"/>
      <c r="AN91" s="2402"/>
      <c r="AO91" s="2404"/>
      <c r="AP91" s="2402"/>
      <c r="AQ91" s="2404"/>
      <c r="AR91" s="2402"/>
      <c r="AS91" s="2404"/>
      <c r="AT91" s="2402"/>
      <c r="AU91" s="2402"/>
      <c r="AV91" s="2402"/>
      <c r="AW91" s="2402"/>
      <c r="AX91" s="2402"/>
      <c r="AY91" s="2402"/>
      <c r="AZ91" s="2402"/>
      <c r="BA91" s="2402"/>
      <c r="BB91" s="2402"/>
      <c r="BC91" s="2402"/>
      <c r="BD91" s="2402"/>
      <c r="BE91" s="2402"/>
      <c r="BF91" s="2402"/>
      <c r="BG91" s="2532"/>
      <c r="BH91" s="2532"/>
      <c r="BI91" s="2332"/>
      <c r="BJ91" s="2364"/>
      <c r="BK91" s="2364"/>
      <c r="BL91" s="2406"/>
      <c r="BM91" s="2406"/>
      <c r="BN91" s="2362"/>
      <c r="BO91" s="2362"/>
      <c r="BP91" s="2402"/>
    </row>
    <row r="92" spans="2:68" ht="81" customHeight="1" x14ac:dyDescent="0.2">
      <c r="B92" s="212"/>
      <c r="C92" s="3"/>
      <c r="D92" s="211"/>
      <c r="E92" s="210"/>
      <c r="F92" s="3"/>
      <c r="G92" s="2524"/>
      <c r="H92" s="2359"/>
      <c r="I92" s="2526"/>
      <c r="J92" s="2528"/>
      <c r="K92" s="2521"/>
      <c r="L92" s="2521"/>
      <c r="M92" s="2456"/>
      <c r="N92" s="2521"/>
      <c r="O92" s="2526"/>
      <c r="P92" s="2443"/>
      <c r="Q92" s="2420"/>
      <c r="R92" s="2506"/>
      <c r="S92" s="2509"/>
      <c r="T92" s="214" t="s">
        <v>183</v>
      </c>
      <c r="U92" s="900">
        <v>800000</v>
      </c>
      <c r="V92" s="899">
        <v>800000</v>
      </c>
      <c r="W92" s="899">
        <v>0</v>
      </c>
      <c r="X92" s="213">
        <v>88</v>
      </c>
      <c r="Y92" s="131" t="s">
        <v>168</v>
      </c>
      <c r="Z92" s="2402"/>
      <c r="AA92" s="2404"/>
      <c r="AB92" s="2402"/>
      <c r="AC92" s="2404"/>
      <c r="AD92" s="2402"/>
      <c r="AE92" s="2404"/>
      <c r="AF92" s="2402"/>
      <c r="AG92" s="2404"/>
      <c r="AH92" s="2402"/>
      <c r="AI92" s="2404"/>
      <c r="AJ92" s="2404"/>
      <c r="AK92" s="2404"/>
      <c r="AL92" s="2402"/>
      <c r="AM92" s="2404"/>
      <c r="AN92" s="2402"/>
      <c r="AO92" s="2404"/>
      <c r="AP92" s="2402"/>
      <c r="AQ92" s="2404"/>
      <c r="AR92" s="2402"/>
      <c r="AS92" s="2404"/>
      <c r="AT92" s="2402"/>
      <c r="AU92" s="2402"/>
      <c r="AV92" s="2402"/>
      <c r="AW92" s="2402"/>
      <c r="AX92" s="2402"/>
      <c r="AY92" s="2402"/>
      <c r="AZ92" s="2402"/>
      <c r="BA92" s="2402"/>
      <c r="BB92" s="2402"/>
      <c r="BC92" s="2402"/>
      <c r="BD92" s="2402"/>
      <c r="BE92" s="2402"/>
      <c r="BF92" s="2402"/>
      <c r="BG92" s="2532"/>
      <c r="BH92" s="2532"/>
      <c r="BI92" s="2332"/>
      <c r="BJ92" s="2364"/>
      <c r="BK92" s="2364"/>
      <c r="BL92" s="2406"/>
      <c r="BM92" s="2406"/>
      <c r="BN92" s="2362"/>
      <c r="BO92" s="2362"/>
      <c r="BP92" s="2402"/>
    </row>
    <row r="93" spans="2:68" ht="81" customHeight="1" x14ac:dyDescent="0.2">
      <c r="B93" s="212"/>
      <c r="C93" s="3"/>
      <c r="D93" s="211"/>
      <c r="E93" s="210"/>
      <c r="F93" s="3"/>
      <c r="G93" s="2524"/>
      <c r="H93" s="2359"/>
      <c r="I93" s="2526"/>
      <c r="J93" s="2528"/>
      <c r="K93" s="2521"/>
      <c r="L93" s="2521"/>
      <c r="M93" s="2456"/>
      <c r="N93" s="2521"/>
      <c r="O93" s="2526"/>
      <c r="P93" s="2443"/>
      <c r="Q93" s="2420"/>
      <c r="R93" s="2506"/>
      <c r="S93" s="2509"/>
      <c r="T93" s="214" t="s">
        <v>182</v>
      </c>
      <c r="U93" s="900">
        <v>1500000</v>
      </c>
      <c r="V93" s="899">
        <v>1500000</v>
      </c>
      <c r="W93" s="899">
        <v>0</v>
      </c>
      <c r="X93" s="213">
        <v>88</v>
      </c>
      <c r="Y93" s="131" t="s">
        <v>168</v>
      </c>
      <c r="Z93" s="2402"/>
      <c r="AA93" s="2404"/>
      <c r="AB93" s="2402"/>
      <c r="AC93" s="2404"/>
      <c r="AD93" s="2402"/>
      <c r="AE93" s="2404"/>
      <c r="AF93" s="2402"/>
      <c r="AG93" s="2404"/>
      <c r="AH93" s="2402"/>
      <c r="AI93" s="2404"/>
      <c r="AJ93" s="2404"/>
      <c r="AK93" s="2404"/>
      <c r="AL93" s="2402"/>
      <c r="AM93" s="2404"/>
      <c r="AN93" s="2402"/>
      <c r="AO93" s="2404"/>
      <c r="AP93" s="2402"/>
      <c r="AQ93" s="2404"/>
      <c r="AR93" s="2402"/>
      <c r="AS93" s="2404"/>
      <c r="AT93" s="2402"/>
      <c r="AU93" s="2402"/>
      <c r="AV93" s="2402"/>
      <c r="AW93" s="2402"/>
      <c r="AX93" s="2402"/>
      <c r="AY93" s="2402"/>
      <c r="AZ93" s="2402"/>
      <c r="BA93" s="2402"/>
      <c r="BB93" s="2402"/>
      <c r="BC93" s="2402"/>
      <c r="BD93" s="2402"/>
      <c r="BE93" s="2402"/>
      <c r="BF93" s="2402"/>
      <c r="BG93" s="2532"/>
      <c r="BH93" s="2532"/>
      <c r="BI93" s="2332"/>
      <c r="BJ93" s="2364"/>
      <c r="BK93" s="2364"/>
      <c r="BL93" s="2406"/>
      <c r="BM93" s="2406"/>
      <c r="BN93" s="2362"/>
      <c r="BO93" s="2362"/>
      <c r="BP93" s="2402"/>
    </row>
    <row r="94" spans="2:68" ht="81" customHeight="1" x14ac:dyDescent="0.2">
      <c r="B94" s="212"/>
      <c r="C94" s="3"/>
      <c r="D94" s="211"/>
      <c r="E94" s="210"/>
      <c r="F94" s="3"/>
      <c r="G94" s="2524"/>
      <c r="H94" s="2359"/>
      <c r="I94" s="2526"/>
      <c r="J94" s="2528"/>
      <c r="K94" s="2521"/>
      <c r="L94" s="2521"/>
      <c r="M94" s="2456"/>
      <c r="N94" s="2521"/>
      <c r="O94" s="2526"/>
      <c r="P94" s="2443"/>
      <c r="Q94" s="2420"/>
      <c r="R94" s="2506"/>
      <c r="S94" s="2509"/>
      <c r="T94" s="214" t="s">
        <v>181</v>
      </c>
      <c r="U94" s="900">
        <v>2000000</v>
      </c>
      <c r="V94" s="899">
        <v>2000000</v>
      </c>
      <c r="W94" s="899">
        <v>0</v>
      </c>
      <c r="X94" s="213">
        <v>88</v>
      </c>
      <c r="Y94" s="131" t="s">
        <v>168</v>
      </c>
      <c r="Z94" s="2402"/>
      <c r="AA94" s="2404"/>
      <c r="AB94" s="2402"/>
      <c r="AC94" s="2404"/>
      <c r="AD94" s="2402"/>
      <c r="AE94" s="2404"/>
      <c r="AF94" s="2402"/>
      <c r="AG94" s="2404"/>
      <c r="AH94" s="2402"/>
      <c r="AI94" s="2404"/>
      <c r="AJ94" s="2404"/>
      <c r="AK94" s="2404"/>
      <c r="AL94" s="2402"/>
      <c r="AM94" s="2404"/>
      <c r="AN94" s="2402"/>
      <c r="AO94" s="2404"/>
      <c r="AP94" s="2402"/>
      <c r="AQ94" s="2404"/>
      <c r="AR94" s="2402"/>
      <c r="AS94" s="2404"/>
      <c r="AT94" s="2402"/>
      <c r="AU94" s="2402"/>
      <c r="AV94" s="2402"/>
      <c r="AW94" s="2402"/>
      <c r="AX94" s="2402"/>
      <c r="AY94" s="2402"/>
      <c r="AZ94" s="2402"/>
      <c r="BA94" s="2402"/>
      <c r="BB94" s="2402"/>
      <c r="BC94" s="2402"/>
      <c r="BD94" s="2402"/>
      <c r="BE94" s="2402"/>
      <c r="BF94" s="2402"/>
      <c r="BG94" s="2532"/>
      <c r="BH94" s="2532"/>
      <c r="BI94" s="2332"/>
      <c r="BJ94" s="2364"/>
      <c r="BK94" s="2364"/>
      <c r="BL94" s="2406"/>
      <c r="BM94" s="2406"/>
      <c r="BN94" s="2362"/>
      <c r="BO94" s="2362"/>
      <c r="BP94" s="2402"/>
    </row>
    <row r="95" spans="2:68" ht="81" customHeight="1" x14ac:dyDescent="0.2">
      <c r="B95" s="212"/>
      <c r="C95" s="3"/>
      <c r="D95" s="211"/>
      <c r="E95" s="210"/>
      <c r="F95" s="3"/>
      <c r="G95" s="2524"/>
      <c r="H95" s="2359"/>
      <c r="I95" s="2526"/>
      <c r="J95" s="2528"/>
      <c r="K95" s="2521"/>
      <c r="L95" s="2521"/>
      <c r="M95" s="2456"/>
      <c r="N95" s="2521"/>
      <c r="O95" s="2526"/>
      <c r="P95" s="2443"/>
      <c r="Q95" s="2420"/>
      <c r="R95" s="2506"/>
      <c r="S95" s="2509"/>
      <c r="T95" s="214" t="s">
        <v>180</v>
      </c>
      <c r="U95" s="900">
        <v>2000000</v>
      </c>
      <c r="V95" s="899">
        <v>1900000</v>
      </c>
      <c r="W95" s="899">
        <v>0</v>
      </c>
      <c r="X95" s="213">
        <v>88</v>
      </c>
      <c r="Y95" s="131" t="s">
        <v>168</v>
      </c>
      <c r="Z95" s="2402"/>
      <c r="AA95" s="2404"/>
      <c r="AB95" s="2402"/>
      <c r="AC95" s="2404"/>
      <c r="AD95" s="2402"/>
      <c r="AE95" s="2404"/>
      <c r="AF95" s="2402"/>
      <c r="AG95" s="2404"/>
      <c r="AH95" s="2402"/>
      <c r="AI95" s="2404"/>
      <c r="AJ95" s="2404"/>
      <c r="AK95" s="2404"/>
      <c r="AL95" s="2402"/>
      <c r="AM95" s="2404"/>
      <c r="AN95" s="2402"/>
      <c r="AO95" s="2404"/>
      <c r="AP95" s="2402"/>
      <c r="AQ95" s="2404"/>
      <c r="AR95" s="2402"/>
      <c r="AS95" s="2404"/>
      <c r="AT95" s="2402"/>
      <c r="AU95" s="2402"/>
      <c r="AV95" s="2402"/>
      <c r="AW95" s="2402"/>
      <c r="AX95" s="2402"/>
      <c r="AY95" s="2402"/>
      <c r="AZ95" s="2402"/>
      <c r="BA95" s="2402"/>
      <c r="BB95" s="2402"/>
      <c r="BC95" s="2402"/>
      <c r="BD95" s="2402"/>
      <c r="BE95" s="2402"/>
      <c r="BF95" s="2402"/>
      <c r="BG95" s="2532"/>
      <c r="BH95" s="2532"/>
      <c r="BI95" s="2332"/>
      <c r="BJ95" s="2364"/>
      <c r="BK95" s="2364"/>
      <c r="BL95" s="2406"/>
      <c r="BM95" s="2406"/>
      <c r="BN95" s="2362"/>
      <c r="BO95" s="2362"/>
      <c r="BP95" s="2402"/>
    </row>
    <row r="96" spans="2:68" ht="81" customHeight="1" x14ac:dyDescent="0.2">
      <c r="B96" s="212"/>
      <c r="C96" s="3"/>
      <c r="D96" s="211"/>
      <c r="E96" s="210"/>
      <c r="F96" s="3"/>
      <c r="G96" s="2524"/>
      <c r="H96" s="2359"/>
      <c r="I96" s="2526"/>
      <c r="J96" s="2528"/>
      <c r="K96" s="2521"/>
      <c r="L96" s="2521"/>
      <c r="M96" s="2456"/>
      <c r="N96" s="2521"/>
      <c r="O96" s="2526"/>
      <c r="P96" s="2443"/>
      <c r="Q96" s="2420"/>
      <c r="R96" s="2506"/>
      <c r="S96" s="2509"/>
      <c r="T96" s="214" t="s">
        <v>179</v>
      </c>
      <c r="U96" s="900">
        <v>1500000</v>
      </c>
      <c r="V96" s="899">
        <v>1500000</v>
      </c>
      <c r="W96" s="899">
        <v>0</v>
      </c>
      <c r="X96" s="213">
        <v>88</v>
      </c>
      <c r="Y96" s="131" t="s">
        <v>168</v>
      </c>
      <c r="Z96" s="2402"/>
      <c r="AA96" s="2404"/>
      <c r="AB96" s="2402"/>
      <c r="AC96" s="2404"/>
      <c r="AD96" s="2402"/>
      <c r="AE96" s="2404"/>
      <c r="AF96" s="2402"/>
      <c r="AG96" s="2404"/>
      <c r="AH96" s="2402"/>
      <c r="AI96" s="2404"/>
      <c r="AJ96" s="2404"/>
      <c r="AK96" s="2404"/>
      <c r="AL96" s="2402"/>
      <c r="AM96" s="2404"/>
      <c r="AN96" s="2402"/>
      <c r="AO96" s="2404"/>
      <c r="AP96" s="2402"/>
      <c r="AQ96" s="2404"/>
      <c r="AR96" s="2402"/>
      <c r="AS96" s="2404"/>
      <c r="AT96" s="2402"/>
      <c r="AU96" s="2402"/>
      <c r="AV96" s="2402"/>
      <c r="AW96" s="2402"/>
      <c r="AX96" s="2402"/>
      <c r="AY96" s="2402"/>
      <c r="AZ96" s="2402"/>
      <c r="BA96" s="2402"/>
      <c r="BB96" s="2402"/>
      <c r="BC96" s="2402"/>
      <c r="BD96" s="2402"/>
      <c r="BE96" s="2402"/>
      <c r="BF96" s="2402"/>
      <c r="BG96" s="2532"/>
      <c r="BH96" s="2532"/>
      <c r="BI96" s="2332"/>
      <c r="BJ96" s="2364"/>
      <c r="BK96" s="2364"/>
      <c r="BL96" s="2406"/>
      <c r="BM96" s="2406"/>
      <c r="BN96" s="2362"/>
      <c r="BO96" s="2362"/>
      <c r="BP96" s="2402"/>
    </row>
    <row r="97" spans="1:68" ht="81" customHeight="1" x14ac:dyDescent="0.2">
      <c r="B97" s="212"/>
      <c r="C97" s="3"/>
      <c r="D97" s="211"/>
      <c r="E97" s="210"/>
      <c r="F97" s="3"/>
      <c r="G97" s="2524"/>
      <c r="H97" s="2359"/>
      <c r="I97" s="2526"/>
      <c r="J97" s="2528"/>
      <c r="K97" s="2521"/>
      <c r="L97" s="2521"/>
      <c r="M97" s="2456"/>
      <c r="N97" s="2521"/>
      <c r="O97" s="2526"/>
      <c r="P97" s="2443"/>
      <c r="Q97" s="2420"/>
      <c r="R97" s="2506"/>
      <c r="S97" s="2509"/>
      <c r="T97" s="214" t="s">
        <v>178</v>
      </c>
      <c r="U97" s="900">
        <v>1500000</v>
      </c>
      <c r="V97" s="899">
        <v>1500000</v>
      </c>
      <c r="W97" s="899">
        <v>0</v>
      </c>
      <c r="X97" s="213">
        <v>88</v>
      </c>
      <c r="Y97" s="131" t="s">
        <v>168</v>
      </c>
      <c r="Z97" s="2402"/>
      <c r="AA97" s="2404"/>
      <c r="AB97" s="2402"/>
      <c r="AC97" s="2404"/>
      <c r="AD97" s="2402"/>
      <c r="AE97" s="2404"/>
      <c r="AF97" s="2402"/>
      <c r="AG97" s="2404"/>
      <c r="AH97" s="2402"/>
      <c r="AI97" s="2404"/>
      <c r="AJ97" s="2404"/>
      <c r="AK97" s="2404"/>
      <c r="AL97" s="2402"/>
      <c r="AM97" s="2404"/>
      <c r="AN97" s="2402"/>
      <c r="AO97" s="2404"/>
      <c r="AP97" s="2402"/>
      <c r="AQ97" s="2404"/>
      <c r="AR97" s="2402"/>
      <c r="AS97" s="2404"/>
      <c r="AT97" s="2402"/>
      <c r="AU97" s="2402"/>
      <c r="AV97" s="2402"/>
      <c r="AW97" s="2402"/>
      <c r="AX97" s="2402"/>
      <c r="AY97" s="2402"/>
      <c r="AZ97" s="2402"/>
      <c r="BA97" s="2402"/>
      <c r="BB97" s="2402"/>
      <c r="BC97" s="2402"/>
      <c r="BD97" s="2402"/>
      <c r="BE97" s="2402"/>
      <c r="BF97" s="2402"/>
      <c r="BG97" s="2532"/>
      <c r="BH97" s="2532"/>
      <c r="BI97" s="2332"/>
      <c r="BJ97" s="2364"/>
      <c r="BK97" s="2364"/>
      <c r="BL97" s="2406"/>
      <c r="BM97" s="2406"/>
      <c r="BN97" s="2362"/>
      <c r="BO97" s="2362"/>
      <c r="BP97" s="2402"/>
    </row>
    <row r="98" spans="1:68" ht="81" customHeight="1" x14ac:dyDescent="0.2">
      <c r="B98" s="212"/>
      <c r="C98" s="3"/>
      <c r="D98" s="211"/>
      <c r="E98" s="210"/>
      <c r="F98" s="3"/>
      <c r="G98" s="2524"/>
      <c r="H98" s="2359"/>
      <c r="I98" s="2526"/>
      <c r="J98" s="2528"/>
      <c r="K98" s="2521"/>
      <c r="L98" s="2521"/>
      <c r="M98" s="2456"/>
      <c r="N98" s="2521"/>
      <c r="O98" s="2526"/>
      <c r="P98" s="2443"/>
      <c r="Q98" s="2420"/>
      <c r="R98" s="2506"/>
      <c r="S98" s="2509"/>
      <c r="T98" s="214" t="s">
        <v>177</v>
      </c>
      <c r="U98" s="900">
        <v>1500000</v>
      </c>
      <c r="V98" s="899">
        <v>1500000</v>
      </c>
      <c r="W98" s="899">
        <v>0</v>
      </c>
      <c r="X98" s="213">
        <v>88</v>
      </c>
      <c r="Y98" s="131" t="s">
        <v>168</v>
      </c>
      <c r="Z98" s="2402"/>
      <c r="AA98" s="2404"/>
      <c r="AB98" s="2402"/>
      <c r="AC98" s="2404"/>
      <c r="AD98" s="2402"/>
      <c r="AE98" s="2404"/>
      <c r="AF98" s="2402"/>
      <c r="AG98" s="2404"/>
      <c r="AH98" s="2402"/>
      <c r="AI98" s="2404"/>
      <c r="AJ98" s="2404"/>
      <c r="AK98" s="2404"/>
      <c r="AL98" s="2402"/>
      <c r="AM98" s="2404"/>
      <c r="AN98" s="2402"/>
      <c r="AO98" s="2404"/>
      <c r="AP98" s="2402"/>
      <c r="AQ98" s="2404"/>
      <c r="AR98" s="2402"/>
      <c r="AS98" s="2404"/>
      <c r="AT98" s="2402"/>
      <c r="AU98" s="2402"/>
      <c r="AV98" s="2402"/>
      <c r="AW98" s="2402"/>
      <c r="AX98" s="2402"/>
      <c r="AY98" s="2402"/>
      <c r="AZ98" s="2402"/>
      <c r="BA98" s="2402"/>
      <c r="BB98" s="2402"/>
      <c r="BC98" s="2402"/>
      <c r="BD98" s="2402"/>
      <c r="BE98" s="2402"/>
      <c r="BF98" s="2402"/>
      <c r="BG98" s="2532"/>
      <c r="BH98" s="2532"/>
      <c r="BI98" s="2332"/>
      <c r="BJ98" s="2364"/>
      <c r="BK98" s="2364"/>
      <c r="BL98" s="2406"/>
      <c r="BM98" s="2406"/>
      <c r="BN98" s="2362"/>
      <c r="BO98" s="2362"/>
      <c r="BP98" s="2402"/>
    </row>
    <row r="99" spans="1:68" ht="81" customHeight="1" x14ac:dyDescent="0.2">
      <c r="B99" s="212"/>
      <c r="C99" s="3"/>
      <c r="D99" s="211"/>
      <c r="E99" s="210"/>
      <c r="F99" s="3"/>
      <c r="G99" s="2524"/>
      <c r="H99" s="2359"/>
      <c r="I99" s="2526"/>
      <c r="J99" s="2528"/>
      <c r="K99" s="2521"/>
      <c r="L99" s="2521"/>
      <c r="M99" s="2456"/>
      <c r="N99" s="2521"/>
      <c r="O99" s="2526"/>
      <c r="P99" s="2443"/>
      <c r="Q99" s="2420"/>
      <c r="R99" s="2506"/>
      <c r="S99" s="2509"/>
      <c r="T99" s="214" t="s">
        <v>176</v>
      </c>
      <c r="U99" s="900">
        <v>2000000</v>
      </c>
      <c r="V99" s="899">
        <v>0</v>
      </c>
      <c r="W99" s="899">
        <v>0</v>
      </c>
      <c r="X99" s="213">
        <v>88</v>
      </c>
      <c r="Y99" s="131" t="s">
        <v>168</v>
      </c>
      <c r="Z99" s="2402"/>
      <c r="AA99" s="2404"/>
      <c r="AB99" s="2402"/>
      <c r="AC99" s="2404"/>
      <c r="AD99" s="2402"/>
      <c r="AE99" s="2404"/>
      <c r="AF99" s="2402"/>
      <c r="AG99" s="2404"/>
      <c r="AH99" s="2402"/>
      <c r="AI99" s="2404"/>
      <c r="AJ99" s="2404"/>
      <c r="AK99" s="2404"/>
      <c r="AL99" s="2402"/>
      <c r="AM99" s="2404"/>
      <c r="AN99" s="2402"/>
      <c r="AO99" s="2404"/>
      <c r="AP99" s="2402"/>
      <c r="AQ99" s="2404"/>
      <c r="AR99" s="2402"/>
      <c r="AS99" s="2404"/>
      <c r="AT99" s="2402"/>
      <c r="AU99" s="2402"/>
      <c r="AV99" s="2402"/>
      <c r="AW99" s="2402"/>
      <c r="AX99" s="2402"/>
      <c r="AY99" s="2402"/>
      <c r="AZ99" s="2402"/>
      <c r="BA99" s="2402"/>
      <c r="BB99" s="2402"/>
      <c r="BC99" s="2402"/>
      <c r="BD99" s="2402"/>
      <c r="BE99" s="2402"/>
      <c r="BF99" s="2402"/>
      <c r="BG99" s="2532"/>
      <c r="BH99" s="2532"/>
      <c r="BI99" s="2332"/>
      <c r="BJ99" s="2364"/>
      <c r="BK99" s="2364"/>
      <c r="BL99" s="2406"/>
      <c r="BM99" s="2406"/>
      <c r="BN99" s="2362"/>
      <c r="BO99" s="2362"/>
      <c r="BP99" s="2402"/>
    </row>
    <row r="100" spans="1:68" ht="81" customHeight="1" x14ac:dyDescent="0.2">
      <c r="B100" s="212"/>
      <c r="C100" s="3"/>
      <c r="D100" s="211"/>
      <c r="E100" s="210"/>
      <c r="F100" s="3"/>
      <c r="G100" s="2524"/>
      <c r="H100" s="2359"/>
      <c r="I100" s="2526"/>
      <c r="J100" s="2528"/>
      <c r="K100" s="2521"/>
      <c r="L100" s="2521"/>
      <c r="M100" s="2456"/>
      <c r="N100" s="2521"/>
      <c r="O100" s="2526"/>
      <c r="P100" s="2443"/>
      <c r="Q100" s="2420"/>
      <c r="R100" s="2506"/>
      <c r="S100" s="2509"/>
      <c r="T100" s="214" t="s">
        <v>175</v>
      </c>
      <c r="U100" s="900">
        <v>2500000</v>
      </c>
      <c r="V100" s="899">
        <v>0</v>
      </c>
      <c r="W100" s="899">
        <v>0</v>
      </c>
      <c r="X100" s="213">
        <v>88</v>
      </c>
      <c r="Y100" s="131" t="s">
        <v>168</v>
      </c>
      <c r="Z100" s="2402"/>
      <c r="AA100" s="2404"/>
      <c r="AB100" s="2402"/>
      <c r="AC100" s="2404"/>
      <c r="AD100" s="2402"/>
      <c r="AE100" s="2404"/>
      <c r="AF100" s="2402"/>
      <c r="AG100" s="2404"/>
      <c r="AH100" s="2402"/>
      <c r="AI100" s="2404"/>
      <c r="AJ100" s="2404"/>
      <c r="AK100" s="2404"/>
      <c r="AL100" s="2402"/>
      <c r="AM100" s="2404"/>
      <c r="AN100" s="2402"/>
      <c r="AO100" s="2404"/>
      <c r="AP100" s="2402"/>
      <c r="AQ100" s="2404"/>
      <c r="AR100" s="2402"/>
      <c r="AS100" s="2404"/>
      <c r="AT100" s="2402"/>
      <c r="AU100" s="2402"/>
      <c r="AV100" s="2402"/>
      <c r="AW100" s="2402"/>
      <c r="AX100" s="2402"/>
      <c r="AY100" s="2402"/>
      <c r="AZ100" s="2402"/>
      <c r="BA100" s="2402"/>
      <c r="BB100" s="2402"/>
      <c r="BC100" s="2402"/>
      <c r="BD100" s="2402"/>
      <c r="BE100" s="2402"/>
      <c r="BF100" s="2402"/>
      <c r="BG100" s="2532"/>
      <c r="BH100" s="2532"/>
      <c r="BI100" s="2332"/>
      <c r="BJ100" s="2364"/>
      <c r="BK100" s="2364"/>
      <c r="BL100" s="2406"/>
      <c r="BM100" s="2406"/>
      <c r="BN100" s="2362"/>
      <c r="BO100" s="2362"/>
      <c r="BP100" s="2402"/>
    </row>
    <row r="101" spans="1:68" ht="81" customHeight="1" x14ac:dyDescent="0.2">
      <c r="B101" s="212"/>
      <c r="C101" s="3"/>
      <c r="D101" s="211"/>
      <c r="E101" s="210"/>
      <c r="F101" s="3"/>
      <c r="G101" s="2524"/>
      <c r="H101" s="2359"/>
      <c r="I101" s="2526"/>
      <c r="J101" s="2528"/>
      <c r="K101" s="2521"/>
      <c r="L101" s="2521"/>
      <c r="M101" s="2456"/>
      <c r="N101" s="2521"/>
      <c r="O101" s="2526"/>
      <c r="P101" s="2443"/>
      <c r="Q101" s="2420"/>
      <c r="R101" s="2506"/>
      <c r="S101" s="2509"/>
      <c r="T101" s="215" t="s">
        <v>174</v>
      </c>
      <c r="U101" s="901">
        <v>2000000</v>
      </c>
      <c r="V101" s="899">
        <v>0</v>
      </c>
      <c r="W101" s="899">
        <v>0</v>
      </c>
      <c r="X101" s="213">
        <v>88</v>
      </c>
      <c r="Y101" s="131" t="s">
        <v>168</v>
      </c>
      <c r="Z101" s="2402"/>
      <c r="AA101" s="2404"/>
      <c r="AB101" s="2402"/>
      <c r="AC101" s="2404"/>
      <c r="AD101" s="2402"/>
      <c r="AE101" s="2404"/>
      <c r="AF101" s="2402"/>
      <c r="AG101" s="2404"/>
      <c r="AH101" s="2402"/>
      <c r="AI101" s="2404"/>
      <c r="AJ101" s="2404"/>
      <c r="AK101" s="2404"/>
      <c r="AL101" s="2402"/>
      <c r="AM101" s="2404"/>
      <c r="AN101" s="2402"/>
      <c r="AO101" s="2404"/>
      <c r="AP101" s="2402"/>
      <c r="AQ101" s="2404"/>
      <c r="AR101" s="2402"/>
      <c r="AS101" s="2404"/>
      <c r="AT101" s="2402"/>
      <c r="AU101" s="2402"/>
      <c r="AV101" s="2402"/>
      <c r="AW101" s="2402"/>
      <c r="AX101" s="2402"/>
      <c r="AY101" s="2402"/>
      <c r="AZ101" s="2402"/>
      <c r="BA101" s="2402"/>
      <c r="BB101" s="2402"/>
      <c r="BC101" s="2402"/>
      <c r="BD101" s="2402"/>
      <c r="BE101" s="2402"/>
      <c r="BF101" s="2402"/>
      <c r="BG101" s="2532"/>
      <c r="BH101" s="2532"/>
      <c r="BI101" s="2332"/>
      <c r="BJ101" s="2364"/>
      <c r="BK101" s="2364"/>
      <c r="BL101" s="2406"/>
      <c r="BM101" s="2406"/>
      <c r="BN101" s="2362"/>
      <c r="BO101" s="2362"/>
      <c r="BP101" s="2402"/>
    </row>
    <row r="102" spans="1:68" ht="81" customHeight="1" x14ac:dyDescent="0.2">
      <c r="B102" s="212"/>
      <c r="C102" s="3"/>
      <c r="D102" s="211"/>
      <c r="E102" s="210"/>
      <c r="F102" s="3"/>
      <c r="G102" s="2524"/>
      <c r="H102" s="2359"/>
      <c r="I102" s="2526"/>
      <c r="J102" s="2528"/>
      <c r="K102" s="2521"/>
      <c r="L102" s="2521"/>
      <c r="M102" s="2456"/>
      <c r="N102" s="2521"/>
      <c r="O102" s="2526"/>
      <c r="P102" s="2443"/>
      <c r="Q102" s="2420"/>
      <c r="R102" s="2506"/>
      <c r="S102" s="2509"/>
      <c r="T102" s="214" t="s">
        <v>173</v>
      </c>
      <c r="U102" s="899">
        <v>2000000</v>
      </c>
      <c r="V102" s="899">
        <v>0</v>
      </c>
      <c r="W102" s="899">
        <v>0</v>
      </c>
      <c r="X102" s="213">
        <v>88</v>
      </c>
      <c r="Y102" s="131" t="s">
        <v>168</v>
      </c>
      <c r="Z102" s="2402"/>
      <c r="AA102" s="2404"/>
      <c r="AB102" s="2402"/>
      <c r="AC102" s="2404"/>
      <c r="AD102" s="2402"/>
      <c r="AE102" s="2404"/>
      <c r="AF102" s="2402"/>
      <c r="AG102" s="2404"/>
      <c r="AH102" s="2402"/>
      <c r="AI102" s="2404"/>
      <c r="AJ102" s="2404"/>
      <c r="AK102" s="2404"/>
      <c r="AL102" s="2402"/>
      <c r="AM102" s="2404"/>
      <c r="AN102" s="2402"/>
      <c r="AO102" s="2404"/>
      <c r="AP102" s="2402"/>
      <c r="AQ102" s="2404"/>
      <c r="AR102" s="2402"/>
      <c r="AS102" s="2404"/>
      <c r="AT102" s="2402"/>
      <c r="AU102" s="2402"/>
      <c r="AV102" s="2402"/>
      <c r="AW102" s="2402"/>
      <c r="AX102" s="2402"/>
      <c r="AY102" s="2402"/>
      <c r="AZ102" s="2402"/>
      <c r="BA102" s="2402"/>
      <c r="BB102" s="2402"/>
      <c r="BC102" s="2402"/>
      <c r="BD102" s="2402"/>
      <c r="BE102" s="2402"/>
      <c r="BF102" s="2402"/>
      <c r="BG102" s="2532"/>
      <c r="BH102" s="2532"/>
      <c r="BI102" s="2332"/>
      <c r="BJ102" s="2364"/>
      <c r="BK102" s="2364"/>
      <c r="BL102" s="2406"/>
      <c r="BM102" s="2406"/>
      <c r="BN102" s="2362"/>
      <c r="BO102" s="2362"/>
      <c r="BP102" s="2402"/>
    </row>
    <row r="103" spans="1:68" ht="81" customHeight="1" x14ac:dyDescent="0.2">
      <c r="B103" s="212"/>
      <c r="C103" s="3"/>
      <c r="D103" s="211"/>
      <c r="E103" s="210"/>
      <c r="F103" s="3"/>
      <c r="G103" s="2524"/>
      <c r="H103" s="2359"/>
      <c r="I103" s="2526"/>
      <c r="J103" s="2528"/>
      <c r="K103" s="2521"/>
      <c r="L103" s="2521"/>
      <c r="M103" s="2456"/>
      <c r="N103" s="2521"/>
      <c r="O103" s="2526"/>
      <c r="P103" s="2443"/>
      <c r="Q103" s="2420"/>
      <c r="R103" s="2506"/>
      <c r="S103" s="2509"/>
      <c r="T103" s="215" t="s">
        <v>172</v>
      </c>
      <c r="U103" s="901">
        <v>2000000</v>
      </c>
      <c r="V103" s="899">
        <v>0</v>
      </c>
      <c r="W103" s="899">
        <v>0</v>
      </c>
      <c r="X103" s="213">
        <v>88</v>
      </c>
      <c r="Y103" s="131" t="s">
        <v>168</v>
      </c>
      <c r="Z103" s="2402"/>
      <c r="AA103" s="2404"/>
      <c r="AB103" s="2402"/>
      <c r="AC103" s="2404"/>
      <c r="AD103" s="2402"/>
      <c r="AE103" s="2404"/>
      <c r="AF103" s="2402"/>
      <c r="AG103" s="2404"/>
      <c r="AH103" s="2402"/>
      <c r="AI103" s="2404"/>
      <c r="AJ103" s="2404"/>
      <c r="AK103" s="2404"/>
      <c r="AL103" s="2402"/>
      <c r="AM103" s="2404"/>
      <c r="AN103" s="2402"/>
      <c r="AO103" s="2404"/>
      <c r="AP103" s="2402"/>
      <c r="AQ103" s="2404"/>
      <c r="AR103" s="2402"/>
      <c r="AS103" s="2404"/>
      <c r="AT103" s="2402"/>
      <c r="AU103" s="2402"/>
      <c r="AV103" s="2402"/>
      <c r="AW103" s="2402"/>
      <c r="AX103" s="2402"/>
      <c r="AY103" s="2402"/>
      <c r="AZ103" s="2402"/>
      <c r="BA103" s="2402"/>
      <c r="BB103" s="2402"/>
      <c r="BC103" s="2402"/>
      <c r="BD103" s="2402"/>
      <c r="BE103" s="2402"/>
      <c r="BF103" s="2402"/>
      <c r="BG103" s="2532"/>
      <c r="BH103" s="2532"/>
      <c r="BI103" s="2332"/>
      <c r="BJ103" s="2364"/>
      <c r="BK103" s="2364"/>
      <c r="BL103" s="2406"/>
      <c r="BM103" s="2406"/>
      <c r="BN103" s="2362"/>
      <c r="BO103" s="2362"/>
      <c r="BP103" s="2402"/>
    </row>
    <row r="104" spans="1:68" ht="81" customHeight="1" x14ac:dyDescent="0.2">
      <c r="B104" s="212"/>
      <c r="C104" s="3"/>
      <c r="D104" s="211"/>
      <c r="E104" s="210"/>
      <c r="F104" s="3"/>
      <c r="G104" s="2524"/>
      <c r="H104" s="2359"/>
      <c r="I104" s="2526"/>
      <c r="J104" s="2528"/>
      <c r="K104" s="2521"/>
      <c r="L104" s="2521"/>
      <c r="M104" s="2456"/>
      <c r="N104" s="2521"/>
      <c r="O104" s="2526"/>
      <c r="P104" s="2443"/>
      <c r="Q104" s="2420"/>
      <c r="R104" s="2506"/>
      <c r="S104" s="2509"/>
      <c r="T104" s="214" t="s">
        <v>171</v>
      </c>
      <c r="U104" s="899">
        <v>1200000</v>
      </c>
      <c r="V104" s="899">
        <v>0</v>
      </c>
      <c r="W104" s="899">
        <v>0</v>
      </c>
      <c r="X104" s="213">
        <v>88</v>
      </c>
      <c r="Y104" s="131" t="s">
        <v>168</v>
      </c>
      <c r="Z104" s="2402"/>
      <c r="AA104" s="2404"/>
      <c r="AB104" s="2402"/>
      <c r="AC104" s="2404"/>
      <c r="AD104" s="2402"/>
      <c r="AE104" s="2404"/>
      <c r="AF104" s="2402"/>
      <c r="AG104" s="2404"/>
      <c r="AH104" s="2402"/>
      <c r="AI104" s="2404"/>
      <c r="AJ104" s="2404"/>
      <c r="AK104" s="2404"/>
      <c r="AL104" s="2402"/>
      <c r="AM104" s="2404"/>
      <c r="AN104" s="2402"/>
      <c r="AO104" s="2404"/>
      <c r="AP104" s="2402"/>
      <c r="AQ104" s="2404"/>
      <c r="AR104" s="2402"/>
      <c r="AS104" s="2404"/>
      <c r="AT104" s="2402"/>
      <c r="AU104" s="2402"/>
      <c r="AV104" s="2402"/>
      <c r="AW104" s="2402"/>
      <c r="AX104" s="2402"/>
      <c r="AY104" s="2402"/>
      <c r="AZ104" s="2402"/>
      <c r="BA104" s="2402"/>
      <c r="BB104" s="2402"/>
      <c r="BC104" s="2402"/>
      <c r="BD104" s="2402"/>
      <c r="BE104" s="2402"/>
      <c r="BF104" s="2402"/>
      <c r="BG104" s="2532"/>
      <c r="BH104" s="2532"/>
      <c r="BI104" s="2332"/>
      <c r="BJ104" s="2364"/>
      <c r="BK104" s="2364"/>
      <c r="BL104" s="2406"/>
      <c r="BM104" s="2406"/>
      <c r="BN104" s="2362"/>
      <c r="BO104" s="2362"/>
      <c r="BP104" s="2402"/>
    </row>
    <row r="105" spans="1:68" ht="81" customHeight="1" x14ac:dyDescent="0.2">
      <c r="B105" s="212"/>
      <c r="C105" s="3"/>
      <c r="D105" s="211"/>
      <c r="E105" s="210"/>
      <c r="F105" s="3"/>
      <c r="G105" s="2524"/>
      <c r="H105" s="2359"/>
      <c r="I105" s="2526"/>
      <c r="J105" s="2528"/>
      <c r="K105" s="2521"/>
      <c r="L105" s="2521"/>
      <c r="M105" s="2456"/>
      <c r="N105" s="2521"/>
      <c r="O105" s="2526"/>
      <c r="P105" s="2443"/>
      <c r="Q105" s="2420"/>
      <c r="R105" s="2506"/>
      <c r="S105" s="2509"/>
      <c r="T105" s="214" t="s">
        <v>170</v>
      </c>
      <c r="U105" s="899">
        <v>1300000</v>
      </c>
      <c r="V105" s="899">
        <v>0</v>
      </c>
      <c r="W105" s="899">
        <v>0</v>
      </c>
      <c r="X105" s="213">
        <v>88</v>
      </c>
      <c r="Y105" s="131" t="s">
        <v>168</v>
      </c>
      <c r="Z105" s="2402"/>
      <c r="AA105" s="2404"/>
      <c r="AB105" s="2402"/>
      <c r="AC105" s="2404"/>
      <c r="AD105" s="2402"/>
      <c r="AE105" s="2404"/>
      <c r="AF105" s="2402"/>
      <c r="AG105" s="2404"/>
      <c r="AH105" s="2402"/>
      <c r="AI105" s="2404"/>
      <c r="AJ105" s="2404"/>
      <c r="AK105" s="2404"/>
      <c r="AL105" s="2402"/>
      <c r="AM105" s="2404"/>
      <c r="AN105" s="2402"/>
      <c r="AO105" s="2404"/>
      <c r="AP105" s="2402"/>
      <c r="AQ105" s="2404"/>
      <c r="AR105" s="2402"/>
      <c r="AS105" s="2404"/>
      <c r="AT105" s="2402"/>
      <c r="AU105" s="2402"/>
      <c r="AV105" s="2402"/>
      <c r="AW105" s="2402"/>
      <c r="AX105" s="2402"/>
      <c r="AY105" s="2402"/>
      <c r="AZ105" s="2402"/>
      <c r="BA105" s="2402"/>
      <c r="BB105" s="2402"/>
      <c r="BC105" s="2402"/>
      <c r="BD105" s="2402"/>
      <c r="BE105" s="2402"/>
      <c r="BF105" s="2402"/>
      <c r="BG105" s="2532"/>
      <c r="BH105" s="2532"/>
      <c r="BI105" s="2332"/>
      <c r="BJ105" s="2364"/>
      <c r="BK105" s="2364"/>
      <c r="BL105" s="2406"/>
      <c r="BM105" s="2406"/>
      <c r="BN105" s="2362"/>
      <c r="BO105" s="2362"/>
      <c r="BP105" s="2402"/>
    </row>
    <row r="106" spans="1:68" ht="81" customHeight="1" x14ac:dyDescent="0.2">
      <c r="B106" s="212"/>
      <c r="C106" s="3"/>
      <c r="D106" s="211"/>
      <c r="E106" s="210"/>
      <c r="F106" s="3"/>
      <c r="G106" s="2525"/>
      <c r="H106" s="2360"/>
      <c r="I106" s="2492"/>
      <c r="J106" s="2529"/>
      <c r="K106" s="2520"/>
      <c r="L106" s="2520"/>
      <c r="M106" s="2457"/>
      <c r="N106" s="2520"/>
      <c r="O106" s="2492"/>
      <c r="P106" s="2444"/>
      <c r="Q106" s="2421"/>
      <c r="R106" s="2507"/>
      <c r="S106" s="2510"/>
      <c r="T106" s="209" t="s">
        <v>169</v>
      </c>
      <c r="U106" s="898"/>
      <c r="V106" s="899">
        <v>0</v>
      </c>
      <c r="W106" s="899">
        <v>0</v>
      </c>
      <c r="X106" s="208">
        <v>88</v>
      </c>
      <c r="Y106" s="131" t="s">
        <v>168</v>
      </c>
      <c r="Z106" s="2511"/>
      <c r="AA106" s="2405"/>
      <c r="AB106" s="2402"/>
      <c r="AC106" s="2405"/>
      <c r="AD106" s="2402"/>
      <c r="AE106" s="2405"/>
      <c r="AF106" s="2402"/>
      <c r="AG106" s="2405"/>
      <c r="AH106" s="2402"/>
      <c r="AI106" s="2405"/>
      <c r="AJ106" s="2405"/>
      <c r="AK106" s="2405"/>
      <c r="AL106" s="2402"/>
      <c r="AM106" s="2405"/>
      <c r="AN106" s="2402"/>
      <c r="AO106" s="2405"/>
      <c r="AP106" s="2402"/>
      <c r="AQ106" s="2405"/>
      <c r="AR106" s="2402"/>
      <c r="AS106" s="2405"/>
      <c r="AT106" s="2402"/>
      <c r="AU106" s="2511"/>
      <c r="AV106" s="2511"/>
      <c r="AW106" s="2511"/>
      <c r="AX106" s="2511"/>
      <c r="AY106" s="2511"/>
      <c r="AZ106" s="2511"/>
      <c r="BA106" s="2511"/>
      <c r="BB106" s="2511"/>
      <c r="BC106" s="2511"/>
      <c r="BD106" s="2511"/>
      <c r="BE106" s="2511"/>
      <c r="BF106" s="2511"/>
      <c r="BG106" s="2533"/>
      <c r="BH106" s="2533"/>
      <c r="BI106" s="2534"/>
      <c r="BJ106" s="2549"/>
      <c r="BK106" s="2549"/>
      <c r="BL106" s="2406"/>
      <c r="BM106" s="2406"/>
      <c r="BN106" s="2363"/>
      <c r="BO106" s="2363"/>
      <c r="BP106" s="2402"/>
    </row>
    <row r="107" spans="1:68" ht="30.75" customHeight="1" x14ac:dyDescent="0.2">
      <c r="A107" s="127"/>
      <c r="B107" s="207"/>
      <c r="C107" s="206"/>
      <c r="D107" s="204"/>
      <c r="E107" s="125"/>
      <c r="F107" s="206"/>
      <c r="G107" s="6"/>
      <c r="H107" s="205"/>
      <c r="I107" s="140"/>
      <c r="J107" s="204"/>
      <c r="K107" s="204"/>
      <c r="L107" s="204"/>
      <c r="M107" s="66"/>
      <c r="N107" s="7"/>
      <c r="O107" s="66"/>
      <c r="P107" s="203"/>
      <c r="Q107" s="860">
        <f>SUM(Q12:Q82)</f>
        <v>677628511</v>
      </c>
      <c r="R107" s="140"/>
      <c r="S107" s="140"/>
      <c r="T107" s="202"/>
      <c r="U107" s="860">
        <f>SUM(U10:U106)</f>
        <v>677628511</v>
      </c>
      <c r="V107" s="860">
        <f>SUM(V10:V106)</f>
        <v>434418332</v>
      </c>
      <c r="W107" s="860">
        <f>SUM(W10:W106)</f>
        <v>250818332</v>
      </c>
      <c r="X107" s="201"/>
      <c r="Y107" s="66"/>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860">
        <f>SUM(BG10:BG106)</f>
        <v>434418332</v>
      </c>
      <c r="BH107" s="860">
        <f>SUM(BH10:BH106)</f>
        <v>250818332</v>
      </c>
      <c r="BI107" s="7"/>
      <c r="BJ107" s="66"/>
      <c r="BK107" s="66"/>
      <c r="BL107" s="138"/>
      <c r="BM107" s="138"/>
      <c r="BN107" s="139"/>
      <c r="BO107" s="139"/>
      <c r="BP107" s="140"/>
    </row>
    <row r="108" spans="1:68" ht="15.75" x14ac:dyDescent="0.2">
      <c r="G108" s="12"/>
      <c r="H108" s="12"/>
      <c r="I108" s="151"/>
      <c r="J108" s="1"/>
      <c r="K108" s="1"/>
      <c r="L108" s="1"/>
      <c r="M108" s="2"/>
      <c r="N108" s="142"/>
      <c r="O108" s="2"/>
      <c r="P108" s="152"/>
      <c r="Q108" s="199"/>
      <c r="R108" s="151"/>
      <c r="S108" s="151"/>
      <c r="T108" s="198"/>
      <c r="U108" s="197"/>
      <c r="V108" s="197"/>
      <c r="W108" s="197"/>
      <c r="X108" s="155"/>
      <c r="Y108" s="2"/>
    </row>
    <row r="109" spans="1:68" ht="15.75" x14ac:dyDescent="0.2">
      <c r="G109" s="12"/>
      <c r="H109" s="12"/>
      <c r="I109" s="151"/>
      <c r="J109" s="1"/>
      <c r="K109" s="1"/>
      <c r="L109" s="1"/>
      <c r="M109" s="2"/>
      <c r="N109" s="142"/>
      <c r="O109" s="2"/>
      <c r="P109" s="152"/>
      <c r="Q109" s="199"/>
      <c r="R109" s="151"/>
      <c r="S109" s="151"/>
      <c r="T109" s="198"/>
      <c r="U109" s="197"/>
      <c r="V109" s="197"/>
      <c r="W109" s="197"/>
      <c r="X109" s="155"/>
      <c r="Y109" s="2"/>
    </row>
    <row r="110" spans="1:68" ht="15.75" x14ac:dyDescent="0.2">
      <c r="G110" s="12"/>
      <c r="H110" s="12"/>
      <c r="I110" s="151"/>
      <c r="J110" s="1"/>
      <c r="K110" s="1"/>
      <c r="L110" s="1"/>
      <c r="M110" s="2"/>
      <c r="N110" s="142"/>
      <c r="O110" s="2"/>
      <c r="P110" s="152"/>
      <c r="Q110" s="199"/>
      <c r="R110" s="151"/>
      <c r="S110" s="151"/>
      <c r="T110" s="198"/>
      <c r="U110" s="197"/>
      <c r="V110" s="197"/>
      <c r="W110" s="197"/>
      <c r="X110" s="155"/>
      <c r="Y110" s="2"/>
    </row>
    <row r="111" spans="1:68" ht="15.75" x14ac:dyDescent="0.2">
      <c r="B111" s="125"/>
      <c r="C111" s="125"/>
      <c r="D111" s="125"/>
      <c r="E111" s="125"/>
      <c r="F111" s="125"/>
      <c r="G111" s="200"/>
      <c r="H111" s="12"/>
      <c r="I111" s="151"/>
      <c r="J111" s="1"/>
      <c r="K111" s="1"/>
      <c r="L111" s="1"/>
      <c r="M111" s="2"/>
      <c r="N111" s="142"/>
      <c r="O111" s="2"/>
      <c r="P111" s="152"/>
      <c r="Q111" s="199"/>
      <c r="R111" s="151"/>
      <c r="S111" s="151"/>
      <c r="T111" s="198"/>
      <c r="U111" s="197"/>
      <c r="V111" s="197"/>
      <c r="W111" s="197"/>
      <c r="X111" s="155"/>
      <c r="Y111" s="2"/>
    </row>
    <row r="112" spans="1:68" ht="31.5" customHeight="1" x14ac:dyDescent="0.25">
      <c r="B112" s="156" t="s">
        <v>167</v>
      </c>
      <c r="C112" s="158"/>
      <c r="I112" s="1"/>
    </row>
    <row r="113" spans="1:87" ht="33" customHeight="1" x14ac:dyDescent="0.25">
      <c r="B113" s="156" t="s">
        <v>166</v>
      </c>
      <c r="C113" s="158"/>
      <c r="I113" s="1"/>
    </row>
    <row r="114" spans="1:87" s="148" customFormat="1" ht="27" customHeight="1" x14ac:dyDescent="0.2">
      <c r="A114" s="141"/>
      <c r="B114" s="1"/>
      <c r="C114" s="1"/>
      <c r="D114" s="1"/>
      <c r="E114" s="1"/>
      <c r="F114" s="1"/>
      <c r="G114" s="1"/>
      <c r="H114" s="1"/>
      <c r="I114" s="158"/>
      <c r="J114" s="18"/>
      <c r="K114" s="18"/>
      <c r="L114" s="18"/>
      <c r="M114" s="143"/>
      <c r="N114" s="144"/>
      <c r="O114" s="143"/>
      <c r="P114" s="145"/>
      <c r="Q114" s="163"/>
      <c r="R114" s="158"/>
      <c r="S114" s="158"/>
      <c r="T114" s="195"/>
      <c r="U114" s="194"/>
      <c r="V114" s="194"/>
      <c r="W114" s="194"/>
      <c r="X114" s="196"/>
      <c r="Y114" s="143"/>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2"/>
      <c r="BK114" s="2"/>
      <c r="BL114" s="149"/>
      <c r="BM114" s="149"/>
      <c r="BN114" s="150"/>
      <c r="BO114" s="150"/>
      <c r="BP114" s="151"/>
      <c r="BQ114" s="1"/>
      <c r="BR114" s="1"/>
      <c r="BS114" s="1"/>
      <c r="BT114" s="1"/>
      <c r="BU114" s="1"/>
      <c r="BV114" s="1"/>
      <c r="BW114" s="1"/>
      <c r="BX114" s="1"/>
      <c r="BY114" s="1"/>
      <c r="BZ114" s="1"/>
      <c r="CA114" s="1"/>
      <c r="CB114" s="1"/>
      <c r="CC114" s="1"/>
      <c r="CD114" s="1"/>
      <c r="CE114" s="1"/>
      <c r="CF114" s="1"/>
      <c r="CG114" s="1"/>
      <c r="CH114" s="1"/>
      <c r="CI114" s="1"/>
    </row>
  </sheetData>
  <sheetProtection password="A60F" sheet="1" objects="1" scenarios="1"/>
  <mergeCells count="469">
    <mergeCell ref="AT79:AT106"/>
    <mergeCell ref="AV79:AV106"/>
    <mergeCell ref="AM79:AM106"/>
    <mergeCell ref="AO79:AO106"/>
    <mergeCell ref="AQ79:AQ106"/>
    <mergeCell ref="AS79:AS106"/>
    <mergeCell ref="AY70:AY78"/>
    <mergeCell ref="BA70:BA78"/>
    <mergeCell ref="BC70:BC78"/>
    <mergeCell ref="AU70:AU78"/>
    <mergeCell ref="AW70:AW78"/>
    <mergeCell ref="AU79:AU106"/>
    <mergeCell ref="AW79:AW106"/>
    <mergeCell ref="AY79:AY106"/>
    <mergeCell ref="BA79:BA106"/>
    <mergeCell ref="BC79:BC106"/>
    <mergeCell ref="AN70:AN78"/>
    <mergeCell ref="AP70:AP78"/>
    <mergeCell ref="AR70:AR78"/>
    <mergeCell ref="AX70:AX78"/>
    <mergeCell ref="AZ70:AZ78"/>
    <mergeCell ref="BB70:BB78"/>
    <mergeCell ref="AR79:AR106"/>
    <mergeCell ref="AQ70:AQ78"/>
    <mergeCell ref="BE79:BE106"/>
    <mergeCell ref="A1:BN4"/>
    <mergeCell ref="BJ79:BJ106"/>
    <mergeCell ref="BK79:BK106"/>
    <mergeCell ref="BJ70:BJ78"/>
    <mergeCell ref="BF70:BF78"/>
    <mergeCell ref="BG70:BG78"/>
    <mergeCell ref="BH70:BH78"/>
    <mergeCell ref="BI70:BI78"/>
    <mergeCell ref="BK70:BK78"/>
    <mergeCell ref="BE70:BE78"/>
    <mergeCell ref="AA37:AA44"/>
    <mergeCell ref="AC37:AC44"/>
    <mergeCell ref="AE37:AE44"/>
    <mergeCell ref="BK53:BK69"/>
    <mergeCell ref="AU53:AU69"/>
    <mergeCell ref="AS25:AS36"/>
    <mergeCell ref="AJ37:AJ44"/>
    <mergeCell ref="AQ25:AQ36"/>
    <mergeCell ref="AK45:AK52"/>
    <mergeCell ref="AM45:AM52"/>
    <mergeCell ref="AO45:AO52"/>
    <mergeCell ref="AF37:AF44"/>
    <mergeCell ref="AH37:AH44"/>
    <mergeCell ref="BK8:BK9"/>
    <mergeCell ref="BF7:BK7"/>
    <mergeCell ref="BF8:BF9"/>
    <mergeCell ref="BG8:BG9"/>
    <mergeCell ref="BH8:BH9"/>
    <mergeCell ref="AH8:AI8"/>
    <mergeCell ref="AJ8:AK8"/>
    <mergeCell ref="AF25:AF36"/>
    <mergeCell ref="AJ25:AJ36"/>
    <mergeCell ref="AH25:AH36"/>
    <mergeCell ref="AD7:AK7"/>
    <mergeCell ref="AL7:AW7"/>
    <mergeCell ref="AK12:AK23"/>
    <mergeCell ref="AM12:AM23"/>
    <mergeCell ref="AO12:AO23"/>
    <mergeCell ref="AL25:AL36"/>
    <mergeCell ref="AN25:AN36"/>
    <mergeCell ref="AP25:AP36"/>
    <mergeCell ref="AT25:AT36"/>
    <mergeCell ref="AT12:AT23"/>
    <mergeCell ref="AD25:AD36"/>
    <mergeCell ref="AE25:AE36"/>
    <mergeCell ref="AI25:AI36"/>
    <mergeCell ref="AK25:AK36"/>
    <mergeCell ref="BH25:BH36"/>
    <mergeCell ref="AV25:AV36"/>
    <mergeCell ref="AX25:AX36"/>
    <mergeCell ref="AZ25:AZ36"/>
    <mergeCell ref="BE45:BE52"/>
    <mergeCell ref="AX45:AX52"/>
    <mergeCell ref="BC37:BC44"/>
    <mergeCell ref="AX7:BC7"/>
    <mergeCell ref="AL8:AM8"/>
    <mergeCell ref="AN8:AO8"/>
    <mergeCell ref="AP8:AQ8"/>
    <mergeCell ref="AR8:AS8"/>
    <mergeCell ref="AT8:AU8"/>
    <mergeCell ref="AV8:AW8"/>
    <mergeCell ref="BB8:BC8"/>
    <mergeCell ref="AV37:AV44"/>
    <mergeCell ref="AU37:AU44"/>
    <mergeCell ref="AM25:AM36"/>
    <mergeCell ref="AO25:AO36"/>
    <mergeCell ref="AZ45:AZ52"/>
    <mergeCell ref="BB45:BB52"/>
    <mergeCell ref="AW45:AW52"/>
    <mergeCell ref="AY45:AY52"/>
    <mergeCell ref="BA45:BA52"/>
    <mergeCell ref="BO53:BO69"/>
    <mergeCell ref="BO70:BO78"/>
    <mergeCell ref="BO79:BO106"/>
    <mergeCell ref="BI45:BI52"/>
    <mergeCell ref="BL25:BL36"/>
    <mergeCell ref="BI25:BI36"/>
    <mergeCell ref="BN37:BN44"/>
    <mergeCell ref="BL70:BL78"/>
    <mergeCell ref="BN70:BN78"/>
    <mergeCell ref="BN53:BN69"/>
    <mergeCell ref="BL45:BL52"/>
    <mergeCell ref="BN45:BN52"/>
    <mergeCell ref="BM70:BM78"/>
    <mergeCell ref="BJ45:BJ52"/>
    <mergeCell ref="BK45:BK52"/>
    <mergeCell ref="BM25:BM36"/>
    <mergeCell ref="BM37:BM44"/>
    <mergeCell ref="BM45:BM52"/>
    <mergeCell ref="BJ25:BJ36"/>
    <mergeCell ref="BK25:BK36"/>
    <mergeCell ref="BK37:BK44"/>
    <mergeCell ref="BL53:BL69"/>
    <mergeCell ref="BI37:BI44"/>
    <mergeCell ref="BN25:BN36"/>
    <mergeCell ref="BP25:BP36"/>
    <mergeCell ref="AA12:AA23"/>
    <mergeCell ref="AC12:AC23"/>
    <mergeCell ref="AE12:AE23"/>
    <mergeCell ref="AG12:AG23"/>
    <mergeCell ref="AI12:AI23"/>
    <mergeCell ref="AX79:AX106"/>
    <mergeCell ref="AZ79:AZ106"/>
    <mergeCell ref="BB79:BB106"/>
    <mergeCell ref="BD79:BD106"/>
    <mergeCell ref="BL79:BL106"/>
    <mergeCell ref="BN79:BN106"/>
    <mergeCell ref="BF79:BF106"/>
    <mergeCell ref="BG79:BG106"/>
    <mergeCell ref="BH79:BH106"/>
    <mergeCell ref="BI79:BI106"/>
    <mergeCell ref="BP79:BP106"/>
    <mergeCell ref="AB79:AB106"/>
    <mergeCell ref="AD79:AD106"/>
    <mergeCell ref="AF79:AF106"/>
    <mergeCell ref="BM79:BM106"/>
    <mergeCell ref="BO12:BO23"/>
    <mergeCell ref="BO25:BO36"/>
    <mergeCell ref="AE79:AE106"/>
    <mergeCell ref="AL79:AL106"/>
    <mergeCell ref="AN79:AN106"/>
    <mergeCell ref="AP79:AP106"/>
    <mergeCell ref="AE70:AE78"/>
    <mergeCell ref="AG70:AG78"/>
    <mergeCell ref="AI70:AI78"/>
    <mergeCell ref="AA70:AA78"/>
    <mergeCell ref="AC70:AC78"/>
    <mergeCell ref="AI79:AI106"/>
    <mergeCell ref="AK79:AK106"/>
    <mergeCell ref="AH79:AH106"/>
    <mergeCell ref="AJ79:AJ106"/>
    <mergeCell ref="AA79:AA106"/>
    <mergeCell ref="AC79:AC106"/>
    <mergeCell ref="AH70:AH78"/>
    <mergeCell ref="AJ70:AJ78"/>
    <mergeCell ref="AL70:AL78"/>
    <mergeCell ref="AK70:AK78"/>
    <mergeCell ref="AM70:AM78"/>
    <mergeCell ref="AO70:AO78"/>
    <mergeCell ref="AG79:AG106"/>
    <mergeCell ref="AB70:AB78"/>
    <mergeCell ref="AD70:AD78"/>
    <mergeCell ref="AF70:AF78"/>
    <mergeCell ref="G79:G106"/>
    <mergeCell ref="H79:H106"/>
    <mergeCell ref="I79:I106"/>
    <mergeCell ref="J79:J106"/>
    <mergeCell ref="K79:K106"/>
    <mergeCell ref="M79:M106"/>
    <mergeCell ref="O70:O78"/>
    <mergeCell ref="P70:P72"/>
    <mergeCell ref="Q70:Q78"/>
    <mergeCell ref="P75:P76"/>
    <mergeCell ref="L79:L106"/>
    <mergeCell ref="N79:N106"/>
    <mergeCell ref="O79:O106"/>
    <mergeCell ref="P79:P106"/>
    <mergeCell ref="Q79:Q106"/>
    <mergeCell ref="N70:N78"/>
    <mergeCell ref="L70:L72"/>
    <mergeCell ref="L75:L76"/>
    <mergeCell ref="R79:R106"/>
    <mergeCell ref="S79:S106"/>
    <mergeCell ref="Z79:Z106"/>
    <mergeCell ref="T75:T76"/>
    <mergeCell ref="R70:R78"/>
    <mergeCell ref="S70:S78"/>
    <mergeCell ref="BP70:BP78"/>
    <mergeCell ref="B74:C74"/>
    <mergeCell ref="E74:F74"/>
    <mergeCell ref="G75:G76"/>
    <mergeCell ref="H75:H76"/>
    <mergeCell ref="I75:I76"/>
    <mergeCell ref="J75:J76"/>
    <mergeCell ref="K75:K76"/>
    <mergeCell ref="AT70:AT78"/>
    <mergeCell ref="AV70:AV78"/>
    <mergeCell ref="B70:C70"/>
    <mergeCell ref="E70:F70"/>
    <mergeCell ref="G70:G72"/>
    <mergeCell ref="H70:H72"/>
    <mergeCell ref="I70:I72"/>
    <mergeCell ref="J70:J72"/>
    <mergeCell ref="K70:K72"/>
    <mergeCell ref="M70:M78"/>
    <mergeCell ref="BD70:BD78"/>
    <mergeCell ref="AS70:AS78"/>
    <mergeCell ref="Z70:Z78"/>
    <mergeCell ref="BG53:BG69"/>
    <mergeCell ref="BH53:BH69"/>
    <mergeCell ref="BI53:BI69"/>
    <mergeCell ref="BJ53:BJ69"/>
    <mergeCell ref="AJ53:AJ69"/>
    <mergeCell ref="AL53:AL69"/>
    <mergeCell ref="AN53:AN69"/>
    <mergeCell ref="AP53:AP69"/>
    <mergeCell ref="AR53:AR69"/>
    <mergeCell ref="AW53:AW69"/>
    <mergeCell ref="AY53:AY69"/>
    <mergeCell ref="BA53:BA69"/>
    <mergeCell ref="BC53:BC69"/>
    <mergeCell ref="BE53:BE69"/>
    <mergeCell ref="AT53:AT69"/>
    <mergeCell ref="AQ53:AQ69"/>
    <mergeCell ref="AS53:AS69"/>
    <mergeCell ref="AO53:AO69"/>
    <mergeCell ref="AK53:AK69"/>
    <mergeCell ref="AM53:AM69"/>
    <mergeCell ref="BF53:BF69"/>
    <mergeCell ref="BP53:BP69"/>
    <mergeCell ref="T55:T56"/>
    <mergeCell ref="T57:T58"/>
    <mergeCell ref="T59:T60"/>
    <mergeCell ref="T61:T62"/>
    <mergeCell ref="T63:T64"/>
    <mergeCell ref="T66:T67"/>
    <mergeCell ref="T68:T69"/>
    <mergeCell ref="BM53:BM69"/>
    <mergeCell ref="AV53:AV69"/>
    <mergeCell ref="T53:T54"/>
    <mergeCell ref="Z53:Z69"/>
    <mergeCell ref="AB53:AB69"/>
    <mergeCell ref="AD53:AD69"/>
    <mergeCell ref="AF53:AF69"/>
    <mergeCell ref="AH53:AH69"/>
    <mergeCell ref="AA53:AA69"/>
    <mergeCell ref="AC53:AC69"/>
    <mergeCell ref="AE53:AE69"/>
    <mergeCell ref="AG53:AG69"/>
    <mergeCell ref="AX53:AX69"/>
    <mergeCell ref="AZ53:AZ69"/>
    <mergeCell ref="BB53:BB69"/>
    <mergeCell ref="BD53:BD69"/>
    <mergeCell ref="AI53:AI69"/>
    <mergeCell ref="G53:G69"/>
    <mergeCell ref="H53:H69"/>
    <mergeCell ref="I53:I69"/>
    <mergeCell ref="J53:J69"/>
    <mergeCell ref="K53:K69"/>
    <mergeCell ref="M53:M69"/>
    <mergeCell ref="N53:N69"/>
    <mergeCell ref="O53:O69"/>
    <mergeCell ref="P53:P69"/>
    <mergeCell ref="L53:L69"/>
    <mergeCell ref="Q53:Q69"/>
    <mergeCell ref="R53:R69"/>
    <mergeCell ref="S53:S69"/>
    <mergeCell ref="BP37:BP44"/>
    <mergeCell ref="AQ45:AQ52"/>
    <mergeCell ref="AS45:AS52"/>
    <mergeCell ref="AU45:AU52"/>
    <mergeCell ref="AA45:AA52"/>
    <mergeCell ref="AC45:AC52"/>
    <mergeCell ref="AE45:AE52"/>
    <mergeCell ref="AG45:AG52"/>
    <mergeCell ref="AI45:AI52"/>
    <mergeCell ref="AD45:AD52"/>
    <mergeCell ref="BO45:BO52"/>
    <mergeCell ref="AL45:AL52"/>
    <mergeCell ref="AN45:AN52"/>
    <mergeCell ref="AP45:AP52"/>
    <mergeCell ref="AV45:AV52"/>
    <mergeCell ref="BP45:BP52"/>
    <mergeCell ref="BD45:BD52"/>
    <mergeCell ref="BF45:BF52"/>
    <mergeCell ref="BG45:BG52"/>
    <mergeCell ref="BH45:BH52"/>
    <mergeCell ref="AF45:AF52"/>
    <mergeCell ref="AH45:AH52"/>
    <mergeCell ref="AJ45:AJ52"/>
    <mergeCell ref="BL37:BL44"/>
    <mergeCell ref="O45:O52"/>
    <mergeCell ref="P45:P52"/>
    <mergeCell ref="Q45:Q52"/>
    <mergeCell ref="R45:R52"/>
    <mergeCell ref="S45:S52"/>
    <mergeCell ref="T45:T46"/>
    <mergeCell ref="T47:T48"/>
    <mergeCell ref="BC45:BC52"/>
    <mergeCell ref="AR45:AR52"/>
    <mergeCell ref="AT45:AT52"/>
    <mergeCell ref="Z45:Z52"/>
    <mergeCell ref="AB45:AB52"/>
    <mergeCell ref="Z37:Z44"/>
    <mergeCell ref="BE37:BE44"/>
    <mergeCell ref="BO37:BO44"/>
    <mergeCell ref="AI37:AI44"/>
    <mergeCell ref="AK37:AK44"/>
    <mergeCell ref="AM37:AM44"/>
    <mergeCell ref="AO37:AO44"/>
    <mergeCell ref="AQ37:AQ44"/>
    <mergeCell ref="AS37:AS44"/>
    <mergeCell ref="AW37:AW44"/>
    <mergeCell ref="AY37:AY44"/>
    <mergeCell ref="BA37:BA44"/>
    <mergeCell ref="AN37:AN44"/>
    <mergeCell ref="AP37:AP44"/>
    <mergeCell ref="AR37:AR44"/>
    <mergeCell ref="AT37:AT44"/>
    <mergeCell ref="AL37:AL44"/>
    <mergeCell ref="BG37:BG44"/>
    <mergeCell ref="BF37:BF44"/>
    <mergeCell ref="BH37:BH44"/>
    <mergeCell ref="AD37:AD44"/>
    <mergeCell ref="AG37:AG44"/>
    <mergeCell ref="BJ37:BJ44"/>
    <mergeCell ref="T43:T44"/>
    <mergeCell ref="G25:G36"/>
    <mergeCell ref="H25:H36"/>
    <mergeCell ref="I25:I36"/>
    <mergeCell ref="J25:J36"/>
    <mergeCell ref="K25:K36"/>
    <mergeCell ref="M25:M36"/>
    <mergeCell ref="N25:N36"/>
    <mergeCell ref="L25:L36"/>
    <mergeCell ref="N45:N52"/>
    <mergeCell ref="Q37:Q44"/>
    <mergeCell ref="R37:R44"/>
    <mergeCell ref="S37:S44"/>
    <mergeCell ref="AB37:AB44"/>
    <mergeCell ref="Q25:Q36"/>
    <mergeCell ref="R25:R36"/>
    <mergeCell ref="S25:S36"/>
    <mergeCell ref="BE25:BE36"/>
    <mergeCell ref="AC25:AC36"/>
    <mergeCell ref="AX37:AX44"/>
    <mergeCell ref="AZ37:AZ44"/>
    <mergeCell ref="BB37:BB44"/>
    <mergeCell ref="BD37:BD44"/>
    <mergeCell ref="N37:N44"/>
    <mergeCell ref="O37:O44"/>
    <mergeCell ref="P37:P44"/>
    <mergeCell ref="AR25:AR36"/>
    <mergeCell ref="BB25:BB36"/>
    <mergeCell ref="BD25:BD36"/>
    <mergeCell ref="AA25:AA36"/>
    <mergeCell ref="Z25:Z36"/>
    <mergeCell ref="AB25:AB36"/>
    <mergeCell ref="T41:T42"/>
    <mergeCell ref="G45:G52"/>
    <mergeCell ref="H45:H52"/>
    <mergeCell ref="I45:I52"/>
    <mergeCell ref="J45:J52"/>
    <mergeCell ref="K45:K52"/>
    <mergeCell ref="M45:M52"/>
    <mergeCell ref="G37:G44"/>
    <mergeCell ref="H37:H44"/>
    <mergeCell ref="I37:I44"/>
    <mergeCell ref="J37:J44"/>
    <mergeCell ref="K37:K44"/>
    <mergeCell ref="M37:M44"/>
    <mergeCell ref="L37:L44"/>
    <mergeCell ref="L45:L52"/>
    <mergeCell ref="BJ8:BJ9"/>
    <mergeCell ref="AX8:AY8"/>
    <mergeCell ref="AZ8:BA8"/>
    <mergeCell ref="Q7:Q8"/>
    <mergeCell ref="R7:R8"/>
    <mergeCell ref="U7:U8"/>
    <mergeCell ref="T19:T20"/>
    <mergeCell ref="S12:S23"/>
    <mergeCell ref="Z12:Z23"/>
    <mergeCell ref="AB12:AB23"/>
    <mergeCell ref="BH12:BH23"/>
    <mergeCell ref="BI12:BI23"/>
    <mergeCell ref="BJ12:BJ23"/>
    <mergeCell ref="Z7:AC7"/>
    <mergeCell ref="Z8:AA8"/>
    <mergeCell ref="AB8:AC8"/>
    <mergeCell ref="K7:L8"/>
    <mergeCell ref="BF12:BF23"/>
    <mergeCell ref="BG12:BG23"/>
    <mergeCell ref="BE12:BE23"/>
    <mergeCell ref="AQ12:AQ23"/>
    <mergeCell ref="AS12:AS23"/>
    <mergeCell ref="AP12:AP23"/>
    <mergeCell ref="AR12:AR23"/>
    <mergeCell ref="O25:O36"/>
    <mergeCell ref="P25:P36"/>
    <mergeCell ref="AU25:AU36"/>
    <mergeCell ref="AW25:AW36"/>
    <mergeCell ref="AY25:AY36"/>
    <mergeCell ref="BA25:BA36"/>
    <mergeCell ref="BC25:BC36"/>
    <mergeCell ref="BF25:BF36"/>
    <mergeCell ref="BG25:BG36"/>
    <mergeCell ref="AG25:AG36"/>
    <mergeCell ref="G12:G23"/>
    <mergeCell ref="H12:H23"/>
    <mergeCell ref="I12:I23"/>
    <mergeCell ref="J12:J23"/>
    <mergeCell ref="K12:K23"/>
    <mergeCell ref="M12:M23"/>
    <mergeCell ref="P12:P23"/>
    <mergeCell ref="Q12:Q23"/>
    <mergeCell ref="R12:R23"/>
    <mergeCell ref="L12:L23"/>
    <mergeCell ref="N12:N23"/>
    <mergeCell ref="O12:O23"/>
    <mergeCell ref="BP12:BP23"/>
    <mergeCell ref="AZ12:AZ23"/>
    <mergeCell ref="AD12:AD23"/>
    <mergeCell ref="AF12:AF23"/>
    <mergeCell ref="AH12:AH23"/>
    <mergeCell ref="AJ12:AJ23"/>
    <mergeCell ref="AL12:AL23"/>
    <mergeCell ref="AN12:AN23"/>
    <mergeCell ref="AU12:AU23"/>
    <mergeCell ref="BM12:BM23"/>
    <mergeCell ref="BL12:BL23"/>
    <mergeCell ref="BN12:BN23"/>
    <mergeCell ref="BK12:BK23"/>
    <mergeCell ref="AV12:AV23"/>
    <mergeCell ref="AX12:AX23"/>
    <mergeCell ref="AW12:AW23"/>
    <mergeCell ref="AY12:AY23"/>
    <mergeCell ref="BA12:BA23"/>
    <mergeCell ref="BC12:BC23"/>
    <mergeCell ref="BB12:BB23"/>
    <mergeCell ref="BD12:BD23"/>
    <mergeCell ref="A5:K6"/>
    <mergeCell ref="M5:BP5"/>
    <mergeCell ref="Z6:BB6"/>
    <mergeCell ref="A7:A8"/>
    <mergeCell ref="B7:C8"/>
    <mergeCell ref="D7:D8"/>
    <mergeCell ref="E7:F8"/>
    <mergeCell ref="G7:G8"/>
    <mergeCell ref="I7:I8"/>
    <mergeCell ref="BN7:BO8"/>
    <mergeCell ref="Y7:Y9"/>
    <mergeCell ref="J7:J8"/>
    <mergeCell ref="M7:M8"/>
    <mergeCell ref="N7:N8"/>
    <mergeCell ref="O7:O8"/>
    <mergeCell ref="P7:P8"/>
    <mergeCell ref="T7:T9"/>
    <mergeCell ref="S7:S9"/>
    <mergeCell ref="BP7:BP8"/>
    <mergeCell ref="BD7:BE8"/>
    <mergeCell ref="BL7:BM8"/>
    <mergeCell ref="AD8:AE8"/>
    <mergeCell ref="AF8:AG8"/>
    <mergeCell ref="BI8:BI9"/>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H27"/>
  <sheetViews>
    <sheetView showGridLines="0" zoomScale="50" zoomScaleNormal="50" workbookViewId="0">
      <selection sqref="A1:BL4"/>
    </sheetView>
  </sheetViews>
  <sheetFormatPr baseColWidth="10" defaultColWidth="11.42578125" defaultRowHeight="14.25" x14ac:dyDescent="0.2"/>
  <cols>
    <col min="1" max="1" width="13.7109375" style="691" customWidth="1"/>
    <col min="2" max="2" width="6.42578125" style="630" customWidth="1"/>
    <col min="3" max="3" width="19.42578125" style="630" customWidth="1"/>
    <col min="4" max="4" width="14.7109375" style="630" customWidth="1"/>
    <col min="5" max="5" width="10" style="630" customWidth="1"/>
    <col min="6" max="6" width="9.85546875" style="630" customWidth="1"/>
    <col min="7" max="7" width="14.140625" style="630" customWidth="1"/>
    <col min="8" max="8" width="15.5703125" style="630" customWidth="1"/>
    <col min="9" max="9" width="31.85546875" style="165" customWidth="1"/>
    <col min="10" max="10" width="33.140625" style="165" customWidth="1"/>
    <col min="11" max="11" width="13.5703125" style="15" customWidth="1"/>
    <col min="12" max="12" width="11.140625" style="15" customWidth="1"/>
    <col min="13" max="13" width="35.28515625" style="15" customWidth="1"/>
    <col min="14" max="14" width="24" style="693" customWidth="1"/>
    <col min="15" max="15" width="34.28515625" style="692" customWidth="1"/>
    <col min="16" max="16" width="16.140625" style="694" customWidth="1"/>
    <col min="17" max="17" width="30" style="695" customWidth="1"/>
    <col min="18" max="18" width="49.85546875" style="692" customWidth="1"/>
    <col min="19" max="19" width="53" style="692" customWidth="1"/>
    <col min="20" max="20" width="52.7109375" style="692" customWidth="1"/>
    <col min="21" max="21" width="28.140625" style="722" customWidth="1"/>
    <col min="22" max="22" width="27.5703125" style="722" customWidth="1"/>
    <col min="23" max="23" width="30.5703125" style="722" customWidth="1"/>
    <col min="24" max="24" width="18.42578125" style="696" customWidth="1"/>
    <col min="25" max="25" width="28.7109375" style="697" customWidth="1"/>
    <col min="26" max="57" width="10" style="630" customWidth="1"/>
    <col min="58" max="58" width="18.7109375" style="630" customWidth="1"/>
    <col min="59" max="60" width="24.85546875" style="630" customWidth="1"/>
    <col min="61" max="61" width="20.140625" style="630" customWidth="1"/>
    <col min="62" max="62" width="26" style="873" customWidth="1"/>
    <col min="63" max="63" width="26.7109375" style="630" customWidth="1"/>
    <col min="64" max="64" width="13.85546875" style="168" customWidth="1"/>
    <col min="65" max="65" width="17" style="168" customWidth="1"/>
    <col min="66" max="66" width="16.42578125" style="699" customWidth="1"/>
    <col min="67" max="67" width="18.140625" style="699" customWidth="1"/>
    <col min="68" max="68" width="29.5703125" style="700" customWidth="1"/>
    <col min="69" max="16384" width="11.42578125" style="630"/>
  </cols>
  <sheetData>
    <row r="1" spans="1:86" ht="18" customHeight="1" x14ac:dyDescent="0.2">
      <c r="A1" s="2241" t="s">
        <v>810</v>
      </c>
      <c r="B1" s="2242"/>
      <c r="C1" s="2242"/>
      <c r="D1" s="2242"/>
      <c r="E1" s="2242"/>
      <c r="F1" s="2242"/>
      <c r="G1" s="2242"/>
      <c r="H1" s="2242"/>
      <c r="I1" s="2242"/>
      <c r="J1" s="2242"/>
      <c r="K1" s="2242"/>
      <c r="L1" s="2242"/>
      <c r="M1" s="2242"/>
      <c r="N1" s="2242"/>
      <c r="O1" s="2242"/>
      <c r="P1" s="2242"/>
      <c r="Q1" s="2242"/>
      <c r="R1" s="2242"/>
      <c r="S1" s="2242"/>
      <c r="T1" s="2242"/>
      <c r="U1" s="2242"/>
      <c r="V1" s="2242"/>
      <c r="W1" s="2242"/>
      <c r="X1" s="2242"/>
      <c r="Y1" s="2242"/>
      <c r="Z1" s="2242"/>
      <c r="AA1" s="2242"/>
      <c r="AB1" s="2242"/>
      <c r="AC1" s="2242"/>
      <c r="AD1" s="2242"/>
      <c r="AE1" s="2242"/>
      <c r="AF1" s="2242"/>
      <c r="AG1" s="2242"/>
      <c r="AH1" s="2242"/>
      <c r="AI1" s="2242"/>
      <c r="AJ1" s="2242"/>
      <c r="AK1" s="2242"/>
      <c r="AL1" s="2242"/>
      <c r="AM1" s="2242"/>
      <c r="AN1" s="2242"/>
      <c r="AO1" s="2242"/>
      <c r="AP1" s="2242"/>
      <c r="AQ1" s="2242"/>
      <c r="AR1" s="2242"/>
      <c r="AS1" s="2242"/>
      <c r="AT1" s="2242"/>
      <c r="AU1" s="2242"/>
      <c r="AV1" s="2242"/>
      <c r="AW1" s="2242"/>
      <c r="AX1" s="2242"/>
      <c r="AY1" s="2242"/>
      <c r="AZ1" s="2242"/>
      <c r="BA1" s="2242"/>
      <c r="BB1" s="2242"/>
      <c r="BC1" s="2242"/>
      <c r="BD1" s="2242"/>
      <c r="BE1" s="2242"/>
      <c r="BF1" s="2242"/>
      <c r="BG1" s="2242"/>
      <c r="BH1" s="2242"/>
      <c r="BI1" s="2242"/>
      <c r="BJ1" s="2242"/>
      <c r="BK1" s="2242"/>
      <c r="BL1" s="2242"/>
      <c r="BM1" s="704"/>
      <c r="BN1" s="946"/>
      <c r="BO1" s="628" t="s">
        <v>29</v>
      </c>
      <c r="BP1" s="947" t="s">
        <v>336</v>
      </c>
      <c r="BQ1" s="15"/>
      <c r="BR1" s="15"/>
      <c r="BS1" s="15"/>
      <c r="BT1" s="15"/>
      <c r="BU1" s="15"/>
      <c r="BV1" s="15"/>
      <c r="BW1" s="15"/>
      <c r="BX1" s="15"/>
      <c r="BY1" s="15"/>
      <c r="BZ1" s="15"/>
      <c r="CA1" s="15"/>
      <c r="CB1" s="15"/>
      <c r="CC1" s="15"/>
      <c r="CD1" s="15"/>
      <c r="CE1" s="15"/>
      <c r="CF1" s="15"/>
      <c r="CG1" s="15"/>
      <c r="CH1" s="15"/>
    </row>
    <row r="2" spans="1:86" ht="15" x14ac:dyDescent="0.2">
      <c r="A2" s="2244"/>
      <c r="B2" s="2245"/>
      <c r="C2" s="2245"/>
      <c r="D2" s="2245"/>
      <c r="E2" s="2245"/>
      <c r="F2" s="2245"/>
      <c r="G2" s="2245"/>
      <c r="H2" s="2245"/>
      <c r="I2" s="2245"/>
      <c r="J2" s="2245"/>
      <c r="K2" s="2245"/>
      <c r="L2" s="2245"/>
      <c r="M2" s="2245"/>
      <c r="N2" s="2245"/>
      <c r="O2" s="2245"/>
      <c r="P2" s="2245"/>
      <c r="Q2" s="2245"/>
      <c r="R2" s="2245"/>
      <c r="S2" s="2245"/>
      <c r="T2" s="2245"/>
      <c r="U2" s="2245"/>
      <c r="V2" s="2245"/>
      <c r="W2" s="2245"/>
      <c r="X2" s="2245"/>
      <c r="Y2" s="2245"/>
      <c r="Z2" s="2245"/>
      <c r="AA2" s="2245"/>
      <c r="AB2" s="2245"/>
      <c r="AC2" s="2245"/>
      <c r="AD2" s="2245"/>
      <c r="AE2" s="2245"/>
      <c r="AF2" s="2245"/>
      <c r="AG2" s="2245"/>
      <c r="AH2" s="2245"/>
      <c r="AI2" s="2245"/>
      <c r="AJ2" s="2245"/>
      <c r="AK2" s="2245"/>
      <c r="AL2" s="2245"/>
      <c r="AM2" s="2245"/>
      <c r="AN2" s="2245"/>
      <c r="AO2" s="2245"/>
      <c r="AP2" s="2245"/>
      <c r="AQ2" s="2245"/>
      <c r="AR2" s="2245"/>
      <c r="AS2" s="2245"/>
      <c r="AT2" s="2245"/>
      <c r="AU2" s="2245"/>
      <c r="AV2" s="2245"/>
      <c r="AW2" s="2245"/>
      <c r="AX2" s="2245"/>
      <c r="AY2" s="2245"/>
      <c r="AZ2" s="2245"/>
      <c r="BA2" s="2245"/>
      <c r="BB2" s="2245"/>
      <c r="BC2" s="2245"/>
      <c r="BD2" s="2245"/>
      <c r="BE2" s="2245"/>
      <c r="BF2" s="2245"/>
      <c r="BG2" s="2245"/>
      <c r="BH2" s="2245"/>
      <c r="BI2" s="2245"/>
      <c r="BJ2" s="2245"/>
      <c r="BK2" s="2245"/>
      <c r="BL2" s="2245"/>
      <c r="BM2" s="706"/>
      <c r="BN2" s="946"/>
      <c r="BO2" s="631" t="s">
        <v>30</v>
      </c>
      <c r="BP2" s="948">
        <v>6</v>
      </c>
      <c r="BQ2" s="15"/>
      <c r="BR2" s="15"/>
      <c r="BS2" s="15"/>
      <c r="BT2" s="15"/>
      <c r="BU2" s="15"/>
      <c r="BV2" s="15"/>
      <c r="BW2" s="15"/>
      <c r="BX2" s="15"/>
      <c r="BY2" s="15"/>
      <c r="BZ2" s="15"/>
      <c r="CA2" s="15"/>
      <c r="CB2" s="15"/>
      <c r="CC2" s="15"/>
      <c r="CD2" s="15"/>
      <c r="CE2" s="15"/>
      <c r="CF2" s="15"/>
      <c r="CG2" s="15"/>
      <c r="CH2" s="15"/>
    </row>
    <row r="3" spans="1:86" ht="15" x14ac:dyDescent="0.2">
      <c r="A3" s="2244"/>
      <c r="B3" s="2245"/>
      <c r="C3" s="2245"/>
      <c r="D3" s="2245"/>
      <c r="E3" s="2245"/>
      <c r="F3" s="2245"/>
      <c r="G3" s="2245"/>
      <c r="H3" s="2245"/>
      <c r="I3" s="2245"/>
      <c r="J3" s="2245"/>
      <c r="K3" s="2245"/>
      <c r="L3" s="2245"/>
      <c r="M3" s="2245"/>
      <c r="N3" s="2245"/>
      <c r="O3" s="2245"/>
      <c r="P3" s="2245"/>
      <c r="Q3" s="2245"/>
      <c r="R3" s="2245"/>
      <c r="S3" s="2245"/>
      <c r="T3" s="2245"/>
      <c r="U3" s="2245"/>
      <c r="V3" s="2245"/>
      <c r="W3" s="2245"/>
      <c r="X3" s="2245"/>
      <c r="Y3" s="2245"/>
      <c r="Z3" s="2245"/>
      <c r="AA3" s="2245"/>
      <c r="AB3" s="2245"/>
      <c r="AC3" s="2245"/>
      <c r="AD3" s="2245"/>
      <c r="AE3" s="2245"/>
      <c r="AF3" s="2245"/>
      <c r="AG3" s="2245"/>
      <c r="AH3" s="2245"/>
      <c r="AI3" s="2245"/>
      <c r="AJ3" s="2245"/>
      <c r="AK3" s="2245"/>
      <c r="AL3" s="2245"/>
      <c r="AM3" s="2245"/>
      <c r="AN3" s="2245"/>
      <c r="AO3" s="2245"/>
      <c r="AP3" s="2245"/>
      <c r="AQ3" s="2245"/>
      <c r="AR3" s="2245"/>
      <c r="AS3" s="2245"/>
      <c r="AT3" s="2245"/>
      <c r="AU3" s="2245"/>
      <c r="AV3" s="2245"/>
      <c r="AW3" s="2245"/>
      <c r="AX3" s="2245"/>
      <c r="AY3" s="2245"/>
      <c r="AZ3" s="2245"/>
      <c r="BA3" s="2245"/>
      <c r="BB3" s="2245"/>
      <c r="BC3" s="2245"/>
      <c r="BD3" s="2245"/>
      <c r="BE3" s="2245"/>
      <c r="BF3" s="2245"/>
      <c r="BG3" s="2245"/>
      <c r="BH3" s="2245"/>
      <c r="BI3" s="2245"/>
      <c r="BJ3" s="2245"/>
      <c r="BK3" s="2245"/>
      <c r="BL3" s="2245"/>
      <c r="BM3" s="706"/>
      <c r="BN3" s="946"/>
      <c r="BO3" s="631" t="s">
        <v>32</v>
      </c>
      <c r="BP3" s="949" t="s">
        <v>33</v>
      </c>
      <c r="BQ3" s="15"/>
      <c r="BR3" s="15"/>
      <c r="BS3" s="15"/>
      <c r="BT3" s="15"/>
      <c r="BU3" s="15"/>
      <c r="BV3" s="15"/>
      <c r="BW3" s="15"/>
      <c r="BX3" s="15"/>
      <c r="BY3" s="15"/>
      <c r="BZ3" s="15"/>
      <c r="CA3" s="15"/>
      <c r="CB3" s="15"/>
      <c r="CC3" s="15"/>
      <c r="CD3" s="15"/>
      <c r="CE3" s="15"/>
      <c r="CF3" s="15"/>
      <c r="CG3" s="15"/>
      <c r="CH3" s="15"/>
    </row>
    <row r="4" spans="1:86" ht="15" x14ac:dyDescent="0.2">
      <c r="A4" s="2247"/>
      <c r="B4" s="2248"/>
      <c r="C4" s="2248"/>
      <c r="D4" s="2248"/>
      <c r="E4" s="2248"/>
      <c r="F4" s="2248"/>
      <c r="G4" s="2248"/>
      <c r="H4" s="2248"/>
      <c r="I4" s="2248"/>
      <c r="J4" s="2248"/>
      <c r="K4" s="2248"/>
      <c r="L4" s="2248"/>
      <c r="M4" s="2248"/>
      <c r="N4" s="2248"/>
      <c r="O4" s="2248"/>
      <c r="P4" s="2248"/>
      <c r="Q4" s="2248"/>
      <c r="R4" s="2248"/>
      <c r="S4" s="2248"/>
      <c r="T4" s="2248"/>
      <c r="U4" s="2248"/>
      <c r="V4" s="2248"/>
      <c r="W4" s="2248"/>
      <c r="X4" s="2248"/>
      <c r="Y4" s="2248"/>
      <c r="Z4" s="2248"/>
      <c r="AA4" s="2248"/>
      <c r="AB4" s="2248"/>
      <c r="AC4" s="2248"/>
      <c r="AD4" s="2248"/>
      <c r="AE4" s="2248"/>
      <c r="AF4" s="2248"/>
      <c r="AG4" s="2248"/>
      <c r="AH4" s="2248"/>
      <c r="AI4" s="2248"/>
      <c r="AJ4" s="2248"/>
      <c r="AK4" s="2248"/>
      <c r="AL4" s="2248"/>
      <c r="AM4" s="2248"/>
      <c r="AN4" s="2248"/>
      <c r="AO4" s="2248"/>
      <c r="AP4" s="2248"/>
      <c r="AQ4" s="2248"/>
      <c r="AR4" s="2248"/>
      <c r="AS4" s="2248"/>
      <c r="AT4" s="2248"/>
      <c r="AU4" s="2248"/>
      <c r="AV4" s="2248"/>
      <c r="AW4" s="2248"/>
      <c r="AX4" s="2248"/>
      <c r="AY4" s="2248"/>
      <c r="AZ4" s="2248"/>
      <c r="BA4" s="2248"/>
      <c r="BB4" s="2248"/>
      <c r="BC4" s="2248"/>
      <c r="BD4" s="2248"/>
      <c r="BE4" s="2248"/>
      <c r="BF4" s="2248"/>
      <c r="BG4" s="2248"/>
      <c r="BH4" s="2248"/>
      <c r="BI4" s="2248"/>
      <c r="BJ4" s="2248"/>
      <c r="BK4" s="2248"/>
      <c r="BL4" s="2248"/>
      <c r="BM4" s="709"/>
      <c r="BN4" s="950"/>
      <c r="BO4" s="631" t="s">
        <v>34</v>
      </c>
      <c r="BP4" s="951" t="s">
        <v>339</v>
      </c>
      <c r="BQ4" s="15"/>
      <c r="BR4" s="15"/>
      <c r="BS4" s="15"/>
      <c r="BT4" s="15"/>
      <c r="BU4" s="15"/>
      <c r="BV4" s="15"/>
      <c r="BW4" s="15"/>
      <c r="BX4" s="15"/>
      <c r="BY4" s="15"/>
      <c r="BZ4" s="15"/>
      <c r="CA4" s="15"/>
      <c r="CB4" s="15"/>
      <c r="CC4" s="15"/>
      <c r="CD4" s="15"/>
      <c r="CE4" s="15"/>
      <c r="CF4" s="15"/>
      <c r="CG4" s="15"/>
      <c r="CH4" s="15"/>
    </row>
    <row r="5" spans="1:86" ht="15.75" x14ac:dyDescent="0.2">
      <c r="A5" s="2250" t="s">
        <v>340</v>
      </c>
      <c r="B5" s="2251"/>
      <c r="C5" s="2251"/>
      <c r="D5" s="2251"/>
      <c r="E5" s="2251"/>
      <c r="F5" s="2251"/>
      <c r="G5" s="2251"/>
      <c r="H5" s="2251"/>
      <c r="I5" s="2251"/>
      <c r="J5" s="2251"/>
      <c r="K5" s="2251"/>
      <c r="L5" s="574"/>
      <c r="M5" s="2555" t="s">
        <v>37</v>
      </c>
      <c r="N5" s="2555"/>
      <c r="O5" s="2555"/>
      <c r="P5" s="2555"/>
      <c r="Q5" s="2555"/>
      <c r="R5" s="2555"/>
      <c r="S5" s="2555"/>
      <c r="T5" s="2555"/>
      <c r="U5" s="2555"/>
      <c r="V5" s="2555"/>
      <c r="W5" s="2555"/>
      <c r="X5" s="2555"/>
      <c r="Y5" s="2555"/>
      <c r="Z5" s="2555"/>
      <c r="AA5" s="2555"/>
      <c r="AB5" s="2555"/>
      <c r="AC5" s="2555"/>
      <c r="AD5" s="2555"/>
      <c r="AE5" s="2555"/>
      <c r="AF5" s="2555"/>
      <c r="AG5" s="2555"/>
      <c r="AH5" s="2555"/>
      <c r="AI5" s="2555"/>
      <c r="AJ5" s="2555"/>
      <c r="AK5" s="2555"/>
      <c r="AL5" s="2555"/>
      <c r="AM5" s="2555"/>
      <c r="AN5" s="2555"/>
      <c r="AO5" s="2555"/>
      <c r="AP5" s="2555"/>
      <c r="AQ5" s="2555"/>
      <c r="AR5" s="2555"/>
      <c r="AS5" s="2555"/>
      <c r="AT5" s="2555"/>
      <c r="AU5" s="2555"/>
      <c r="AV5" s="2555"/>
      <c r="AW5" s="2555"/>
      <c r="AX5" s="2555"/>
      <c r="AY5" s="2555"/>
      <c r="AZ5" s="2555"/>
      <c r="BA5" s="2555"/>
      <c r="BB5" s="2555"/>
      <c r="BC5" s="2555"/>
      <c r="BD5" s="2555"/>
      <c r="BE5" s="2555"/>
      <c r="BF5" s="2555"/>
      <c r="BG5" s="2555"/>
      <c r="BH5" s="2555"/>
      <c r="BI5" s="2555"/>
      <c r="BJ5" s="2555"/>
      <c r="BK5" s="2555"/>
      <c r="BL5" s="2555"/>
      <c r="BM5" s="2555"/>
      <c r="BN5" s="2555"/>
      <c r="BO5" s="2254"/>
      <c r="BP5" s="2556"/>
      <c r="BQ5" s="15"/>
      <c r="BR5" s="15"/>
      <c r="BS5" s="15"/>
      <c r="BT5" s="15"/>
      <c r="BU5" s="15"/>
      <c r="BV5" s="15"/>
      <c r="BW5" s="15"/>
      <c r="BX5" s="15"/>
      <c r="BY5" s="15"/>
      <c r="BZ5" s="15"/>
      <c r="CA5" s="15"/>
      <c r="CB5" s="15"/>
      <c r="CC5" s="15"/>
      <c r="CD5" s="15"/>
      <c r="CE5" s="15"/>
      <c r="CF5" s="15"/>
      <c r="CG5" s="15"/>
      <c r="CH5" s="15"/>
    </row>
    <row r="6" spans="1:86" ht="16.5" thickBot="1" x14ac:dyDescent="0.25">
      <c r="A6" s="2252"/>
      <c r="B6" s="2253"/>
      <c r="C6" s="2253"/>
      <c r="D6" s="2253"/>
      <c r="E6" s="2253"/>
      <c r="F6" s="2253"/>
      <c r="G6" s="2253"/>
      <c r="H6" s="2253"/>
      <c r="I6" s="2253"/>
      <c r="J6" s="2253"/>
      <c r="K6" s="2253"/>
      <c r="L6" s="576"/>
      <c r="M6" s="573"/>
      <c r="N6" s="952"/>
      <c r="O6" s="636"/>
      <c r="P6" s="576"/>
      <c r="Q6" s="953"/>
      <c r="R6" s="576"/>
      <c r="S6" s="576"/>
      <c r="T6" s="576"/>
      <c r="U6" s="576"/>
      <c r="V6" s="576"/>
      <c r="W6" s="576"/>
      <c r="X6" s="576"/>
      <c r="Y6" s="576"/>
      <c r="Z6" s="2557" t="s">
        <v>38</v>
      </c>
      <c r="AA6" s="2253"/>
      <c r="AB6" s="2253"/>
      <c r="AC6" s="2253"/>
      <c r="AD6" s="2253"/>
      <c r="AE6" s="2253"/>
      <c r="AF6" s="2253"/>
      <c r="AG6" s="2253"/>
      <c r="AH6" s="2253"/>
      <c r="AI6" s="2253"/>
      <c r="AJ6" s="2253"/>
      <c r="AK6" s="2253"/>
      <c r="AL6" s="2253"/>
      <c r="AM6" s="2253"/>
      <c r="AN6" s="2253"/>
      <c r="AO6" s="2253"/>
      <c r="AP6" s="2253"/>
      <c r="AQ6" s="2253"/>
      <c r="AR6" s="2253"/>
      <c r="AS6" s="2253"/>
      <c r="AT6" s="2253"/>
      <c r="AU6" s="2253"/>
      <c r="AV6" s="2253"/>
      <c r="AW6" s="2253"/>
      <c r="AX6" s="2253"/>
      <c r="AY6" s="2253"/>
      <c r="AZ6" s="2253"/>
      <c r="BA6" s="2253"/>
      <c r="BB6" s="2253"/>
      <c r="BC6" s="576"/>
      <c r="BD6" s="954"/>
      <c r="BE6" s="954"/>
      <c r="BF6" s="954"/>
      <c r="BG6" s="954"/>
      <c r="BH6" s="954"/>
      <c r="BI6" s="954"/>
      <c r="BJ6" s="955"/>
      <c r="BK6" s="954"/>
      <c r="BL6" s="639"/>
      <c r="BM6" s="639"/>
      <c r="BN6" s="639"/>
      <c r="BO6" s="639"/>
      <c r="BP6" s="956"/>
      <c r="BQ6" s="15"/>
      <c r="BR6" s="15"/>
      <c r="BS6" s="15"/>
      <c r="BT6" s="15"/>
      <c r="BU6" s="15"/>
      <c r="BV6" s="15"/>
      <c r="BW6" s="15"/>
      <c r="BX6" s="15"/>
      <c r="BY6" s="15"/>
      <c r="BZ6" s="15"/>
      <c r="CA6" s="15"/>
      <c r="CB6" s="15"/>
      <c r="CC6" s="15"/>
      <c r="CD6" s="15"/>
      <c r="CE6" s="15"/>
      <c r="CF6" s="15"/>
      <c r="CG6" s="15"/>
      <c r="CH6" s="15"/>
    </row>
    <row r="7" spans="1:86" s="1" customFormat="1" ht="15.75" x14ac:dyDescent="0.2">
      <c r="A7" s="2271" t="s">
        <v>39</v>
      </c>
      <c r="B7" s="2259" t="s">
        <v>40</v>
      </c>
      <c r="C7" s="2260"/>
      <c r="D7" s="2239" t="s">
        <v>39</v>
      </c>
      <c r="E7" s="2259" t="s">
        <v>41</v>
      </c>
      <c r="F7" s="2260"/>
      <c r="G7" s="2239" t="s">
        <v>39</v>
      </c>
      <c r="H7" s="2239" t="s">
        <v>811</v>
      </c>
      <c r="I7" s="2239" t="s">
        <v>43</v>
      </c>
      <c r="J7" s="2239" t="s">
        <v>44</v>
      </c>
      <c r="K7" s="2303" t="s">
        <v>45</v>
      </c>
      <c r="L7" s="2303"/>
      <c r="M7" s="2239" t="s">
        <v>46</v>
      </c>
      <c r="N7" s="2239" t="s">
        <v>47</v>
      </c>
      <c r="O7" s="2239" t="s">
        <v>37</v>
      </c>
      <c r="P7" s="2285" t="s">
        <v>48</v>
      </c>
      <c r="Q7" s="2287" t="s">
        <v>49</v>
      </c>
      <c r="R7" s="2259" t="s">
        <v>50</v>
      </c>
      <c r="S7" s="2239" t="s">
        <v>51</v>
      </c>
      <c r="T7" s="2239" t="s">
        <v>52</v>
      </c>
      <c r="U7" s="2558" t="s">
        <v>49</v>
      </c>
      <c r="V7" s="2558"/>
      <c r="W7" s="2558"/>
      <c r="X7" s="2271" t="s">
        <v>39</v>
      </c>
      <c r="Y7" s="2239" t="s">
        <v>53</v>
      </c>
      <c r="Z7" s="2274" t="s">
        <v>54</v>
      </c>
      <c r="AA7" s="2275"/>
      <c r="AB7" s="2275"/>
      <c r="AC7" s="2276"/>
      <c r="AD7" s="2277" t="s">
        <v>55</v>
      </c>
      <c r="AE7" s="2278"/>
      <c r="AF7" s="2278"/>
      <c r="AG7" s="2278"/>
      <c r="AH7" s="2278"/>
      <c r="AI7" s="2278"/>
      <c r="AJ7" s="2278"/>
      <c r="AK7" s="2279"/>
      <c r="AL7" s="2542" t="s">
        <v>56</v>
      </c>
      <c r="AM7" s="2543"/>
      <c r="AN7" s="2543"/>
      <c r="AO7" s="2543"/>
      <c r="AP7" s="2543"/>
      <c r="AQ7" s="2543"/>
      <c r="AR7" s="2543"/>
      <c r="AS7" s="2543"/>
      <c r="AT7" s="2543"/>
      <c r="AU7" s="2543"/>
      <c r="AV7" s="2543"/>
      <c r="AW7" s="2544"/>
      <c r="AX7" s="2277" t="s">
        <v>57</v>
      </c>
      <c r="AY7" s="2278"/>
      <c r="AZ7" s="2278"/>
      <c r="BA7" s="2278"/>
      <c r="BB7" s="2278"/>
      <c r="BC7" s="2279"/>
      <c r="BD7" s="2559" t="s">
        <v>58</v>
      </c>
      <c r="BE7" s="2560"/>
      <c r="BF7" s="2300" t="s">
        <v>335</v>
      </c>
      <c r="BG7" s="2301"/>
      <c r="BH7" s="2301"/>
      <c r="BI7" s="2301"/>
      <c r="BJ7" s="2301"/>
      <c r="BK7" s="2302"/>
      <c r="BL7" s="2563" t="s">
        <v>59</v>
      </c>
      <c r="BM7" s="2563"/>
      <c r="BN7" s="2563" t="s">
        <v>60</v>
      </c>
      <c r="BO7" s="2563"/>
      <c r="BP7" s="2391" t="s">
        <v>61</v>
      </c>
      <c r="BQ7" s="18"/>
      <c r="BR7" s="18"/>
      <c r="BS7" s="18"/>
      <c r="BT7" s="18"/>
      <c r="BU7" s="18"/>
      <c r="BV7" s="18"/>
      <c r="BW7" s="18"/>
      <c r="BX7" s="18"/>
      <c r="BY7" s="18"/>
      <c r="BZ7" s="18"/>
      <c r="CA7" s="18"/>
      <c r="CB7" s="18"/>
      <c r="CC7" s="18"/>
      <c r="CD7" s="18"/>
      <c r="CE7" s="18"/>
      <c r="CF7" s="18"/>
      <c r="CG7" s="18"/>
      <c r="CH7" s="18"/>
    </row>
    <row r="8" spans="1:86" s="1" customFormat="1" ht="131.25" customHeight="1" x14ac:dyDescent="0.2">
      <c r="A8" s="2272"/>
      <c r="B8" s="2261"/>
      <c r="C8" s="2262"/>
      <c r="D8" s="2240"/>
      <c r="E8" s="2261"/>
      <c r="F8" s="2262"/>
      <c r="G8" s="2240"/>
      <c r="H8" s="2240"/>
      <c r="I8" s="2240"/>
      <c r="J8" s="2240"/>
      <c r="K8" s="2239" t="s">
        <v>158</v>
      </c>
      <c r="L8" s="2239" t="s">
        <v>159</v>
      </c>
      <c r="M8" s="2240"/>
      <c r="N8" s="2240"/>
      <c r="O8" s="2240"/>
      <c r="P8" s="2286"/>
      <c r="Q8" s="2288"/>
      <c r="R8" s="2261"/>
      <c r="S8" s="2240"/>
      <c r="T8" s="2240"/>
      <c r="U8" s="957" t="s">
        <v>62</v>
      </c>
      <c r="V8" s="957" t="s">
        <v>150</v>
      </c>
      <c r="W8" s="957" t="s">
        <v>151</v>
      </c>
      <c r="X8" s="2273"/>
      <c r="Y8" s="2240"/>
      <c r="Z8" s="2399" t="s">
        <v>63</v>
      </c>
      <c r="AA8" s="2400"/>
      <c r="AB8" s="2445" t="s">
        <v>64</v>
      </c>
      <c r="AC8" s="2446"/>
      <c r="AD8" s="2399" t="s">
        <v>65</v>
      </c>
      <c r="AE8" s="2400"/>
      <c r="AF8" s="2399" t="s">
        <v>66</v>
      </c>
      <c r="AG8" s="2400"/>
      <c r="AH8" s="2399" t="s">
        <v>331</v>
      </c>
      <c r="AI8" s="2400"/>
      <c r="AJ8" s="2399" t="s">
        <v>68</v>
      </c>
      <c r="AK8" s="2400"/>
      <c r="AL8" s="2399" t="s">
        <v>69</v>
      </c>
      <c r="AM8" s="2400"/>
      <c r="AN8" s="2399" t="s">
        <v>70</v>
      </c>
      <c r="AO8" s="2400"/>
      <c r="AP8" s="2399" t="s">
        <v>71</v>
      </c>
      <c r="AQ8" s="2400"/>
      <c r="AR8" s="2399" t="s">
        <v>72</v>
      </c>
      <c r="AS8" s="2400"/>
      <c r="AT8" s="2399" t="s">
        <v>73</v>
      </c>
      <c r="AU8" s="2400"/>
      <c r="AV8" s="2399" t="s">
        <v>342</v>
      </c>
      <c r="AW8" s="2400"/>
      <c r="AX8" s="2399" t="s">
        <v>75</v>
      </c>
      <c r="AY8" s="2400"/>
      <c r="AZ8" s="2399" t="s">
        <v>76</v>
      </c>
      <c r="BA8" s="2400"/>
      <c r="BB8" s="2399" t="s">
        <v>77</v>
      </c>
      <c r="BC8" s="2400"/>
      <c r="BD8" s="2561"/>
      <c r="BE8" s="2562"/>
      <c r="BF8" s="2291" t="s">
        <v>152</v>
      </c>
      <c r="BG8" s="2290" t="s">
        <v>153</v>
      </c>
      <c r="BH8" s="2291" t="s">
        <v>154</v>
      </c>
      <c r="BI8" s="2292" t="s">
        <v>155</v>
      </c>
      <c r="BJ8" s="2291" t="s">
        <v>156</v>
      </c>
      <c r="BK8" s="2293" t="s">
        <v>157</v>
      </c>
      <c r="BL8" s="2563"/>
      <c r="BM8" s="2563"/>
      <c r="BN8" s="2563"/>
      <c r="BO8" s="2563"/>
      <c r="BP8" s="2392"/>
      <c r="BQ8" s="18"/>
      <c r="BR8" s="18"/>
      <c r="BS8" s="18"/>
      <c r="BT8" s="18"/>
      <c r="BU8" s="18"/>
      <c r="BV8" s="18"/>
      <c r="BW8" s="18"/>
      <c r="BX8" s="18"/>
      <c r="BY8" s="18"/>
      <c r="BZ8" s="18"/>
      <c r="CA8" s="18"/>
      <c r="CB8" s="18"/>
      <c r="CC8" s="18"/>
      <c r="CD8" s="18"/>
      <c r="CE8" s="18"/>
      <c r="CF8" s="18"/>
      <c r="CG8" s="18"/>
      <c r="CH8" s="18"/>
    </row>
    <row r="9" spans="1:86" s="1" customFormat="1" ht="15.75" x14ac:dyDescent="0.2">
      <c r="A9" s="2273"/>
      <c r="B9" s="2417"/>
      <c r="C9" s="2418"/>
      <c r="D9" s="2263"/>
      <c r="E9" s="2417"/>
      <c r="F9" s="2418"/>
      <c r="G9" s="2263"/>
      <c r="H9" s="2263"/>
      <c r="I9" s="2263"/>
      <c r="J9" s="2263"/>
      <c r="K9" s="2263"/>
      <c r="L9" s="2263"/>
      <c r="M9" s="2263"/>
      <c r="N9" s="560"/>
      <c r="O9" s="560"/>
      <c r="P9" s="561"/>
      <c r="Q9" s="552"/>
      <c r="R9" s="553"/>
      <c r="S9" s="2263"/>
      <c r="T9" s="2263"/>
      <c r="U9" s="958"/>
      <c r="V9" s="959"/>
      <c r="W9" s="959"/>
      <c r="X9" s="588"/>
      <c r="Y9" s="560"/>
      <c r="Z9" s="559" t="s">
        <v>158</v>
      </c>
      <c r="AA9" s="559" t="s">
        <v>159</v>
      </c>
      <c r="AB9" s="559" t="s">
        <v>158</v>
      </c>
      <c r="AC9" s="559" t="s">
        <v>159</v>
      </c>
      <c r="AD9" s="559" t="s">
        <v>158</v>
      </c>
      <c r="AE9" s="559" t="s">
        <v>159</v>
      </c>
      <c r="AF9" s="559" t="s">
        <v>158</v>
      </c>
      <c r="AG9" s="559" t="s">
        <v>159</v>
      </c>
      <c r="AH9" s="559" t="s">
        <v>158</v>
      </c>
      <c r="AI9" s="559" t="s">
        <v>159</v>
      </c>
      <c r="AJ9" s="559" t="s">
        <v>158</v>
      </c>
      <c r="AK9" s="559" t="s">
        <v>159</v>
      </c>
      <c r="AL9" s="559" t="s">
        <v>158</v>
      </c>
      <c r="AM9" s="559" t="s">
        <v>159</v>
      </c>
      <c r="AN9" s="559" t="s">
        <v>158</v>
      </c>
      <c r="AO9" s="559" t="s">
        <v>159</v>
      </c>
      <c r="AP9" s="559" t="s">
        <v>158</v>
      </c>
      <c r="AQ9" s="559" t="s">
        <v>159</v>
      </c>
      <c r="AR9" s="559" t="s">
        <v>158</v>
      </c>
      <c r="AS9" s="559" t="s">
        <v>159</v>
      </c>
      <c r="AT9" s="559" t="s">
        <v>158</v>
      </c>
      <c r="AU9" s="559" t="s">
        <v>159</v>
      </c>
      <c r="AV9" s="559" t="s">
        <v>158</v>
      </c>
      <c r="AW9" s="559" t="s">
        <v>159</v>
      </c>
      <c r="AX9" s="559" t="s">
        <v>158</v>
      </c>
      <c r="AY9" s="559" t="s">
        <v>159</v>
      </c>
      <c r="AZ9" s="559" t="s">
        <v>158</v>
      </c>
      <c r="BA9" s="559" t="s">
        <v>159</v>
      </c>
      <c r="BB9" s="559" t="s">
        <v>158</v>
      </c>
      <c r="BC9" s="559" t="s">
        <v>159</v>
      </c>
      <c r="BD9" s="559" t="s">
        <v>158</v>
      </c>
      <c r="BE9" s="559" t="s">
        <v>159</v>
      </c>
      <c r="BF9" s="2291"/>
      <c r="BG9" s="2290"/>
      <c r="BH9" s="2291"/>
      <c r="BI9" s="2292"/>
      <c r="BJ9" s="2291"/>
      <c r="BK9" s="2294"/>
      <c r="BL9" s="559" t="s">
        <v>158</v>
      </c>
      <c r="BM9" s="559" t="s">
        <v>159</v>
      </c>
      <c r="BN9" s="559" t="s">
        <v>158</v>
      </c>
      <c r="BO9" s="559" t="s">
        <v>159</v>
      </c>
      <c r="BP9" s="2564"/>
      <c r="BQ9" s="18"/>
      <c r="BR9" s="18"/>
      <c r="BS9" s="18"/>
      <c r="BT9" s="18"/>
      <c r="BU9" s="18"/>
      <c r="BV9" s="18"/>
      <c r="BW9" s="18"/>
      <c r="BX9" s="18"/>
      <c r="BY9" s="18"/>
      <c r="BZ9" s="18"/>
      <c r="CA9" s="18"/>
      <c r="CB9" s="18"/>
      <c r="CC9" s="18"/>
      <c r="CD9" s="18"/>
      <c r="CE9" s="18"/>
      <c r="CF9" s="18"/>
      <c r="CG9" s="18"/>
      <c r="CH9" s="18"/>
    </row>
    <row r="10" spans="1:86" s="1" customFormat="1" ht="15.75" x14ac:dyDescent="0.2">
      <c r="A10" s="711">
        <v>4</v>
      </c>
      <c r="B10" s="27" t="s">
        <v>812</v>
      </c>
      <c r="C10" s="643"/>
      <c r="D10" s="283"/>
      <c r="E10" s="283"/>
      <c r="F10" s="283"/>
      <c r="G10" s="283"/>
      <c r="H10" s="283"/>
      <c r="I10" s="275"/>
      <c r="J10" s="275"/>
      <c r="K10" s="283"/>
      <c r="L10" s="283"/>
      <c r="M10" s="283"/>
      <c r="N10" s="276"/>
      <c r="O10" s="280"/>
      <c r="P10" s="282"/>
      <c r="Q10" s="281"/>
      <c r="R10" s="280"/>
      <c r="S10" s="280"/>
      <c r="T10" s="280"/>
      <c r="U10" s="278"/>
      <c r="V10" s="278"/>
      <c r="W10" s="278"/>
      <c r="X10" s="277"/>
      <c r="Y10" s="276"/>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75"/>
      <c r="BK10" s="283"/>
      <c r="BL10" s="274"/>
      <c r="BM10" s="274"/>
      <c r="BN10" s="274"/>
      <c r="BO10" s="274"/>
      <c r="BP10" s="280"/>
      <c r="BQ10" s="18"/>
      <c r="BR10" s="18"/>
      <c r="BS10" s="18"/>
      <c r="BT10" s="18"/>
      <c r="BU10" s="18"/>
      <c r="BV10" s="18"/>
      <c r="BW10" s="18"/>
      <c r="BX10" s="18"/>
      <c r="BY10" s="18"/>
      <c r="BZ10" s="18"/>
      <c r="CA10" s="18"/>
      <c r="CB10" s="18"/>
      <c r="CC10" s="18"/>
      <c r="CD10" s="18"/>
      <c r="CE10" s="18"/>
      <c r="CF10" s="18"/>
      <c r="CG10" s="18"/>
      <c r="CH10" s="18"/>
    </row>
    <row r="11" spans="1:86" s="18" customFormat="1" ht="15.75" x14ac:dyDescent="0.2">
      <c r="A11" s="612"/>
      <c r="B11" s="2570"/>
      <c r="C11" s="2571"/>
      <c r="D11" s="960">
        <v>45</v>
      </c>
      <c r="E11" s="2572" t="s">
        <v>308</v>
      </c>
      <c r="F11" s="2572"/>
      <c r="G11" s="2573"/>
      <c r="H11" s="2572"/>
      <c r="I11" s="2573"/>
      <c r="J11" s="2573"/>
      <c r="K11" s="2573"/>
      <c r="L11" s="2573"/>
      <c r="M11" s="2573"/>
      <c r="N11" s="2573"/>
      <c r="O11" s="651"/>
      <c r="P11" s="712"/>
      <c r="Q11" s="347"/>
      <c r="R11" s="350"/>
      <c r="S11" s="350"/>
      <c r="T11" s="350"/>
      <c r="U11" s="961"/>
      <c r="V11" s="961"/>
      <c r="W11" s="961"/>
      <c r="X11" s="962"/>
      <c r="Y11" s="650"/>
      <c r="Z11" s="648"/>
      <c r="AA11" s="648"/>
      <c r="AB11" s="648"/>
      <c r="AC11" s="648"/>
      <c r="AD11" s="648"/>
      <c r="AE11" s="648"/>
      <c r="AF11" s="648"/>
      <c r="AG11" s="648"/>
      <c r="AH11" s="648"/>
      <c r="AI11" s="648"/>
      <c r="AJ11" s="648"/>
      <c r="AK11" s="648"/>
      <c r="AL11" s="648"/>
      <c r="AM11" s="648"/>
      <c r="AN11" s="648"/>
      <c r="AO11" s="648"/>
      <c r="AP11" s="648"/>
      <c r="AQ11" s="648"/>
      <c r="AR11" s="648"/>
      <c r="AS11" s="648"/>
      <c r="AT11" s="648"/>
      <c r="AU11" s="648"/>
      <c r="AV11" s="648"/>
      <c r="AW11" s="648"/>
      <c r="AX11" s="648"/>
      <c r="AY11" s="648"/>
      <c r="AZ11" s="648"/>
      <c r="BA11" s="648"/>
      <c r="BB11" s="648"/>
      <c r="BC11" s="648"/>
      <c r="BD11" s="648"/>
      <c r="BE11" s="648"/>
      <c r="BF11" s="648"/>
      <c r="BG11" s="648"/>
      <c r="BH11" s="648"/>
      <c r="BI11" s="648"/>
      <c r="BJ11" s="963"/>
      <c r="BK11" s="648"/>
      <c r="BL11" s="352"/>
      <c r="BM11" s="352"/>
      <c r="BN11" s="352"/>
      <c r="BO11" s="352"/>
      <c r="BP11" s="350"/>
    </row>
    <row r="12" spans="1:86" s="18" customFormat="1" ht="15.75" x14ac:dyDescent="0.2">
      <c r="A12" s="57"/>
      <c r="B12" s="2574"/>
      <c r="C12" s="2574"/>
      <c r="D12" s="964"/>
      <c r="E12" s="2575"/>
      <c r="F12" s="2576"/>
      <c r="G12" s="2460" t="s">
        <v>208</v>
      </c>
      <c r="H12" s="2343" t="s">
        <v>813</v>
      </c>
      <c r="I12" s="2577" t="s">
        <v>814</v>
      </c>
      <c r="J12" s="2422" t="s">
        <v>815</v>
      </c>
      <c r="K12" s="2318">
        <v>1</v>
      </c>
      <c r="L12" s="2318" t="s">
        <v>816</v>
      </c>
      <c r="M12" s="2318" t="s">
        <v>817</v>
      </c>
      <c r="N12" s="2566" t="s">
        <v>818</v>
      </c>
      <c r="O12" s="2568" t="s">
        <v>819</v>
      </c>
      <c r="P12" s="2442">
        <f>SUM(U12:U17)/Q12</f>
        <v>1</v>
      </c>
      <c r="Q12" s="2582">
        <f>SUM(U12:U17)</f>
        <v>1970270000</v>
      </c>
      <c r="R12" s="2416" t="s">
        <v>820</v>
      </c>
      <c r="S12" s="2585" t="s">
        <v>821</v>
      </c>
      <c r="T12" s="2588" t="s">
        <v>822</v>
      </c>
      <c r="U12" s="965">
        <v>628217465</v>
      </c>
      <c r="V12" s="966">
        <v>127550000</v>
      </c>
      <c r="W12" s="966">
        <v>15800000</v>
      </c>
      <c r="X12" s="89">
        <v>20</v>
      </c>
      <c r="Y12" s="225" t="s">
        <v>7</v>
      </c>
      <c r="Z12" s="2590">
        <v>295972</v>
      </c>
      <c r="AA12" s="2590">
        <v>295972</v>
      </c>
      <c r="AB12" s="2579">
        <v>285580</v>
      </c>
      <c r="AC12" s="2579">
        <v>285580</v>
      </c>
      <c r="AD12" s="2579">
        <v>135545</v>
      </c>
      <c r="AE12" s="2579">
        <v>135545</v>
      </c>
      <c r="AF12" s="2579">
        <v>44254</v>
      </c>
      <c r="AG12" s="2579">
        <v>44254</v>
      </c>
      <c r="AH12" s="2579">
        <v>309146</v>
      </c>
      <c r="AI12" s="2579">
        <v>309146</v>
      </c>
      <c r="AJ12" s="2579">
        <v>92607</v>
      </c>
      <c r="AK12" s="2579">
        <v>92607</v>
      </c>
      <c r="AL12" s="2579">
        <v>2145</v>
      </c>
      <c r="AM12" s="2579">
        <v>2145</v>
      </c>
      <c r="AN12" s="2579">
        <v>12718</v>
      </c>
      <c r="AO12" s="2579">
        <v>12718</v>
      </c>
      <c r="AP12" s="2579">
        <v>26</v>
      </c>
      <c r="AQ12" s="2579">
        <v>26</v>
      </c>
      <c r="AR12" s="2579">
        <v>37</v>
      </c>
      <c r="AS12" s="2579">
        <v>37</v>
      </c>
      <c r="AT12" s="2579">
        <v>0</v>
      </c>
      <c r="AU12" s="2579">
        <v>0</v>
      </c>
      <c r="AV12" s="2579">
        <v>0</v>
      </c>
      <c r="AW12" s="2579">
        <v>0</v>
      </c>
      <c r="AX12" s="2579">
        <v>44350</v>
      </c>
      <c r="AY12" s="2579">
        <v>44350</v>
      </c>
      <c r="AZ12" s="2579">
        <v>21944</v>
      </c>
      <c r="BA12" s="2579">
        <v>21944</v>
      </c>
      <c r="BB12" s="2579">
        <v>75687</v>
      </c>
      <c r="BC12" s="2579">
        <v>75687</v>
      </c>
      <c r="BD12" s="2579">
        <f>+Z12+AB12</f>
        <v>581552</v>
      </c>
      <c r="BE12" s="2579">
        <f>+AA12+AC12</f>
        <v>581552</v>
      </c>
      <c r="BF12" s="2579">
        <v>85</v>
      </c>
      <c r="BG12" s="2595">
        <v>930252535</v>
      </c>
      <c r="BH12" s="2595">
        <v>487585920</v>
      </c>
      <c r="BI12" s="2598">
        <f>+BH12/BG12</f>
        <v>0.5241436079505013</v>
      </c>
      <c r="BJ12" s="2601" t="s">
        <v>823</v>
      </c>
      <c r="BK12" s="2601" t="s">
        <v>824</v>
      </c>
      <c r="BL12" s="2592">
        <v>43832</v>
      </c>
      <c r="BM12" s="2591">
        <v>43857</v>
      </c>
      <c r="BN12" s="2591">
        <v>44195</v>
      </c>
      <c r="BO12" s="2591">
        <v>44196</v>
      </c>
      <c r="BP12" s="2402" t="s">
        <v>825</v>
      </c>
      <c r="BQ12" s="660"/>
    </row>
    <row r="13" spans="1:86" s="18" customFormat="1" ht="30" x14ac:dyDescent="0.2">
      <c r="A13" s="57"/>
      <c r="B13" s="109"/>
      <c r="C13" s="109"/>
      <c r="D13" s="525"/>
      <c r="E13" s="527"/>
      <c r="F13" s="526"/>
      <c r="G13" s="2461"/>
      <c r="H13" s="2343"/>
      <c r="I13" s="2578"/>
      <c r="J13" s="2423"/>
      <c r="K13" s="2319"/>
      <c r="L13" s="2319"/>
      <c r="M13" s="2319"/>
      <c r="N13" s="2567"/>
      <c r="O13" s="2569"/>
      <c r="P13" s="2443"/>
      <c r="Q13" s="2583"/>
      <c r="R13" s="2416"/>
      <c r="S13" s="2585"/>
      <c r="T13" s="2589"/>
      <c r="U13" s="967">
        <f>20000000+250000000</f>
        <v>270000000</v>
      </c>
      <c r="V13" s="968"/>
      <c r="W13" s="966"/>
      <c r="X13" s="969">
        <v>88</v>
      </c>
      <c r="Y13" s="225" t="s">
        <v>4</v>
      </c>
      <c r="Z13" s="2590"/>
      <c r="AA13" s="2590"/>
      <c r="AB13" s="2580"/>
      <c r="AC13" s="2580"/>
      <c r="AD13" s="2580"/>
      <c r="AE13" s="2580"/>
      <c r="AF13" s="2580"/>
      <c r="AG13" s="2580"/>
      <c r="AH13" s="2580"/>
      <c r="AI13" s="2580"/>
      <c r="AJ13" s="2580"/>
      <c r="AK13" s="2580"/>
      <c r="AL13" s="2580"/>
      <c r="AM13" s="2580"/>
      <c r="AN13" s="2580"/>
      <c r="AO13" s="2580"/>
      <c r="AP13" s="2580"/>
      <c r="AQ13" s="2580"/>
      <c r="AR13" s="2580"/>
      <c r="AS13" s="2580"/>
      <c r="AT13" s="2580"/>
      <c r="AU13" s="2580"/>
      <c r="AV13" s="2580"/>
      <c r="AW13" s="2580"/>
      <c r="AX13" s="2580"/>
      <c r="AY13" s="2580"/>
      <c r="AZ13" s="2580"/>
      <c r="BA13" s="2580"/>
      <c r="BB13" s="2580"/>
      <c r="BC13" s="2580"/>
      <c r="BD13" s="2580"/>
      <c r="BE13" s="2580"/>
      <c r="BF13" s="2580"/>
      <c r="BG13" s="2596"/>
      <c r="BH13" s="2596"/>
      <c r="BI13" s="2599"/>
      <c r="BJ13" s="2602"/>
      <c r="BK13" s="2602"/>
      <c r="BL13" s="2607"/>
      <c r="BM13" s="2591"/>
      <c r="BN13" s="2591"/>
      <c r="BO13" s="2591"/>
      <c r="BP13" s="2402"/>
      <c r="BQ13" s="660"/>
    </row>
    <row r="14" spans="1:86" s="18" customFormat="1" ht="30" x14ac:dyDescent="0.2">
      <c r="A14" s="57"/>
      <c r="B14" s="109"/>
      <c r="C14" s="109"/>
      <c r="D14" s="525"/>
      <c r="E14" s="527"/>
      <c r="F14" s="526"/>
      <c r="G14" s="2461"/>
      <c r="H14" s="2343"/>
      <c r="I14" s="2578"/>
      <c r="J14" s="2423"/>
      <c r="K14" s="2319"/>
      <c r="L14" s="2319"/>
      <c r="M14" s="2319"/>
      <c r="N14" s="2567"/>
      <c r="O14" s="2569"/>
      <c r="P14" s="2443"/>
      <c r="Q14" s="2583"/>
      <c r="R14" s="2416"/>
      <c r="S14" s="2585"/>
      <c r="T14" s="970" t="s">
        <v>826</v>
      </c>
      <c r="U14" s="967">
        <v>488447537</v>
      </c>
      <c r="V14" s="968">
        <v>488447537</v>
      </c>
      <c r="W14" s="966">
        <v>447785920</v>
      </c>
      <c r="X14" s="89">
        <v>20</v>
      </c>
      <c r="Y14" s="225" t="s">
        <v>7</v>
      </c>
      <c r="Z14" s="2590"/>
      <c r="AA14" s="2590"/>
      <c r="AB14" s="2580"/>
      <c r="AC14" s="2580"/>
      <c r="AD14" s="2580"/>
      <c r="AE14" s="2580"/>
      <c r="AF14" s="2580"/>
      <c r="AG14" s="2580"/>
      <c r="AH14" s="2580"/>
      <c r="AI14" s="2580"/>
      <c r="AJ14" s="2580"/>
      <c r="AK14" s="2580"/>
      <c r="AL14" s="2580"/>
      <c r="AM14" s="2580"/>
      <c r="AN14" s="2580"/>
      <c r="AO14" s="2580"/>
      <c r="AP14" s="2580"/>
      <c r="AQ14" s="2580"/>
      <c r="AR14" s="2580"/>
      <c r="AS14" s="2580"/>
      <c r="AT14" s="2580"/>
      <c r="AU14" s="2580"/>
      <c r="AV14" s="2580"/>
      <c r="AW14" s="2580"/>
      <c r="AX14" s="2580"/>
      <c r="AY14" s="2580"/>
      <c r="AZ14" s="2580"/>
      <c r="BA14" s="2580"/>
      <c r="BB14" s="2580"/>
      <c r="BC14" s="2580"/>
      <c r="BD14" s="2580"/>
      <c r="BE14" s="2580"/>
      <c r="BF14" s="2580"/>
      <c r="BG14" s="2596"/>
      <c r="BH14" s="2596"/>
      <c r="BI14" s="2599"/>
      <c r="BJ14" s="2602"/>
      <c r="BK14" s="2602"/>
      <c r="BL14" s="2607"/>
      <c r="BM14" s="2591"/>
      <c r="BN14" s="2591"/>
      <c r="BO14" s="2591"/>
      <c r="BP14" s="2402"/>
      <c r="BQ14" s="660"/>
    </row>
    <row r="15" spans="1:86" s="18" customFormat="1" ht="60" x14ac:dyDescent="0.2">
      <c r="A15" s="57"/>
      <c r="B15" s="109"/>
      <c r="C15" s="109"/>
      <c r="D15" s="525"/>
      <c r="E15" s="527"/>
      <c r="F15" s="526"/>
      <c r="G15" s="2461"/>
      <c r="H15" s="2343"/>
      <c r="I15" s="2578"/>
      <c r="J15" s="2423"/>
      <c r="K15" s="2319"/>
      <c r="L15" s="2319"/>
      <c r="M15" s="2319"/>
      <c r="N15" s="2567"/>
      <c r="O15" s="2569"/>
      <c r="P15" s="2443"/>
      <c r="Q15" s="2583"/>
      <c r="R15" s="2416"/>
      <c r="S15" s="2585"/>
      <c r="T15" s="970" t="s">
        <v>827</v>
      </c>
      <c r="U15" s="967">
        <v>180000000</v>
      </c>
      <c r="V15" s="968">
        <v>105150000</v>
      </c>
      <c r="W15" s="966">
        <v>24000000</v>
      </c>
      <c r="X15" s="969">
        <v>88</v>
      </c>
      <c r="Y15" s="225" t="s">
        <v>4</v>
      </c>
      <c r="Z15" s="2590"/>
      <c r="AA15" s="2590"/>
      <c r="AB15" s="2580"/>
      <c r="AC15" s="2580"/>
      <c r="AD15" s="2580"/>
      <c r="AE15" s="2580"/>
      <c r="AF15" s="2580"/>
      <c r="AG15" s="2580"/>
      <c r="AH15" s="2580"/>
      <c r="AI15" s="2580"/>
      <c r="AJ15" s="2580"/>
      <c r="AK15" s="2580"/>
      <c r="AL15" s="2580"/>
      <c r="AM15" s="2580"/>
      <c r="AN15" s="2580"/>
      <c r="AO15" s="2580"/>
      <c r="AP15" s="2580"/>
      <c r="AQ15" s="2580"/>
      <c r="AR15" s="2580"/>
      <c r="AS15" s="2580"/>
      <c r="AT15" s="2580"/>
      <c r="AU15" s="2580"/>
      <c r="AV15" s="2580"/>
      <c r="AW15" s="2580"/>
      <c r="AX15" s="2580"/>
      <c r="AY15" s="2580"/>
      <c r="AZ15" s="2580"/>
      <c r="BA15" s="2580"/>
      <c r="BB15" s="2580"/>
      <c r="BC15" s="2580"/>
      <c r="BD15" s="2580"/>
      <c r="BE15" s="2580"/>
      <c r="BF15" s="2580"/>
      <c r="BG15" s="2596"/>
      <c r="BH15" s="2596"/>
      <c r="BI15" s="2599"/>
      <c r="BJ15" s="2602"/>
      <c r="BK15" s="2604"/>
      <c r="BL15" s="2607"/>
      <c r="BM15" s="2591"/>
      <c r="BN15" s="2591"/>
      <c r="BO15" s="2591"/>
      <c r="BP15" s="2402"/>
      <c r="BQ15" s="660"/>
    </row>
    <row r="16" spans="1:86" s="18" customFormat="1" ht="45" x14ac:dyDescent="0.2">
      <c r="A16" s="57"/>
      <c r="B16" s="109"/>
      <c r="C16" s="109"/>
      <c r="D16" s="525"/>
      <c r="E16" s="527"/>
      <c r="F16" s="526"/>
      <c r="G16" s="2461"/>
      <c r="H16" s="2491"/>
      <c r="I16" s="2578"/>
      <c r="J16" s="2423"/>
      <c r="K16" s="2319"/>
      <c r="L16" s="2319"/>
      <c r="M16" s="2319"/>
      <c r="N16" s="2567"/>
      <c r="O16" s="2569"/>
      <c r="P16" s="2443"/>
      <c r="Q16" s="2583"/>
      <c r="R16" s="2584"/>
      <c r="S16" s="2586"/>
      <c r="T16" s="971" t="s">
        <v>828</v>
      </c>
      <c r="U16" s="967">
        <v>153604998</v>
      </c>
      <c r="V16" s="967">
        <v>153604998</v>
      </c>
      <c r="W16" s="966">
        <v>0</v>
      </c>
      <c r="X16" s="89">
        <v>20</v>
      </c>
      <c r="Y16" s="225" t="s">
        <v>7</v>
      </c>
      <c r="Z16" s="2579"/>
      <c r="AA16" s="2579"/>
      <c r="AB16" s="2580"/>
      <c r="AC16" s="2580"/>
      <c r="AD16" s="2580"/>
      <c r="AE16" s="2580"/>
      <c r="AF16" s="2580"/>
      <c r="AG16" s="2580"/>
      <c r="AH16" s="2580"/>
      <c r="AI16" s="2580"/>
      <c r="AJ16" s="2580"/>
      <c r="AK16" s="2580"/>
      <c r="AL16" s="2580"/>
      <c r="AM16" s="2580"/>
      <c r="AN16" s="2580"/>
      <c r="AO16" s="2580"/>
      <c r="AP16" s="2580"/>
      <c r="AQ16" s="2580"/>
      <c r="AR16" s="2580"/>
      <c r="AS16" s="2580"/>
      <c r="AT16" s="2580"/>
      <c r="AU16" s="2580"/>
      <c r="AV16" s="2580"/>
      <c r="AW16" s="2580"/>
      <c r="AX16" s="2580"/>
      <c r="AY16" s="2580"/>
      <c r="AZ16" s="2580"/>
      <c r="BA16" s="2580"/>
      <c r="BB16" s="2580"/>
      <c r="BC16" s="2580"/>
      <c r="BD16" s="2580"/>
      <c r="BE16" s="2580"/>
      <c r="BF16" s="2580"/>
      <c r="BG16" s="2596"/>
      <c r="BH16" s="2596"/>
      <c r="BI16" s="2599"/>
      <c r="BJ16" s="2602"/>
      <c r="BK16" s="2604"/>
      <c r="BL16" s="2607"/>
      <c r="BM16" s="2592"/>
      <c r="BN16" s="2592"/>
      <c r="BO16" s="2592"/>
      <c r="BP16" s="2403"/>
      <c r="BQ16" s="660"/>
    </row>
    <row r="17" spans="1:69" s="18" customFormat="1" ht="60" x14ac:dyDescent="0.2">
      <c r="A17" s="57"/>
      <c r="B17" s="109"/>
      <c r="C17" s="109"/>
      <c r="D17" s="525"/>
      <c r="E17" s="527"/>
      <c r="F17" s="526"/>
      <c r="G17" s="2461"/>
      <c r="H17" s="2491"/>
      <c r="I17" s="2578"/>
      <c r="J17" s="2423"/>
      <c r="K17" s="2319"/>
      <c r="L17" s="2565"/>
      <c r="M17" s="2319"/>
      <c r="N17" s="2567"/>
      <c r="O17" s="2569"/>
      <c r="P17" s="2444"/>
      <c r="Q17" s="2583"/>
      <c r="R17" s="2584"/>
      <c r="S17" s="2587"/>
      <c r="T17" s="972" t="s">
        <v>829</v>
      </c>
      <c r="U17" s="968">
        <v>250000000</v>
      </c>
      <c r="V17" s="968">
        <v>55500000</v>
      </c>
      <c r="W17" s="966">
        <v>0</v>
      </c>
      <c r="X17" s="969">
        <v>56</v>
      </c>
      <c r="Y17" s="524" t="s">
        <v>830</v>
      </c>
      <c r="Z17" s="2579"/>
      <c r="AA17" s="2579"/>
      <c r="AB17" s="2581"/>
      <c r="AC17" s="2581"/>
      <c r="AD17" s="2581"/>
      <c r="AE17" s="2581"/>
      <c r="AF17" s="2581"/>
      <c r="AG17" s="2581"/>
      <c r="AH17" s="2581"/>
      <c r="AI17" s="2581"/>
      <c r="AJ17" s="2581"/>
      <c r="AK17" s="2581"/>
      <c r="AL17" s="2581"/>
      <c r="AM17" s="2581"/>
      <c r="AN17" s="2581"/>
      <c r="AO17" s="2581"/>
      <c r="AP17" s="2581"/>
      <c r="AQ17" s="2581"/>
      <c r="AR17" s="2581"/>
      <c r="AS17" s="2581"/>
      <c r="AT17" s="2581"/>
      <c r="AU17" s="2581"/>
      <c r="AV17" s="2581"/>
      <c r="AW17" s="2581"/>
      <c r="AX17" s="2581"/>
      <c r="AY17" s="2581"/>
      <c r="AZ17" s="2581"/>
      <c r="BA17" s="2581"/>
      <c r="BB17" s="2581"/>
      <c r="BC17" s="2581"/>
      <c r="BD17" s="2581"/>
      <c r="BE17" s="2581"/>
      <c r="BF17" s="2581"/>
      <c r="BG17" s="2597"/>
      <c r="BH17" s="2597"/>
      <c r="BI17" s="2600"/>
      <c r="BJ17" s="2603"/>
      <c r="BK17" s="2603"/>
      <c r="BL17" s="2608"/>
      <c r="BM17" s="2592"/>
      <c r="BN17" s="2592"/>
      <c r="BO17" s="2592"/>
      <c r="BP17" s="2403"/>
      <c r="BQ17" s="660"/>
    </row>
    <row r="18" spans="1:69" s="18" customFormat="1" ht="15.75" x14ac:dyDescent="0.2">
      <c r="A18" s="57"/>
      <c r="B18" s="109"/>
      <c r="C18" s="109"/>
      <c r="D18" s="525"/>
      <c r="E18" s="527"/>
      <c r="F18" s="527"/>
      <c r="G18" s="2451" t="s">
        <v>208</v>
      </c>
      <c r="H18" s="2343" t="s">
        <v>831</v>
      </c>
      <c r="I18" s="2593" t="s">
        <v>832</v>
      </c>
      <c r="J18" s="2512" t="s">
        <v>833</v>
      </c>
      <c r="K18" s="2594">
        <v>1</v>
      </c>
      <c r="L18" s="2594" t="s">
        <v>834</v>
      </c>
      <c r="M18" s="2348" t="s">
        <v>835</v>
      </c>
      <c r="N18" s="2605" t="s">
        <v>836</v>
      </c>
      <c r="O18" s="2453" t="s">
        <v>837</v>
      </c>
      <c r="P18" s="2444">
        <f>SUM(U18:U20)/Q18</f>
        <v>1</v>
      </c>
      <c r="Q18" s="2606">
        <f>SUM(U18:U20)</f>
        <v>570864000</v>
      </c>
      <c r="R18" s="2584" t="s">
        <v>838</v>
      </c>
      <c r="S18" s="2587" t="s">
        <v>839</v>
      </c>
      <c r="T18" s="2613" t="s">
        <v>840</v>
      </c>
      <c r="U18" s="973">
        <v>127397336</v>
      </c>
      <c r="V18" s="973">
        <v>58320000</v>
      </c>
      <c r="W18" s="974">
        <v>14800000</v>
      </c>
      <c r="X18" s="507">
        <v>20</v>
      </c>
      <c r="Y18" s="975" t="s">
        <v>7</v>
      </c>
      <c r="Z18" s="2616">
        <v>295972</v>
      </c>
      <c r="AA18" s="2616">
        <v>295972</v>
      </c>
      <c r="AB18" s="2579">
        <v>285580</v>
      </c>
      <c r="AC18" s="2579">
        <v>285580</v>
      </c>
      <c r="AD18" s="2579">
        <v>135545</v>
      </c>
      <c r="AE18" s="2579">
        <v>135545</v>
      </c>
      <c r="AF18" s="2579">
        <v>44254</v>
      </c>
      <c r="AG18" s="2579">
        <v>44254</v>
      </c>
      <c r="AH18" s="2579">
        <v>309146</v>
      </c>
      <c r="AI18" s="2579">
        <v>309146</v>
      </c>
      <c r="AJ18" s="2579">
        <v>92607</v>
      </c>
      <c r="AK18" s="2579">
        <v>92607</v>
      </c>
      <c r="AL18" s="2579">
        <v>2145</v>
      </c>
      <c r="AM18" s="2579">
        <v>2145</v>
      </c>
      <c r="AN18" s="2579">
        <v>12718</v>
      </c>
      <c r="AO18" s="2579">
        <v>12718</v>
      </c>
      <c r="AP18" s="2579">
        <v>26</v>
      </c>
      <c r="AQ18" s="2579">
        <v>26</v>
      </c>
      <c r="AR18" s="2579">
        <v>37</v>
      </c>
      <c r="AS18" s="2579">
        <v>37</v>
      </c>
      <c r="AT18" s="2579">
        <v>0</v>
      </c>
      <c r="AU18" s="2579">
        <v>0</v>
      </c>
      <c r="AV18" s="2579">
        <v>0</v>
      </c>
      <c r="AW18" s="2579">
        <v>0</v>
      </c>
      <c r="AX18" s="2579">
        <v>44350</v>
      </c>
      <c r="AY18" s="2579">
        <v>44350</v>
      </c>
      <c r="AZ18" s="2579">
        <v>21944</v>
      </c>
      <c r="BA18" s="2579">
        <v>21944</v>
      </c>
      <c r="BB18" s="2579">
        <v>75687</v>
      </c>
      <c r="BC18" s="2579">
        <v>75687</v>
      </c>
      <c r="BD18" s="2579">
        <f>+Z18+AB18</f>
        <v>581552</v>
      </c>
      <c r="BE18" s="2579">
        <f>+AA18+AC18</f>
        <v>581552</v>
      </c>
      <c r="BF18" s="2579">
        <v>26</v>
      </c>
      <c r="BG18" s="2595">
        <v>201786664</v>
      </c>
      <c r="BH18" s="2595">
        <v>158266664</v>
      </c>
      <c r="BI18" s="2598">
        <f>+BH18/BG18</f>
        <v>0.7843266787937978</v>
      </c>
      <c r="BJ18" s="2601" t="s">
        <v>841</v>
      </c>
      <c r="BK18" s="2601" t="s">
        <v>842</v>
      </c>
      <c r="BL18" s="2591">
        <v>43832</v>
      </c>
      <c r="BM18" s="2591">
        <v>43857</v>
      </c>
      <c r="BN18" s="2591">
        <v>44195</v>
      </c>
      <c r="BO18" s="2591">
        <v>44196</v>
      </c>
      <c r="BP18" s="2402" t="s">
        <v>825</v>
      </c>
      <c r="BQ18" s="660"/>
    </row>
    <row r="19" spans="1:69" s="18" customFormat="1" ht="30" x14ac:dyDescent="0.2">
      <c r="A19" s="57"/>
      <c r="B19" s="109"/>
      <c r="C19" s="109"/>
      <c r="D19" s="525"/>
      <c r="E19" s="527"/>
      <c r="F19" s="527"/>
      <c r="G19" s="2451"/>
      <c r="H19" s="2343"/>
      <c r="I19" s="2593"/>
      <c r="J19" s="2512"/>
      <c r="K19" s="2594"/>
      <c r="L19" s="2594"/>
      <c r="M19" s="2348"/>
      <c r="N19" s="2605"/>
      <c r="O19" s="2453"/>
      <c r="P19" s="2332"/>
      <c r="Q19" s="2606"/>
      <c r="R19" s="2609"/>
      <c r="S19" s="2611"/>
      <c r="T19" s="2614"/>
      <c r="U19" s="973">
        <v>300000000</v>
      </c>
      <c r="V19" s="973"/>
      <c r="W19" s="974"/>
      <c r="X19" s="507">
        <v>88</v>
      </c>
      <c r="Y19" s="975" t="s">
        <v>4</v>
      </c>
      <c r="Z19" s="2616"/>
      <c r="AA19" s="2616"/>
      <c r="AB19" s="2580"/>
      <c r="AC19" s="2580"/>
      <c r="AD19" s="2580"/>
      <c r="AE19" s="2580"/>
      <c r="AF19" s="2580"/>
      <c r="AG19" s="2580"/>
      <c r="AH19" s="2580"/>
      <c r="AI19" s="2580"/>
      <c r="AJ19" s="2580"/>
      <c r="AK19" s="2580"/>
      <c r="AL19" s="2580"/>
      <c r="AM19" s="2580"/>
      <c r="AN19" s="2580"/>
      <c r="AO19" s="2580"/>
      <c r="AP19" s="2580"/>
      <c r="AQ19" s="2580"/>
      <c r="AR19" s="2580"/>
      <c r="AS19" s="2580"/>
      <c r="AT19" s="2580"/>
      <c r="AU19" s="2580"/>
      <c r="AV19" s="2580"/>
      <c r="AW19" s="2580"/>
      <c r="AX19" s="2580"/>
      <c r="AY19" s="2580"/>
      <c r="AZ19" s="2580"/>
      <c r="BA19" s="2580"/>
      <c r="BB19" s="2580"/>
      <c r="BC19" s="2580"/>
      <c r="BD19" s="2580"/>
      <c r="BE19" s="2580"/>
      <c r="BF19" s="2580"/>
      <c r="BG19" s="2596"/>
      <c r="BH19" s="2596"/>
      <c r="BI19" s="2599"/>
      <c r="BJ19" s="2602"/>
      <c r="BK19" s="2602"/>
      <c r="BL19" s="2591"/>
      <c r="BM19" s="2591"/>
      <c r="BN19" s="2591"/>
      <c r="BO19" s="2591"/>
      <c r="BP19" s="2402"/>
      <c r="BQ19" s="660"/>
    </row>
    <row r="20" spans="1:69" s="18" customFormat="1" ht="92.25" customHeight="1" x14ac:dyDescent="0.2">
      <c r="A20" s="57"/>
      <c r="B20" s="109"/>
      <c r="C20" s="109"/>
      <c r="D20" s="525"/>
      <c r="E20" s="527"/>
      <c r="F20" s="527"/>
      <c r="G20" s="2451"/>
      <c r="H20" s="2343"/>
      <c r="I20" s="2593"/>
      <c r="J20" s="2512"/>
      <c r="K20" s="2594"/>
      <c r="L20" s="2594"/>
      <c r="M20" s="2348"/>
      <c r="N20" s="2605"/>
      <c r="O20" s="2453"/>
      <c r="P20" s="2332"/>
      <c r="Q20" s="2606"/>
      <c r="R20" s="2610"/>
      <c r="S20" s="2612"/>
      <c r="T20" s="2615"/>
      <c r="U20" s="968">
        <v>143466664</v>
      </c>
      <c r="V20" s="968">
        <v>143466664</v>
      </c>
      <c r="W20" s="966">
        <v>143466664</v>
      </c>
      <c r="X20" s="969">
        <v>20</v>
      </c>
      <c r="Y20" s="225" t="s">
        <v>7</v>
      </c>
      <c r="Z20" s="2616"/>
      <c r="AA20" s="2616"/>
      <c r="AB20" s="2581"/>
      <c r="AC20" s="2581"/>
      <c r="AD20" s="2581"/>
      <c r="AE20" s="2581"/>
      <c r="AF20" s="2581"/>
      <c r="AG20" s="2581"/>
      <c r="AH20" s="2581"/>
      <c r="AI20" s="2581"/>
      <c r="AJ20" s="2581"/>
      <c r="AK20" s="2581"/>
      <c r="AL20" s="2581"/>
      <c r="AM20" s="2581"/>
      <c r="AN20" s="2581"/>
      <c r="AO20" s="2581"/>
      <c r="AP20" s="2581"/>
      <c r="AQ20" s="2581"/>
      <c r="AR20" s="2581"/>
      <c r="AS20" s="2581"/>
      <c r="AT20" s="2581"/>
      <c r="AU20" s="2581"/>
      <c r="AV20" s="2581"/>
      <c r="AW20" s="2581"/>
      <c r="AX20" s="2581"/>
      <c r="AY20" s="2581"/>
      <c r="AZ20" s="2581"/>
      <c r="BA20" s="2581"/>
      <c r="BB20" s="2581"/>
      <c r="BC20" s="2581"/>
      <c r="BD20" s="2581"/>
      <c r="BE20" s="2581"/>
      <c r="BF20" s="2581"/>
      <c r="BG20" s="2597"/>
      <c r="BH20" s="2597"/>
      <c r="BI20" s="2600"/>
      <c r="BJ20" s="2603"/>
      <c r="BK20" s="2603"/>
      <c r="BL20" s="2591"/>
      <c r="BM20" s="2591"/>
      <c r="BN20" s="2591"/>
      <c r="BO20" s="2591"/>
      <c r="BP20" s="2402"/>
      <c r="BQ20" s="660"/>
    </row>
    <row r="21" spans="1:69" s="1" customFormat="1" ht="15.75" x14ac:dyDescent="0.2">
      <c r="A21" s="126"/>
      <c r="B21" s="2547"/>
      <c r="C21" s="2547"/>
      <c r="D21" s="976"/>
      <c r="E21" s="468"/>
      <c r="F21" s="469"/>
      <c r="G21" s="206"/>
      <c r="H21" s="206"/>
      <c r="I21" s="204"/>
      <c r="J21" s="586"/>
      <c r="K21" s="204"/>
      <c r="L21" s="204"/>
      <c r="M21" s="204"/>
      <c r="N21" s="7"/>
      <c r="O21" s="140"/>
      <c r="P21" s="203"/>
      <c r="Q21" s="719">
        <f>SUM(Q12:Q18)</f>
        <v>2541134000</v>
      </c>
      <c r="R21" s="140"/>
      <c r="S21" s="140"/>
      <c r="T21" s="473"/>
      <c r="U21" s="688">
        <f>SUM(U12:U20)</f>
        <v>2541134000</v>
      </c>
      <c r="V21" s="688">
        <f>SUM(V12:V20)</f>
        <v>1132039199</v>
      </c>
      <c r="W21" s="688">
        <f>SUM(W12:W20)</f>
        <v>645852584</v>
      </c>
      <c r="X21" s="402"/>
      <c r="Y21" s="6"/>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688">
        <f>SUM(BG12:BG20)</f>
        <v>1132039199</v>
      </c>
      <c r="BH21" s="688">
        <f>SUM(BH12:BH20)</f>
        <v>645852584</v>
      </c>
      <c r="BI21" s="204"/>
      <c r="BJ21" s="586"/>
      <c r="BK21" s="204"/>
      <c r="BL21" s="518"/>
      <c r="BM21" s="518"/>
      <c r="BN21" s="139"/>
      <c r="BO21" s="139"/>
      <c r="BP21" s="140"/>
    </row>
    <row r="23" spans="1:69" x14ac:dyDescent="0.2">
      <c r="Q23" s="721"/>
    </row>
    <row r="24" spans="1:69" x14ac:dyDescent="0.2">
      <c r="C24" s="701"/>
      <c r="D24" s="701"/>
      <c r="E24" s="701"/>
      <c r="F24" s="701"/>
      <c r="G24" s="701"/>
    </row>
    <row r="25" spans="1:69" ht="15.75" x14ac:dyDescent="0.25">
      <c r="C25" s="2618" t="s">
        <v>843</v>
      </c>
      <c r="D25" s="2618"/>
      <c r="E25" s="2618"/>
      <c r="F25" s="2618"/>
      <c r="G25" s="2618"/>
      <c r="H25" s="703"/>
    </row>
    <row r="26" spans="1:69" ht="15.75" x14ac:dyDescent="0.25">
      <c r="C26" s="2617" t="s">
        <v>844</v>
      </c>
      <c r="D26" s="2617"/>
      <c r="E26" s="2617"/>
      <c r="F26" s="2617"/>
      <c r="G26" s="2617"/>
      <c r="H26" s="723"/>
      <c r="Q26" s="721"/>
    </row>
    <row r="27" spans="1:69" x14ac:dyDescent="0.2">
      <c r="C27" s="15"/>
      <c r="D27" s="693"/>
      <c r="E27" s="692"/>
      <c r="F27" s="694"/>
      <c r="G27" s="695"/>
      <c r="H27" s="695"/>
    </row>
  </sheetData>
  <sheetProtection password="A60F" sheet="1" objects="1" scenarios="1"/>
  <mergeCells count="177">
    <mergeCell ref="C26:G26"/>
    <mergeCell ref="BM18:BM20"/>
    <mergeCell ref="BN18:BN20"/>
    <mergeCell ref="BO18:BO20"/>
    <mergeCell ref="BP18:BP20"/>
    <mergeCell ref="B21:C21"/>
    <mergeCell ref="C25:G25"/>
    <mergeCell ref="BG18:BG20"/>
    <mergeCell ref="BH18:BH20"/>
    <mergeCell ref="BI18:BI20"/>
    <mergeCell ref="BJ18:BJ20"/>
    <mergeCell ref="BK18:BK20"/>
    <mergeCell ref="BL18:BL20"/>
    <mergeCell ref="BA18:BA20"/>
    <mergeCell ref="BB18:BB20"/>
    <mergeCell ref="BC18:BC20"/>
    <mergeCell ref="BD18:BD20"/>
    <mergeCell ref="BE18:BE20"/>
    <mergeCell ref="BF18:BF20"/>
    <mergeCell ref="AU18:AU20"/>
    <mergeCell ref="AV18:AV20"/>
    <mergeCell ref="AW18:AW20"/>
    <mergeCell ref="AX18:AX20"/>
    <mergeCell ref="AY18:AY20"/>
    <mergeCell ref="AZ18:AZ20"/>
    <mergeCell ref="AO18:AO20"/>
    <mergeCell ref="AP18:AP20"/>
    <mergeCell ref="AQ18:AQ20"/>
    <mergeCell ref="AR18:AR20"/>
    <mergeCell ref="AS18:AS20"/>
    <mergeCell ref="AT18:AT20"/>
    <mergeCell ref="AI18:AI20"/>
    <mergeCell ref="AJ18:AJ20"/>
    <mergeCell ref="AK18:AK20"/>
    <mergeCell ref="AL18:AL20"/>
    <mergeCell ref="AM18:AM20"/>
    <mergeCell ref="AN18:AN20"/>
    <mergeCell ref="AC18:AC20"/>
    <mergeCell ref="AD18:AD20"/>
    <mergeCell ref="AE18:AE20"/>
    <mergeCell ref="AF18:AF20"/>
    <mergeCell ref="AG18:AG20"/>
    <mergeCell ref="AH18:AH20"/>
    <mergeCell ref="R18:R20"/>
    <mergeCell ref="S18:S20"/>
    <mergeCell ref="T18:T20"/>
    <mergeCell ref="Z18:Z20"/>
    <mergeCell ref="AA18:AA20"/>
    <mergeCell ref="AB18:AB20"/>
    <mergeCell ref="L18:L20"/>
    <mergeCell ref="M18:M20"/>
    <mergeCell ref="N18:N20"/>
    <mergeCell ref="O18:O20"/>
    <mergeCell ref="P18:P20"/>
    <mergeCell ref="Q18:Q20"/>
    <mergeCell ref="BL12:BL17"/>
    <mergeCell ref="BM12:BM17"/>
    <mergeCell ref="BN12:BN17"/>
    <mergeCell ref="AY12:AY17"/>
    <mergeCell ref="AN12:AN17"/>
    <mergeCell ref="AO12:AO17"/>
    <mergeCell ref="AP12:AP17"/>
    <mergeCell ref="AQ12:AQ17"/>
    <mergeCell ref="AR12:AR17"/>
    <mergeCell ref="AS12:AS17"/>
    <mergeCell ref="AH12:AH17"/>
    <mergeCell ref="AI12:AI17"/>
    <mergeCell ref="AJ12:AJ17"/>
    <mergeCell ref="AK12:AK17"/>
    <mergeCell ref="AL12:AL17"/>
    <mergeCell ref="AM12:AM17"/>
    <mergeCell ref="AB12:AB17"/>
    <mergeCell ref="AC12:AC17"/>
    <mergeCell ref="BO12:BO17"/>
    <mergeCell ref="BP12:BP17"/>
    <mergeCell ref="G18:G20"/>
    <mergeCell ref="H18:H20"/>
    <mergeCell ref="I18:I20"/>
    <mergeCell ref="J18:J20"/>
    <mergeCell ref="K18:K20"/>
    <mergeCell ref="BF12:BF17"/>
    <mergeCell ref="BG12:BG17"/>
    <mergeCell ref="BH12:BH17"/>
    <mergeCell ref="BI12:BI17"/>
    <mergeCell ref="BJ12:BJ17"/>
    <mergeCell ref="BK12:BK17"/>
    <mergeCell ref="AZ12:AZ17"/>
    <mergeCell ref="BA12:BA17"/>
    <mergeCell ref="BB12:BB17"/>
    <mergeCell ref="BC12:BC17"/>
    <mergeCell ref="BD12:BD17"/>
    <mergeCell ref="BE12:BE17"/>
    <mergeCell ref="AT12:AT17"/>
    <mergeCell ref="AU12:AU17"/>
    <mergeCell ref="AV12:AV17"/>
    <mergeCell ref="AW12:AW17"/>
    <mergeCell ref="AX12:AX17"/>
    <mergeCell ref="AD12:AD17"/>
    <mergeCell ref="AE12:AE17"/>
    <mergeCell ref="AF12:AF17"/>
    <mergeCell ref="AG12:AG17"/>
    <mergeCell ref="Q12:Q17"/>
    <mergeCell ref="R12:R17"/>
    <mergeCell ref="S12:S17"/>
    <mergeCell ref="T12:T13"/>
    <mergeCell ref="Z12:Z17"/>
    <mergeCell ref="AA12:AA17"/>
    <mergeCell ref="K12:K17"/>
    <mergeCell ref="L12:L17"/>
    <mergeCell ref="M12:M17"/>
    <mergeCell ref="N12:N17"/>
    <mergeCell ref="O12:O17"/>
    <mergeCell ref="P12:P17"/>
    <mergeCell ref="BJ8:BJ9"/>
    <mergeCell ref="BK8:BK9"/>
    <mergeCell ref="B11:C11"/>
    <mergeCell ref="E11:N11"/>
    <mergeCell ref="B12:C12"/>
    <mergeCell ref="E12:F12"/>
    <mergeCell ref="G12:G17"/>
    <mergeCell ref="H12:H17"/>
    <mergeCell ref="I12:I17"/>
    <mergeCell ref="J12:J17"/>
    <mergeCell ref="AZ8:BA8"/>
    <mergeCell ref="BB8:BC8"/>
    <mergeCell ref="BF8:BF9"/>
    <mergeCell ref="BG8:BG9"/>
    <mergeCell ref="BH8:BH9"/>
    <mergeCell ref="BI8:BI9"/>
    <mergeCell ref="AN8:AO8"/>
    <mergeCell ref="AP8:AQ8"/>
    <mergeCell ref="AR8:AS8"/>
    <mergeCell ref="AT8:AU8"/>
    <mergeCell ref="AV8:AW8"/>
    <mergeCell ref="AX8:AY8"/>
    <mergeCell ref="BD7:BE8"/>
    <mergeCell ref="BF7:BK7"/>
    <mergeCell ref="BL7:BM8"/>
    <mergeCell ref="BN7:BO8"/>
    <mergeCell ref="BP7:BP9"/>
    <mergeCell ref="AL7:AW7"/>
    <mergeCell ref="AX7:BC7"/>
    <mergeCell ref="AL8:AM8"/>
    <mergeCell ref="AD7:AK7"/>
    <mergeCell ref="AF8:AG8"/>
    <mergeCell ref="AH8:AI8"/>
    <mergeCell ref="AJ8:AK8"/>
    <mergeCell ref="P7:P8"/>
    <mergeCell ref="Q7:Q8"/>
    <mergeCell ref="R7:R8"/>
    <mergeCell ref="S7:S9"/>
    <mergeCell ref="T7:T9"/>
    <mergeCell ref="U7:W7"/>
    <mergeCell ref="I7:I9"/>
    <mergeCell ref="J7:J9"/>
    <mergeCell ref="K7:L7"/>
    <mergeCell ref="M7:M9"/>
    <mergeCell ref="N7:N8"/>
    <mergeCell ref="O7:O8"/>
    <mergeCell ref="A1:BL4"/>
    <mergeCell ref="A5:K6"/>
    <mergeCell ref="M5:BP5"/>
    <mergeCell ref="Z6:BB6"/>
    <mergeCell ref="A7:A9"/>
    <mergeCell ref="B7:C9"/>
    <mergeCell ref="D7:D9"/>
    <mergeCell ref="E7:F9"/>
    <mergeCell ref="G7:G9"/>
    <mergeCell ref="H7:H9"/>
    <mergeCell ref="K8:K9"/>
    <mergeCell ref="L8:L9"/>
    <mergeCell ref="Z8:AA8"/>
    <mergeCell ref="AB8:AC8"/>
    <mergeCell ref="AD8:AE8"/>
    <mergeCell ref="X7:X8"/>
    <mergeCell ref="Y7:Y8"/>
    <mergeCell ref="Z7:A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V111"/>
  <sheetViews>
    <sheetView showGridLines="0" zoomScale="50" zoomScaleNormal="50" workbookViewId="0">
      <selection sqref="A1:BM4"/>
    </sheetView>
  </sheetViews>
  <sheetFormatPr baseColWidth="10" defaultColWidth="11.42578125" defaultRowHeight="15" x14ac:dyDescent="0.25"/>
  <cols>
    <col min="1" max="1" width="14.140625" style="155" customWidth="1"/>
    <col min="2" max="2" width="2" style="12" customWidth="1"/>
    <col min="3" max="3" width="18.140625" style="12" customWidth="1"/>
    <col min="4" max="4" width="13.7109375" style="12" customWidth="1"/>
    <col min="5" max="5" width="6.7109375" style="12" customWidth="1"/>
    <col min="6" max="6" width="14.28515625" style="12" customWidth="1"/>
    <col min="7" max="7" width="14.85546875" style="12" customWidth="1"/>
    <col min="8" max="8" width="17.7109375" style="12" customWidth="1"/>
    <col min="9" max="9" width="38.140625" style="527" customWidth="1"/>
    <col min="10" max="10" width="38.28515625" style="527" customWidth="1"/>
    <col min="11" max="11" width="13.85546875" style="148" customWidth="1"/>
    <col min="12" max="12" width="16" style="148" customWidth="1"/>
    <col min="13" max="13" width="35.42578125" style="148" customWidth="1"/>
    <col min="14" max="14" width="27.42578125" style="148" customWidth="1"/>
    <col min="15" max="15" width="42" style="527" customWidth="1"/>
    <col min="16" max="16" width="23.42578125" style="145" customWidth="1"/>
    <col min="17" max="17" width="31" style="1161" customWidth="1"/>
    <col min="18" max="18" width="45.7109375" style="527" customWidth="1"/>
    <col min="19" max="19" width="50.5703125" style="527" customWidth="1"/>
    <col min="20" max="20" width="65.85546875" style="527" customWidth="1"/>
    <col min="21" max="21" width="31.5703125" style="1161" customWidth="1"/>
    <col min="22" max="22" width="33.42578125" style="1161" customWidth="1"/>
    <col min="23" max="23" width="28.7109375" style="1161" customWidth="1"/>
    <col min="24" max="24" width="30" style="147" customWidth="1"/>
    <col min="25" max="25" width="34.85546875" style="148" customWidth="1"/>
    <col min="26" max="27" width="11.5703125" style="12" customWidth="1"/>
    <col min="28" max="29" width="12" style="12" customWidth="1"/>
    <col min="30" max="31" width="11" style="12" customWidth="1"/>
    <col min="32" max="33" width="10.140625" style="12" customWidth="1"/>
    <col min="34" max="35" width="11.7109375" style="12" customWidth="1"/>
    <col min="36" max="37" width="10" style="12" customWidth="1"/>
    <col min="38" max="39" width="8.5703125" style="12" customWidth="1"/>
    <col min="40" max="41" width="9.140625" style="12" customWidth="1"/>
    <col min="42" max="49" width="7.140625" style="12" customWidth="1"/>
    <col min="50" max="51" width="8.85546875" style="12" customWidth="1"/>
    <col min="52" max="53" width="9.42578125" style="12" customWidth="1"/>
    <col min="54" max="55" width="10.140625" style="12" customWidth="1"/>
    <col min="56" max="57" width="12" style="12" customWidth="1"/>
    <col min="58" max="58" width="17.7109375" style="12" customWidth="1"/>
    <col min="59" max="59" width="30.7109375" style="1163" customWidth="1"/>
    <col min="60" max="60" width="33.5703125" style="1163" customWidth="1"/>
    <col min="61" max="61" width="29.5703125" style="12" customWidth="1"/>
    <col min="62" max="62" width="16.7109375" style="12" customWidth="1"/>
    <col min="63" max="63" width="30.28515625" style="12" customWidth="1"/>
    <col min="64" max="65" width="16.42578125" style="149" customWidth="1"/>
    <col min="66" max="67" width="20.85546875" style="149" customWidth="1"/>
    <col min="68" max="68" width="30.85546875" style="12" customWidth="1"/>
    <col min="69" max="16384" width="11.42578125" style="12"/>
  </cols>
  <sheetData>
    <row r="1" spans="1:86" ht="15" customHeight="1" x14ac:dyDescent="0.25">
      <c r="A1" s="2619" t="s">
        <v>875</v>
      </c>
      <c r="B1" s="2620"/>
      <c r="C1" s="2620"/>
      <c r="D1" s="2620"/>
      <c r="E1" s="2620"/>
      <c r="F1" s="2620"/>
      <c r="G1" s="2620"/>
      <c r="H1" s="2620"/>
      <c r="I1" s="2620"/>
      <c r="J1" s="2620"/>
      <c r="K1" s="2620"/>
      <c r="L1" s="2620"/>
      <c r="M1" s="2620"/>
      <c r="N1" s="2620"/>
      <c r="O1" s="2620"/>
      <c r="P1" s="2620"/>
      <c r="Q1" s="2620"/>
      <c r="R1" s="2620"/>
      <c r="S1" s="2620"/>
      <c r="T1" s="2620"/>
      <c r="U1" s="2620"/>
      <c r="V1" s="2620"/>
      <c r="W1" s="2620"/>
      <c r="X1" s="2620"/>
      <c r="Y1" s="2620"/>
      <c r="Z1" s="2620"/>
      <c r="AA1" s="2620"/>
      <c r="AB1" s="2620"/>
      <c r="AC1" s="2620"/>
      <c r="AD1" s="2620"/>
      <c r="AE1" s="2620"/>
      <c r="AF1" s="2620"/>
      <c r="AG1" s="2620"/>
      <c r="AH1" s="2620"/>
      <c r="AI1" s="2620"/>
      <c r="AJ1" s="2620"/>
      <c r="AK1" s="2620"/>
      <c r="AL1" s="2620"/>
      <c r="AM1" s="2620"/>
      <c r="AN1" s="2620"/>
      <c r="AO1" s="2620"/>
      <c r="AP1" s="2620"/>
      <c r="AQ1" s="2620"/>
      <c r="AR1" s="2620"/>
      <c r="AS1" s="2620"/>
      <c r="AT1" s="2620"/>
      <c r="AU1" s="2620"/>
      <c r="AV1" s="2620"/>
      <c r="AW1" s="2620"/>
      <c r="AX1" s="2620"/>
      <c r="AY1" s="2620"/>
      <c r="AZ1" s="2620"/>
      <c r="BA1" s="2620"/>
      <c r="BB1" s="2620"/>
      <c r="BC1" s="2620"/>
      <c r="BD1" s="2620"/>
      <c r="BE1" s="2620"/>
      <c r="BF1" s="2620"/>
      <c r="BG1" s="2620"/>
      <c r="BH1" s="2620"/>
      <c r="BI1" s="2620"/>
      <c r="BJ1" s="2620"/>
      <c r="BK1" s="2620"/>
      <c r="BL1" s="2620"/>
      <c r="BM1" s="2620"/>
      <c r="BN1" s="1023"/>
      <c r="BO1" s="1024" t="s">
        <v>29</v>
      </c>
      <c r="BP1" s="1025" t="s">
        <v>336</v>
      </c>
      <c r="BR1" s="148"/>
      <c r="BS1" s="148"/>
      <c r="BT1" s="148"/>
      <c r="BU1" s="148"/>
      <c r="BV1" s="148"/>
      <c r="BW1" s="148"/>
      <c r="BX1" s="148"/>
      <c r="BY1" s="148"/>
      <c r="BZ1" s="148"/>
      <c r="CA1" s="148"/>
      <c r="CB1" s="148"/>
      <c r="CC1" s="148"/>
      <c r="CD1" s="148"/>
      <c r="CE1" s="148"/>
      <c r="CF1" s="148"/>
      <c r="CG1" s="148"/>
    </row>
    <row r="2" spans="1:86" ht="15" customHeight="1" x14ac:dyDescent="0.25">
      <c r="A2" s="2621"/>
      <c r="B2" s="2622"/>
      <c r="C2" s="2622"/>
      <c r="D2" s="2622"/>
      <c r="E2" s="2622"/>
      <c r="F2" s="2622"/>
      <c r="G2" s="2622"/>
      <c r="H2" s="2622"/>
      <c r="I2" s="2622"/>
      <c r="J2" s="2622"/>
      <c r="K2" s="2622"/>
      <c r="L2" s="2622"/>
      <c r="M2" s="2622"/>
      <c r="N2" s="2622"/>
      <c r="O2" s="2622"/>
      <c r="P2" s="2622"/>
      <c r="Q2" s="2622"/>
      <c r="R2" s="2622"/>
      <c r="S2" s="2622"/>
      <c r="T2" s="2622"/>
      <c r="U2" s="2622"/>
      <c r="V2" s="2622"/>
      <c r="W2" s="2622"/>
      <c r="X2" s="2622"/>
      <c r="Y2" s="2622"/>
      <c r="Z2" s="2622"/>
      <c r="AA2" s="2622"/>
      <c r="AB2" s="2622"/>
      <c r="AC2" s="2622"/>
      <c r="AD2" s="2622"/>
      <c r="AE2" s="2622"/>
      <c r="AF2" s="2622"/>
      <c r="AG2" s="2622"/>
      <c r="AH2" s="2622"/>
      <c r="AI2" s="2622"/>
      <c r="AJ2" s="2622"/>
      <c r="AK2" s="2622"/>
      <c r="AL2" s="2622"/>
      <c r="AM2" s="2622"/>
      <c r="AN2" s="2622"/>
      <c r="AO2" s="2622"/>
      <c r="AP2" s="2622"/>
      <c r="AQ2" s="2622"/>
      <c r="AR2" s="2622"/>
      <c r="AS2" s="2622"/>
      <c r="AT2" s="2622"/>
      <c r="AU2" s="2622"/>
      <c r="AV2" s="2622"/>
      <c r="AW2" s="2622"/>
      <c r="AX2" s="2622"/>
      <c r="AY2" s="2622"/>
      <c r="AZ2" s="2622"/>
      <c r="BA2" s="2622"/>
      <c r="BB2" s="2622"/>
      <c r="BC2" s="2622"/>
      <c r="BD2" s="2622"/>
      <c r="BE2" s="2622"/>
      <c r="BF2" s="2622"/>
      <c r="BG2" s="2622"/>
      <c r="BH2" s="2622"/>
      <c r="BI2" s="2622"/>
      <c r="BJ2" s="2622"/>
      <c r="BK2" s="2622"/>
      <c r="BL2" s="2622"/>
      <c r="BM2" s="2622"/>
      <c r="BN2" s="614"/>
      <c r="BO2" s="1026" t="s">
        <v>30</v>
      </c>
      <c r="BP2" s="1027">
        <v>6</v>
      </c>
      <c r="BQ2" s="1028"/>
      <c r="BR2" s="148"/>
      <c r="BS2" s="148"/>
      <c r="BT2" s="148"/>
      <c r="BU2" s="148"/>
      <c r="BV2" s="148"/>
      <c r="BW2" s="148"/>
      <c r="BX2" s="148"/>
      <c r="BY2" s="148"/>
      <c r="BZ2" s="148"/>
      <c r="CA2" s="148"/>
      <c r="CB2" s="148"/>
      <c r="CC2" s="148"/>
      <c r="CD2" s="148"/>
      <c r="CE2" s="148"/>
      <c r="CF2" s="148"/>
      <c r="CG2" s="148"/>
    </row>
    <row r="3" spans="1:86" ht="15" customHeight="1" x14ac:dyDescent="0.25">
      <c r="A3" s="2621"/>
      <c r="B3" s="2622"/>
      <c r="C3" s="2622"/>
      <c r="D3" s="2622"/>
      <c r="E3" s="2622"/>
      <c r="F3" s="2622"/>
      <c r="G3" s="2622"/>
      <c r="H3" s="2622"/>
      <c r="I3" s="2622"/>
      <c r="J3" s="2622"/>
      <c r="K3" s="2622"/>
      <c r="L3" s="2622"/>
      <c r="M3" s="2622"/>
      <c r="N3" s="2622"/>
      <c r="O3" s="2622"/>
      <c r="P3" s="2622"/>
      <c r="Q3" s="2622"/>
      <c r="R3" s="2622"/>
      <c r="S3" s="2622"/>
      <c r="T3" s="2622"/>
      <c r="U3" s="2622"/>
      <c r="V3" s="2622"/>
      <c r="W3" s="2622"/>
      <c r="X3" s="2622"/>
      <c r="Y3" s="2622"/>
      <c r="Z3" s="2622"/>
      <c r="AA3" s="2622"/>
      <c r="AB3" s="2622"/>
      <c r="AC3" s="2622"/>
      <c r="AD3" s="2622"/>
      <c r="AE3" s="2622"/>
      <c r="AF3" s="2622"/>
      <c r="AG3" s="2622"/>
      <c r="AH3" s="2622"/>
      <c r="AI3" s="2622"/>
      <c r="AJ3" s="2622"/>
      <c r="AK3" s="2622"/>
      <c r="AL3" s="2622"/>
      <c r="AM3" s="2622"/>
      <c r="AN3" s="2622"/>
      <c r="AO3" s="2622"/>
      <c r="AP3" s="2622"/>
      <c r="AQ3" s="2622"/>
      <c r="AR3" s="2622"/>
      <c r="AS3" s="2622"/>
      <c r="AT3" s="2622"/>
      <c r="AU3" s="2622"/>
      <c r="AV3" s="2622"/>
      <c r="AW3" s="2622"/>
      <c r="AX3" s="2622"/>
      <c r="AY3" s="2622"/>
      <c r="AZ3" s="2622"/>
      <c r="BA3" s="2622"/>
      <c r="BB3" s="2622"/>
      <c r="BC3" s="2622"/>
      <c r="BD3" s="2622"/>
      <c r="BE3" s="2622"/>
      <c r="BF3" s="2622"/>
      <c r="BG3" s="2622"/>
      <c r="BH3" s="2622"/>
      <c r="BI3" s="2622"/>
      <c r="BJ3" s="2622"/>
      <c r="BK3" s="2622"/>
      <c r="BL3" s="2622"/>
      <c r="BM3" s="2622"/>
      <c r="BN3" s="614"/>
      <c r="BO3" s="1026" t="s">
        <v>32</v>
      </c>
      <c r="BP3" s="1029" t="s">
        <v>33</v>
      </c>
      <c r="BQ3" s="1028"/>
      <c r="BR3" s="148"/>
      <c r="BS3" s="148"/>
      <c r="BT3" s="148"/>
      <c r="BU3" s="148"/>
      <c r="BV3" s="148"/>
      <c r="BW3" s="148"/>
      <c r="BX3" s="148"/>
      <c r="BY3" s="148"/>
      <c r="BZ3" s="148"/>
      <c r="CA3" s="148"/>
      <c r="CB3" s="148"/>
      <c r="CC3" s="148"/>
      <c r="CD3" s="148"/>
      <c r="CE3" s="148"/>
      <c r="CF3" s="148"/>
      <c r="CG3" s="148"/>
    </row>
    <row r="4" spans="1:86" ht="15" customHeight="1" x14ac:dyDescent="0.25">
      <c r="A4" s="2623"/>
      <c r="B4" s="2624"/>
      <c r="C4" s="2624"/>
      <c r="D4" s="2624"/>
      <c r="E4" s="2624"/>
      <c r="F4" s="2624"/>
      <c r="G4" s="2624"/>
      <c r="H4" s="2624"/>
      <c r="I4" s="2624"/>
      <c r="J4" s="2624"/>
      <c r="K4" s="2624"/>
      <c r="L4" s="2624"/>
      <c r="M4" s="2624"/>
      <c r="N4" s="2624"/>
      <c r="O4" s="2624"/>
      <c r="P4" s="2624"/>
      <c r="Q4" s="2624"/>
      <c r="R4" s="2624"/>
      <c r="S4" s="2624"/>
      <c r="T4" s="2624"/>
      <c r="U4" s="2624"/>
      <c r="V4" s="2624"/>
      <c r="W4" s="2624"/>
      <c r="X4" s="2624"/>
      <c r="Y4" s="2624"/>
      <c r="Z4" s="2624"/>
      <c r="AA4" s="2624"/>
      <c r="AB4" s="2624"/>
      <c r="AC4" s="2624"/>
      <c r="AD4" s="2624"/>
      <c r="AE4" s="2624"/>
      <c r="AF4" s="2624"/>
      <c r="AG4" s="2624"/>
      <c r="AH4" s="2624"/>
      <c r="AI4" s="2624"/>
      <c r="AJ4" s="2624"/>
      <c r="AK4" s="2624"/>
      <c r="AL4" s="2624"/>
      <c r="AM4" s="2624"/>
      <c r="AN4" s="2624"/>
      <c r="AO4" s="2624"/>
      <c r="AP4" s="2624"/>
      <c r="AQ4" s="2624"/>
      <c r="AR4" s="2624"/>
      <c r="AS4" s="2624"/>
      <c r="AT4" s="2624"/>
      <c r="AU4" s="2624"/>
      <c r="AV4" s="2624"/>
      <c r="AW4" s="2624"/>
      <c r="AX4" s="2624"/>
      <c r="AY4" s="2624"/>
      <c r="AZ4" s="2624"/>
      <c r="BA4" s="2624"/>
      <c r="BB4" s="2624"/>
      <c r="BC4" s="2624"/>
      <c r="BD4" s="2624"/>
      <c r="BE4" s="2624"/>
      <c r="BF4" s="2624"/>
      <c r="BG4" s="2624"/>
      <c r="BH4" s="2624"/>
      <c r="BI4" s="2624"/>
      <c r="BJ4" s="2624"/>
      <c r="BK4" s="2624"/>
      <c r="BL4" s="2624"/>
      <c r="BM4" s="2624"/>
      <c r="BN4" s="1030"/>
      <c r="BO4" s="1026" t="s">
        <v>34</v>
      </c>
      <c r="BP4" s="1031" t="s">
        <v>339</v>
      </c>
      <c r="BQ4" s="1028"/>
      <c r="BR4" s="148"/>
      <c r="BS4" s="148"/>
      <c r="BT4" s="148"/>
      <c r="BU4" s="148"/>
      <c r="BV4" s="148"/>
      <c r="BW4" s="148"/>
      <c r="BX4" s="148"/>
      <c r="BY4" s="148"/>
      <c r="BZ4" s="148"/>
      <c r="CA4" s="148"/>
      <c r="CB4" s="148"/>
      <c r="CC4" s="148"/>
      <c r="CD4" s="148"/>
      <c r="CE4" s="148"/>
      <c r="CF4" s="148"/>
      <c r="CG4" s="148"/>
    </row>
    <row r="5" spans="1:86" ht="31.5" customHeight="1" x14ac:dyDescent="0.25">
      <c r="A5" s="2250" t="s">
        <v>340</v>
      </c>
      <c r="B5" s="2251"/>
      <c r="C5" s="2251"/>
      <c r="D5" s="2251"/>
      <c r="E5" s="2251"/>
      <c r="F5" s="2251"/>
      <c r="G5" s="2251"/>
      <c r="H5" s="2251"/>
      <c r="I5" s="2251"/>
      <c r="J5" s="2251"/>
      <c r="K5" s="2251"/>
      <c r="L5" s="2251"/>
      <c r="M5" s="574"/>
      <c r="N5" s="2254" t="s">
        <v>37</v>
      </c>
      <c r="O5" s="2255"/>
      <c r="P5" s="2255"/>
      <c r="Q5" s="2255"/>
      <c r="R5" s="2255"/>
      <c r="S5" s="2255"/>
      <c r="T5" s="2255"/>
      <c r="U5" s="2255"/>
      <c r="V5" s="2255"/>
      <c r="W5" s="2255"/>
      <c r="X5" s="2255"/>
      <c r="Y5" s="2255"/>
      <c r="Z5" s="2255"/>
      <c r="AA5" s="2255"/>
      <c r="AB5" s="2255"/>
      <c r="AC5" s="2255"/>
      <c r="AD5" s="2255"/>
      <c r="AE5" s="2255"/>
      <c r="AF5" s="2255"/>
      <c r="AG5" s="2255"/>
      <c r="AH5" s="2255"/>
      <c r="AI5" s="2255"/>
      <c r="AJ5" s="2255"/>
      <c r="AK5" s="2255"/>
      <c r="AL5" s="2255"/>
      <c r="AM5" s="2255"/>
      <c r="AN5" s="2255"/>
      <c r="AO5" s="2255"/>
      <c r="AP5" s="2255"/>
      <c r="AQ5" s="2255"/>
      <c r="AR5" s="2255"/>
      <c r="AS5" s="2255"/>
      <c r="AT5" s="2255"/>
      <c r="AU5" s="2255"/>
      <c r="AV5" s="2255"/>
      <c r="AW5" s="2255"/>
      <c r="AX5" s="2255"/>
      <c r="AY5" s="2255"/>
      <c r="AZ5" s="2255"/>
      <c r="BA5" s="2255"/>
      <c r="BB5" s="2255"/>
      <c r="BC5" s="2255"/>
      <c r="BD5" s="2255"/>
      <c r="BE5" s="2255"/>
      <c r="BF5" s="2255"/>
      <c r="BG5" s="2255"/>
      <c r="BH5" s="2255"/>
      <c r="BI5" s="2255"/>
      <c r="BJ5" s="2255"/>
      <c r="BK5" s="2255"/>
      <c r="BL5" s="2255"/>
      <c r="BM5" s="2255"/>
      <c r="BN5" s="2255"/>
      <c r="BO5" s="2255"/>
      <c r="BP5" s="2256"/>
      <c r="BQ5" s="572"/>
      <c r="BR5" s="148"/>
      <c r="BS5" s="148"/>
      <c r="BT5" s="148"/>
      <c r="BU5" s="148"/>
      <c r="BV5" s="148"/>
      <c r="BW5" s="148"/>
      <c r="BX5" s="148"/>
      <c r="BY5" s="148"/>
      <c r="BZ5" s="148"/>
      <c r="CA5" s="148"/>
      <c r="CB5" s="148"/>
      <c r="CC5" s="148"/>
      <c r="CD5" s="148"/>
      <c r="CE5" s="148"/>
      <c r="CF5" s="148"/>
      <c r="CG5" s="148"/>
    </row>
    <row r="6" spans="1:86" ht="18" customHeight="1" thickBot="1" x14ac:dyDescent="0.3">
      <c r="A6" s="2252"/>
      <c r="B6" s="2253"/>
      <c r="C6" s="2253"/>
      <c r="D6" s="2253"/>
      <c r="E6" s="2253"/>
      <c r="F6" s="2253"/>
      <c r="G6" s="2253"/>
      <c r="H6" s="2253"/>
      <c r="I6" s="2253"/>
      <c r="J6" s="2253"/>
      <c r="K6" s="2253"/>
      <c r="L6" s="2253"/>
      <c r="M6" s="576"/>
      <c r="N6" s="573"/>
      <c r="O6" s="1032"/>
      <c r="P6" s="576"/>
      <c r="Q6" s="1033"/>
      <c r="R6" s="637"/>
      <c r="S6" s="576"/>
      <c r="T6" s="1030"/>
      <c r="U6" s="1033"/>
      <c r="V6" s="1033"/>
      <c r="W6" s="1033"/>
      <c r="X6" s="576"/>
      <c r="Y6" s="576"/>
      <c r="Z6" s="576"/>
      <c r="AA6" s="2254" t="s">
        <v>38</v>
      </c>
      <c r="AB6" s="2255"/>
      <c r="AC6" s="2255"/>
      <c r="AD6" s="2255"/>
      <c r="AE6" s="2255"/>
      <c r="AF6" s="2255"/>
      <c r="AG6" s="2255"/>
      <c r="AH6" s="2255"/>
      <c r="AI6" s="2255"/>
      <c r="AJ6" s="2255"/>
      <c r="AK6" s="2255"/>
      <c r="AL6" s="2255"/>
      <c r="AM6" s="2255"/>
      <c r="AN6" s="2255"/>
      <c r="AO6" s="2255"/>
      <c r="AP6" s="2255"/>
      <c r="AQ6" s="2255"/>
      <c r="AR6" s="2255"/>
      <c r="AS6" s="2255"/>
      <c r="AT6" s="2255"/>
      <c r="AU6" s="2255"/>
      <c r="AV6" s="2255"/>
      <c r="AW6" s="2255"/>
      <c r="AX6" s="2255"/>
      <c r="AY6" s="2255"/>
      <c r="AZ6" s="2255"/>
      <c r="BA6" s="2255"/>
      <c r="BB6" s="2255"/>
      <c r="BC6" s="2255"/>
      <c r="BD6" s="576"/>
      <c r="BE6" s="638"/>
      <c r="BF6" s="638"/>
      <c r="BG6" s="1033"/>
      <c r="BH6" s="1033"/>
      <c r="BI6" s="638"/>
      <c r="BJ6" s="638"/>
      <c r="BK6" s="638"/>
      <c r="BL6" s="638"/>
      <c r="BM6" s="639"/>
      <c r="BN6" s="639"/>
      <c r="BO6" s="639"/>
      <c r="BP6" s="639"/>
      <c r="BQ6" s="1034"/>
      <c r="BR6" s="148"/>
      <c r="BS6" s="148"/>
      <c r="BT6" s="148"/>
      <c r="BU6" s="148"/>
      <c r="BV6" s="148"/>
      <c r="BW6" s="148"/>
      <c r="BX6" s="148"/>
      <c r="BY6" s="148"/>
      <c r="BZ6" s="148"/>
      <c r="CA6" s="148"/>
      <c r="CB6" s="148"/>
      <c r="CC6" s="148"/>
      <c r="CD6" s="148"/>
      <c r="CE6" s="148"/>
      <c r="CF6" s="148"/>
      <c r="CG6" s="148"/>
    </row>
    <row r="7" spans="1:86" ht="36" customHeight="1" x14ac:dyDescent="0.25">
      <c r="A7" s="2257" t="s">
        <v>39</v>
      </c>
      <c r="B7" s="2259" t="s">
        <v>40</v>
      </c>
      <c r="C7" s="2260"/>
      <c r="D7" s="2260" t="s">
        <v>39</v>
      </c>
      <c r="E7" s="2259" t="s">
        <v>41</v>
      </c>
      <c r="F7" s="2260"/>
      <c r="G7" s="2260" t="s">
        <v>39</v>
      </c>
      <c r="H7" s="2239" t="s">
        <v>579</v>
      </c>
      <c r="I7" s="2259" t="s">
        <v>43</v>
      </c>
      <c r="J7" s="2239" t="s">
        <v>44</v>
      </c>
      <c r="K7" s="2303" t="s">
        <v>876</v>
      </c>
      <c r="L7" s="2303"/>
      <c r="M7" s="2239" t="s">
        <v>46</v>
      </c>
      <c r="N7" s="2239" t="s">
        <v>47</v>
      </c>
      <c r="O7" s="2239" t="s">
        <v>37</v>
      </c>
      <c r="P7" s="2285" t="s">
        <v>48</v>
      </c>
      <c r="Q7" s="2628" t="s">
        <v>49</v>
      </c>
      <c r="R7" s="2259" t="s">
        <v>50</v>
      </c>
      <c r="S7" s="2259" t="s">
        <v>51</v>
      </c>
      <c r="T7" s="2239" t="s">
        <v>52</v>
      </c>
      <c r="U7" s="2289" t="s">
        <v>49</v>
      </c>
      <c r="V7" s="2289"/>
      <c r="W7" s="2289"/>
      <c r="X7" s="2271" t="s">
        <v>39</v>
      </c>
      <c r="Y7" s="2239" t="s">
        <v>53</v>
      </c>
      <c r="Z7" s="2274" t="s">
        <v>54</v>
      </c>
      <c r="AA7" s="2275"/>
      <c r="AB7" s="2275"/>
      <c r="AC7" s="2276"/>
      <c r="AD7" s="2277" t="s">
        <v>55</v>
      </c>
      <c r="AE7" s="2278"/>
      <c r="AF7" s="2278"/>
      <c r="AG7" s="2278"/>
      <c r="AH7" s="2278"/>
      <c r="AI7" s="2278"/>
      <c r="AJ7" s="2278"/>
      <c r="AK7" s="2279"/>
      <c r="AL7" s="2280" t="s">
        <v>56</v>
      </c>
      <c r="AM7" s="2280"/>
      <c r="AN7" s="2280"/>
      <c r="AO7" s="2280"/>
      <c r="AP7" s="2280"/>
      <c r="AQ7" s="2280"/>
      <c r="AR7" s="2280"/>
      <c r="AS7" s="2280"/>
      <c r="AT7" s="2280"/>
      <c r="AU7" s="2280"/>
      <c r="AV7" s="2280"/>
      <c r="AW7" s="2280"/>
      <c r="AX7" s="2277" t="s">
        <v>57</v>
      </c>
      <c r="AY7" s="2278"/>
      <c r="AZ7" s="2278"/>
      <c r="BA7" s="2278"/>
      <c r="BB7" s="2278"/>
      <c r="BC7" s="2279"/>
      <c r="BD7" s="2535" t="s">
        <v>58</v>
      </c>
      <c r="BE7" s="2535"/>
      <c r="BF7" s="2300" t="s">
        <v>335</v>
      </c>
      <c r="BG7" s="2301"/>
      <c r="BH7" s="2301"/>
      <c r="BI7" s="2301"/>
      <c r="BJ7" s="2301"/>
      <c r="BK7" s="2302"/>
      <c r="BL7" s="2264" t="s">
        <v>59</v>
      </c>
      <c r="BM7" s="2265"/>
      <c r="BN7" s="2264" t="s">
        <v>60</v>
      </c>
      <c r="BO7" s="2265"/>
      <c r="BP7" s="2625" t="s">
        <v>61</v>
      </c>
      <c r="BQ7" s="1035"/>
      <c r="BR7" s="148"/>
      <c r="BS7" s="148"/>
      <c r="BT7" s="148"/>
      <c r="BU7" s="148"/>
      <c r="BV7" s="148"/>
      <c r="BW7" s="148"/>
      <c r="BX7" s="148"/>
      <c r="BY7" s="148"/>
      <c r="BZ7" s="148"/>
      <c r="CA7" s="148"/>
      <c r="CB7" s="148"/>
      <c r="CC7" s="148"/>
      <c r="CD7" s="148"/>
      <c r="CE7" s="148"/>
      <c r="CF7" s="148"/>
      <c r="CG7" s="148"/>
    </row>
    <row r="8" spans="1:86" ht="150.75" customHeight="1" x14ac:dyDescent="0.25">
      <c r="A8" s="2258"/>
      <c r="B8" s="2261"/>
      <c r="C8" s="2262"/>
      <c r="D8" s="2262"/>
      <c r="E8" s="2261"/>
      <c r="F8" s="2262"/>
      <c r="G8" s="2262"/>
      <c r="H8" s="2240"/>
      <c r="I8" s="2261"/>
      <c r="J8" s="2240"/>
      <c r="K8" s="2239" t="s">
        <v>158</v>
      </c>
      <c r="L8" s="2239" t="s">
        <v>159</v>
      </c>
      <c r="M8" s="2240"/>
      <c r="N8" s="2240"/>
      <c r="O8" s="2240"/>
      <c r="P8" s="2286"/>
      <c r="Q8" s="2629"/>
      <c r="R8" s="2261"/>
      <c r="S8" s="2261"/>
      <c r="T8" s="2240"/>
      <c r="U8" s="2626" t="s">
        <v>581</v>
      </c>
      <c r="V8" s="2626" t="s">
        <v>150</v>
      </c>
      <c r="W8" s="2626" t="s">
        <v>582</v>
      </c>
      <c r="X8" s="2272"/>
      <c r="Y8" s="2240"/>
      <c r="Z8" s="2281" t="s">
        <v>63</v>
      </c>
      <c r="AA8" s="2282"/>
      <c r="AB8" s="2281" t="s">
        <v>64</v>
      </c>
      <c r="AC8" s="2282"/>
      <c r="AD8" s="2283" t="s">
        <v>65</v>
      </c>
      <c r="AE8" s="2284"/>
      <c r="AF8" s="2283" t="s">
        <v>66</v>
      </c>
      <c r="AG8" s="2284"/>
      <c r="AH8" s="2283" t="s">
        <v>331</v>
      </c>
      <c r="AI8" s="2284"/>
      <c r="AJ8" s="2283" t="s">
        <v>68</v>
      </c>
      <c r="AK8" s="2284"/>
      <c r="AL8" s="2298" t="s">
        <v>69</v>
      </c>
      <c r="AM8" s="2298"/>
      <c r="AN8" s="2298" t="s">
        <v>70</v>
      </c>
      <c r="AO8" s="2298"/>
      <c r="AP8" s="2298" t="s">
        <v>71</v>
      </c>
      <c r="AQ8" s="2298"/>
      <c r="AR8" s="2298" t="s">
        <v>72</v>
      </c>
      <c r="AS8" s="2298"/>
      <c r="AT8" s="2298" t="s">
        <v>73</v>
      </c>
      <c r="AU8" s="2298"/>
      <c r="AV8" s="2298" t="s">
        <v>74</v>
      </c>
      <c r="AW8" s="2298"/>
      <c r="AX8" s="2283" t="s">
        <v>75</v>
      </c>
      <c r="AY8" s="2284"/>
      <c r="AZ8" s="2283" t="s">
        <v>76</v>
      </c>
      <c r="BA8" s="2284"/>
      <c r="BB8" s="2283" t="s">
        <v>77</v>
      </c>
      <c r="BC8" s="2284"/>
      <c r="BD8" s="2535"/>
      <c r="BE8" s="2535"/>
      <c r="BF8" s="2291" t="s">
        <v>152</v>
      </c>
      <c r="BG8" s="2630" t="s">
        <v>153</v>
      </c>
      <c r="BH8" s="2630" t="s">
        <v>154</v>
      </c>
      <c r="BI8" s="2292" t="s">
        <v>155</v>
      </c>
      <c r="BJ8" s="2291" t="s">
        <v>156</v>
      </c>
      <c r="BK8" s="2293" t="s">
        <v>157</v>
      </c>
      <c r="BL8" s="2266"/>
      <c r="BM8" s="2267"/>
      <c r="BN8" s="2266"/>
      <c r="BO8" s="2267"/>
      <c r="BP8" s="2625"/>
      <c r="BQ8" s="1035"/>
      <c r="BR8" s="148"/>
      <c r="BS8" s="148"/>
      <c r="BT8" s="148"/>
      <c r="BU8" s="148"/>
      <c r="BV8" s="148"/>
      <c r="BW8" s="148"/>
      <c r="BX8" s="148"/>
      <c r="BY8" s="148"/>
      <c r="BZ8" s="148"/>
      <c r="CA8" s="148"/>
      <c r="CB8" s="148"/>
      <c r="CC8" s="148"/>
      <c r="CD8" s="148"/>
      <c r="CE8" s="148"/>
      <c r="CF8" s="148"/>
      <c r="CG8" s="148"/>
    </row>
    <row r="9" spans="1:86" ht="42.6" customHeight="1" x14ac:dyDescent="0.25">
      <c r="A9" s="2258"/>
      <c r="B9" s="2261"/>
      <c r="C9" s="2262"/>
      <c r="D9" s="2262"/>
      <c r="E9" s="2261"/>
      <c r="F9" s="2262"/>
      <c r="G9" s="2262"/>
      <c r="H9" s="2263"/>
      <c r="I9" s="2261"/>
      <c r="J9" s="2240"/>
      <c r="K9" s="2263"/>
      <c r="L9" s="2263"/>
      <c r="M9" s="2240"/>
      <c r="N9" s="2240"/>
      <c r="O9" s="2240"/>
      <c r="P9" s="2286"/>
      <c r="Q9" s="2629"/>
      <c r="R9" s="2261"/>
      <c r="S9" s="2261"/>
      <c r="T9" s="2240"/>
      <c r="U9" s="2627"/>
      <c r="V9" s="2627"/>
      <c r="W9" s="2627"/>
      <c r="X9" s="2273"/>
      <c r="Y9" s="2240"/>
      <c r="Z9" s="642" t="s">
        <v>158</v>
      </c>
      <c r="AA9" s="642" t="s">
        <v>159</v>
      </c>
      <c r="AB9" s="642" t="s">
        <v>158</v>
      </c>
      <c r="AC9" s="642" t="s">
        <v>159</v>
      </c>
      <c r="AD9" s="642" t="s">
        <v>158</v>
      </c>
      <c r="AE9" s="642" t="s">
        <v>159</v>
      </c>
      <c r="AF9" s="642" t="s">
        <v>158</v>
      </c>
      <c r="AG9" s="642" t="s">
        <v>159</v>
      </c>
      <c r="AH9" s="642" t="s">
        <v>158</v>
      </c>
      <c r="AI9" s="642" t="s">
        <v>159</v>
      </c>
      <c r="AJ9" s="642" t="s">
        <v>158</v>
      </c>
      <c r="AK9" s="642" t="s">
        <v>159</v>
      </c>
      <c r="AL9" s="642" t="s">
        <v>158</v>
      </c>
      <c r="AM9" s="642" t="s">
        <v>159</v>
      </c>
      <c r="AN9" s="642" t="s">
        <v>158</v>
      </c>
      <c r="AO9" s="642" t="s">
        <v>159</v>
      </c>
      <c r="AP9" s="642" t="s">
        <v>158</v>
      </c>
      <c r="AQ9" s="642" t="s">
        <v>159</v>
      </c>
      <c r="AR9" s="642" t="s">
        <v>158</v>
      </c>
      <c r="AS9" s="642" t="s">
        <v>159</v>
      </c>
      <c r="AT9" s="642" t="s">
        <v>158</v>
      </c>
      <c r="AU9" s="642" t="s">
        <v>159</v>
      </c>
      <c r="AV9" s="642" t="s">
        <v>158</v>
      </c>
      <c r="AW9" s="642" t="s">
        <v>159</v>
      </c>
      <c r="AX9" s="642" t="s">
        <v>158</v>
      </c>
      <c r="AY9" s="642" t="s">
        <v>159</v>
      </c>
      <c r="AZ9" s="642" t="s">
        <v>158</v>
      </c>
      <c r="BA9" s="642" t="s">
        <v>159</v>
      </c>
      <c r="BB9" s="642" t="s">
        <v>158</v>
      </c>
      <c r="BC9" s="642" t="s">
        <v>159</v>
      </c>
      <c r="BD9" s="642" t="s">
        <v>158</v>
      </c>
      <c r="BE9" s="642" t="s">
        <v>159</v>
      </c>
      <c r="BF9" s="2291"/>
      <c r="BG9" s="2630"/>
      <c r="BH9" s="2630"/>
      <c r="BI9" s="2292"/>
      <c r="BJ9" s="2291"/>
      <c r="BK9" s="2294"/>
      <c r="BL9" s="642" t="s">
        <v>158</v>
      </c>
      <c r="BM9" s="642" t="s">
        <v>159</v>
      </c>
      <c r="BN9" s="642" t="s">
        <v>158</v>
      </c>
      <c r="BO9" s="642" t="s">
        <v>159</v>
      </c>
      <c r="BP9" s="2268"/>
      <c r="BQ9" s="148"/>
      <c r="BR9" s="148"/>
      <c r="BS9" s="148"/>
      <c r="BT9" s="148"/>
      <c r="BU9" s="148"/>
      <c r="BV9" s="148"/>
      <c r="BW9" s="148"/>
      <c r="BX9" s="148"/>
      <c r="BY9" s="148"/>
      <c r="BZ9" s="148"/>
      <c r="CA9" s="148"/>
      <c r="CB9" s="148"/>
      <c r="CC9" s="148"/>
      <c r="CD9" s="148"/>
      <c r="CE9" s="148"/>
      <c r="CF9" s="148"/>
      <c r="CG9" s="148"/>
    </row>
    <row r="10" spans="1:86" ht="27" customHeight="1" x14ac:dyDescent="0.25">
      <c r="A10" s="1036">
        <v>1</v>
      </c>
      <c r="B10" s="726" t="s">
        <v>617</v>
      </c>
      <c r="C10" s="726"/>
      <c r="D10" s="1037"/>
      <c r="E10" s="726"/>
      <c r="F10" s="726"/>
      <c r="G10" s="726"/>
      <c r="H10" s="726"/>
      <c r="I10" s="1038"/>
      <c r="J10" s="1038"/>
      <c r="K10" s="727"/>
      <c r="L10" s="727"/>
      <c r="M10" s="727"/>
      <c r="N10" s="727"/>
      <c r="O10" s="1039"/>
      <c r="P10" s="731"/>
      <c r="Q10" s="1040"/>
      <c r="R10" s="1039"/>
      <c r="S10" s="1039"/>
      <c r="T10" s="1039"/>
      <c r="U10" s="1040"/>
      <c r="V10" s="1040"/>
      <c r="W10" s="1040"/>
      <c r="X10" s="735"/>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7"/>
      <c r="AY10" s="727"/>
      <c r="AZ10" s="727"/>
      <c r="BA10" s="727"/>
      <c r="BB10" s="727"/>
      <c r="BC10" s="727"/>
      <c r="BD10" s="727"/>
      <c r="BE10" s="727"/>
      <c r="BF10" s="727"/>
      <c r="BG10" s="1040"/>
      <c r="BH10" s="1040"/>
      <c r="BI10" s="727"/>
      <c r="BJ10" s="735"/>
      <c r="BK10" s="727"/>
      <c r="BL10" s="737"/>
      <c r="BM10" s="737"/>
      <c r="BN10" s="737"/>
      <c r="BO10" s="737"/>
      <c r="BP10" s="1041"/>
      <c r="BQ10" s="148"/>
      <c r="BR10" s="148"/>
      <c r="BS10" s="148"/>
      <c r="BT10" s="148"/>
      <c r="BU10" s="148"/>
      <c r="BV10" s="148"/>
      <c r="BW10" s="148"/>
      <c r="BX10" s="148"/>
      <c r="BY10" s="148"/>
      <c r="BZ10" s="148"/>
      <c r="CA10" s="148"/>
      <c r="CB10" s="148"/>
      <c r="CC10" s="148"/>
      <c r="CD10" s="148"/>
      <c r="CE10" s="148"/>
      <c r="CF10" s="148"/>
      <c r="CG10" s="148"/>
      <c r="CH10" s="148"/>
    </row>
    <row r="11" spans="1:86" s="148" customFormat="1" ht="21" customHeight="1" x14ac:dyDescent="0.25">
      <c r="A11" s="612"/>
      <c r="B11" s="42"/>
      <c r="C11" s="43"/>
      <c r="D11" s="1042">
        <v>1</v>
      </c>
      <c r="E11" s="746" t="s">
        <v>877</v>
      </c>
      <c r="F11" s="1043"/>
      <c r="G11" s="745"/>
      <c r="H11" s="745"/>
      <c r="I11" s="1043"/>
      <c r="J11" s="1043"/>
      <c r="K11" s="746"/>
      <c r="L11" s="746"/>
      <c r="M11" s="749"/>
      <c r="N11" s="749"/>
      <c r="O11" s="1044"/>
      <c r="P11" s="832"/>
      <c r="Q11" s="1045"/>
      <c r="R11" s="1044"/>
      <c r="S11" s="1044"/>
      <c r="T11" s="1044"/>
      <c r="U11" s="1045"/>
      <c r="V11" s="1045"/>
      <c r="W11" s="1045"/>
      <c r="X11" s="1046"/>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49"/>
      <c r="AY11" s="749"/>
      <c r="AZ11" s="749"/>
      <c r="BA11" s="749"/>
      <c r="BB11" s="749"/>
      <c r="BC11" s="749"/>
      <c r="BD11" s="749"/>
      <c r="BE11" s="749"/>
      <c r="BF11" s="749"/>
      <c r="BG11" s="1045"/>
      <c r="BH11" s="1045"/>
      <c r="BI11" s="749"/>
      <c r="BJ11" s="1046"/>
      <c r="BK11" s="749"/>
      <c r="BL11" s="758"/>
      <c r="BM11" s="758"/>
      <c r="BN11" s="758"/>
      <c r="BO11" s="758"/>
      <c r="BP11" s="1047"/>
    </row>
    <row r="12" spans="1:86" s="148" customFormat="1" ht="171" customHeight="1" x14ac:dyDescent="0.25">
      <c r="A12" s="57"/>
      <c r="B12" s="527"/>
      <c r="C12" s="526"/>
      <c r="E12" s="527"/>
      <c r="F12" s="526"/>
      <c r="G12" s="546" t="s">
        <v>208</v>
      </c>
      <c r="H12" s="546">
        <v>1.2</v>
      </c>
      <c r="I12" s="1048" t="s">
        <v>878</v>
      </c>
      <c r="J12" s="550" t="s">
        <v>879</v>
      </c>
      <c r="K12" s="77">
        <v>1</v>
      </c>
      <c r="L12" s="551">
        <v>0</v>
      </c>
      <c r="M12" s="549" t="s">
        <v>880</v>
      </c>
      <c r="N12" s="1049" t="s">
        <v>881</v>
      </c>
      <c r="O12" s="547" t="s">
        <v>882</v>
      </c>
      <c r="P12" s="512">
        <f>+U12/Q12</f>
        <v>1</v>
      </c>
      <c r="Q12" s="1050">
        <f>SUM(U12)</f>
        <v>3000000</v>
      </c>
      <c r="R12" s="568" t="s">
        <v>883</v>
      </c>
      <c r="S12" s="568" t="s">
        <v>884</v>
      </c>
      <c r="T12" s="1048" t="s">
        <v>878</v>
      </c>
      <c r="U12" s="1051">
        <v>3000000</v>
      </c>
      <c r="V12" s="1050"/>
      <c r="W12" s="1050"/>
      <c r="X12" s="508">
        <v>88</v>
      </c>
      <c r="Y12" s="520" t="s">
        <v>620</v>
      </c>
      <c r="Z12" s="6">
        <v>295972</v>
      </c>
      <c r="AA12" s="6"/>
      <c r="AB12" s="6">
        <v>294321</v>
      </c>
      <c r="AC12" s="6"/>
      <c r="AD12" s="6">
        <v>132302</v>
      </c>
      <c r="AE12" s="6"/>
      <c r="AF12" s="6">
        <v>43426</v>
      </c>
      <c r="AG12" s="6"/>
      <c r="AH12" s="6">
        <v>313940</v>
      </c>
      <c r="AI12" s="6"/>
      <c r="AJ12" s="6">
        <v>100625</v>
      </c>
      <c r="AK12" s="6"/>
      <c r="AL12" s="6">
        <v>2145</v>
      </c>
      <c r="AM12" s="6"/>
      <c r="AN12" s="6">
        <v>12718</v>
      </c>
      <c r="AO12" s="6"/>
      <c r="AP12" s="6">
        <v>36</v>
      </c>
      <c r="AQ12" s="6"/>
      <c r="AR12" s="6">
        <v>0</v>
      </c>
      <c r="AS12" s="6"/>
      <c r="AT12" s="6">
        <v>0</v>
      </c>
      <c r="AU12" s="6"/>
      <c r="AV12" s="6">
        <v>0</v>
      </c>
      <c r="AW12" s="6"/>
      <c r="AX12" s="6">
        <v>70</v>
      </c>
      <c r="AY12" s="6"/>
      <c r="AZ12" s="6">
        <v>21944</v>
      </c>
      <c r="BA12" s="6"/>
      <c r="BB12" s="6">
        <v>285</v>
      </c>
      <c r="BC12" s="6"/>
      <c r="BD12" s="6">
        <v>590292</v>
      </c>
      <c r="BE12" s="1052"/>
      <c r="BF12" s="6"/>
      <c r="BG12" s="1053"/>
      <c r="BH12" s="1054"/>
      <c r="BI12" s="599"/>
      <c r="BJ12" s="508"/>
      <c r="BK12" s="589"/>
      <c r="BL12" s="513"/>
      <c r="BM12" s="513"/>
      <c r="BN12" s="513"/>
      <c r="BO12" s="514"/>
      <c r="BP12" s="508" t="s">
        <v>885</v>
      </c>
    </row>
    <row r="13" spans="1:86" s="148" customFormat="1" ht="31.5" customHeight="1" x14ac:dyDescent="0.25">
      <c r="A13" s="108"/>
      <c r="B13" s="109"/>
      <c r="C13" s="110"/>
      <c r="D13" s="1042">
        <v>13</v>
      </c>
      <c r="E13" s="746" t="s">
        <v>886</v>
      </c>
      <c r="F13" s="1043"/>
      <c r="G13" s="745"/>
      <c r="H13" s="745"/>
      <c r="I13" s="744"/>
      <c r="J13" s="744"/>
      <c r="K13" s="746"/>
      <c r="L13" s="257"/>
      <c r="M13" s="1055"/>
      <c r="N13" s="1043"/>
      <c r="O13" s="744"/>
      <c r="P13" s="832"/>
      <c r="Q13" s="1056"/>
      <c r="R13" s="753"/>
      <c r="S13" s="753"/>
      <c r="T13" s="744"/>
      <c r="U13" s="1056"/>
      <c r="V13" s="1056"/>
      <c r="W13" s="1056"/>
      <c r="X13" s="1046"/>
      <c r="Y13" s="1044"/>
      <c r="Z13" s="749"/>
      <c r="AA13" s="749"/>
      <c r="AB13" s="749"/>
      <c r="AC13" s="749"/>
      <c r="AD13" s="749"/>
      <c r="AE13" s="749"/>
      <c r="AF13" s="749"/>
      <c r="AG13" s="749"/>
      <c r="AH13" s="749"/>
      <c r="AI13" s="749"/>
      <c r="AJ13" s="749"/>
      <c r="AK13" s="749"/>
      <c r="AL13" s="749"/>
      <c r="AM13" s="749"/>
      <c r="AN13" s="749"/>
      <c r="AO13" s="749"/>
      <c r="AP13" s="749"/>
      <c r="AQ13" s="749"/>
      <c r="AR13" s="749"/>
      <c r="AS13" s="749"/>
      <c r="AT13" s="749"/>
      <c r="AU13" s="749"/>
      <c r="AV13" s="749"/>
      <c r="AW13" s="749"/>
      <c r="AX13" s="749"/>
      <c r="AY13" s="749"/>
      <c r="AZ13" s="749"/>
      <c r="BA13" s="749"/>
      <c r="BB13" s="749"/>
      <c r="BC13" s="749"/>
      <c r="BD13" s="749"/>
      <c r="BE13" s="749"/>
      <c r="BF13" s="389"/>
      <c r="BG13" s="1057"/>
      <c r="BH13" s="1058"/>
      <c r="BI13" s="749"/>
      <c r="BJ13" s="1046"/>
      <c r="BK13" s="749"/>
      <c r="BL13" s="758"/>
      <c r="BM13" s="758"/>
      <c r="BN13" s="758"/>
      <c r="BO13" s="758"/>
      <c r="BP13" s="1059"/>
    </row>
    <row r="14" spans="1:86" ht="183.75" customHeight="1" x14ac:dyDescent="0.25">
      <c r="A14" s="1060"/>
      <c r="C14" s="600"/>
      <c r="D14" s="1061"/>
      <c r="E14" s="1061"/>
      <c r="F14" s="470"/>
      <c r="G14" s="546" t="s">
        <v>208</v>
      </c>
      <c r="H14" s="546">
        <v>13.11</v>
      </c>
      <c r="I14" s="1048" t="s">
        <v>887</v>
      </c>
      <c r="J14" s="550" t="s">
        <v>888</v>
      </c>
      <c r="K14" s="465">
        <v>2</v>
      </c>
      <c r="L14" s="594">
        <v>0</v>
      </c>
      <c r="M14" s="549" t="s">
        <v>889</v>
      </c>
      <c r="N14" s="1049" t="s">
        <v>890</v>
      </c>
      <c r="O14" s="568" t="s">
        <v>891</v>
      </c>
      <c r="P14" s="375">
        <f>+U14/Q14</f>
        <v>1</v>
      </c>
      <c r="Q14" s="1050">
        <f>SUM(U14)</f>
        <v>2000000</v>
      </c>
      <c r="R14" s="568" t="s">
        <v>892</v>
      </c>
      <c r="S14" s="568" t="s">
        <v>893</v>
      </c>
      <c r="T14" s="1048" t="s">
        <v>887</v>
      </c>
      <c r="U14" s="1051">
        <v>2000000</v>
      </c>
      <c r="V14" s="1051"/>
      <c r="W14" s="1051"/>
      <c r="X14" s="414">
        <v>88</v>
      </c>
      <c r="Y14" s="520" t="s">
        <v>620</v>
      </c>
      <c r="Z14" s="6">
        <v>295972</v>
      </c>
      <c r="AA14" s="6"/>
      <c r="AB14" s="6">
        <v>294321</v>
      </c>
      <c r="AC14" s="6"/>
      <c r="AD14" s="6">
        <v>132302</v>
      </c>
      <c r="AE14" s="6"/>
      <c r="AF14" s="6">
        <v>43426</v>
      </c>
      <c r="AG14" s="6"/>
      <c r="AH14" s="6">
        <v>313940</v>
      </c>
      <c r="AI14" s="6"/>
      <c r="AJ14" s="6">
        <v>100625</v>
      </c>
      <c r="AK14" s="6"/>
      <c r="AL14" s="6">
        <v>2145</v>
      </c>
      <c r="AM14" s="6"/>
      <c r="AN14" s="6">
        <v>12718</v>
      </c>
      <c r="AO14" s="6"/>
      <c r="AP14" s="6">
        <v>36</v>
      </c>
      <c r="AQ14" s="6"/>
      <c r="AR14" s="6">
        <v>0</v>
      </c>
      <c r="AS14" s="6"/>
      <c r="AT14" s="6">
        <v>0</v>
      </c>
      <c r="AU14" s="6"/>
      <c r="AV14" s="6">
        <v>0</v>
      </c>
      <c r="AW14" s="6"/>
      <c r="AX14" s="6">
        <v>70</v>
      </c>
      <c r="AY14" s="6"/>
      <c r="AZ14" s="6">
        <v>21944</v>
      </c>
      <c r="BA14" s="6"/>
      <c r="BB14" s="6">
        <v>285</v>
      </c>
      <c r="BC14" s="6"/>
      <c r="BD14" s="6">
        <v>590292</v>
      </c>
      <c r="BE14" s="1052"/>
      <c r="BF14" s="6"/>
      <c r="BG14" s="1053"/>
      <c r="BH14" s="1054"/>
      <c r="BI14" s="599"/>
      <c r="BJ14" s="414"/>
      <c r="BK14" s="589"/>
      <c r="BL14" s="513"/>
      <c r="BM14" s="513"/>
      <c r="BN14" s="513"/>
      <c r="BO14" s="514"/>
      <c r="BP14" s="508" t="s">
        <v>885</v>
      </c>
    </row>
    <row r="15" spans="1:86" s="148" customFormat="1" ht="41.25" customHeight="1" x14ac:dyDescent="0.25">
      <c r="A15" s="108"/>
      <c r="B15" s="109"/>
      <c r="C15" s="110"/>
      <c r="D15" s="1042">
        <v>15</v>
      </c>
      <c r="E15" s="746" t="s">
        <v>622</v>
      </c>
      <c r="F15" s="1043"/>
      <c r="G15" s="745"/>
      <c r="H15" s="745"/>
      <c r="I15" s="744"/>
      <c r="J15" s="744"/>
      <c r="K15" s="746"/>
      <c r="L15" s="746"/>
      <c r="M15" s="1044"/>
      <c r="N15" s="1043"/>
      <c r="O15" s="744"/>
      <c r="P15" s="832"/>
      <c r="Q15" s="1056"/>
      <c r="R15" s="753"/>
      <c r="S15" s="753"/>
      <c r="T15" s="744"/>
      <c r="U15" s="1056"/>
      <c r="V15" s="1056"/>
      <c r="W15" s="1056"/>
      <c r="X15" s="1046"/>
      <c r="Y15" s="1044"/>
      <c r="Z15" s="749"/>
      <c r="AA15" s="749"/>
      <c r="AB15" s="749"/>
      <c r="AC15" s="749"/>
      <c r="AD15" s="749"/>
      <c r="AE15" s="749"/>
      <c r="AF15" s="749"/>
      <c r="AG15" s="749"/>
      <c r="AH15" s="749"/>
      <c r="AI15" s="749"/>
      <c r="AJ15" s="749"/>
      <c r="AK15" s="749"/>
      <c r="AL15" s="749"/>
      <c r="AM15" s="749"/>
      <c r="AN15" s="749"/>
      <c r="AO15" s="749"/>
      <c r="AP15" s="749"/>
      <c r="AQ15" s="749"/>
      <c r="AR15" s="749"/>
      <c r="AS15" s="749"/>
      <c r="AT15" s="749"/>
      <c r="AU15" s="749"/>
      <c r="AV15" s="749"/>
      <c r="AW15" s="749"/>
      <c r="AX15" s="749"/>
      <c r="AY15" s="749"/>
      <c r="AZ15" s="749"/>
      <c r="BA15" s="749"/>
      <c r="BB15" s="749"/>
      <c r="BC15" s="749"/>
      <c r="BD15" s="749"/>
      <c r="BE15" s="749"/>
      <c r="BF15" s="389"/>
      <c r="BG15" s="1057"/>
      <c r="BH15" s="1058"/>
      <c r="BI15" s="749"/>
      <c r="BJ15" s="1046"/>
      <c r="BK15" s="749"/>
      <c r="BL15" s="758"/>
      <c r="BM15" s="758"/>
      <c r="BN15" s="758"/>
      <c r="BO15" s="758"/>
      <c r="BP15" s="250"/>
    </row>
    <row r="16" spans="1:86" ht="106.5" customHeight="1" x14ac:dyDescent="0.25">
      <c r="A16" s="118"/>
      <c r="B16" s="509"/>
      <c r="C16" s="510"/>
      <c r="D16" s="2631"/>
      <c r="E16" s="2632"/>
      <c r="F16" s="2632"/>
      <c r="G16" s="2343" t="s">
        <v>208</v>
      </c>
      <c r="H16" s="2343" t="s">
        <v>722</v>
      </c>
      <c r="I16" s="2413" t="s">
        <v>894</v>
      </c>
      <c r="J16" s="2416" t="s">
        <v>724</v>
      </c>
      <c r="K16" s="2634">
        <v>9</v>
      </c>
      <c r="L16" s="2635">
        <v>0</v>
      </c>
      <c r="M16" s="2348" t="s">
        <v>895</v>
      </c>
      <c r="N16" s="2343" t="s">
        <v>896</v>
      </c>
      <c r="O16" s="2413" t="s">
        <v>897</v>
      </c>
      <c r="P16" s="2414">
        <f>Q16/SUM(Q16,Q33,Q37,Q51,Q85,Q100,Q103)</f>
        <v>0.32295647257631482</v>
      </c>
      <c r="Q16" s="2415">
        <f>SUM(U16:U31)</f>
        <v>628874337</v>
      </c>
      <c r="R16" s="2416" t="s">
        <v>898</v>
      </c>
      <c r="S16" s="2416" t="s">
        <v>899</v>
      </c>
      <c r="T16" s="537" t="s">
        <v>900</v>
      </c>
      <c r="U16" s="895">
        <v>15000000</v>
      </c>
      <c r="V16" s="1062"/>
      <c r="W16" s="887"/>
      <c r="X16" s="258">
        <v>82</v>
      </c>
      <c r="Y16" s="565" t="s">
        <v>901</v>
      </c>
      <c r="Z16" s="2633">
        <v>295972</v>
      </c>
      <c r="AA16" s="2383"/>
      <c r="AB16" s="2633">
        <v>285580</v>
      </c>
      <c r="AC16" s="2383"/>
      <c r="AD16" s="2633">
        <v>135545</v>
      </c>
      <c r="AE16" s="2383"/>
      <c r="AF16" s="2633">
        <v>44254</v>
      </c>
      <c r="AG16" s="2383"/>
      <c r="AH16" s="2633">
        <v>309146</v>
      </c>
      <c r="AI16" s="2383"/>
      <c r="AJ16" s="2633">
        <v>92607</v>
      </c>
      <c r="AK16" s="2383"/>
      <c r="AL16" s="2633">
        <v>2145</v>
      </c>
      <c r="AM16" s="2383"/>
      <c r="AN16" s="2633">
        <v>12718</v>
      </c>
      <c r="AO16" s="2383"/>
      <c r="AP16" s="2633">
        <v>26</v>
      </c>
      <c r="AQ16" s="2383"/>
      <c r="AR16" s="2633">
        <v>37</v>
      </c>
      <c r="AS16" s="2383"/>
      <c r="AT16" s="2633">
        <v>0</v>
      </c>
      <c r="AU16" s="2383"/>
      <c r="AV16" s="2633">
        <v>0</v>
      </c>
      <c r="AW16" s="2383"/>
      <c r="AX16" s="2633">
        <v>44350</v>
      </c>
      <c r="AY16" s="2383"/>
      <c r="AZ16" s="2633">
        <v>21944</v>
      </c>
      <c r="BA16" s="2383"/>
      <c r="BB16" s="2633">
        <v>75687</v>
      </c>
      <c r="BC16" s="2383"/>
      <c r="BD16" s="2633">
        <f>+Z16+AB16</f>
        <v>581552</v>
      </c>
      <c r="BE16" s="2649"/>
      <c r="BF16" s="2466">
        <v>48</v>
      </c>
      <c r="BG16" s="2643">
        <f>SUM(V16:V31)</f>
        <v>265502333</v>
      </c>
      <c r="BH16" s="2643">
        <f>SUM(W16:W31)</f>
        <v>191670325</v>
      </c>
      <c r="BI16" s="2646">
        <f>BH16/BG16</f>
        <v>0.72191578444623306</v>
      </c>
      <c r="BJ16" s="2647" t="s">
        <v>902</v>
      </c>
      <c r="BK16" s="2304" t="s">
        <v>903</v>
      </c>
      <c r="BL16" s="2354">
        <v>43853</v>
      </c>
      <c r="BM16" s="2354"/>
      <c r="BN16" s="2354">
        <v>44195</v>
      </c>
      <c r="BO16" s="2638"/>
      <c r="BP16" s="2426" t="s">
        <v>885</v>
      </c>
    </row>
    <row r="17" spans="1:68" ht="69.599999999999994" customHeight="1" x14ac:dyDescent="0.25">
      <c r="A17" s="118"/>
      <c r="B17" s="509"/>
      <c r="C17" s="510"/>
      <c r="D17" s="2631"/>
      <c r="E17" s="2632"/>
      <c r="F17" s="2632"/>
      <c r="G17" s="2343"/>
      <c r="H17" s="2343"/>
      <c r="I17" s="2413"/>
      <c r="J17" s="2416"/>
      <c r="K17" s="2634"/>
      <c r="L17" s="2636"/>
      <c r="M17" s="2348"/>
      <c r="N17" s="2343"/>
      <c r="O17" s="2413"/>
      <c r="P17" s="2414"/>
      <c r="Q17" s="2415"/>
      <c r="R17" s="2416"/>
      <c r="S17" s="2416"/>
      <c r="T17" s="537" t="s">
        <v>904</v>
      </c>
      <c r="U17" s="895">
        <f>21857449+1</f>
        <v>21857450</v>
      </c>
      <c r="V17" s="1062"/>
      <c r="W17" s="887"/>
      <c r="X17" s="258">
        <v>82</v>
      </c>
      <c r="Y17" s="565" t="s">
        <v>901</v>
      </c>
      <c r="Z17" s="2633"/>
      <c r="AA17" s="2383"/>
      <c r="AB17" s="2633"/>
      <c r="AC17" s="2383"/>
      <c r="AD17" s="2633"/>
      <c r="AE17" s="2383"/>
      <c r="AF17" s="2633"/>
      <c r="AG17" s="2383"/>
      <c r="AH17" s="2633"/>
      <c r="AI17" s="2383"/>
      <c r="AJ17" s="2633"/>
      <c r="AK17" s="2383"/>
      <c r="AL17" s="2633"/>
      <c r="AM17" s="2383"/>
      <c r="AN17" s="2633"/>
      <c r="AO17" s="2383"/>
      <c r="AP17" s="2633"/>
      <c r="AQ17" s="2383"/>
      <c r="AR17" s="2633"/>
      <c r="AS17" s="2383"/>
      <c r="AT17" s="2633"/>
      <c r="AU17" s="2383"/>
      <c r="AV17" s="2633"/>
      <c r="AW17" s="2383"/>
      <c r="AX17" s="2633"/>
      <c r="AY17" s="2383"/>
      <c r="AZ17" s="2633"/>
      <c r="BA17" s="2383"/>
      <c r="BB17" s="2633"/>
      <c r="BC17" s="2383"/>
      <c r="BD17" s="2633"/>
      <c r="BE17" s="2649"/>
      <c r="BF17" s="2466"/>
      <c r="BG17" s="2644"/>
      <c r="BH17" s="2644"/>
      <c r="BI17" s="2646"/>
      <c r="BJ17" s="2647"/>
      <c r="BK17" s="2305"/>
      <c r="BL17" s="2355"/>
      <c r="BM17" s="2355"/>
      <c r="BN17" s="2355"/>
      <c r="BO17" s="2639"/>
      <c r="BP17" s="2427"/>
    </row>
    <row r="18" spans="1:68" ht="81" customHeight="1" x14ac:dyDescent="0.25">
      <c r="A18" s="118"/>
      <c r="B18" s="509"/>
      <c r="C18" s="510"/>
      <c r="D18" s="2631"/>
      <c r="E18" s="2632"/>
      <c r="F18" s="2632"/>
      <c r="G18" s="2343"/>
      <c r="H18" s="2343"/>
      <c r="I18" s="2413"/>
      <c r="J18" s="2416"/>
      <c r="K18" s="2634"/>
      <c r="L18" s="2636"/>
      <c r="M18" s="2348"/>
      <c r="N18" s="2343"/>
      <c r="O18" s="2413"/>
      <c r="P18" s="2414"/>
      <c r="Q18" s="2415"/>
      <c r="R18" s="2416"/>
      <c r="S18" s="2416"/>
      <c r="T18" s="537" t="s">
        <v>905</v>
      </c>
      <c r="U18" s="895">
        <v>53729000</v>
      </c>
      <c r="V18" s="1062">
        <v>53729000</v>
      </c>
      <c r="W18" s="887">
        <v>53729000</v>
      </c>
      <c r="X18" s="258">
        <v>4</v>
      </c>
      <c r="Y18" s="565" t="s">
        <v>906</v>
      </c>
      <c r="Z18" s="2633"/>
      <c r="AA18" s="2383"/>
      <c r="AB18" s="2633"/>
      <c r="AC18" s="2383"/>
      <c r="AD18" s="2633"/>
      <c r="AE18" s="2383"/>
      <c r="AF18" s="2633"/>
      <c r="AG18" s="2383"/>
      <c r="AH18" s="2633"/>
      <c r="AI18" s="2383"/>
      <c r="AJ18" s="2633"/>
      <c r="AK18" s="2383"/>
      <c r="AL18" s="2633"/>
      <c r="AM18" s="2383"/>
      <c r="AN18" s="2633"/>
      <c r="AO18" s="2383"/>
      <c r="AP18" s="2633"/>
      <c r="AQ18" s="2383"/>
      <c r="AR18" s="2633"/>
      <c r="AS18" s="2383"/>
      <c r="AT18" s="2633"/>
      <c r="AU18" s="2383"/>
      <c r="AV18" s="2633"/>
      <c r="AW18" s="2383"/>
      <c r="AX18" s="2633"/>
      <c r="AY18" s="2383"/>
      <c r="AZ18" s="2633"/>
      <c r="BA18" s="2383"/>
      <c r="BB18" s="2633"/>
      <c r="BC18" s="2383"/>
      <c r="BD18" s="2633"/>
      <c r="BE18" s="2649"/>
      <c r="BF18" s="2466"/>
      <c r="BG18" s="2644"/>
      <c r="BH18" s="2644"/>
      <c r="BI18" s="2646"/>
      <c r="BJ18" s="2647"/>
      <c r="BK18" s="2305"/>
      <c r="BL18" s="2355"/>
      <c r="BM18" s="2355"/>
      <c r="BN18" s="2355"/>
      <c r="BO18" s="2639"/>
      <c r="BP18" s="2427"/>
    </row>
    <row r="19" spans="1:68" ht="127.15" customHeight="1" x14ac:dyDescent="0.25">
      <c r="A19" s="118"/>
      <c r="B19" s="509"/>
      <c r="C19" s="510"/>
      <c r="D19" s="2631"/>
      <c r="E19" s="2632"/>
      <c r="F19" s="2632"/>
      <c r="G19" s="2343"/>
      <c r="H19" s="2343"/>
      <c r="I19" s="2413"/>
      <c r="J19" s="2416"/>
      <c r="K19" s="2634"/>
      <c r="L19" s="2636"/>
      <c r="M19" s="2348"/>
      <c r="N19" s="2343"/>
      <c r="O19" s="2413"/>
      <c r="P19" s="2414"/>
      <c r="Q19" s="2415"/>
      <c r="R19" s="2416"/>
      <c r="S19" s="2416"/>
      <c r="T19" s="537" t="s">
        <v>907</v>
      </c>
      <c r="U19" s="895">
        <v>48418000</v>
      </c>
      <c r="V19" s="1063">
        <v>29998000</v>
      </c>
      <c r="W19" s="1064">
        <v>17832000</v>
      </c>
      <c r="X19" s="258">
        <v>82</v>
      </c>
      <c r="Y19" s="565" t="s">
        <v>901</v>
      </c>
      <c r="Z19" s="2633"/>
      <c r="AA19" s="2383"/>
      <c r="AB19" s="2633"/>
      <c r="AC19" s="2383"/>
      <c r="AD19" s="2633"/>
      <c r="AE19" s="2383"/>
      <c r="AF19" s="2633"/>
      <c r="AG19" s="2383"/>
      <c r="AH19" s="2633"/>
      <c r="AI19" s="2383"/>
      <c r="AJ19" s="2633"/>
      <c r="AK19" s="2383"/>
      <c r="AL19" s="2633"/>
      <c r="AM19" s="2383"/>
      <c r="AN19" s="2633"/>
      <c r="AO19" s="2383"/>
      <c r="AP19" s="2633"/>
      <c r="AQ19" s="2383"/>
      <c r="AR19" s="2633"/>
      <c r="AS19" s="2383"/>
      <c r="AT19" s="2633"/>
      <c r="AU19" s="2383"/>
      <c r="AV19" s="2633"/>
      <c r="AW19" s="2383"/>
      <c r="AX19" s="2633"/>
      <c r="AY19" s="2383"/>
      <c r="AZ19" s="2633"/>
      <c r="BA19" s="2383"/>
      <c r="BB19" s="2633"/>
      <c r="BC19" s="2383"/>
      <c r="BD19" s="2633"/>
      <c r="BE19" s="2649"/>
      <c r="BF19" s="2466"/>
      <c r="BG19" s="2644"/>
      <c r="BH19" s="2644"/>
      <c r="BI19" s="2646"/>
      <c r="BJ19" s="2647"/>
      <c r="BK19" s="2305"/>
      <c r="BL19" s="2355"/>
      <c r="BM19" s="2355"/>
      <c r="BN19" s="2355"/>
      <c r="BO19" s="2639"/>
      <c r="BP19" s="2427"/>
    </row>
    <row r="20" spans="1:68" ht="87" customHeight="1" x14ac:dyDescent="0.25">
      <c r="A20" s="118"/>
      <c r="B20" s="509"/>
      <c r="C20" s="510"/>
      <c r="D20" s="2631"/>
      <c r="E20" s="2632"/>
      <c r="F20" s="2632"/>
      <c r="G20" s="2343"/>
      <c r="H20" s="2343"/>
      <c r="I20" s="2413"/>
      <c r="J20" s="2416"/>
      <c r="K20" s="2634"/>
      <c r="L20" s="2636"/>
      <c r="M20" s="2348"/>
      <c r="N20" s="2343"/>
      <c r="O20" s="2413"/>
      <c r="P20" s="2414"/>
      <c r="Q20" s="2415"/>
      <c r="R20" s="2416"/>
      <c r="S20" s="2416"/>
      <c r="T20" s="537" t="s">
        <v>908</v>
      </c>
      <c r="U20" s="895">
        <v>0</v>
      </c>
      <c r="V20" s="895"/>
      <c r="W20" s="895"/>
      <c r="X20" s="1065"/>
      <c r="Y20" s="1066"/>
      <c r="Z20" s="2633"/>
      <c r="AA20" s="2383"/>
      <c r="AB20" s="2633"/>
      <c r="AC20" s="2383"/>
      <c r="AD20" s="2633"/>
      <c r="AE20" s="2383"/>
      <c r="AF20" s="2633"/>
      <c r="AG20" s="2383"/>
      <c r="AH20" s="2633"/>
      <c r="AI20" s="2383"/>
      <c r="AJ20" s="2633"/>
      <c r="AK20" s="2383"/>
      <c r="AL20" s="2633"/>
      <c r="AM20" s="2383"/>
      <c r="AN20" s="2633"/>
      <c r="AO20" s="2383"/>
      <c r="AP20" s="2633"/>
      <c r="AQ20" s="2383"/>
      <c r="AR20" s="2633"/>
      <c r="AS20" s="2383"/>
      <c r="AT20" s="2633"/>
      <c r="AU20" s="2383"/>
      <c r="AV20" s="2633"/>
      <c r="AW20" s="2383"/>
      <c r="AX20" s="2633"/>
      <c r="AY20" s="2383"/>
      <c r="AZ20" s="2633"/>
      <c r="BA20" s="2383"/>
      <c r="BB20" s="2633"/>
      <c r="BC20" s="2383"/>
      <c r="BD20" s="2633"/>
      <c r="BE20" s="2649"/>
      <c r="BF20" s="2466"/>
      <c r="BG20" s="2644"/>
      <c r="BH20" s="2644"/>
      <c r="BI20" s="2646"/>
      <c r="BJ20" s="2647"/>
      <c r="BK20" s="2305"/>
      <c r="BL20" s="2355"/>
      <c r="BM20" s="2355"/>
      <c r="BN20" s="2355"/>
      <c r="BO20" s="2639"/>
      <c r="BP20" s="2427"/>
    </row>
    <row r="21" spans="1:68" ht="82.15" customHeight="1" x14ac:dyDescent="0.25">
      <c r="A21" s="118"/>
      <c r="B21" s="509"/>
      <c r="C21" s="510"/>
      <c r="D21" s="2631"/>
      <c r="E21" s="2632"/>
      <c r="F21" s="2632"/>
      <c r="G21" s="2343"/>
      <c r="H21" s="2343"/>
      <c r="I21" s="2413"/>
      <c r="J21" s="2416"/>
      <c r="K21" s="2634"/>
      <c r="L21" s="2636"/>
      <c r="M21" s="2348"/>
      <c r="N21" s="2343"/>
      <c r="O21" s="2413"/>
      <c r="P21" s="2414"/>
      <c r="Q21" s="2415"/>
      <c r="R21" s="2416"/>
      <c r="S21" s="2416"/>
      <c r="T21" s="2" t="s">
        <v>909</v>
      </c>
      <c r="U21" s="895">
        <v>10666000</v>
      </c>
      <c r="V21" s="1067">
        <v>10666000</v>
      </c>
      <c r="W21" s="888">
        <v>10666000</v>
      </c>
      <c r="X21" s="258">
        <v>4</v>
      </c>
      <c r="Y21" s="565" t="s">
        <v>906</v>
      </c>
      <c r="Z21" s="2633"/>
      <c r="AA21" s="2383"/>
      <c r="AB21" s="2633"/>
      <c r="AC21" s="2383"/>
      <c r="AD21" s="2633"/>
      <c r="AE21" s="2383"/>
      <c r="AF21" s="2633"/>
      <c r="AG21" s="2383"/>
      <c r="AH21" s="2633"/>
      <c r="AI21" s="2383"/>
      <c r="AJ21" s="2633"/>
      <c r="AK21" s="2383"/>
      <c r="AL21" s="2633"/>
      <c r="AM21" s="2383"/>
      <c r="AN21" s="2633"/>
      <c r="AO21" s="2383"/>
      <c r="AP21" s="2633"/>
      <c r="AQ21" s="2383"/>
      <c r="AR21" s="2633"/>
      <c r="AS21" s="2383"/>
      <c r="AT21" s="2633"/>
      <c r="AU21" s="2383"/>
      <c r="AV21" s="2633"/>
      <c r="AW21" s="2383"/>
      <c r="AX21" s="2633"/>
      <c r="AY21" s="2383"/>
      <c r="AZ21" s="2633"/>
      <c r="BA21" s="2383"/>
      <c r="BB21" s="2633"/>
      <c r="BC21" s="2383"/>
      <c r="BD21" s="2633"/>
      <c r="BE21" s="2649"/>
      <c r="BF21" s="2466"/>
      <c r="BG21" s="2644"/>
      <c r="BH21" s="2644"/>
      <c r="BI21" s="2646"/>
      <c r="BJ21" s="2647"/>
      <c r="BK21" s="2305"/>
      <c r="BL21" s="2355"/>
      <c r="BM21" s="2355"/>
      <c r="BN21" s="2355"/>
      <c r="BO21" s="2639"/>
      <c r="BP21" s="2427"/>
    </row>
    <row r="22" spans="1:68" ht="104.45" customHeight="1" x14ac:dyDescent="0.25">
      <c r="A22" s="118"/>
      <c r="B22" s="509"/>
      <c r="C22" s="510"/>
      <c r="D22" s="2631"/>
      <c r="E22" s="2632"/>
      <c r="F22" s="2632"/>
      <c r="G22" s="2343"/>
      <c r="H22" s="2343"/>
      <c r="I22" s="2413"/>
      <c r="J22" s="2416"/>
      <c r="K22" s="2634"/>
      <c r="L22" s="2636"/>
      <c r="M22" s="2348"/>
      <c r="N22" s="2343"/>
      <c r="O22" s="2413"/>
      <c r="P22" s="2414"/>
      <c r="Q22" s="2415"/>
      <c r="R22" s="2416"/>
      <c r="S22" s="2416"/>
      <c r="T22" s="537" t="s">
        <v>910</v>
      </c>
      <c r="U22" s="895">
        <v>21476000</v>
      </c>
      <c r="V22" s="1062">
        <v>18450000</v>
      </c>
      <c r="W22" s="887">
        <v>4500000</v>
      </c>
      <c r="X22" s="258">
        <v>82</v>
      </c>
      <c r="Y22" s="565" t="s">
        <v>901</v>
      </c>
      <c r="Z22" s="2633"/>
      <c r="AA22" s="2383"/>
      <c r="AB22" s="2633"/>
      <c r="AC22" s="2383"/>
      <c r="AD22" s="2633"/>
      <c r="AE22" s="2383"/>
      <c r="AF22" s="2633"/>
      <c r="AG22" s="2383"/>
      <c r="AH22" s="2633"/>
      <c r="AI22" s="2383"/>
      <c r="AJ22" s="2633"/>
      <c r="AK22" s="2383"/>
      <c r="AL22" s="2633"/>
      <c r="AM22" s="2383"/>
      <c r="AN22" s="2633"/>
      <c r="AO22" s="2383"/>
      <c r="AP22" s="2633"/>
      <c r="AQ22" s="2383"/>
      <c r="AR22" s="2633"/>
      <c r="AS22" s="2383"/>
      <c r="AT22" s="2633"/>
      <c r="AU22" s="2383"/>
      <c r="AV22" s="2633"/>
      <c r="AW22" s="2383"/>
      <c r="AX22" s="2633"/>
      <c r="AY22" s="2383"/>
      <c r="AZ22" s="2633"/>
      <c r="BA22" s="2383"/>
      <c r="BB22" s="2633"/>
      <c r="BC22" s="2383"/>
      <c r="BD22" s="2633"/>
      <c r="BE22" s="2649"/>
      <c r="BF22" s="2466"/>
      <c r="BG22" s="2644"/>
      <c r="BH22" s="2644"/>
      <c r="BI22" s="2646"/>
      <c r="BJ22" s="2647"/>
      <c r="BK22" s="2305"/>
      <c r="BL22" s="2355"/>
      <c r="BM22" s="2355"/>
      <c r="BN22" s="2355"/>
      <c r="BO22" s="2639"/>
      <c r="BP22" s="2427"/>
    </row>
    <row r="23" spans="1:68" ht="56.25" customHeight="1" x14ac:dyDescent="0.25">
      <c r="A23" s="118"/>
      <c r="B23" s="509"/>
      <c r="C23" s="510"/>
      <c r="D23" s="2631"/>
      <c r="E23" s="2632"/>
      <c r="F23" s="2632"/>
      <c r="G23" s="2343"/>
      <c r="H23" s="2343"/>
      <c r="I23" s="2413"/>
      <c r="J23" s="2416"/>
      <c r="K23" s="2634"/>
      <c r="L23" s="2636"/>
      <c r="M23" s="2348"/>
      <c r="N23" s="2343"/>
      <c r="O23" s="2413"/>
      <c r="P23" s="2414"/>
      <c r="Q23" s="2415"/>
      <c r="R23" s="2416"/>
      <c r="S23" s="2416"/>
      <c r="T23" s="537" t="s">
        <v>911</v>
      </c>
      <c r="U23" s="895">
        <v>65133333</v>
      </c>
      <c r="V23" s="1063">
        <v>65133333</v>
      </c>
      <c r="W23" s="1064">
        <f>65133333-8</f>
        <v>65133325</v>
      </c>
      <c r="X23" s="258">
        <v>4</v>
      </c>
      <c r="Y23" s="565" t="s">
        <v>906</v>
      </c>
      <c r="Z23" s="2633"/>
      <c r="AA23" s="2383"/>
      <c r="AB23" s="2633"/>
      <c r="AC23" s="2383"/>
      <c r="AD23" s="2633"/>
      <c r="AE23" s="2383"/>
      <c r="AF23" s="2633"/>
      <c r="AG23" s="2383"/>
      <c r="AH23" s="2633"/>
      <c r="AI23" s="2383"/>
      <c r="AJ23" s="2633"/>
      <c r="AK23" s="2383"/>
      <c r="AL23" s="2633"/>
      <c r="AM23" s="2383"/>
      <c r="AN23" s="2633"/>
      <c r="AO23" s="2383"/>
      <c r="AP23" s="2633"/>
      <c r="AQ23" s="2383"/>
      <c r="AR23" s="2633"/>
      <c r="AS23" s="2383"/>
      <c r="AT23" s="2633"/>
      <c r="AU23" s="2383"/>
      <c r="AV23" s="2633"/>
      <c r="AW23" s="2383"/>
      <c r="AX23" s="2633"/>
      <c r="AY23" s="2383"/>
      <c r="AZ23" s="2633"/>
      <c r="BA23" s="2383"/>
      <c r="BB23" s="2633"/>
      <c r="BC23" s="2383"/>
      <c r="BD23" s="2633"/>
      <c r="BE23" s="2649"/>
      <c r="BF23" s="2466"/>
      <c r="BG23" s="2644"/>
      <c r="BH23" s="2644"/>
      <c r="BI23" s="2646"/>
      <c r="BJ23" s="2647"/>
      <c r="BK23" s="2305"/>
      <c r="BL23" s="2355"/>
      <c r="BM23" s="2355"/>
      <c r="BN23" s="2355"/>
      <c r="BO23" s="2639"/>
      <c r="BP23" s="2427"/>
    </row>
    <row r="24" spans="1:68" ht="63.75" customHeight="1" x14ac:dyDescent="0.25">
      <c r="A24" s="118"/>
      <c r="B24" s="509"/>
      <c r="C24" s="510"/>
      <c r="D24" s="2631"/>
      <c r="E24" s="2632"/>
      <c r="F24" s="2632"/>
      <c r="G24" s="2343"/>
      <c r="H24" s="2343"/>
      <c r="I24" s="2413"/>
      <c r="J24" s="2416"/>
      <c r="K24" s="2634"/>
      <c r="L24" s="2636"/>
      <c r="M24" s="2348"/>
      <c r="N24" s="2343"/>
      <c r="O24" s="2413"/>
      <c r="P24" s="2414"/>
      <c r="Q24" s="2415"/>
      <c r="R24" s="2416"/>
      <c r="S24" s="2416"/>
      <c r="T24" s="537" t="s">
        <v>912</v>
      </c>
      <c r="U24" s="895">
        <v>50486400</v>
      </c>
      <c r="V24" s="1068">
        <v>27766000</v>
      </c>
      <c r="W24" s="1069">
        <v>3000000</v>
      </c>
      <c r="X24" s="714">
        <v>82</v>
      </c>
      <c r="Y24" s="565" t="s">
        <v>901</v>
      </c>
      <c r="Z24" s="2633"/>
      <c r="AA24" s="2383"/>
      <c r="AB24" s="2633"/>
      <c r="AC24" s="2383"/>
      <c r="AD24" s="2633"/>
      <c r="AE24" s="2383"/>
      <c r="AF24" s="2633"/>
      <c r="AG24" s="2383"/>
      <c r="AH24" s="2633"/>
      <c r="AI24" s="2383"/>
      <c r="AJ24" s="2633"/>
      <c r="AK24" s="2383"/>
      <c r="AL24" s="2633"/>
      <c r="AM24" s="2383"/>
      <c r="AN24" s="2633"/>
      <c r="AO24" s="2383"/>
      <c r="AP24" s="2633"/>
      <c r="AQ24" s="2383"/>
      <c r="AR24" s="2633"/>
      <c r="AS24" s="2383"/>
      <c r="AT24" s="2633"/>
      <c r="AU24" s="2383"/>
      <c r="AV24" s="2633"/>
      <c r="AW24" s="2383"/>
      <c r="AX24" s="2633"/>
      <c r="AY24" s="2383"/>
      <c r="AZ24" s="2633"/>
      <c r="BA24" s="2383"/>
      <c r="BB24" s="2633"/>
      <c r="BC24" s="2383"/>
      <c r="BD24" s="2633"/>
      <c r="BE24" s="2649"/>
      <c r="BF24" s="2466"/>
      <c r="BG24" s="2644"/>
      <c r="BH24" s="2644"/>
      <c r="BI24" s="2646"/>
      <c r="BJ24" s="2647"/>
      <c r="BK24" s="2305"/>
      <c r="BL24" s="2355"/>
      <c r="BM24" s="2355"/>
      <c r="BN24" s="2355"/>
      <c r="BO24" s="2639"/>
      <c r="BP24" s="2427"/>
    </row>
    <row r="25" spans="1:68" ht="64.5" customHeight="1" x14ac:dyDescent="0.25">
      <c r="A25" s="118"/>
      <c r="B25" s="509"/>
      <c r="C25" s="510"/>
      <c r="D25" s="2631"/>
      <c r="E25" s="2632"/>
      <c r="F25" s="2632"/>
      <c r="G25" s="2343"/>
      <c r="H25" s="2343"/>
      <c r="I25" s="2413"/>
      <c r="J25" s="2416"/>
      <c r="K25" s="2634"/>
      <c r="L25" s="2636"/>
      <c r="M25" s="2348"/>
      <c r="N25" s="2343"/>
      <c r="O25" s="2413"/>
      <c r="P25" s="2414"/>
      <c r="Q25" s="2415"/>
      <c r="R25" s="2416"/>
      <c r="S25" s="2416"/>
      <c r="T25" s="537" t="s">
        <v>913</v>
      </c>
      <c r="U25" s="895">
        <v>25560000</v>
      </c>
      <c r="V25" s="1067">
        <v>25560000</v>
      </c>
      <c r="W25" s="888">
        <v>25560000</v>
      </c>
      <c r="X25" s="258">
        <v>4</v>
      </c>
      <c r="Y25" s="565" t="s">
        <v>906</v>
      </c>
      <c r="Z25" s="2633"/>
      <c r="AA25" s="2383"/>
      <c r="AB25" s="2633"/>
      <c r="AC25" s="2383"/>
      <c r="AD25" s="2633"/>
      <c r="AE25" s="2383"/>
      <c r="AF25" s="2633"/>
      <c r="AG25" s="2383"/>
      <c r="AH25" s="2633"/>
      <c r="AI25" s="2383"/>
      <c r="AJ25" s="2633"/>
      <c r="AK25" s="2383"/>
      <c r="AL25" s="2633"/>
      <c r="AM25" s="2383"/>
      <c r="AN25" s="2633"/>
      <c r="AO25" s="2383"/>
      <c r="AP25" s="2633"/>
      <c r="AQ25" s="2383"/>
      <c r="AR25" s="2633"/>
      <c r="AS25" s="2383"/>
      <c r="AT25" s="2633"/>
      <c r="AU25" s="2383"/>
      <c r="AV25" s="2633"/>
      <c r="AW25" s="2383"/>
      <c r="AX25" s="2633"/>
      <c r="AY25" s="2383"/>
      <c r="AZ25" s="2633"/>
      <c r="BA25" s="2383"/>
      <c r="BB25" s="2633"/>
      <c r="BC25" s="2383"/>
      <c r="BD25" s="2633"/>
      <c r="BE25" s="2649"/>
      <c r="BF25" s="2466"/>
      <c r="BG25" s="2644"/>
      <c r="BH25" s="2644"/>
      <c r="BI25" s="2646"/>
      <c r="BJ25" s="2647"/>
      <c r="BK25" s="2305"/>
      <c r="BL25" s="2355"/>
      <c r="BM25" s="2355"/>
      <c r="BN25" s="2355"/>
      <c r="BO25" s="2639"/>
      <c r="BP25" s="2427"/>
    </row>
    <row r="26" spans="1:68" ht="84.6" customHeight="1" x14ac:dyDescent="0.25">
      <c r="A26" s="118"/>
      <c r="B26" s="509"/>
      <c r="C26" s="510"/>
      <c r="D26" s="2631"/>
      <c r="E26" s="2632"/>
      <c r="F26" s="2632"/>
      <c r="G26" s="2343"/>
      <c r="H26" s="2343"/>
      <c r="I26" s="2413"/>
      <c r="J26" s="2416"/>
      <c r="K26" s="2634"/>
      <c r="L26" s="2636"/>
      <c r="M26" s="2348"/>
      <c r="N26" s="2343"/>
      <c r="O26" s="2413"/>
      <c r="P26" s="2414"/>
      <c r="Q26" s="2415"/>
      <c r="R26" s="2416"/>
      <c r="S26" s="2416"/>
      <c r="T26" s="537" t="s">
        <v>914</v>
      </c>
      <c r="U26" s="1070">
        <f>32887500-0.61</f>
        <v>32887499.390000001</v>
      </c>
      <c r="V26" s="1062">
        <v>22700000</v>
      </c>
      <c r="W26" s="887">
        <v>6450000</v>
      </c>
      <c r="X26" s="258">
        <v>82</v>
      </c>
      <c r="Y26" s="565" t="s">
        <v>901</v>
      </c>
      <c r="Z26" s="2633"/>
      <c r="AA26" s="2383"/>
      <c r="AB26" s="2633"/>
      <c r="AC26" s="2383"/>
      <c r="AD26" s="2633"/>
      <c r="AE26" s="2383"/>
      <c r="AF26" s="2633"/>
      <c r="AG26" s="2383"/>
      <c r="AH26" s="2633"/>
      <c r="AI26" s="2383"/>
      <c r="AJ26" s="2633"/>
      <c r="AK26" s="2383"/>
      <c r="AL26" s="2633"/>
      <c r="AM26" s="2383"/>
      <c r="AN26" s="2633"/>
      <c r="AO26" s="2383"/>
      <c r="AP26" s="2633"/>
      <c r="AQ26" s="2383"/>
      <c r="AR26" s="2633"/>
      <c r="AS26" s="2383"/>
      <c r="AT26" s="2633"/>
      <c r="AU26" s="2383"/>
      <c r="AV26" s="2633"/>
      <c r="AW26" s="2383"/>
      <c r="AX26" s="2633"/>
      <c r="AY26" s="2383"/>
      <c r="AZ26" s="2633"/>
      <c r="BA26" s="2383"/>
      <c r="BB26" s="2633"/>
      <c r="BC26" s="2383"/>
      <c r="BD26" s="2633"/>
      <c r="BE26" s="2649"/>
      <c r="BF26" s="2466"/>
      <c r="BG26" s="2644"/>
      <c r="BH26" s="2644"/>
      <c r="BI26" s="2646"/>
      <c r="BJ26" s="2647"/>
      <c r="BK26" s="2305"/>
      <c r="BL26" s="2355"/>
      <c r="BM26" s="2355"/>
      <c r="BN26" s="2355"/>
      <c r="BO26" s="2639"/>
      <c r="BP26" s="2427"/>
    </row>
    <row r="27" spans="1:68" ht="115.5" customHeight="1" x14ac:dyDescent="0.25">
      <c r="A27" s="118"/>
      <c r="B27" s="509"/>
      <c r="C27" s="510"/>
      <c r="D27" s="2631"/>
      <c r="E27" s="2632"/>
      <c r="F27" s="2632"/>
      <c r="G27" s="2343"/>
      <c r="H27" s="2343"/>
      <c r="I27" s="2413"/>
      <c r="J27" s="2416"/>
      <c r="K27" s="2634"/>
      <c r="L27" s="2636"/>
      <c r="M27" s="2348"/>
      <c r="N27" s="2343"/>
      <c r="O27" s="2413"/>
      <c r="P27" s="2414"/>
      <c r="Q27" s="2415"/>
      <c r="R27" s="2416"/>
      <c r="S27" s="2416"/>
      <c r="T27" s="537" t="s">
        <v>915</v>
      </c>
      <c r="U27" s="895">
        <v>18070000</v>
      </c>
      <c r="V27" s="1062">
        <v>6700000</v>
      </c>
      <c r="W27" s="887"/>
      <c r="X27" s="258">
        <v>82</v>
      </c>
      <c r="Y27" s="565" t="s">
        <v>901</v>
      </c>
      <c r="Z27" s="2633"/>
      <c r="AA27" s="2383"/>
      <c r="AB27" s="2633"/>
      <c r="AC27" s="2383"/>
      <c r="AD27" s="2633"/>
      <c r="AE27" s="2383"/>
      <c r="AF27" s="2633"/>
      <c r="AG27" s="2383"/>
      <c r="AH27" s="2633"/>
      <c r="AI27" s="2383"/>
      <c r="AJ27" s="2633"/>
      <c r="AK27" s="2383"/>
      <c r="AL27" s="2633"/>
      <c r="AM27" s="2383"/>
      <c r="AN27" s="2633"/>
      <c r="AO27" s="2383"/>
      <c r="AP27" s="2633"/>
      <c r="AQ27" s="2383"/>
      <c r="AR27" s="2633"/>
      <c r="AS27" s="2383"/>
      <c r="AT27" s="2633"/>
      <c r="AU27" s="2383"/>
      <c r="AV27" s="2633"/>
      <c r="AW27" s="2383"/>
      <c r="AX27" s="2633"/>
      <c r="AY27" s="2383"/>
      <c r="AZ27" s="2633"/>
      <c r="BA27" s="2383"/>
      <c r="BB27" s="2633"/>
      <c r="BC27" s="2383"/>
      <c r="BD27" s="2633"/>
      <c r="BE27" s="2649"/>
      <c r="BF27" s="2466"/>
      <c r="BG27" s="2644"/>
      <c r="BH27" s="2644"/>
      <c r="BI27" s="2646"/>
      <c r="BJ27" s="2647"/>
      <c r="BK27" s="2305"/>
      <c r="BL27" s="2355"/>
      <c r="BM27" s="2355"/>
      <c r="BN27" s="2355"/>
      <c r="BO27" s="2639"/>
      <c r="BP27" s="2427"/>
    </row>
    <row r="28" spans="1:68" ht="55.15" customHeight="1" x14ac:dyDescent="0.25">
      <c r="A28" s="118"/>
      <c r="B28" s="509"/>
      <c r="C28" s="510"/>
      <c r="D28" s="2631"/>
      <c r="E28" s="2632"/>
      <c r="F28" s="2632"/>
      <c r="G28" s="2343"/>
      <c r="H28" s="2343"/>
      <c r="I28" s="2413"/>
      <c r="J28" s="2416"/>
      <c r="K28" s="2634"/>
      <c r="L28" s="2636"/>
      <c r="M28" s="2348"/>
      <c r="N28" s="2343"/>
      <c r="O28" s="2413"/>
      <c r="P28" s="2414"/>
      <c r="Q28" s="2415"/>
      <c r="R28" s="2416"/>
      <c r="S28" s="2416"/>
      <c r="T28" s="537" t="s">
        <v>916</v>
      </c>
      <c r="U28" s="895">
        <v>4800000</v>
      </c>
      <c r="V28" s="1062">
        <v>4800000</v>
      </c>
      <c r="W28" s="887">
        <v>4800000</v>
      </c>
      <c r="X28" s="258">
        <v>4</v>
      </c>
      <c r="Y28" s="565" t="s">
        <v>906</v>
      </c>
      <c r="Z28" s="2633"/>
      <c r="AA28" s="2383"/>
      <c r="AB28" s="2633"/>
      <c r="AC28" s="2383"/>
      <c r="AD28" s="2633"/>
      <c r="AE28" s="2383"/>
      <c r="AF28" s="2633"/>
      <c r="AG28" s="2383"/>
      <c r="AH28" s="2633"/>
      <c r="AI28" s="2383"/>
      <c r="AJ28" s="2633"/>
      <c r="AK28" s="2383"/>
      <c r="AL28" s="2633"/>
      <c r="AM28" s="2383"/>
      <c r="AN28" s="2633"/>
      <c r="AO28" s="2383"/>
      <c r="AP28" s="2633"/>
      <c r="AQ28" s="2383"/>
      <c r="AR28" s="2633"/>
      <c r="AS28" s="2383"/>
      <c r="AT28" s="2633"/>
      <c r="AU28" s="2383"/>
      <c r="AV28" s="2633"/>
      <c r="AW28" s="2383"/>
      <c r="AX28" s="2633"/>
      <c r="AY28" s="2383"/>
      <c r="AZ28" s="2633"/>
      <c r="BA28" s="2383"/>
      <c r="BB28" s="2633"/>
      <c r="BC28" s="2383"/>
      <c r="BD28" s="2633"/>
      <c r="BE28" s="2649"/>
      <c r="BF28" s="2466"/>
      <c r="BG28" s="2644"/>
      <c r="BH28" s="2644"/>
      <c r="BI28" s="2646"/>
      <c r="BJ28" s="2647"/>
      <c r="BK28" s="2305"/>
      <c r="BL28" s="2355"/>
      <c r="BM28" s="2355"/>
      <c r="BN28" s="2355"/>
      <c r="BO28" s="2639"/>
      <c r="BP28" s="2427"/>
    </row>
    <row r="29" spans="1:68" ht="52.5" customHeight="1" x14ac:dyDescent="0.25">
      <c r="A29" s="118"/>
      <c r="B29" s="509"/>
      <c r="C29" s="510"/>
      <c r="D29" s="2631"/>
      <c r="E29" s="2632"/>
      <c r="F29" s="2632"/>
      <c r="G29" s="2343"/>
      <c r="H29" s="2343"/>
      <c r="I29" s="2413"/>
      <c r="J29" s="2416"/>
      <c r="K29" s="2634"/>
      <c r="L29" s="2636"/>
      <c r="M29" s="2348"/>
      <c r="N29" s="2343"/>
      <c r="O29" s="2413"/>
      <c r="P29" s="2414"/>
      <c r="Q29" s="2415"/>
      <c r="R29" s="2416"/>
      <c r="S29" s="2416"/>
      <c r="T29" s="2641" t="s">
        <v>917</v>
      </c>
      <c r="U29" s="1070">
        <v>252303448.61000001</v>
      </c>
      <c r="V29" s="1062"/>
      <c r="W29" s="887"/>
      <c r="X29" s="258">
        <v>4</v>
      </c>
      <c r="Y29" s="565" t="s">
        <v>906</v>
      </c>
      <c r="Z29" s="2633"/>
      <c r="AA29" s="2383"/>
      <c r="AB29" s="2633"/>
      <c r="AC29" s="2383"/>
      <c r="AD29" s="2633"/>
      <c r="AE29" s="2383"/>
      <c r="AF29" s="2633"/>
      <c r="AG29" s="2383"/>
      <c r="AH29" s="2633"/>
      <c r="AI29" s="2383"/>
      <c r="AJ29" s="2633"/>
      <c r="AK29" s="2383"/>
      <c r="AL29" s="2633"/>
      <c r="AM29" s="2383"/>
      <c r="AN29" s="2633"/>
      <c r="AO29" s="2383"/>
      <c r="AP29" s="2633"/>
      <c r="AQ29" s="2383"/>
      <c r="AR29" s="2633"/>
      <c r="AS29" s="2383"/>
      <c r="AT29" s="2633"/>
      <c r="AU29" s="2383"/>
      <c r="AV29" s="2633"/>
      <c r="AW29" s="2383"/>
      <c r="AX29" s="2633"/>
      <c r="AY29" s="2383"/>
      <c r="AZ29" s="2633"/>
      <c r="BA29" s="2383"/>
      <c r="BB29" s="2633"/>
      <c r="BC29" s="2383"/>
      <c r="BD29" s="2633"/>
      <c r="BE29" s="2649"/>
      <c r="BF29" s="2466"/>
      <c r="BG29" s="2644"/>
      <c r="BH29" s="2644"/>
      <c r="BI29" s="2646"/>
      <c r="BJ29" s="2647"/>
      <c r="BK29" s="2305"/>
      <c r="BL29" s="2355"/>
      <c r="BM29" s="2355"/>
      <c r="BN29" s="2355"/>
      <c r="BO29" s="2639"/>
      <c r="BP29" s="2427"/>
    </row>
    <row r="30" spans="1:68" ht="63.75" customHeight="1" x14ac:dyDescent="0.25">
      <c r="A30" s="118"/>
      <c r="B30" s="509"/>
      <c r="C30" s="510"/>
      <c r="D30" s="2631"/>
      <c r="E30" s="2632"/>
      <c r="F30" s="2632"/>
      <c r="G30" s="2343"/>
      <c r="H30" s="2343"/>
      <c r="I30" s="2413"/>
      <c r="J30" s="2416"/>
      <c r="K30" s="2634"/>
      <c r="L30" s="2636"/>
      <c r="M30" s="2348"/>
      <c r="N30" s="2343"/>
      <c r="O30" s="2413"/>
      <c r="P30" s="2414"/>
      <c r="Q30" s="2415"/>
      <c r="R30" s="2416"/>
      <c r="S30" s="2416"/>
      <c r="T30" s="2642"/>
      <c r="U30" s="895">
        <v>8487206</v>
      </c>
      <c r="V30" s="1062"/>
      <c r="W30" s="887"/>
      <c r="X30" s="258">
        <v>82</v>
      </c>
      <c r="Y30" s="565" t="s">
        <v>901</v>
      </c>
      <c r="Z30" s="2633"/>
      <c r="AA30" s="2383"/>
      <c r="AB30" s="2633"/>
      <c r="AC30" s="2383"/>
      <c r="AD30" s="2633"/>
      <c r="AE30" s="2383"/>
      <c r="AF30" s="2633"/>
      <c r="AG30" s="2383"/>
      <c r="AH30" s="2633"/>
      <c r="AI30" s="2383"/>
      <c r="AJ30" s="2633"/>
      <c r="AK30" s="2383"/>
      <c r="AL30" s="2633"/>
      <c r="AM30" s="2383"/>
      <c r="AN30" s="2633"/>
      <c r="AO30" s="2383"/>
      <c r="AP30" s="2633"/>
      <c r="AQ30" s="2383"/>
      <c r="AR30" s="2633"/>
      <c r="AS30" s="2383"/>
      <c r="AT30" s="2633"/>
      <c r="AU30" s="2383"/>
      <c r="AV30" s="2633"/>
      <c r="AW30" s="2383"/>
      <c r="AX30" s="2633"/>
      <c r="AY30" s="2383"/>
      <c r="AZ30" s="2633"/>
      <c r="BA30" s="2383"/>
      <c r="BB30" s="2633"/>
      <c r="BC30" s="2383"/>
      <c r="BD30" s="2633"/>
      <c r="BE30" s="2649"/>
      <c r="BF30" s="2466"/>
      <c r="BG30" s="2644"/>
      <c r="BH30" s="2644"/>
      <c r="BI30" s="2646"/>
      <c r="BJ30" s="2647"/>
      <c r="BK30" s="2305"/>
      <c r="BL30" s="2355"/>
      <c r="BM30" s="2355"/>
      <c r="BN30" s="2355"/>
      <c r="BO30" s="2639"/>
      <c r="BP30" s="2427"/>
    </row>
    <row r="31" spans="1:68" ht="72" customHeight="1" x14ac:dyDescent="0.25">
      <c r="A31" s="1060"/>
      <c r="C31" s="600"/>
      <c r="D31" s="2631"/>
      <c r="E31" s="2632"/>
      <c r="F31" s="2632"/>
      <c r="G31" s="2343"/>
      <c r="H31" s="2343"/>
      <c r="I31" s="2413"/>
      <c r="J31" s="2416"/>
      <c r="K31" s="2634"/>
      <c r="L31" s="2637"/>
      <c r="M31" s="2348"/>
      <c r="N31" s="2343"/>
      <c r="O31" s="2413"/>
      <c r="P31" s="2414"/>
      <c r="Q31" s="2415"/>
      <c r="R31" s="2416"/>
      <c r="S31" s="2416"/>
      <c r="T31" s="537" t="s">
        <v>918</v>
      </c>
      <c r="U31" s="1070">
        <v>0</v>
      </c>
      <c r="V31" s="1071"/>
      <c r="W31" s="1069"/>
      <c r="X31" s="258"/>
      <c r="Y31" s="1072"/>
      <c r="Z31" s="2633"/>
      <c r="AA31" s="2383"/>
      <c r="AB31" s="2633"/>
      <c r="AC31" s="2383"/>
      <c r="AD31" s="2633"/>
      <c r="AE31" s="2383"/>
      <c r="AF31" s="2633"/>
      <c r="AG31" s="2383"/>
      <c r="AH31" s="2633"/>
      <c r="AI31" s="2383"/>
      <c r="AJ31" s="2633"/>
      <c r="AK31" s="2383"/>
      <c r="AL31" s="2633"/>
      <c r="AM31" s="2383"/>
      <c r="AN31" s="2633"/>
      <c r="AO31" s="2383"/>
      <c r="AP31" s="2633"/>
      <c r="AQ31" s="2383"/>
      <c r="AR31" s="2633"/>
      <c r="AS31" s="2383"/>
      <c r="AT31" s="2633"/>
      <c r="AU31" s="2383"/>
      <c r="AV31" s="2633"/>
      <c r="AW31" s="2383"/>
      <c r="AX31" s="2633"/>
      <c r="AY31" s="2383"/>
      <c r="AZ31" s="2633"/>
      <c r="BA31" s="2383"/>
      <c r="BB31" s="2633"/>
      <c r="BC31" s="2383"/>
      <c r="BD31" s="2633"/>
      <c r="BE31" s="2649"/>
      <c r="BF31" s="2466"/>
      <c r="BG31" s="2645"/>
      <c r="BH31" s="2645"/>
      <c r="BI31" s="2646"/>
      <c r="BJ31" s="2647"/>
      <c r="BK31" s="2648"/>
      <c r="BL31" s="2478"/>
      <c r="BM31" s="2478"/>
      <c r="BN31" s="2478"/>
      <c r="BO31" s="2640"/>
      <c r="BP31" s="2428"/>
    </row>
    <row r="32" spans="1:68" s="148" customFormat="1" ht="27" customHeight="1" x14ac:dyDescent="0.25">
      <c r="A32" s="108"/>
      <c r="B32" s="109"/>
      <c r="C32" s="110"/>
      <c r="D32" s="1042">
        <v>25</v>
      </c>
      <c r="E32" s="48" t="s">
        <v>618</v>
      </c>
      <c r="F32" s="1073"/>
      <c r="G32" s="47"/>
      <c r="H32" s="47"/>
      <c r="I32" s="46"/>
      <c r="J32" s="744"/>
      <c r="K32" s="746"/>
      <c r="L32" s="746"/>
      <c r="M32" s="1044"/>
      <c r="N32" s="1043"/>
      <c r="O32" s="744"/>
      <c r="P32" s="751"/>
      <c r="Q32" s="1074"/>
      <c r="R32" s="192"/>
      <c r="S32" s="753"/>
      <c r="T32" s="46"/>
      <c r="U32" s="1074"/>
      <c r="V32" s="1074"/>
      <c r="W32" s="1074"/>
      <c r="X32" s="756"/>
      <c r="Y32" s="107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650"/>
      <c r="BG32" s="1076"/>
      <c r="BH32" s="1077"/>
      <c r="BI32" s="756"/>
      <c r="BJ32" s="756"/>
      <c r="BK32" s="115"/>
      <c r="BL32" s="116"/>
      <c r="BM32" s="116"/>
      <c r="BN32" s="116"/>
      <c r="BO32" s="116"/>
      <c r="BP32" s="1078"/>
    </row>
    <row r="33" spans="1:68" ht="133.5" customHeight="1" x14ac:dyDescent="0.25">
      <c r="A33" s="118"/>
      <c r="B33" s="509"/>
      <c r="C33" s="510"/>
      <c r="D33" s="2650"/>
      <c r="E33" s="2653"/>
      <c r="F33" s="2656"/>
      <c r="G33" s="2343" t="s">
        <v>919</v>
      </c>
      <c r="H33" s="2343" t="s">
        <v>920</v>
      </c>
      <c r="I33" s="2413" t="s">
        <v>921</v>
      </c>
      <c r="J33" s="2659" t="s">
        <v>922</v>
      </c>
      <c r="K33" s="2665">
        <v>1</v>
      </c>
      <c r="L33" s="2666">
        <v>0</v>
      </c>
      <c r="M33" s="2304" t="s">
        <v>923</v>
      </c>
      <c r="N33" s="2306" t="s">
        <v>896</v>
      </c>
      <c r="O33" s="2669" t="s">
        <v>897</v>
      </c>
      <c r="P33" s="2414">
        <f>Q33/SUM(Q16,Q33,Q37,Q51,Q85,Q100,Q103)</f>
        <v>2.5677345502517688E-2</v>
      </c>
      <c r="Q33" s="2415">
        <f>SUM(U33:U35)</f>
        <v>50000000</v>
      </c>
      <c r="R33" s="2416" t="s">
        <v>898</v>
      </c>
      <c r="S33" s="2659" t="s">
        <v>899</v>
      </c>
      <c r="T33" s="535" t="s">
        <v>924</v>
      </c>
      <c r="U33" s="1079">
        <v>22400000</v>
      </c>
      <c r="V33" s="882">
        <v>6000000</v>
      </c>
      <c r="W33" s="882"/>
      <c r="X33" s="718">
        <v>20</v>
      </c>
      <c r="Y33" s="554" t="s">
        <v>925</v>
      </c>
      <c r="Z33" s="2662">
        <v>295972</v>
      </c>
      <c r="AA33" s="2663"/>
      <c r="AB33" s="2662">
        <v>285580</v>
      </c>
      <c r="AC33" s="2663"/>
      <c r="AD33" s="2662">
        <v>135545</v>
      </c>
      <c r="AE33" s="2663"/>
      <c r="AF33" s="2662">
        <v>44254</v>
      </c>
      <c r="AG33" s="2663"/>
      <c r="AH33" s="2662">
        <v>309146</v>
      </c>
      <c r="AI33" s="2663"/>
      <c r="AJ33" s="2662">
        <v>92607</v>
      </c>
      <c r="AK33" s="2663"/>
      <c r="AL33" s="2662">
        <v>2145</v>
      </c>
      <c r="AM33" s="2663"/>
      <c r="AN33" s="2662">
        <v>12718</v>
      </c>
      <c r="AO33" s="2663"/>
      <c r="AP33" s="2695">
        <v>26</v>
      </c>
      <c r="AQ33" s="2663"/>
      <c r="AR33" s="2662">
        <v>37</v>
      </c>
      <c r="AS33" s="2663"/>
      <c r="AT33" s="2662">
        <v>0</v>
      </c>
      <c r="AU33" s="2663"/>
      <c r="AV33" s="2662">
        <v>0</v>
      </c>
      <c r="AW33" s="2663"/>
      <c r="AX33" s="2662">
        <v>44350</v>
      </c>
      <c r="AY33" s="2663"/>
      <c r="AZ33" s="2662">
        <v>21944</v>
      </c>
      <c r="BA33" s="2663"/>
      <c r="BB33" s="2662">
        <v>75687</v>
      </c>
      <c r="BC33" s="2663"/>
      <c r="BD33" s="2662">
        <f>+Z33+AB33</f>
        <v>581552</v>
      </c>
      <c r="BE33" s="2685"/>
      <c r="BF33" s="2680">
        <v>2</v>
      </c>
      <c r="BG33" s="2643">
        <f>SUM(V33:V35)</f>
        <v>14400000</v>
      </c>
      <c r="BH33" s="2643">
        <v>0</v>
      </c>
      <c r="BI33" s="2350">
        <f>BH33/BG33</f>
        <v>0</v>
      </c>
      <c r="BJ33" s="2682">
        <v>20</v>
      </c>
      <c r="BK33" s="2304" t="s">
        <v>903</v>
      </c>
      <c r="BL33" s="2691">
        <v>44069</v>
      </c>
      <c r="BM33" s="2692"/>
      <c r="BN33" s="2380">
        <v>44160</v>
      </c>
      <c r="BO33" s="2361"/>
      <c r="BP33" s="2402" t="s">
        <v>885</v>
      </c>
    </row>
    <row r="34" spans="1:68" ht="75.75" customHeight="1" x14ac:dyDescent="0.25">
      <c r="A34" s="118"/>
      <c r="B34" s="509"/>
      <c r="C34" s="510"/>
      <c r="D34" s="2651"/>
      <c r="E34" s="2654"/>
      <c r="F34" s="2657"/>
      <c r="G34" s="2343"/>
      <c r="H34" s="2343"/>
      <c r="I34" s="2413"/>
      <c r="J34" s="2660"/>
      <c r="K34" s="2665"/>
      <c r="L34" s="2667"/>
      <c r="M34" s="2305"/>
      <c r="N34" s="2307"/>
      <c r="O34" s="2670"/>
      <c r="P34" s="2414"/>
      <c r="Q34" s="2415"/>
      <c r="R34" s="2416"/>
      <c r="S34" s="2660"/>
      <c r="T34" s="523" t="s">
        <v>912</v>
      </c>
      <c r="U34" s="1080">
        <v>12600000</v>
      </c>
      <c r="V34" s="882">
        <v>8400000</v>
      </c>
      <c r="W34" s="882"/>
      <c r="X34" s="718">
        <v>20</v>
      </c>
      <c r="Y34" s="554" t="s">
        <v>925</v>
      </c>
      <c r="Z34" s="2662"/>
      <c r="AA34" s="2664"/>
      <c r="AB34" s="2662"/>
      <c r="AC34" s="2664"/>
      <c r="AD34" s="2662"/>
      <c r="AE34" s="2664"/>
      <c r="AF34" s="2662"/>
      <c r="AG34" s="2664"/>
      <c r="AH34" s="2662"/>
      <c r="AI34" s="2664"/>
      <c r="AJ34" s="2662"/>
      <c r="AK34" s="2664"/>
      <c r="AL34" s="2662"/>
      <c r="AM34" s="2664"/>
      <c r="AN34" s="2662"/>
      <c r="AO34" s="2664"/>
      <c r="AP34" s="2695"/>
      <c r="AQ34" s="2664"/>
      <c r="AR34" s="2662"/>
      <c r="AS34" s="2664"/>
      <c r="AT34" s="2662"/>
      <c r="AU34" s="2664"/>
      <c r="AV34" s="2662"/>
      <c r="AW34" s="2664"/>
      <c r="AX34" s="2662"/>
      <c r="AY34" s="2664"/>
      <c r="AZ34" s="2662"/>
      <c r="BA34" s="2664"/>
      <c r="BB34" s="2662"/>
      <c r="BC34" s="2664"/>
      <c r="BD34" s="2662"/>
      <c r="BE34" s="2686"/>
      <c r="BF34" s="2680"/>
      <c r="BG34" s="2644"/>
      <c r="BH34" s="2644"/>
      <c r="BI34" s="2351"/>
      <c r="BJ34" s="2683"/>
      <c r="BK34" s="2305"/>
      <c r="BL34" s="2691"/>
      <c r="BM34" s="2693"/>
      <c r="BN34" s="2380"/>
      <c r="BO34" s="2362"/>
      <c r="BP34" s="2402"/>
    </row>
    <row r="35" spans="1:68" ht="76.5" customHeight="1" x14ac:dyDescent="0.25">
      <c r="A35" s="1060"/>
      <c r="C35" s="600"/>
      <c r="D35" s="2652"/>
      <c r="E35" s="2655"/>
      <c r="F35" s="2658"/>
      <c r="G35" s="2343"/>
      <c r="H35" s="2343"/>
      <c r="I35" s="2413"/>
      <c r="J35" s="2661"/>
      <c r="K35" s="2665"/>
      <c r="L35" s="2668"/>
      <c r="M35" s="2648"/>
      <c r="N35" s="2467"/>
      <c r="O35" s="2671"/>
      <c r="P35" s="2414"/>
      <c r="Q35" s="2415"/>
      <c r="R35" s="2416"/>
      <c r="S35" s="2661"/>
      <c r="T35" s="534" t="s">
        <v>926</v>
      </c>
      <c r="U35" s="878">
        <v>15000000</v>
      </c>
      <c r="V35" s="1081"/>
      <c r="W35" s="1081"/>
      <c r="X35" s="434">
        <v>88</v>
      </c>
      <c r="Y35" s="521" t="s">
        <v>927</v>
      </c>
      <c r="Z35" s="2663"/>
      <c r="AA35" s="2664"/>
      <c r="AB35" s="2663"/>
      <c r="AC35" s="2664"/>
      <c r="AD35" s="2663"/>
      <c r="AE35" s="2664"/>
      <c r="AF35" s="2663"/>
      <c r="AG35" s="2664"/>
      <c r="AH35" s="2663"/>
      <c r="AI35" s="2664"/>
      <c r="AJ35" s="2663"/>
      <c r="AK35" s="2664"/>
      <c r="AL35" s="2663"/>
      <c r="AM35" s="2664"/>
      <c r="AN35" s="2663"/>
      <c r="AO35" s="2664"/>
      <c r="AP35" s="2696"/>
      <c r="AQ35" s="2664"/>
      <c r="AR35" s="2663"/>
      <c r="AS35" s="2664"/>
      <c r="AT35" s="2663"/>
      <c r="AU35" s="2664"/>
      <c r="AV35" s="2663"/>
      <c r="AW35" s="2664"/>
      <c r="AX35" s="2663"/>
      <c r="AY35" s="2664"/>
      <c r="AZ35" s="2663"/>
      <c r="BA35" s="2664"/>
      <c r="BB35" s="2663"/>
      <c r="BC35" s="2664"/>
      <c r="BD35" s="2663"/>
      <c r="BE35" s="2686"/>
      <c r="BF35" s="2680"/>
      <c r="BG35" s="2645"/>
      <c r="BH35" s="2645"/>
      <c r="BI35" s="2681"/>
      <c r="BJ35" s="2684"/>
      <c r="BK35" s="2648"/>
      <c r="BL35" s="2691"/>
      <c r="BM35" s="2694"/>
      <c r="BN35" s="2380"/>
      <c r="BO35" s="2363"/>
      <c r="BP35" s="2402"/>
    </row>
    <row r="36" spans="1:68" s="148" customFormat="1" ht="27" customHeight="1" x14ac:dyDescent="0.25">
      <c r="A36" s="108"/>
      <c r="B36" s="109"/>
      <c r="C36" s="110"/>
      <c r="D36" s="1042">
        <v>39</v>
      </c>
      <c r="E36" s="1082" t="s">
        <v>928</v>
      </c>
      <c r="F36" s="1083"/>
      <c r="G36" s="1084"/>
      <c r="H36" s="1084"/>
      <c r="I36" s="1085"/>
      <c r="J36" s="744"/>
      <c r="K36" s="746"/>
      <c r="L36" s="746"/>
      <c r="M36" s="1044"/>
      <c r="N36" s="1083"/>
      <c r="O36" s="1085"/>
      <c r="P36" s="1086"/>
      <c r="Q36" s="1087"/>
      <c r="R36" s="1088"/>
      <c r="S36" s="753"/>
      <c r="T36" s="1085"/>
      <c r="U36" s="1087"/>
      <c r="V36" s="1087"/>
      <c r="W36" s="1087"/>
      <c r="X36" s="1089"/>
      <c r="Y36" s="109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50"/>
      <c r="AY36" s="650"/>
      <c r="AZ36" s="2672">
        <v>21944</v>
      </c>
      <c r="BA36" s="650"/>
      <c r="BB36" s="650"/>
      <c r="BC36" s="650"/>
      <c r="BD36" s="650"/>
      <c r="BE36" s="1091"/>
      <c r="BF36" s="650"/>
      <c r="BG36" s="1076"/>
      <c r="BH36" s="1077"/>
      <c r="BI36" s="756"/>
      <c r="BJ36" s="1089"/>
      <c r="BK36" s="1092"/>
      <c r="BL36" s="1093"/>
      <c r="BM36" s="1093"/>
      <c r="BN36" s="1093"/>
      <c r="BO36" s="1093"/>
      <c r="BP36" s="1094"/>
    </row>
    <row r="37" spans="1:68" ht="70.150000000000006" customHeight="1" x14ac:dyDescent="0.25">
      <c r="A37" s="118"/>
      <c r="B37" s="509"/>
      <c r="C37" s="510"/>
      <c r="D37" s="2631"/>
      <c r="E37" s="2632"/>
      <c r="F37" s="2632"/>
      <c r="G37" s="2343" t="s">
        <v>208</v>
      </c>
      <c r="H37" s="2343" t="s">
        <v>929</v>
      </c>
      <c r="I37" s="2690" t="s">
        <v>930</v>
      </c>
      <c r="J37" s="2416" t="s">
        <v>931</v>
      </c>
      <c r="K37" s="2634">
        <v>3</v>
      </c>
      <c r="L37" s="2635">
        <v>0</v>
      </c>
      <c r="M37" s="2349" t="s">
        <v>932</v>
      </c>
      <c r="N37" s="2343" t="s">
        <v>896</v>
      </c>
      <c r="O37" s="2413" t="s">
        <v>897</v>
      </c>
      <c r="P37" s="2697">
        <f>Q37/SUM(Q16,Q33,Q37,Q51,Q85,Q100,Q103)</f>
        <v>0.50215160777148882</v>
      </c>
      <c r="Q37" s="2705">
        <f>SUM(U37:U49)</f>
        <v>977810591.28999996</v>
      </c>
      <c r="R37" s="2416" t="s">
        <v>898</v>
      </c>
      <c r="S37" s="2416" t="s">
        <v>899</v>
      </c>
      <c r="T37" s="1095" t="s">
        <v>933</v>
      </c>
      <c r="U37" s="878">
        <v>25000000</v>
      </c>
      <c r="V37" s="879"/>
      <c r="W37" s="879"/>
      <c r="X37" s="258">
        <v>4</v>
      </c>
      <c r="Y37" s="1096" t="s">
        <v>934</v>
      </c>
      <c r="Z37" s="2633">
        <v>295972</v>
      </c>
      <c r="AA37" s="2675"/>
      <c r="AB37" s="2633">
        <v>285580</v>
      </c>
      <c r="AC37" s="2675"/>
      <c r="AD37" s="2633">
        <v>135545</v>
      </c>
      <c r="AE37" s="2675"/>
      <c r="AF37" s="2633">
        <v>44254</v>
      </c>
      <c r="AG37" s="2675"/>
      <c r="AH37" s="2633">
        <v>309146</v>
      </c>
      <c r="AI37" s="2675"/>
      <c r="AJ37" s="2633">
        <v>92607</v>
      </c>
      <c r="AK37" s="2675"/>
      <c r="AL37" s="2633">
        <v>2145</v>
      </c>
      <c r="AM37" s="2675"/>
      <c r="AN37" s="2633">
        <v>12718</v>
      </c>
      <c r="AO37" s="2675"/>
      <c r="AP37" s="2633">
        <v>26</v>
      </c>
      <c r="AQ37" s="2675"/>
      <c r="AR37" s="2633">
        <v>37</v>
      </c>
      <c r="AS37" s="2675"/>
      <c r="AT37" s="2633">
        <v>0</v>
      </c>
      <c r="AU37" s="2675"/>
      <c r="AV37" s="2633">
        <v>0</v>
      </c>
      <c r="AW37" s="2675"/>
      <c r="AX37" s="2633">
        <v>44350</v>
      </c>
      <c r="AY37" s="2675"/>
      <c r="AZ37" s="2673"/>
      <c r="BA37" s="2675"/>
      <c r="BB37" s="2633">
        <v>75687</v>
      </c>
      <c r="BC37" s="2675"/>
      <c r="BD37" s="2633">
        <f>+Z37+AB37</f>
        <v>581552</v>
      </c>
      <c r="BE37" s="2678"/>
      <c r="BF37" s="2680">
        <v>52</v>
      </c>
      <c r="BG37" s="2700">
        <f>SUM(V37:V49)</f>
        <v>347804333</v>
      </c>
      <c r="BH37" s="2700">
        <f>SUM(W37:W49)</f>
        <v>98892000</v>
      </c>
      <c r="BI37" s="2646">
        <f>BH37/BG37</f>
        <v>0.28433228288734402</v>
      </c>
      <c r="BJ37" s="2689">
        <v>4</v>
      </c>
      <c r="BK37" s="2466" t="s">
        <v>903</v>
      </c>
      <c r="BL37" s="2704">
        <v>43857</v>
      </c>
      <c r="BM37" s="2687"/>
      <c r="BN37" s="2704">
        <v>44196</v>
      </c>
      <c r="BO37" s="2687"/>
      <c r="BP37" s="2688" t="s">
        <v>885</v>
      </c>
    </row>
    <row r="38" spans="1:68" ht="78" customHeight="1" x14ac:dyDescent="0.25">
      <c r="A38" s="118"/>
      <c r="B38" s="509"/>
      <c r="C38" s="510"/>
      <c r="D38" s="2631"/>
      <c r="E38" s="2632"/>
      <c r="F38" s="2632"/>
      <c r="G38" s="2343"/>
      <c r="H38" s="2343"/>
      <c r="I38" s="2690"/>
      <c r="J38" s="2416"/>
      <c r="K38" s="2634"/>
      <c r="L38" s="2636"/>
      <c r="M38" s="2349"/>
      <c r="N38" s="2343"/>
      <c r="O38" s="2413"/>
      <c r="P38" s="2698"/>
      <c r="Q38" s="2705"/>
      <c r="R38" s="2416"/>
      <c r="S38" s="2416"/>
      <c r="T38" s="1097" t="s">
        <v>935</v>
      </c>
      <c r="U38" s="878">
        <f>29725314.58+10274685</f>
        <v>39999999.579999998</v>
      </c>
      <c r="V38" s="879"/>
      <c r="W38" s="879"/>
      <c r="X38" s="258">
        <v>4</v>
      </c>
      <c r="Y38" s="1096" t="s">
        <v>934</v>
      </c>
      <c r="Z38" s="2633"/>
      <c r="AA38" s="2676"/>
      <c r="AB38" s="2633"/>
      <c r="AC38" s="2676"/>
      <c r="AD38" s="2633"/>
      <c r="AE38" s="2676"/>
      <c r="AF38" s="2633"/>
      <c r="AG38" s="2676"/>
      <c r="AH38" s="2633"/>
      <c r="AI38" s="2676"/>
      <c r="AJ38" s="2633"/>
      <c r="AK38" s="2676"/>
      <c r="AL38" s="2633"/>
      <c r="AM38" s="2676"/>
      <c r="AN38" s="2633"/>
      <c r="AO38" s="2676"/>
      <c r="AP38" s="2633"/>
      <c r="AQ38" s="2676"/>
      <c r="AR38" s="2633"/>
      <c r="AS38" s="2676"/>
      <c r="AT38" s="2633"/>
      <c r="AU38" s="2676"/>
      <c r="AV38" s="2633"/>
      <c r="AW38" s="2676"/>
      <c r="AX38" s="2633"/>
      <c r="AY38" s="2676"/>
      <c r="AZ38" s="2673"/>
      <c r="BA38" s="2676"/>
      <c r="BB38" s="2633"/>
      <c r="BC38" s="2676"/>
      <c r="BD38" s="2633"/>
      <c r="BE38" s="2679"/>
      <c r="BF38" s="2680"/>
      <c r="BG38" s="2700"/>
      <c r="BH38" s="2700"/>
      <c r="BI38" s="2646"/>
      <c r="BJ38" s="2689"/>
      <c r="BK38" s="2466"/>
      <c r="BL38" s="2704"/>
      <c r="BM38" s="2687"/>
      <c r="BN38" s="2704"/>
      <c r="BO38" s="2687"/>
      <c r="BP38" s="2688"/>
    </row>
    <row r="39" spans="1:68" ht="88.15" customHeight="1" x14ac:dyDescent="0.25">
      <c r="A39" s="118"/>
      <c r="B39" s="509"/>
      <c r="C39" s="510"/>
      <c r="D39" s="2631"/>
      <c r="E39" s="2632"/>
      <c r="F39" s="2632"/>
      <c r="G39" s="2343"/>
      <c r="H39" s="2343"/>
      <c r="I39" s="2690"/>
      <c r="J39" s="2416"/>
      <c r="K39" s="2634"/>
      <c r="L39" s="2636"/>
      <c r="M39" s="2349"/>
      <c r="N39" s="2343"/>
      <c r="O39" s="2413"/>
      <c r="P39" s="2698"/>
      <c r="Q39" s="2705"/>
      <c r="R39" s="2416"/>
      <c r="S39" s="2416"/>
      <c r="T39" s="1095" t="s">
        <v>905</v>
      </c>
      <c r="U39" s="878">
        <v>14417000</v>
      </c>
      <c r="V39" s="878">
        <v>14417000</v>
      </c>
      <c r="W39" s="878">
        <v>14417000</v>
      </c>
      <c r="X39" s="258">
        <v>4</v>
      </c>
      <c r="Y39" s="1096" t="s">
        <v>934</v>
      </c>
      <c r="Z39" s="2633"/>
      <c r="AA39" s="2676"/>
      <c r="AB39" s="2633"/>
      <c r="AC39" s="2676"/>
      <c r="AD39" s="2633"/>
      <c r="AE39" s="2676"/>
      <c r="AF39" s="2633"/>
      <c r="AG39" s="2676"/>
      <c r="AH39" s="2633"/>
      <c r="AI39" s="2676"/>
      <c r="AJ39" s="2633"/>
      <c r="AK39" s="2676"/>
      <c r="AL39" s="2633"/>
      <c r="AM39" s="2676"/>
      <c r="AN39" s="2633"/>
      <c r="AO39" s="2676"/>
      <c r="AP39" s="2633"/>
      <c r="AQ39" s="2676"/>
      <c r="AR39" s="2633"/>
      <c r="AS39" s="2676"/>
      <c r="AT39" s="2633"/>
      <c r="AU39" s="2676"/>
      <c r="AV39" s="2633"/>
      <c r="AW39" s="2676"/>
      <c r="AX39" s="2633"/>
      <c r="AY39" s="2676"/>
      <c r="AZ39" s="2673"/>
      <c r="BA39" s="2676"/>
      <c r="BB39" s="2633"/>
      <c r="BC39" s="2676"/>
      <c r="BD39" s="2633"/>
      <c r="BE39" s="2679"/>
      <c r="BF39" s="2680"/>
      <c r="BG39" s="2700"/>
      <c r="BH39" s="2700"/>
      <c r="BI39" s="2646"/>
      <c r="BJ39" s="2689"/>
      <c r="BK39" s="2466"/>
      <c r="BL39" s="2704"/>
      <c r="BM39" s="2687"/>
      <c r="BN39" s="2704"/>
      <c r="BO39" s="2687"/>
      <c r="BP39" s="2688"/>
    </row>
    <row r="40" spans="1:68" ht="110.25" customHeight="1" x14ac:dyDescent="0.25">
      <c r="A40" s="118"/>
      <c r="B40" s="509"/>
      <c r="C40" s="510"/>
      <c r="D40" s="2631"/>
      <c r="E40" s="2632"/>
      <c r="F40" s="2632"/>
      <c r="G40" s="2343"/>
      <c r="H40" s="2343"/>
      <c r="I40" s="2690"/>
      <c r="J40" s="2416"/>
      <c r="K40" s="2634"/>
      <c r="L40" s="2636"/>
      <c r="M40" s="2349"/>
      <c r="N40" s="2343"/>
      <c r="O40" s="2413"/>
      <c r="P40" s="2698"/>
      <c r="Q40" s="2705"/>
      <c r="R40" s="2416"/>
      <c r="S40" s="2416"/>
      <c r="T40" s="1095" t="s">
        <v>936</v>
      </c>
      <c r="U40" s="878">
        <v>72627000</v>
      </c>
      <c r="V40" s="878">
        <v>38898000</v>
      </c>
      <c r="W40" s="878">
        <v>0</v>
      </c>
      <c r="X40" s="258">
        <v>4</v>
      </c>
      <c r="Y40" s="1096" t="s">
        <v>934</v>
      </c>
      <c r="Z40" s="2633"/>
      <c r="AA40" s="2676"/>
      <c r="AB40" s="2633"/>
      <c r="AC40" s="2676"/>
      <c r="AD40" s="2633"/>
      <c r="AE40" s="2676"/>
      <c r="AF40" s="2633"/>
      <c r="AG40" s="2676"/>
      <c r="AH40" s="2633"/>
      <c r="AI40" s="2676"/>
      <c r="AJ40" s="2633"/>
      <c r="AK40" s="2676"/>
      <c r="AL40" s="2633"/>
      <c r="AM40" s="2676"/>
      <c r="AN40" s="2633"/>
      <c r="AO40" s="2676"/>
      <c r="AP40" s="2633"/>
      <c r="AQ40" s="2676"/>
      <c r="AR40" s="2633"/>
      <c r="AS40" s="2676"/>
      <c r="AT40" s="2633"/>
      <c r="AU40" s="2676"/>
      <c r="AV40" s="2633"/>
      <c r="AW40" s="2676"/>
      <c r="AX40" s="2633"/>
      <c r="AY40" s="2676"/>
      <c r="AZ40" s="2673"/>
      <c r="BA40" s="2676"/>
      <c r="BB40" s="2633"/>
      <c r="BC40" s="2676"/>
      <c r="BD40" s="2633"/>
      <c r="BE40" s="2679"/>
      <c r="BF40" s="2680"/>
      <c r="BG40" s="2700"/>
      <c r="BH40" s="2700"/>
      <c r="BI40" s="2646"/>
      <c r="BJ40" s="2689"/>
      <c r="BK40" s="2466"/>
      <c r="BL40" s="2704"/>
      <c r="BM40" s="2687"/>
      <c r="BN40" s="2704"/>
      <c r="BO40" s="2687"/>
      <c r="BP40" s="2688"/>
    </row>
    <row r="41" spans="1:68" ht="76.900000000000006" customHeight="1" x14ac:dyDescent="0.25">
      <c r="A41" s="118"/>
      <c r="B41" s="509"/>
      <c r="C41" s="510"/>
      <c r="D41" s="2631"/>
      <c r="E41" s="2632"/>
      <c r="F41" s="2632"/>
      <c r="G41" s="2343"/>
      <c r="H41" s="2343"/>
      <c r="I41" s="2690"/>
      <c r="J41" s="2416"/>
      <c r="K41" s="2634"/>
      <c r="L41" s="2636"/>
      <c r="M41" s="2349"/>
      <c r="N41" s="2343"/>
      <c r="O41" s="2413"/>
      <c r="P41" s="2698"/>
      <c r="Q41" s="2705"/>
      <c r="R41" s="2416"/>
      <c r="S41" s="2416"/>
      <c r="T41" s="1095" t="s">
        <v>937</v>
      </c>
      <c r="U41" s="878">
        <v>15600000</v>
      </c>
      <c r="V41" s="878">
        <v>15600000</v>
      </c>
      <c r="W41" s="878">
        <v>15600000</v>
      </c>
      <c r="X41" s="258">
        <v>4</v>
      </c>
      <c r="Y41" s="1096" t="s">
        <v>934</v>
      </c>
      <c r="Z41" s="2633"/>
      <c r="AA41" s="2676"/>
      <c r="AB41" s="2633"/>
      <c r="AC41" s="2676"/>
      <c r="AD41" s="2633"/>
      <c r="AE41" s="2676"/>
      <c r="AF41" s="2633"/>
      <c r="AG41" s="2676"/>
      <c r="AH41" s="2633"/>
      <c r="AI41" s="2676"/>
      <c r="AJ41" s="2633"/>
      <c r="AK41" s="2676"/>
      <c r="AL41" s="2633"/>
      <c r="AM41" s="2676"/>
      <c r="AN41" s="2633"/>
      <c r="AO41" s="2676"/>
      <c r="AP41" s="2633"/>
      <c r="AQ41" s="2676"/>
      <c r="AR41" s="2633"/>
      <c r="AS41" s="2676"/>
      <c r="AT41" s="2633"/>
      <c r="AU41" s="2676"/>
      <c r="AV41" s="2633"/>
      <c r="AW41" s="2676"/>
      <c r="AX41" s="2633"/>
      <c r="AY41" s="2676"/>
      <c r="AZ41" s="2673"/>
      <c r="BA41" s="2676"/>
      <c r="BB41" s="2633"/>
      <c r="BC41" s="2676"/>
      <c r="BD41" s="2633"/>
      <c r="BE41" s="2679"/>
      <c r="BF41" s="2680"/>
      <c r="BG41" s="2700"/>
      <c r="BH41" s="2700"/>
      <c r="BI41" s="2646"/>
      <c r="BJ41" s="2689"/>
      <c r="BK41" s="2466"/>
      <c r="BL41" s="2704"/>
      <c r="BM41" s="2687"/>
      <c r="BN41" s="2704"/>
      <c r="BO41" s="2687"/>
      <c r="BP41" s="2688"/>
    </row>
    <row r="42" spans="1:68" ht="84" customHeight="1" x14ac:dyDescent="0.25">
      <c r="A42" s="118"/>
      <c r="B42" s="509"/>
      <c r="C42" s="510"/>
      <c r="D42" s="2631"/>
      <c r="E42" s="2632"/>
      <c r="F42" s="2632"/>
      <c r="G42" s="2343"/>
      <c r="H42" s="2343"/>
      <c r="I42" s="2690"/>
      <c r="J42" s="2416"/>
      <c r="K42" s="2634"/>
      <c r="L42" s="2636"/>
      <c r="M42" s="2349"/>
      <c r="N42" s="2343"/>
      <c r="O42" s="2413"/>
      <c r="P42" s="2698"/>
      <c r="Q42" s="2705"/>
      <c r="R42" s="2416"/>
      <c r="S42" s="2416"/>
      <c r="T42" s="1095" t="s">
        <v>938</v>
      </c>
      <c r="U42" s="878">
        <v>3500000</v>
      </c>
      <c r="V42" s="878">
        <v>3500000</v>
      </c>
      <c r="W42" s="878">
        <v>3500000</v>
      </c>
      <c r="X42" s="258">
        <v>4</v>
      </c>
      <c r="Y42" s="1096" t="s">
        <v>934</v>
      </c>
      <c r="Z42" s="2633"/>
      <c r="AA42" s="2676"/>
      <c r="AB42" s="2633"/>
      <c r="AC42" s="2676"/>
      <c r="AD42" s="2633"/>
      <c r="AE42" s="2676"/>
      <c r="AF42" s="2633"/>
      <c r="AG42" s="2676"/>
      <c r="AH42" s="2633"/>
      <c r="AI42" s="2676"/>
      <c r="AJ42" s="2633"/>
      <c r="AK42" s="2676"/>
      <c r="AL42" s="2633"/>
      <c r="AM42" s="2676"/>
      <c r="AN42" s="2633"/>
      <c r="AO42" s="2676"/>
      <c r="AP42" s="2633"/>
      <c r="AQ42" s="2676"/>
      <c r="AR42" s="2633"/>
      <c r="AS42" s="2676"/>
      <c r="AT42" s="2633"/>
      <c r="AU42" s="2676"/>
      <c r="AV42" s="2633"/>
      <c r="AW42" s="2676"/>
      <c r="AX42" s="2633"/>
      <c r="AY42" s="2676"/>
      <c r="AZ42" s="2673"/>
      <c r="BA42" s="2676"/>
      <c r="BB42" s="2633"/>
      <c r="BC42" s="2676"/>
      <c r="BD42" s="2633"/>
      <c r="BE42" s="2679"/>
      <c r="BF42" s="2680"/>
      <c r="BG42" s="2700"/>
      <c r="BH42" s="2700"/>
      <c r="BI42" s="2646"/>
      <c r="BJ42" s="2689"/>
      <c r="BK42" s="2466"/>
      <c r="BL42" s="2704"/>
      <c r="BM42" s="2687"/>
      <c r="BN42" s="2704"/>
      <c r="BO42" s="2687"/>
      <c r="BP42" s="2688"/>
    </row>
    <row r="43" spans="1:68" ht="90" customHeight="1" x14ac:dyDescent="0.25">
      <c r="A43" s="118"/>
      <c r="B43" s="509"/>
      <c r="C43" s="510"/>
      <c r="D43" s="2631"/>
      <c r="E43" s="2632"/>
      <c r="F43" s="2632"/>
      <c r="G43" s="2343"/>
      <c r="H43" s="2343"/>
      <c r="I43" s="2690"/>
      <c r="J43" s="2416"/>
      <c r="K43" s="2634"/>
      <c r="L43" s="2636"/>
      <c r="M43" s="2349"/>
      <c r="N43" s="2343"/>
      <c r="O43" s="2413"/>
      <c r="P43" s="2698"/>
      <c r="Q43" s="2705"/>
      <c r="R43" s="2416"/>
      <c r="S43" s="2416"/>
      <c r="T43" s="1095" t="s">
        <v>939</v>
      </c>
      <c r="U43" s="878">
        <v>32214000</v>
      </c>
      <c r="V43" s="878">
        <v>18700000</v>
      </c>
      <c r="W43" s="878"/>
      <c r="X43" s="258">
        <v>4</v>
      </c>
      <c r="Y43" s="1096" t="s">
        <v>934</v>
      </c>
      <c r="Z43" s="2633"/>
      <c r="AA43" s="2676"/>
      <c r="AB43" s="2633"/>
      <c r="AC43" s="2676"/>
      <c r="AD43" s="2633"/>
      <c r="AE43" s="2676"/>
      <c r="AF43" s="2633"/>
      <c r="AG43" s="2676"/>
      <c r="AH43" s="2633"/>
      <c r="AI43" s="2676"/>
      <c r="AJ43" s="2633"/>
      <c r="AK43" s="2676"/>
      <c r="AL43" s="2633"/>
      <c r="AM43" s="2676"/>
      <c r="AN43" s="2633"/>
      <c r="AO43" s="2676"/>
      <c r="AP43" s="2633"/>
      <c r="AQ43" s="2676"/>
      <c r="AR43" s="2633"/>
      <c r="AS43" s="2676"/>
      <c r="AT43" s="2633"/>
      <c r="AU43" s="2676"/>
      <c r="AV43" s="2633"/>
      <c r="AW43" s="2676"/>
      <c r="AX43" s="2633"/>
      <c r="AY43" s="2676"/>
      <c r="AZ43" s="2673"/>
      <c r="BA43" s="2676"/>
      <c r="BB43" s="2633"/>
      <c r="BC43" s="2676"/>
      <c r="BD43" s="2633"/>
      <c r="BE43" s="2679"/>
      <c r="BF43" s="2680"/>
      <c r="BG43" s="2700"/>
      <c r="BH43" s="2700"/>
      <c r="BI43" s="2646"/>
      <c r="BJ43" s="2689"/>
      <c r="BK43" s="2466"/>
      <c r="BL43" s="2704"/>
      <c r="BM43" s="2687"/>
      <c r="BN43" s="2704"/>
      <c r="BO43" s="2687"/>
      <c r="BP43" s="2688"/>
    </row>
    <row r="44" spans="1:68" ht="100.9" customHeight="1" x14ac:dyDescent="0.25">
      <c r="A44" s="118"/>
      <c r="B44" s="509"/>
      <c r="C44" s="510"/>
      <c r="D44" s="2631"/>
      <c r="E44" s="2632"/>
      <c r="F44" s="2632"/>
      <c r="G44" s="2343"/>
      <c r="H44" s="2343"/>
      <c r="I44" s="2690"/>
      <c r="J44" s="2416"/>
      <c r="K44" s="2634"/>
      <c r="L44" s="2636"/>
      <c r="M44" s="2349"/>
      <c r="N44" s="2343"/>
      <c r="O44" s="2413"/>
      <c r="P44" s="2698"/>
      <c r="Q44" s="2705"/>
      <c r="R44" s="2416"/>
      <c r="S44" s="2416"/>
      <c r="T44" s="1095" t="s">
        <v>911</v>
      </c>
      <c r="U44" s="878">
        <v>33200000</v>
      </c>
      <c r="V44" s="878">
        <v>33200000</v>
      </c>
      <c r="W44" s="878">
        <v>33200000</v>
      </c>
      <c r="X44" s="258">
        <v>4</v>
      </c>
      <c r="Y44" s="1096" t="s">
        <v>934</v>
      </c>
      <c r="Z44" s="2633"/>
      <c r="AA44" s="2676"/>
      <c r="AB44" s="2633"/>
      <c r="AC44" s="2676"/>
      <c r="AD44" s="2633"/>
      <c r="AE44" s="2676"/>
      <c r="AF44" s="2633"/>
      <c r="AG44" s="2676"/>
      <c r="AH44" s="2633"/>
      <c r="AI44" s="2676"/>
      <c r="AJ44" s="2633"/>
      <c r="AK44" s="2676"/>
      <c r="AL44" s="2633"/>
      <c r="AM44" s="2676"/>
      <c r="AN44" s="2633"/>
      <c r="AO44" s="2676"/>
      <c r="AP44" s="2633"/>
      <c r="AQ44" s="2676"/>
      <c r="AR44" s="2633"/>
      <c r="AS44" s="2676"/>
      <c r="AT44" s="2633"/>
      <c r="AU44" s="2676"/>
      <c r="AV44" s="2633"/>
      <c r="AW44" s="2676"/>
      <c r="AX44" s="2633"/>
      <c r="AY44" s="2676"/>
      <c r="AZ44" s="2673"/>
      <c r="BA44" s="2676"/>
      <c r="BB44" s="2633"/>
      <c r="BC44" s="2676"/>
      <c r="BD44" s="2633"/>
      <c r="BE44" s="2679"/>
      <c r="BF44" s="2680"/>
      <c r="BG44" s="2700"/>
      <c r="BH44" s="2700"/>
      <c r="BI44" s="2646"/>
      <c r="BJ44" s="2689"/>
      <c r="BK44" s="2466"/>
      <c r="BL44" s="2704"/>
      <c r="BM44" s="2687"/>
      <c r="BN44" s="2704"/>
      <c r="BO44" s="2687"/>
      <c r="BP44" s="2688"/>
    </row>
    <row r="45" spans="1:68" ht="104.25" customHeight="1" x14ac:dyDescent="0.25">
      <c r="A45" s="118"/>
      <c r="B45" s="509"/>
      <c r="C45" s="510"/>
      <c r="D45" s="2631"/>
      <c r="E45" s="2632"/>
      <c r="F45" s="2632"/>
      <c r="G45" s="2343"/>
      <c r="H45" s="2343"/>
      <c r="I45" s="2690"/>
      <c r="J45" s="2416"/>
      <c r="K45" s="2634"/>
      <c r="L45" s="2636"/>
      <c r="M45" s="2349"/>
      <c r="N45" s="2343"/>
      <c r="O45" s="2413"/>
      <c r="P45" s="2698"/>
      <c r="Q45" s="2705"/>
      <c r="R45" s="2416"/>
      <c r="S45" s="2416"/>
      <c r="T45" s="1095" t="s">
        <v>912</v>
      </c>
      <c r="U45" s="878">
        <v>194417100</v>
      </c>
      <c r="V45" s="878">
        <v>123981000</v>
      </c>
      <c r="W45" s="878">
        <v>2800000</v>
      </c>
      <c r="X45" s="258">
        <v>4</v>
      </c>
      <c r="Y45" s="1096" t="s">
        <v>940</v>
      </c>
      <c r="Z45" s="2633"/>
      <c r="AA45" s="2676"/>
      <c r="AB45" s="2633"/>
      <c r="AC45" s="2676"/>
      <c r="AD45" s="2633"/>
      <c r="AE45" s="2676"/>
      <c r="AF45" s="2633"/>
      <c r="AG45" s="2676"/>
      <c r="AH45" s="2633"/>
      <c r="AI45" s="2676"/>
      <c r="AJ45" s="2633"/>
      <c r="AK45" s="2676"/>
      <c r="AL45" s="2633"/>
      <c r="AM45" s="2676"/>
      <c r="AN45" s="2633"/>
      <c r="AO45" s="2676"/>
      <c r="AP45" s="2633"/>
      <c r="AQ45" s="2676"/>
      <c r="AR45" s="2633"/>
      <c r="AS45" s="2676"/>
      <c r="AT45" s="2633"/>
      <c r="AU45" s="2676"/>
      <c r="AV45" s="2633"/>
      <c r="AW45" s="2676"/>
      <c r="AX45" s="2633"/>
      <c r="AY45" s="2676"/>
      <c r="AZ45" s="2673"/>
      <c r="BA45" s="2676"/>
      <c r="BB45" s="2633"/>
      <c r="BC45" s="2676"/>
      <c r="BD45" s="2633"/>
      <c r="BE45" s="2679"/>
      <c r="BF45" s="2680"/>
      <c r="BG45" s="2700"/>
      <c r="BH45" s="2700"/>
      <c r="BI45" s="2646"/>
      <c r="BJ45" s="2689"/>
      <c r="BK45" s="2466"/>
      <c r="BL45" s="2704"/>
      <c r="BM45" s="2687"/>
      <c r="BN45" s="2704"/>
      <c r="BO45" s="2687"/>
      <c r="BP45" s="2688"/>
    </row>
    <row r="46" spans="1:68" ht="61.5" customHeight="1" x14ac:dyDescent="0.25">
      <c r="A46" s="118"/>
      <c r="B46" s="509"/>
      <c r="C46" s="510"/>
      <c r="D46" s="2631"/>
      <c r="E46" s="2632"/>
      <c r="F46" s="2632"/>
      <c r="G46" s="2343"/>
      <c r="H46" s="2343"/>
      <c r="I46" s="2690"/>
      <c r="J46" s="2416"/>
      <c r="K46" s="2634"/>
      <c r="L46" s="2636"/>
      <c r="M46" s="2349"/>
      <c r="N46" s="2343"/>
      <c r="O46" s="2413"/>
      <c r="P46" s="2698"/>
      <c r="Q46" s="2705"/>
      <c r="R46" s="2416"/>
      <c r="S46" s="2416"/>
      <c r="T46" s="1095" t="s">
        <v>913</v>
      </c>
      <c r="U46" s="878">
        <v>22575000</v>
      </c>
      <c r="V46" s="878">
        <v>22575000</v>
      </c>
      <c r="W46" s="878">
        <v>22575000</v>
      </c>
      <c r="X46" s="258">
        <v>4</v>
      </c>
      <c r="Y46" s="1096" t="s">
        <v>940</v>
      </c>
      <c r="Z46" s="2633"/>
      <c r="AA46" s="2676"/>
      <c r="AB46" s="2633"/>
      <c r="AC46" s="2676"/>
      <c r="AD46" s="2633"/>
      <c r="AE46" s="2676"/>
      <c r="AF46" s="2633"/>
      <c r="AG46" s="2676"/>
      <c r="AH46" s="2633"/>
      <c r="AI46" s="2676"/>
      <c r="AJ46" s="2633"/>
      <c r="AK46" s="2676"/>
      <c r="AL46" s="2633"/>
      <c r="AM46" s="2676"/>
      <c r="AN46" s="2633"/>
      <c r="AO46" s="2676"/>
      <c r="AP46" s="2633"/>
      <c r="AQ46" s="2676"/>
      <c r="AR46" s="2633"/>
      <c r="AS46" s="2676"/>
      <c r="AT46" s="2633"/>
      <c r="AU46" s="2676"/>
      <c r="AV46" s="2633"/>
      <c r="AW46" s="2676"/>
      <c r="AX46" s="2633"/>
      <c r="AY46" s="2676"/>
      <c r="AZ46" s="2673"/>
      <c r="BA46" s="2676"/>
      <c r="BB46" s="2633"/>
      <c r="BC46" s="2676"/>
      <c r="BD46" s="2633"/>
      <c r="BE46" s="2679"/>
      <c r="BF46" s="2680"/>
      <c r="BG46" s="2700"/>
      <c r="BH46" s="2700"/>
      <c r="BI46" s="2646"/>
      <c r="BJ46" s="2689"/>
      <c r="BK46" s="2466"/>
      <c r="BL46" s="2704"/>
      <c r="BM46" s="2687"/>
      <c r="BN46" s="2704"/>
      <c r="BO46" s="2687"/>
      <c r="BP46" s="2688"/>
    </row>
    <row r="47" spans="1:68" ht="111" customHeight="1" x14ac:dyDescent="0.25">
      <c r="A47" s="118"/>
      <c r="B47" s="509"/>
      <c r="C47" s="510"/>
      <c r="D47" s="2631"/>
      <c r="E47" s="2632"/>
      <c r="F47" s="2632"/>
      <c r="G47" s="2343"/>
      <c r="H47" s="2343"/>
      <c r="I47" s="2690"/>
      <c r="J47" s="2416"/>
      <c r="K47" s="2634"/>
      <c r="L47" s="2636"/>
      <c r="M47" s="2349"/>
      <c r="N47" s="2343"/>
      <c r="O47" s="2413"/>
      <c r="P47" s="2698"/>
      <c r="Q47" s="2705"/>
      <c r="R47" s="2416"/>
      <c r="S47" s="2416"/>
      <c r="T47" s="1095" t="s">
        <v>941</v>
      </c>
      <c r="U47" s="878">
        <v>76737500</v>
      </c>
      <c r="V47" s="878">
        <v>45033333</v>
      </c>
      <c r="W47" s="878">
        <v>4300000</v>
      </c>
      <c r="X47" s="258">
        <v>4</v>
      </c>
      <c r="Y47" s="1096" t="s">
        <v>906</v>
      </c>
      <c r="Z47" s="2633"/>
      <c r="AA47" s="2676"/>
      <c r="AB47" s="2633"/>
      <c r="AC47" s="2676"/>
      <c r="AD47" s="2633"/>
      <c r="AE47" s="2676"/>
      <c r="AF47" s="2633"/>
      <c r="AG47" s="2676"/>
      <c r="AH47" s="2633"/>
      <c r="AI47" s="2676"/>
      <c r="AJ47" s="2633"/>
      <c r="AK47" s="2676"/>
      <c r="AL47" s="2633"/>
      <c r="AM47" s="2676"/>
      <c r="AN47" s="2633"/>
      <c r="AO47" s="2676"/>
      <c r="AP47" s="2633"/>
      <c r="AQ47" s="2676"/>
      <c r="AR47" s="2633"/>
      <c r="AS47" s="2676"/>
      <c r="AT47" s="2633"/>
      <c r="AU47" s="2676"/>
      <c r="AV47" s="2633"/>
      <c r="AW47" s="2676"/>
      <c r="AX47" s="2633"/>
      <c r="AY47" s="2676"/>
      <c r="AZ47" s="2673"/>
      <c r="BA47" s="2676"/>
      <c r="BB47" s="2633"/>
      <c r="BC47" s="2676"/>
      <c r="BD47" s="2633"/>
      <c r="BE47" s="2679"/>
      <c r="BF47" s="2680"/>
      <c r="BG47" s="2700"/>
      <c r="BH47" s="2700"/>
      <c r="BI47" s="2646"/>
      <c r="BJ47" s="2689"/>
      <c r="BK47" s="2466"/>
      <c r="BL47" s="2704"/>
      <c r="BM47" s="2687"/>
      <c r="BN47" s="2704"/>
      <c r="BO47" s="2687"/>
      <c r="BP47" s="2688"/>
    </row>
    <row r="48" spans="1:68" ht="105" customHeight="1" x14ac:dyDescent="0.25">
      <c r="A48" s="118"/>
      <c r="B48" s="509"/>
      <c r="C48" s="510"/>
      <c r="D48" s="2631"/>
      <c r="E48" s="2632"/>
      <c r="F48" s="2632"/>
      <c r="G48" s="2343"/>
      <c r="H48" s="2343"/>
      <c r="I48" s="2690"/>
      <c r="J48" s="2416"/>
      <c r="K48" s="2634"/>
      <c r="L48" s="2636"/>
      <c r="M48" s="2349"/>
      <c r="N48" s="2343"/>
      <c r="O48" s="2413"/>
      <c r="P48" s="2698"/>
      <c r="Q48" s="2705"/>
      <c r="R48" s="2416"/>
      <c r="S48" s="2416"/>
      <c r="T48" s="1095" t="s">
        <v>942</v>
      </c>
      <c r="U48" s="878">
        <v>51105000</v>
      </c>
      <c r="V48" s="878">
        <v>31900000</v>
      </c>
      <c r="W48" s="878">
        <v>2500000</v>
      </c>
      <c r="X48" s="258">
        <v>4</v>
      </c>
      <c r="Y48" s="1096" t="s">
        <v>934</v>
      </c>
      <c r="Z48" s="2633"/>
      <c r="AA48" s="2676"/>
      <c r="AB48" s="2633"/>
      <c r="AC48" s="2676"/>
      <c r="AD48" s="2633"/>
      <c r="AE48" s="2676"/>
      <c r="AF48" s="2633"/>
      <c r="AG48" s="2676"/>
      <c r="AH48" s="2633"/>
      <c r="AI48" s="2676"/>
      <c r="AJ48" s="2633"/>
      <c r="AK48" s="2676"/>
      <c r="AL48" s="2633"/>
      <c r="AM48" s="2676"/>
      <c r="AN48" s="2633"/>
      <c r="AO48" s="2676"/>
      <c r="AP48" s="2633"/>
      <c r="AQ48" s="2676"/>
      <c r="AR48" s="2633"/>
      <c r="AS48" s="2676"/>
      <c r="AT48" s="2633"/>
      <c r="AU48" s="2676"/>
      <c r="AV48" s="2633"/>
      <c r="AW48" s="2676"/>
      <c r="AX48" s="2633"/>
      <c r="AY48" s="2676"/>
      <c r="AZ48" s="2673"/>
      <c r="BA48" s="2676"/>
      <c r="BB48" s="2633"/>
      <c r="BC48" s="2676"/>
      <c r="BD48" s="2633"/>
      <c r="BE48" s="2679"/>
      <c r="BF48" s="2680"/>
      <c r="BG48" s="2700"/>
      <c r="BH48" s="2700"/>
      <c r="BI48" s="2646"/>
      <c r="BJ48" s="2689"/>
      <c r="BK48" s="2466"/>
      <c r="BL48" s="2704"/>
      <c r="BM48" s="2687"/>
      <c r="BN48" s="2704"/>
      <c r="BO48" s="2687"/>
      <c r="BP48" s="2688"/>
    </row>
    <row r="49" spans="1:100" ht="84" customHeight="1" x14ac:dyDescent="0.25">
      <c r="A49" s="1060"/>
      <c r="C49" s="600"/>
      <c r="D49" s="2631"/>
      <c r="E49" s="2632"/>
      <c r="F49" s="2632"/>
      <c r="G49" s="2343"/>
      <c r="H49" s="2343"/>
      <c r="I49" s="2690"/>
      <c r="J49" s="2416"/>
      <c r="K49" s="2634"/>
      <c r="L49" s="2637"/>
      <c r="M49" s="2349"/>
      <c r="N49" s="2343"/>
      <c r="O49" s="2413"/>
      <c r="P49" s="2699"/>
      <c r="Q49" s="2705"/>
      <c r="R49" s="2416"/>
      <c r="S49" s="2416"/>
      <c r="T49" s="1048" t="s">
        <v>943</v>
      </c>
      <c r="U49" s="845">
        <v>396417991.70999998</v>
      </c>
      <c r="V49" s="1098"/>
      <c r="W49" s="1098"/>
      <c r="X49" s="258">
        <v>4</v>
      </c>
      <c r="Y49" s="1096" t="s">
        <v>934</v>
      </c>
      <c r="Z49" s="2633"/>
      <c r="AA49" s="2677"/>
      <c r="AB49" s="2633"/>
      <c r="AC49" s="2677"/>
      <c r="AD49" s="2633"/>
      <c r="AE49" s="2677"/>
      <c r="AF49" s="2633"/>
      <c r="AG49" s="2677"/>
      <c r="AH49" s="2633"/>
      <c r="AI49" s="2677"/>
      <c r="AJ49" s="2633"/>
      <c r="AK49" s="2677"/>
      <c r="AL49" s="2633"/>
      <c r="AM49" s="2677"/>
      <c r="AN49" s="2633"/>
      <c r="AO49" s="2677"/>
      <c r="AP49" s="2633"/>
      <c r="AQ49" s="2677"/>
      <c r="AR49" s="2633"/>
      <c r="AS49" s="2677"/>
      <c r="AT49" s="2633"/>
      <c r="AU49" s="2677"/>
      <c r="AV49" s="2633"/>
      <c r="AW49" s="2677"/>
      <c r="AX49" s="2633"/>
      <c r="AY49" s="2677"/>
      <c r="AZ49" s="2674"/>
      <c r="BA49" s="2677"/>
      <c r="BB49" s="2633"/>
      <c r="BC49" s="2677"/>
      <c r="BD49" s="2633"/>
      <c r="BE49" s="2384"/>
      <c r="BF49" s="2680"/>
      <c r="BG49" s="2700"/>
      <c r="BH49" s="2700"/>
      <c r="BI49" s="2646"/>
      <c r="BJ49" s="2689"/>
      <c r="BK49" s="2466"/>
      <c r="BL49" s="2704"/>
      <c r="BM49" s="2687"/>
      <c r="BN49" s="2704"/>
      <c r="BO49" s="2687"/>
      <c r="BP49" s="2688"/>
    </row>
    <row r="50" spans="1:100" s="148" customFormat="1" ht="27" customHeight="1" x14ac:dyDescent="0.25">
      <c r="A50" s="108"/>
      <c r="B50" s="109"/>
      <c r="C50" s="110"/>
      <c r="D50" s="1099">
        <v>40</v>
      </c>
      <c r="E50" s="48" t="s">
        <v>944</v>
      </c>
      <c r="F50" s="1073"/>
      <c r="G50" s="47"/>
      <c r="H50" s="47"/>
      <c r="I50" s="46"/>
      <c r="J50" s="46"/>
      <c r="K50" s="48"/>
      <c r="L50" s="48"/>
      <c r="M50" s="1075"/>
      <c r="N50" s="1073"/>
      <c r="O50" s="46"/>
      <c r="P50" s="751"/>
      <c r="Q50" s="1074"/>
      <c r="R50" s="192"/>
      <c r="S50" s="753"/>
      <c r="T50" s="46"/>
      <c r="U50" s="1074"/>
      <c r="V50" s="1074"/>
      <c r="W50" s="1074"/>
      <c r="X50" s="756"/>
      <c r="Y50" s="1044"/>
      <c r="Z50" s="749"/>
      <c r="AA50" s="749"/>
      <c r="AB50" s="749"/>
      <c r="AC50" s="749"/>
      <c r="AD50" s="749"/>
      <c r="AE50" s="749"/>
      <c r="AF50" s="749"/>
      <c r="AG50" s="749"/>
      <c r="AH50" s="749"/>
      <c r="AI50" s="749"/>
      <c r="AJ50" s="749"/>
      <c r="AK50" s="749"/>
      <c r="AL50" s="749"/>
      <c r="AM50" s="749"/>
      <c r="AN50" s="749"/>
      <c r="AO50" s="749"/>
      <c r="AP50" s="749"/>
      <c r="AQ50" s="749"/>
      <c r="AR50" s="749"/>
      <c r="AS50" s="749"/>
      <c r="AT50" s="749"/>
      <c r="AU50" s="749"/>
      <c r="AV50" s="749"/>
      <c r="AW50" s="749"/>
      <c r="AX50" s="749"/>
      <c r="AY50" s="749"/>
      <c r="AZ50" s="749"/>
      <c r="BA50" s="749"/>
      <c r="BB50" s="749"/>
      <c r="BC50" s="749"/>
      <c r="BD50" s="749"/>
      <c r="BE50" s="749"/>
      <c r="BF50" s="650"/>
      <c r="BG50" s="1076"/>
      <c r="BH50" s="1077"/>
      <c r="BI50" s="756"/>
      <c r="BJ50" s="756"/>
      <c r="BK50" s="749"/>
      <c r="BL50" s="758"/>
      <c r="BM50" s="758"/>
      <c r="BN50" s="758"/>
      <c r="BO50" s="758"/>
      <c r="BP50" s="1059"/>
    </row>
    <row r="51" spans="1:100" ht="112.5" customHeight="1" x14ac:dyDescent="0.25">
      <c r="A51" s="118"/>
      <c r="B51" s="509"/>
      <c r="C51" s="509"/>
      <c r="D51" s="988"/>
      <c r="E51" s="574"/>
      <c r="F51" s="577"/>
      <c r="G51" s="2341">
        <v>4302020</v>
      </c>
      <c r="H51" s="2343" t="s">
        <v>945</v>
      </c>
      <c r="I51" s="2690" t="s">
        <v>946</v>
      </c>
      <c r="J51" s="2416" t="s">
        <v>946</v>
      </c>
      <c r="K51" s="2634">
        <v>0.25</v>
      </c>
      <c r="L51" s="2701">
        <v>0</v>
      </c>
      <c r="M51" s="2348" t="s">
        <v>947</v>
      </c>
      <c r="N51" s="2343" t="s">
        <v>896</v>
      </c>
      <c r="O51" s="2413" t="s">
        <v>897</v>
      </c>
      <c r="P51" s="2703">
        <f>Q51/SUM(Q16,Q33,Q37,Q51,Q85,Q100,Q103)</f>
        <v>3.3239485304596104E-2</v>
      </c>
      <c r="Q51" s="2415">
        <f>SUM(U51:U57)</f>
        <v>64725314.579999998</v>
      </c>
      <c r="R51" s="2416" t="s">
        <v>898</v>
      </c>
      <c r="S51" s="2706" t="s">
        <v>899</v>
      </c>
      <c r="T51" s="534" t="s">
        <v>948</v>
      </c>
      <c r="U51" s="879">
        <f>10749000-10749000</f>
        <v>0</v>
      </c>
      <c r="V51" s="932"/>
      <c r="W51" s="932"/>
      <c r="X51" s="601">
        <v>4</v>
      </c>
      <c r="Y51" s="1096" t="s">
        <v>934</v>
      </c>
      <c r="Z51" s="2633">
        <v>295972</v>
      </c>
      <c r="AA51" s="2383"/>
      <c r="AB51" s="2633">
        <v>285580</v>
      </c>
      <c r="AC51" s="2383"/>
      <c r="AD51" s="2633">
        <v>135545</v>
      </c>
      <c r="AE51" s="2383"/>
      <c r="AF51" s="2633">
        <v>44254</v>
      </c>
      <c r="AG51" s="2383"/>
      <c r="AH51" s="2633">
        <v>309146</v>
      </c>
      <c r="AI51" s="2383"/>
      <c r="AJ51" s="2633">
        <v>92607</v>
      </c>
      <c r="AK51" s="2383"/>
      <c r="AL51" s="2633">
        <v>2145</v>
      </c>
      <c r="AM51" s="2383"/>
      <c r="AN51" s="2633">
        <v>12718</v>
      </c>
      <c r="AO51" s="2383"/>
      <c r="AP51" s="2633">
        <v>26</v>
      </c>
      <c r="AQ51" s="2383"/>
      <c r="AR51" s="2633">
        <v>37</v>
      </c>
      <c r="AS51" s="2383"/>
      <c r="AT51" s="2633">
        <v>0</v>
      </c>
      <c r="AU51" s="2383"/>
      <c r="AV51" s="2633">
        <v>0</v>
      </c>
      <c r="AW51" s="2383"/>
      <c r="AX51" s="2633">
        <v>44350</v>
      </c>
      <c r="AY51" s="2383"/>
      <c r="AZ51" s="2633">
        <v>21944</v>
      </c>
      <c r="BA51" s="2383"/>
      <c r="BB51" s="2633">
        <v>75687</v>
      </c>
      <c r="BC51" s="2383"/>
      <c r="BD51" s="2633">
        <f>+Z51+AB51</f>
        <v>581552</v>
      </c>
      <c r="BE51" s="2649"/>
      <c r="BF51" s="2675"/>
      <c r="BG51" s="2714"/>
      <c r="BH51" s="2714"/>
      <c r="BI51" s="2675"/>
      <c r="BJ51" s="2675"/>
      <c r="BK51" s="2675"/>
      <c r="BL51" s="2675"/>
      <c r="BM51" s="2675"/>
      <c r="BN51" s="2675"/>
      <c r="BO51" s="2675"/>
      <c r="BP51" s="2426" t="s">
        <v>885</v>
      </c>
    </row>
    <row r="52" spans="1:100" ht="96.75" customHeight="1" x14ac:dyDescent="0.25">
      <c r="A52" s="118"/>
      <c r="B52" s="509"/>
      <c r="C52" s="509"/>
      <c r="D52" s="999"/>
      <c r="E52" s="575"/>
      <c r="F52" s="578"/>
      <c r="G52" s="2341"/>
      <c r="H52" s="2343"/>
      <c r="I52" s="2690"/>
      <c r="J52" s="2416"/>
      <c r="K52" s="2634"/>
      <c r="L52" s="2636"/>
      <c r="M52" s="2348"/>
      <c r="N52" s="2343"/>
      <c r="O52" s="2413"/>
      <c r="P52" s="2703"/>
      <c r="Q52" s="2415"/>
      <c r="R52" s="2416"/>
      <c r="S52" s="2707"/>
      <c r="T52" s="534" t="s">
        <v>949</v>
      </c>
      <c r="U52" s="879">
        <f>10749000-10749000</f>
        <v>0</v>
      </c>
      <c r="V52" s="932"/>
      <c r="W52" s="932"/>
      <c r="X52" s="601">
        <v>4</v>
      </c>
      <c r="Y52" s="1096" t="s">
        <v>934</v>
      </c>
      <c r="Z52" s="2633"/>
      <c r="AA52" s="2383"/>
      <c r="AB52" s="2633"/>
      <c r="AC52" s="2383"/>
      <c r="AD52" s="2633"/>
      <c r="AE52" s="2383"/>
      <c r="AF52" s="2633"/>
      <c r="AG52" s="2383"/>
      <c r="AH52" s="2633"/>
      <c r="AI52" s="2383"/>
      <c r="AJ52" s="2633"/>
      <c r="AK52" s="2383"/>
      <c r="AL52" s="2633"/>
      <c r="AM52" s="2383"/>
      <c r="AN52" s="2633"/>
      <c r="AO52" s="2383"/>
      <c r="AP52" s="2633"/>
      <c r="AQ52" s="2383"/>
      <c r="AR52" s="2633"/>
      <c r="AS52" s="2383"/>
      <c r="AT52" s="2633"/>
      <c r="AU52" s="2383"/>
      <c r="AV52" s="2633"/>
      <c r="AW52" s="2383"/>
      <c r="AX52" s="2633"/>
      <c r="AY52" s="2383"/>
      <c r="AZ52" s="2633"/>
      <c r="BA52" s="2383"/>
      <c r="BB52" s="2633"/>
      <c r="BC52" s="2383"/>
      <c r="BD52" s="2633"/>
      <c r="BE52" s="2649"/>
      <c r="BF52" s="2676"/>
      <c r="BG52" s="2715"/>
      <c r="BH52" s="2715"/>
      <c r="BI52" s="2676"/>
      <c r="BJ52" s="2676"/>
      <c r="BK52" s="2676"/>
      <c r="BL52" s="2676"/>
      <c r="BM52" s="2676"/>
      <c r="BN52" s="2676"/>
      <c r="BO52" s="2676"/>
      <c r="BP52" s="2427"/>
    </row>
    <row r="53" spans="1:100" ht="56.25" customHeight="1" x14ac:dyDescent="0.25">
      <c r="A53" s="118"/>
      <c r="B53" s="509"/>
      <c r="C53" s="509"/>
      <c r="D53" s="999"/>
      <c r="E53" s="575"/>
      <c r="F53" s="578"/>
      <c r="G53" s="2341"/>
      <c r="H53" s="2343"/>
      <c r="I53" s="2690"/>
      <c r="J53" s="2416"/>
      <c r="K53" s="2634"/>
      <c r="L53" s="2636"/>
      <c r="M53" s="2348"/>
      <c r="N53" s="2343"/>
      <c r="O53" s="2413"/>
      <c r="P53" s="2703"/>
      <c r="Q53" s="2415"/>
      <c r="R53" s="2416"/>
      <c r="S53" s="2707"/>
      <c r="T53" s="534" t="s">
        <v>950</v>
      </c>
      <c r="U53" s="879">
        <f>10749000-10749000</f>
        <v>0</v>
      </c>
      <c r="V53" s="932"/>
      <c r="W53" s="932"/>
      <c r="X53" s="601">
        <v>4</v>
      </c>
      <c r="Y53" s="1096" t="s">
        <v>934</v>
      </c>
      <c r="Z53" s="2633"/>
      <c r="AA53" s="2383"/>
      <c r="AB53" s="2633"/>
      <c r="AC53" s="2383"/>
      <c r="AD53" s="2633"/>
      <c r="AE53" s="2383"/>
      <c r="AF53" s="2633"/>
      <c r="AG53" s="2383"/>
      <c r="AH53" s="2633"/>
      <c r="AI53" s="2383"/>
      <c r="AJ53" s="2633"/>
      <c r="AK53" s="2383"/>
      <c r="AL53" s="2633"/>
      <c r="AM53" s="2383"/>
      <c r="AN53" s="2633"/>
      <c r="AO53" s="2383"/>
      <c r="AP53" s="2633"/>
      <c r="AQ53" s="2383"/>
      <c r="AR53" s="2633"/>
      <c r="AS53" s="2383"/>
      <c r="AT53" s="2633"/>
      <c r="AU53" s="2383"/>
      <c r="AV53" s="2633"/>
      <c r="AW53" s="2383"/>
      <c r="AX53" s="2633"/>
      <c r="AY53" s="2383"/>
      <c r="AZ53" s="2633"/>
      <c r="BA53" s="2383"/>
      <c r="BB53" s="2633"/>
      <c r="BC53" s="2383"/>
      <c r="BD53" s="2633"/>
      <c r="BE53" s="2649"/>
      <c r="BF53" s="2676"/>
      <c r="BG53" s="2715"/>
      <c r="BH53" s="2715"/>
      <c r="BI53" s="2676"/>
      <c r="BJ53" s="2676"/>
      <c r="BK53" s="2676"/>
      <c r="BL53" s="2676"/>
      <c r="BM53" s="2676"/>
      <c r="BN53" s="2676"/>
      <c r="BO53" s="2676"/>
      <c r="BP53" s="2427"/>
    </row>
    <row r="54" spans="1:100" ht="39.75" customHeight="1" x14ac:dyDescent="0.25">
      <c r="A54" s="118"/>
      <c r="B54" s="509"/>
      <c r="C54" s="509"/>
      <c r="D54" s="2709"/>
      <c r="E54" s="2711"/>
      <c r="F54" s="2712"/>
      <c r="G54" s="2341"/>
      <c r="H54" s="2343"/>
      <c r="I54" s="2690"/>
      <c r="J54" s="2416"/>
      <c r="K54" s="2634"/>
      <c r="L54" s="2636"/>
      <c r="M54" s="2348"/>
      <c r="N54" s="2343"/>
      <c r="O54" s="2413"/>
      <c r="P54" s="2703"/>
      <c r="Q54" s="2415"/>
      <c r="R54" s="2416"/>
      <c r="S54" s="2707"/>
      <c r="T54" s="2526" t="s">
        <v>943</v>
      </c>
      <c r="U54" s="932">
        <f>801251738-791251738</f>
        <v>10000000</v>
      </c>
      <c r="V54" s="932"/>
      <c r="W54" s="932"/>
      <c r="X54" s="601">
        <v>4</v>
      </c>
      <c r="Y54" s="1096" t="s">
        <v>934</v>
      </c>
      <c r="Z54" s="2633"/>
      <c r="AA54" s="2383"/>
      <c r="AB54" s="2633"/>
      <c r="AC54" s="2383"/>
      <c r="AD54" s="2633"/>
      <c r="AE54" s="2383"/>
      <c r="AF54" s="2633"/>
      <c r="AG54" s="2383"/>
      <c r="AH54" s="2633"/>
      <c r="AI54" s="2383"/>
      <c r="AJ54" s="2633"/>
      <c r="AK54" s="2383"/>
      <c r="AL54" s="2633"/>
      <c r="AM54" s="2383"/>
      <c r="AN54" s="2633"/>
      <c r="AO54" s="2383"/>
      <c r="AP54" s="2633"/>
      <c r="AQ54" s="2383"/>
      <c r="AR54" s="2633"/>
      <c r="AS54" s="2383"/>
      <c r="AT54" s="2633"/>
      <c r="AU54" s="2383"/>
      <c r="AV54" s="2633"/>
      <c r="AW54" s="2383"/>
      <c r="AX54" s="2633"/>
      <c r="AY54" s="2383"/>
      <c r="AZ54" s="2633"/>
      <c r="BA54" s="2383"/>
      <c r="BB54" s="2633"/>
      <c r="BC54" s="2383"/>
      <c r="BD54" s="2633"/>
      <c r="BE54" s="2649"/>
      <c r="BF54" s="2676"/>
      <c r="BG54" s="2715"/>
      <c r="BH54" s="2715"/>
      <c r="BI54" s="2676"/>
      <c r="BJ54" s="2676"/>
      <c r="BK54" s="2676"/>
      <c r="BL54" s="2676"/>
      <c r="BM54" s="2676"/>
      <c r="BN54" s="2676"/>
      <c r="BO54" s="2676"/>
      <c r="BP54" s="2427"/>
    </row>
    <row r="55" spans="1:100" ht="52.5" customHeight="1" x14ac:dyDescent="0.25">
      <c r="A55" s="118"/>
      <c r="B55" s="509"/>
      <c r="C55" s="509"/>
      <c r="D55" s="2709"/>
      <c r="E55" s="2711"/>
      <c r="F55" s="2712"/>
      <c r="G55" s="2341"/>
      <c r="H55" s="2343"/>
      <c r="I55" s="2690"/>
      <c r="J55" s="2416"/>
      <c r="K55" s="2634"/>
      <c r="L55" s="2636"/>
      <c r="M55" s="2348"/>
      <c r="N55" s="2343"/>
      <c r="O55" s="2413"/>
      <c r="P55" s="2703"/>
      <c r="Q55" s="2415"/>
      <c r="R55" s="2416"/>
      <c r="S55" s="2707"/>
      <c r="T55" s="2492"/>
      <c r="U55" s="879">
        <v>54725314.579999998</v>
      </c>
      <c r="V55" s="879"/>
      <c r="W55" s="879"/>
      <c r="X55" s="258">
        <v>82</v>
      </c>
      <c r="Y55" s="565" t="s">
        <v>951</v>
      </c>
      <c r="Z55" s="2633"/>
      <c r="AA55" s="2383"/>
      <c r="AB55" s="2633"/>
      <c r="AC55" s="2383"/>
      <c r="AD55" s="2633"/>
      <c r="AE55" s="2383"/>
      <c r="AF55" s="2633"/>
      <c r="AG55" s="2383"/>
      <c r="AH55" s="2633"/>
      <c r="AI55" s="2383"/>
      <c r="AJ55" s="2633"/>
      <c r="AK55" s="2383"/>
      <c r="AL55" s="2633"/>
      <c r="AM55" s="2383"/>
      <c r="AN55" s="2633"/>
      <c r="AO55" s="2383"/>
      <c r="AP55" s="2633"/>
      <c r="AQ55" s="2383"/>
      <c r="AR55" s="2633"/>
      <c r="AS55" s="2383"/>
      <c r="AT55" s="2633"/>
      <c r="AU55" s="2383"/>
      <c r="AV55" s="2633"/>
      <c r="AW55" s="2383"/>
      <c r="AX55" s="2633"/>
      <c r="AY55" s="2383"/>
      <c r="AZ55" s="2633"/>
      <c r="BA55" s="2383"/>
      <c r="BB55" s="2633"/>
      <c r="BC55" s="2383"/>
      <c r="BD55" s="2633"/>
      <c r="BE55" s="2649"/>
      <c r="BF55" s="2676"/>
      <c r="BG55" s="2715"/>
      <c r="BH55" s="2715"/>
      <c r="BI55" s="2676"/>
      <c r="BJ55" s="2676"/>
      <c r="BK55" s="2676"/>
      <c r="BL55" s="2676"/>
      <c r="BM55" s="2676"/>
      <c r="BN55" s="2676"/>
      <c r="BO55" s="2676"/>
      <c r="BP55" s="2427"/>
    </row>
    <row r="56" spans="1:100" ht="68.25" customHeight="1" x14ac:dyDescent="0.25">
      <c r="A56" s="118"/>
      <c r="B56" s="509"/>
      <c r="C56" s="509"/>
      <c r="D56" s="2709"/>
      <c r="E56" s="2711"/>
      <c r="F56" s="2712"/>
      <c r="G56" s="2341"/>
      <c r="H56" s="2343"/>
      <c r="I56" s="2690"/>
      <c r="J56" s="2416"/>
      <c r="K56" s="2634"/>
      <c r="L56" s="2636"/>
      <c r="M56" s="2348"/>
      <c r="N56" s="2343"/>
      <c r="O56" s="2413"/>
      <c r="P56" s="2703"/>
      <c r="Q56" s="2415"/>
      <c r="R56" s="2416"/>
      <c r="S56" s="2707"/>
      <c r="T56" s="534" t="s">
        <v>952</v>
      </c>
      <c r="U56" s="879">
        <f>1000000-1000000</f>
        <v>0</v>
      </c>
      <c r="V56" s="879"/>
      <c r="W56" s="879"/>
      <c r="X56" s="258">
        <v>4</v>
      </c>
      <c r="Y56" s="1096" t="s">
        <v>934</v>
      </c>
      <c r="Z56" s="2633"/>
      <c r="AA56" s="2383"/>
      <c r="AB56" s="2633"/>
      <c r="AC56" s="2383"/>
      <c r="AD56" s="2633"/>
      <c r="AE56" s="2383"/>
      <c r="AF56" s="2633"/>
      <c r="AG56" s="2383"/>
      <c r="AH56" s="2633"/>
      <c r="AI56" s="2383"/>
      <c r="AJ56" s="2633"/>
      <c r="AK56" s="2383"/>
      <c r="AL56" s="2633"/>
      <c r="AM56" s="2383"/>
      <c r="AN56" s="2633"/>
      <c r="AO56" s="2383"/>
      <c r="AP56" s="2633"/>
      <c r="AQ56" s="2383"/>
      <c r="AR56" s="2633"/>
      <c r="AS56" s="2383"/>
      <c r="AT56" s="2633"/>
      <c r="AU56" s="2383"/>
      <c r="AV56" s="2633"/>
      <c r="AW56" s="2383"/>
      <c r="AX56" s="2633"/>
      <c r="AY56" s="2383"/>
      <c r="AZ56" s="2633"/>
      <c r="BA56" s="2383"/>
      <c r="BB56" s="2633"/>
      <c r="BC56" s="2383"/>
      <c r="BD56" s="2633"/>
      <c r="BE56" s="2649"/>
      <c r="BF56" s="2676"/>
      <c r="BG56" s="2715"/>
      <c r="BH56" s="2715"/>
      <c r="BI56" s="2676"/>
      <c r="BJ56" s="2676"/>
      <c r="BK56" s="2676"/>
      <c r="BL56" s="2676"/>
      <c r="BM56" s="2676"/>
      <c r="BN56" s="2676"/>
      <c r="BO56" s="2676"/>
      <c r="BP56" s="2427"/>
    </row>
    <row r="57" spans="1:100" ht="79.5" customHeight="1" x14ac:dyDescent="0.25">
      <c r="A57" s="1060"/>
      <c r="D57" s="2710"/>
      <c r="E57" s="2253"/>
      <c r="F57" s="2713"/>
      <c r="G57" s="2341"/>
      <c r="H57" s="2343"/>
      <c r="I57" s="2690"/>
      <c r="J57" s="2416"/>
      <c r="K57" s="2634"/>
      <c r="L57" s="2702"/>
      <c r="M57" s="2348"/>
      <c r="N57" s="2343"/>
      <c r="O57" s="2413"/>
      <c r="P57" s="2703"/>
      <c r="Q57" s="2415"/>
      <c r="R57" s="2416"/>
      <c r="S57" s="2708"/>
      <c r="T57" s="534" t="s">
        <v>953</v>
      </c>
      <c r="U57" s="879">
        <f>1000000-1000000</f>
        <v>0</v>
      </c>
      <c r="V57" s="879"/>
      <c r="W57" s="879"/>
      <c r="X57" s="258">
        <v>4</v>
      </c>
      <c r="Y57" s="1096" t="s">
        <v>934</v>
      </c>
      <c r="Z57" s="2633"/>
      <c r="AA57" s="2383"/>
      <c r="AB57" s="2633"/>
      <c r="AC57" s="2383"/>
      <c r="AD57" s="2633"/>
      <c r="AE57" s="2383"/>
      <c r="AF57" s="2633"/>
      <c r="AG57" s="2383"/>
      <c r="AH57" s="2633"/>
      <c r="AI57" s="2383"/>
      <c r="AJ57" s="2633"/>
      <c r="AK57" s="2383"/>
      <c r="AL57" s="2633"/>
      <c r="AM57" s="2383"/>
      <c r="AN57" s="2633"/>
      <c r="AO57" s="2383"/>
      <c r="AP57" s="2633"/>
      <c r="AQ57" s="2383"/>
      <c r="AR57" s="2633"/>
      <c r="AS57" s="2383"/>
      <c r="AT57" s="2633"/>
      <c r="AU57" s="2383"/>
      <c r="AV57" s="2633"/>
      <c r="AW57" s="2383"/>
      <c r="AX57" s="2633"/>
      <c r="AY57" s="2383"/>
      <c r="AZ57" s="2633"/>
      <c r="BA57" s="2383"/>
      <c r="BB57" s="2633"/>
      <c r="BC57" s="2383"/>
      <c r="BD57" s="2633"/>
      <c r="BE57" s="2649"/>
      <c r="BF57" s="2677"/>
      <c r="BG57" s="2716"/>
      <c r="BH57" s="2716"/>
      <c r="BI57" s="2677"/>
      <c r="BJ57" s="2677"/>
      <c r="BK57" s="2677"/>
      <c r="BL57" s="2677"/>
      <c r="BM57" s="2677"/>
      <c r="BN57" s="2677"/>
      <c r="BO57" s="2677"/>
      <c r="BP57" s="2428"/>
    </row>
    <row r="58" spans="1:100" ht="27" customHeight="1" x14ac:dyDescent="0.25">
      <c r="A58" s="1100">
        <v>2</v>
      </c>
      <c r="B58" s="980" t="s">
        <v>78</v>
      </c>
      <c r="C58" s="980"/>
      <c r="D58" s="1037"/>
      <c r="E58" s="31"/>
      <c r="F58" s="31"/>
      <c r="G58" s="31"/>
      <c r="H58" s="31"/>
      <c r="I58" s="29"/>
      <c r="J58" s="29"/>
      <c r="K58" s="34"/>
      <c r="L58" s="34"/>
      <c r="M58" s="1101"/>
      <c r="N58" s="1037"/>
      <c r="O58" s="29"/>
      <c r="P58" s="35"/>
      <c r="Q58" s="1102"/>
      <c r="R58" s="33"/>
      <c r="S58" s="33"/>
      <c r="T58" s="29"/>
      <c r="U58" s="1102"/>
      <c r="V58" s="1102"/>
      <c r="W58" s="1102"/>
      <c r="X58" s="38"/>
      <c r="Y58" s="1101"/>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276"/>
      <c r="BG58" s="1103"/>
      <c r="BH58" s="1104"/>
      <c r="BI58" s="735"/>
      <c r="BJ58" s="38"/>
      <c r="BK58" s="34"/>
      <c r="BL58" s="39"/>
      <c r="BM58" s="39"/>
      <c r="BN58" s="39"/>
      <c r="BO58" s="39"/>
      <c r="BP58" s="1105"/>
      <c r="BQ58" s="148"/>
      <c r="BR58" s="148"/>
      <c r="BS58" s="148"/>
      <c r="BT58" s="148"/>
      <c r="BU58" s="148"/>
      <c r="BV58" s="148"/>
      <c r="BW58" s="148"/>
      <c r="BX58" s="148"/>
      <c r="BY58" s="148"/>
      <c r="BZ58" s="148"/>
      <c r="CA58" s="148"/>
      <c r="CB58" s="148"/>
      <c r="CC58" s="148"/>
      <c r="CD58" s="148"/>
      <c r="CE58" s="148"/>
      <c r="CF58" s="148"/>
      <c r="CG58" s="148"/>
      <c r="CH58" s="148"/>
    </row>
    <row r="59" spans="1:100" s="148" customFormat="1" ht="32.25" customHeight="1" x14ac:dyDescent="0.25">
      <c r="A59" s="612"/>
      <c r="B59" s="42"/>
      <c r="C59" s="43"/>
      <c r="D59" s="1042">
        <v>10</v>
      </c>
      <c r="E59" s="746" t="s">
        <v>469</v>
      </c>
      <c r="F59" s="1043"/>
      <c r="G59" s="745"/>
      <c r="H59" s="745"/>
      <c r="I59" s="744"/>
      <c r="J59" s="744"/>
      <c r="K59" s="746"/>
      <c r="L59" s="746"/>
      <c r="M59" s="1044"/>
      <c r="N59" s="1043"/>
      <c r="O59" s="744"/>
      <c r="P59" s="832"/>
      <c r="Q59" s="1056"/>
      <c r="R59" s="753"/>
      <c r="S59" s="753"/>
      <c r="T59" s="744"/>
      <c r="U59" s="1056"/>
      <c r="V59" s="1056"/>
      <c r="W59" s="1056"/>
      <c r="X59" s="1046"/>
      <c r="Y59" s="1044"/>
      <c r="Z59" s="749"/>
      <c r="AA59" s="749"/>
      <c r="AB59" s="749"/>
      <c r="AC59" s="749"/>
      <c r="AD59" s="749"/>
      <c r="AE59" s="749"/>
      <c r="AF59" s="749"/>
      <c r="AG59" s="749"/>
      <c r="AH59" s="749"/>
      <c r="AI59" s="749"/>
      <c r="AJ59" s="749"/>
      <c r="AK59" s="749"/>
      <c r="AL59" s="749"/>
      <c r="AM59" s="749"/>
      <c r="AN59" s="749"/>
      <c r="AO59" s="749"/>
      <c r="AP59" s="749"/>
      <c r="AQ59" s="749"/>
      <c r="AR59" s="749"/>
      <c r="AS59" s="749"/>
      <c r="AT59" s="749"/>
      <c r="AU59" s="749"/>
      <c r="AV59" s="749"/>
      <c r="AW59" s="749"/>
      <c r="AX59" s="749"/>
      <c r="AY59" s="749"/>
      <c r="AZ59" s="749"/>
      <c r="BA59" s="749"/>
      <c r="BB59" s="749"/>
      <c r="BC59" s="749"/>
      <c r="BD59" s="749"/>
      <c r="BE59" s="749"/>
      <c r="BF59" s="650"/>
      <c r="BG59" s="1076"/>
      <c r="BH59" s="1077"/>
      <c r="BI59" s="756"/>
      <c r="BJ59" s="1046"/>
      <c r="BK59" s="749"/>
      <c r="BL59" s="758"/>
      <c r="BM59" s="758"/>
      <c r="BN59" s="758"/>
      <c r="BO59" s="758"/>
      <c r="BP59" s="1055"/>
    </row>
    <row r="60" spans="1:100" ht="147" customHeight="1" x14ac:dyDescent="0.25">
      <c r="A60" s="1060"/>
      <c r="C60" s="600"/>
      <c r="D60" s="200"/>
      <c r="E60" s="200"/>
      <c r="F60" s="1106"/>
      <c r="G60" s="8">
        <v>1709078</v>
      </c>
      <c r="H60" s="8" t="s">
        <v>954</v>
      </c>
      <c r="I60" s="1048" t="s">
        <v>955</v>
      </c>
      <c r="J60" s="550" t="s">
        <v>955</v>
      </c>
      <c r="K60" s="551">
        <v>1</v>
      </c>
      <c r="L60" s="551">
        <v>0</v>
      </c>
      <c r="M60" s="587" t="s">
        <v>956</v>
      </c>
      <c r="N60" s="528" t="s">
        <v>957</v>
      </c>
      <c r="O60" s="585" t="s">
        <v>958</v>
      </c>
      <c r="P60" s="1107">
        <f>(U60)/(Q60+Q62+Q81)</f>
        <v>0.5</v>
      </c>
      <c r="Q60" s="1108">
        <f>SUM(U60:U61)</f>
        <v>2000000</v>
      </c>
      <c r="R60" s="568" t="s">
        <v>959</v>
      </c>
      <c r="S60" s="568" t="s">
        <v>960</v>
      </c>
      <c r="T60" s="1048" t="s">
        <v>955</v>
      </c>
      <c r="U60" s="1051">
        <v>2000000</v>
      </c>
      <c r="V60" s="1050"/>
      <c r="W60" s="1050"/>
      <c r="X60" s="542">
        <v>88</v>
      </c>
      <c r="Y60" s="519" t="s">
        <v>961</v>
      </c>
      <c r="Z60" s="6">
        <v>295972</v>
      </c>
      <c r="AA60" s="6"/>
      <c r="AB60" s="6">
        <v>294321</v>
      </c>
      <c r="AC60" s="6"/>
      <c r="AD60" s="6">
        <v>132302</v>
      </c>
      <c r="AE60" s="6"/>
      <c r="AF60" s="6">
        <v>43426</v>
      </c>
      <c r="AG60" s="6"/>
      <c r="AH60" s="6">
        <v>313940</v>
      </c>
      <c r="AI60" s="6"/>
      <c r="AJ60" s="6">
        <v>100625</v>
      </c>
      <c r="AK60" s="6"/>
      <c r="AL60" s="6">
        <v>2145</v>
      </c>
      <c r="AM60" s="6"/>
      <c r="AN60" s="6">
        <v>12718</v>
      </c>
      <c r="AO60" s="6"/>
      <c r="AP60" s="6">
        <v>36</v>
      </c>
      <c r="AQ60" s="6"/>
      <c r="AR60" s="6">
        <v>0</v>
      </c>
      <c r="AS60" s="6"/>
      <c r="AT60" s="6">
        <v>0</v>
      </c>
      <c r="AU60" s="6"/>
      <c r="AV60" s="6">
        <v>0</v>
      </c>
      <c r="AW60" s="6"/>
      <c r="AX60" s="6">
        <v>70</v>
      </c>
      <c r="AY60" s="6"/>
      <c r="AZ60" s="6">
        <v>21944</v>
      </c>
      <c r="BA60" s="6"/>
      <c r="BB60" s="6">
        <v>285</v>
      </c>
      <c r="BC60" s="6"/>
      <c r="BD60" s="6">
        <v>590292</v>
      </c>
      <c r="BE60" s="6"/>
      <c r="BF60" s="556"/>
      <c r="BG60" s="924"/>
      <c r="BH60" s="924"/>
      <c r="BI60" s="1109"/>
      <c r="BJ60" s="414"/>
      <c r="BK60" s="6"/>
      <c r="BL60" s="567">
        <v>44033</v>
      </c>
      <c r="BM60" s="567"/>
      <c r="BN60" s="567">
        <v>44195</v>
      </c>
      <c r="BO60" s="1110"/>
      <c r="BP60" s="549" t="s">
        <v>885</v>
      </c>
      <c r="BQ60" s="2717"/>
      <c r="BR60" s="2717"/>
      <c r="BS60" s="2717"/>
      <c r="BT60" s="2717"/>
      <c r="BU60" s="2717"/>
      <c r="BV60" s="2717"/>
      <c r="BW60" s="2717"/>
      <c r="BX60" s="2717"/>
      <c r="BY60" s="2717"/>
      <c r="BZ60" s="2717"/>
      <c r="CA60" s="2717"/>
      <c r="CB60" s="2717"/>
      <c r="CC60" s="2717"/>
      <c r="CD60" s="2717"/>
      <c r="CE60" s="2717"/>
      <c r="CF60" s="2717"/>
      <c r="CG60" s="2717"/>
      <c r="CH60" s="2717"/>
      <c r="CI60" s="2717"/>
      <c r="CJ60" s="2717"/>
      <c r="CK60" s="2717"/>
      <c r="CL60" s="2717"/>
      <c r="CM60" s="2717"/>
      <c r="CN60" s="2717"/>
      <c r="CO60" s="2717"/>
      <c r="CP60" s="2717"/>
      <c r="CQ60" s="2717"/>
      <c r="CR60" s="2717"/>
      <c r="CS60" s="2717"/>
      <c r="CT60" s="2717"/>
      <c r="CU60" s="2717"/>
      <c r="CV60" s="2717"/>
    </row>
    <row r="61" spans="1:100" s="148" customFormat="1" ht="27" customHeight="1" x14ac:dyDescent="0.25">
      <c r="A61" s="108"/>
      <c r="B61" s="109"/>
      <c r="C61" s="110"/>
      <c r="D61" s="1042">
        <v>27</v>
      </c>
      <c r="E61" s="746" t="s">
        <v>79</v>
      </c>
      <c r="F61" s="1043"/>
      <c r="G61" s="745"/>
      <c r="H61" s="745"/>
      <c r="I61" s="744"/>
      <c r="J61" s="744"/>
      <c r="K61" s="746"/>
      <c r="L61" s="746"/>
      <c r="M61" s="1044"/>
      <c r="N61" s="1043"/>
      <c r="O61" s="744"/>
      <c r="P61" s="832"/>
      <c r="Q61" s="1056"/>
      <c r="R61" s="753"/>
      <c r="S61" s="753"/>
      <c r="T61" s="744"/>
      <c r="U61" s="1056"/>
      <c r="V61" s="1056"/>
      <c r="W61" s="1056"/>
      <c r="X61" s="1046"/>
      <c r="Y61" s="1044"/>
      <c r="Z61" s="749"/>
      <c r="AA61" s="749"/>
      <c r="AB61" s="749"/>
      <c r="AC61" s="749"/>
      <c r="AD61" s="749"/>
      <c r="AE61" s="749"/>
      <c r="AF61" s="749"/>
      <c r="AG61" s="749"/>
      <c r="AH61" s="749"/>
      <c r="AI61" s="749"/>
      <c r="AJ61" s="749"/>
      <c r="AK61" s="749"/>
      <c r="AL61" s="749"/>
      <c r="AM61" s="749"/>
      <c r="AN61" s="749"/>
      <c r="AO61" s="749"/>
      <c r="AP61" s="749"/>
      <c r="AQ61" s="749"/>
      <c r="AR61" s="749"/>
      <c r="AS61" s="749"/>
      <c r="AT61" s="749"/>
      <c r="AU61" s="749"/>
      <c r="AV61" s="749"/>
      <c r="AW61" s="749"/>
      <c r="AX61" s="749"/>
      <c r="AY61" s="749"/>
      <c r="AZ61" s="749"/>
      <c r="BA61" s="749"/>
      <c r="BB61" s="749"/>
      <c r="BC61" s="749"/>
      <c r="BD61" s="749"/>
      <c r="BE61" s="749"/>
      <c r="BF61" s="650"/>
      <c r="BG61" s="1076"/>
      <c r="BH61" s="1077"/>
      <c r="BI61" s="756"/>
      <c r="BJ61" s="1046"/>
      <c r="BK61" s="749"/>
      <c r="BL61" s="758"/>
      <c r="BM61" s="758"/>
      <c r="BN61" s="758"/>
      <c r="BO61" s="758"/>
      <c r="BP61" s="1055"/>
      <c r="BQ61" s="2717"/>
      <c r="BR61" s="2717"/>
      <c r="BS61" s="2717"/>
      <c r="BT61" s="2717"/>
      <c r="BU61" s="2717"/>
      <c r="BV61" s="2717"/>
      <c r="BW61" s="2717"/>
      <c r="BX61" s="2717"/>
      <c r="BY61" s="2717"/>
      <c r="BZ61" s="2717"/>
      <c r="CA61" s="2717"/>
      <c r="CB61" s="2717"/>
      <c r="CC61" s="2717"/>
      <c r="CD61" s="2717"/>
      <c r="CE61" s="2717"/>
      <c r="CF61" s="2717"/>
      <c r="CG61" s="2717"/>
      <c r="CH61" s="2717"/>
      <c r="CI61" s="2717"/>
      <c r="CJ61" s="2717"/>
      <c r="CK61" s="2717"/>
      <c r="CL61" s="2717"/>
      <c r="CM61" s="2717"/>
      <c r="CN61" s="2717"/>
      <c r="CO61" s="2717"/>
      <c r="CP61" s="2717"/>
      <c r="CQ61" s="2717"/>
      <c r="CR61" s="2717"/>
      <c r="CS61" s="2717"/>
      <c r="CT61" s="2717"/>
      <c r="CU61" s="2717"/>
      <c r="CV61" s="2717"/>
    </row>
    <row r="62" spans="1:100" ht="141.75" customHeight="1" x14ac:dyDescent="0.25">
      <c r="A62" s="1111"/>
      <c r="B62" s="200"/>
      <c r="C62" s="1106"/>
      <c r="D62" s="1061"/>
      <c r="E62" s="1061"/>
      <c r="F62" s="470"/>
      <c r="G62" s="8">
        <v>3502084</v>
      </c>
      <c r="H62" s="8" t="s">
        <v>962</v>
      </c>
      <c r="I62" s="1048" t="s">
        <v>963</v>
      </c>
      <c r="J62" s="550" t="s">
        <v>963</v>
      </c>
      <c r="K62" s="594">
        <v>0.5</v>
      </c>
      <c r="L62" s="594">
        <v>0</v>
      </c>
      <c r="M62" s="25" t="s">
        <v>964</v>
      </c>
      <c r="N62" s="546" t="s">
        <v>957</v>
      </c>
      <c r="O62" s="568" t="s">
        <v>965</v>
      </c>
      <c r="P62" s="1107">
        <f>(U62)/(+Q60+Q62+Q81)</f>
        <v>0.25</v>
      </c>
      <c r="Q62" s="1050">
        <f>+U62</f>
        <v>1000000</v>
      </c>
      <c r="R62" s="568" t="s">
        <v>959</v>
      </c>
      <c r="S62" s="568" t="s">
        <v>960</v>
      </c>
      <c r="T62" s="1048" t="s">
        <v>963</v>
      </c>
      <c r="U62" s="1051">
        <v>1000000</v>
      </c>
      <c r="V62" s="1051"/>
      <c r="W62" s="1051"/>
      <c r="X62" s="414">
        <v>88</v>
      </c>
      <c r="Y62" s="551" t="s">
        <v>961</v>
      </c>
      <c r="Z62" s="6">
        <v>295972</v>
      </c>
      <c r="AA62" s="6"/>
      <c r="AB62" s="6">
        <v>294321</v>
      </c>
      <c r="AC62" s="6"/>
      <c r="AD62" s="6">
        <v>132302</v>
      </c>
      <c r="AE62" s="6"/>
      <c r="AF62" s="6">
        <v>43426</v>
      </c>
      <c r="AG62" s="6"/>
      <c r="AH62" s="6">
        <v>313940</v>
      </c>
      <c r="AI62" s="6"/>
      <c r="AJ62" s="6">
        <v>100625</v>
      </c>
      <c r="AK62" s="6"/>
      <c r="AL62" s="6">
        <v>2145</v>
      </c>
      <c r="AM62" s="6"/>
      <c r="AN62" s="6">
        <v>12718</v>
      </c>
      <c r="AO62" s="6"/>
      <c r="AP62" s="6">
        <v>36</v>
      </c>
      <c r="AQ62" s="6"/>
      <c r="AR62" s="6">
        <v>0</v>
      </c>
      <c r="AS62" s="6"/>
      <c r="AT62" s="6">
        <v>0</v>
      </c>
      <c r="AU62" s="6"/>
      <c r="AV62" s="6">
        <v>0</v>
      </c>
      <c r="AW62" s="6"/>
      <c r="AX62" s="6">
        <v>70</v>
      </c>
      <c r="AY62" s="6"/>
      <c r="AZ62" s="6">
        <v>21944</v>
      </c>
      <c r="BA62" s="6"/>
      <c r="BB62" s="6">
        <v>285</v>
      </c>
      <c r="BC62" s="6"/>
      <c r="BD62" s="6">
        <v>590292</v>
      </c>
      <c r="BE62" s="1052"/>
      <c r="BF62" s="556"/>
      <c r="BG62" s="1112"/>
      <c r="BH62" s="924"/>
      <c r="BI62" s="1113"/>
      <c r="BJ62" s="414"/>
      <c r="BK62" s="589"/>
      <c r="BL62" s="513">
        <v>44033</v>
      </c>
      <c r="BM62" s="513"/>
      <c r="BN62" s="513">
        <v>44195</v>
      </c>
      <c r="BO62" s="1114"/>
      <c r="BP62" s="549" t="s">
        <v>885</v>
      </c>
    </row>
    <row r="63" spans="1:100" ht="27" customHeight="1" x14ac:dyDescent="0.25">
      <c r="A63" s="1100">
        <v>3</v>
      </c>
      <c r="B63" s="980" t="s">
        <v>486</v>
      </c>
      <c r="C63" s="980"/>
      <c r="D63" s="1037"/>
      <c r="E63" s="31"/>
      <c r="F63" s="31"/>
      <c r="G63" s="31"/>
      <c r="H63" s="31"/>
      <c r="I63" s="29"/>
      <c r="J63" s="29"/>
      <c r="K63" s="34"/>
      <c r="L63" s="34"/>
      <c r="M63" s="1101"/>
      <c r="N63" s="1037"/>
      <c r="O63" s="29"/>
      <c r="P63" s="35"/>
      <c r="Q63" s="1102"/>
      <c r="R63" s="33"/>
      <c r="S63" s="33"/>
      <c r="T63" s="29"/>
      <c r="U63" s="1102"/>
      <c r="V63" s="1102"/>
      <c r="W63" s="1102"/>
      <c r="X63" s="38"/>
      <c r="Y63" s="1101"/>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276"/>
      <c r="BG63" s="1103"/>
      <c r="BH63" s="1104"/>
      <c r="BI63" s="735"/>
      <c r="BJ63" s="38"/>
      <c r="BK63" s="34"/>
      <c r="BL63" s="39"/>
      <c r="BM63" s="39"/>
      <c r="BN63" s="39"/>
      <c r="BO63" s="39"/>
      <c r="BP63" s="1115"/>
      <c r="BQ63" s="148"/>
      <c r="BR63" s="148"/>
      <c r="BS63" s="148"/>
      <c r="BT63" s="148"/>
      <c r="BU63" s="148"/>
      <c r="BV63" s="148"/>
      <c r="BW63" s="148"/>
      <c r="BX63" s="148"/>
      <c r="BY63" s="148"/>
      <c r="BZ63" s="148"/>
      <c r="CA63" s="148"/>
      <c r="CB63" s="148"/>
      <c r="CC63" s="148"/>
      <c r="CD63" s="148"/>
      <c r="CE63" s="148"/>
      <c r="CF63" s="148"/>
      <c r="CG63" s="148"/>
      <c r="CH63" s="148"/>
    </row>
    <row r="64" spans="1:100" s="148" customFormat="1" ht="27" customHeight="1" x14ac:dyDescent="0.25">
      <c r="A64" s="612"/>
      <c r="B64" s="42"/>
      <c r="C64" s="43"/>
      <c r="D64" s="1042">
        <v>18</v>
      </c>
      <c r="E64" s="746" t="s">
        <v>966</v>
      </c>
      <c r="F64" s="1043"/>
      <c r="G64" s="745"/>
      <c r="H64" s="745"/>
      <c r="I64" s="744"/>
      <c r="J64" s="744"/>
      <c r="K64" s="746"/>
      <c r="L64" s="746"/>
      <c r="M64" s="1044"/>
      <c r="N64" s="1043"/>
      <c r="O64" s="744"/>
      <c r="P64" s="832"/>
      <c r="Q64" s="1056"/>
      <c r="R64" s="753"/>
      <c r="S64" s="753"/>
      <c r="T64" s="744"/>
      <c r="U64" s="1056"/>
      <c r="V64" s="1056"/>
      <c r="W64" s="1056"/>
      <c r="X64" s="1046"/>
      <c r="Y64" s="1044"/>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49"/>
      <c r="AY64" s="749"/>
      <c r="AZ64" s="749"/>
      <c r="BA64" s="749"/>
      <c r="BB64" s="749"/>
      <c r="BC64" s="749"/>
      <c r="BD64" s="749"/>
      <c r="BE64" s="749"/>
      <c r="BF64" s="650"/>
      <c r="BG64" s="1076"/>
      <c r="BH64" s="1077"/>
      <c r="BI64" s="756"/>
      <c r="BJ64" s="1046"/>
      <c r="BK64" s="749"/>
      <c r="BL64" s="758"/>
      <c r="BM64" s="758"/>
      <c r="BN64" s="758"/>
      <c r="BO64" s="758"/>
      <c r="BP64" s="1059"/>
    </row>
    <row r="65" spans="1:68" ht="129" customHeight="1" x14ac:dyDescent="0.25">
      <c r="A65" s="1060"/>
      <c r="C65" s="600"/>
      <c r="G65" s="2729" t="s">
        <v>208</v>
      </c>
      <c r="H65" s="2730" t="s">
        <v>967</v>
      </c>
      <c r="I65" s="2733" t="s">
        <v>968</v>
      </c>
      <c r="J65" s="2439" t="s">
        <v>969</v>
      </c>
      <c r="K65" s="2324">
        <v>130</v>
      </c>
      <c r="L65" s="2321">
        <v>31</v>
      </c>
      <c r="M65" s="2318" t="s">
        <v>970</v>
      </c>
      <c r="N65" s="2318" t="s">
        <v>971</v>
      </c>
      <c r="O65" s="2439" t="s">
        <v>972</v>
      </c>
      <c r="P65" s="2718">
        <f>Q65/SUM(Q65,Q83)</f>
        <v>0.73355587052646121</v>
      </c>
      <c r="Q65" s="2721">
        <f>SUM(U65:U79)</f>
        <v>469025413.94</v>
      </c>
      <c r="R65" s="2439" t="s">
        <v>973</v>
      </c>
      <c r="S65" s="2724" t="s">
        <v>974</v>
      </c>
      <c r="T65" s="1116" t="s">
        <v>975</v>
      </c>
      <c r="U65" s="1117">
        <v>200000</v>
      </c>
      <c r="V65" s="1118">
        <v>200000</v>
      </c>
      <c r="W65" s="1119">
        <v>0</v>
      </c>
      <c r="X65" s="504">
        <v>20</v>
      </c>
      <c r="Y65" s="540" t="s">
        <v>261</v>
      </c>
      <c r="Z65" s="2726">
        <v>295972</v>
      </c>
      <c r="AA65" s="2726"/>
      <c r="AB65" s="2726">
        <v>285580</v>
      </c>
      <c r="AC65" s="2726"/>
      <c r="AD65" s="2726">
        <v>135545</v>
      </c>
      <c r="AE65" s="2726"/>
      <c r="AF65" s="2726">
        <v>44254</v>
      </c>
      <c r="AG65" s="2726"/>
      <c r="AH65" s="2726">
        <v>309146</v>
      </c>
      <c r="AI65" s="2726"/>
      <c r="AJ65" s="2726">
        <v>92607</v>
      </c>
      <c r="AK65" s="2726"/>
      <c r="AL65" s="2726">
        <v>2145</v>
      </c>
      <c r="AM65" s="2726"/>
      <c r="AN65" s="2726">
        <v>12718</v>
      </c>
      <c r="AO65" s="2726"/>
      <c r="AP65" s="2726">
        <v>26</v>
      </c>
      <c r="AQ65" s="2726"/>
      <c r="AR65" s="2726">
        <v>37</v>
      </c>
      <c r="AS65" s="2726"/>
      <c r="AT65" s="2726">
        <v>0</v>
      </c>
      <c r="AU65" s="2726"/>
      <c r="AV65" s="2726">
        <v>0</v>
      </c>
      <c r="AW65" s="2726"/>
      <c r="AX65" s="2726">
        <v>44350</v>
      </c>
      <c r="AY65" s="2726"/>
      <c r="AZ65" s="2726">
        <v>21944</v>
      </c>
      <c r="BA65" s="2726"/>
      <c r="BB65" s="2726">
        <v>75687</v>
      </c>
      <c r="BC65" s="2726"/>
      <c r="BD65" s="2726">
        <f>+Z65+AB65</f>
        <v>581552</v>
      </c>
      <c r="BE65" s="2726"/>
      <c r="BF65" s="2726">
        <v>36</v>
      </c>
      <c r="BG65" s="2739">
        <f>SUM(V65:V79)</f>
        <v>270669332</v>
      </c>
      <c r="BH65" s="2739">
        <f>SUM(W65:W79)</f>
        <v>149625683</v>
      </c>
      <c r="BI65" s="2350">
        <f>BH65/BG65</f>
        <v>0.55279880396645753</v>
      </c>
      <c r="BJ65" s="2742" t="s">
        <v>976</v>
      </c>
      <c r="BK65" s="2727" t="s">
        <v>977</v>
      </c>
      <c r="BL65" s="2488">
        <v>43857</v>
      </c>
      <c r="BM65" s="517"/>
      <c r="BN65" s="2354">
        <v>44196</v>
      </c>
      <c r="BO65" s="514"/>
      <c r="BP65" s="2304" t="s">
        <v>885</v>
      </c>
    </row>
    <row r="66" spans="1:68" ht="49.5" customHeight="1" x14ac:dyDescent="0.25">
      <c r="A66" s="1060"/>
      <c r="C66" s="600"/>
      <c r="G66" s="2729"/>
      <c r="H66" s="2731"/>
      <c r="I66" s="2734"/>
      <c r="J66" s="2440"/>
      <c r="K66" s="2321"/>
      <c r="L66" s="2321"/>
      <c r="M66" s="2319"/>
      <c r="N66" s="2319"/>
      <c r="O66" s="2440"/>
      <c r="P66" s="2719"/>
      <c r="Q66" s="2722"/>
      <c r="R66" s="2440"/>
      <c r="S66" s="2470"/>
      <c r="T66" s="1120" t="s">
        <v>978</v>
      </c>
      <c r="U66" s="1121">
        <v>85000000</v>
      </c>
      <c r="V66" s="1122">
        <v>85000000</v>
      </c>
      <c r="W66" s="1121">
        <v>3156351</v>
      </c>
      <c r="X66" s="504">
        <v>23</v>
      </c>
      <c r="Y66" s="540" t="s">
        <v>979</v>
      </c>
      <c r="Z66" s="2727"/>
      <c r="AA66" s="2727"/>
      <c r="AB66" s="2727"/>
      <c r="AC66" s="2727"/>
      <c r="AD66" s="2727"/>
      <c r="AE66" s="2727"/>
      <c r="AF66" s="2727"/>
      <c r="AG66" s="2727"/>
      <c r="AH66" s="2727"/>
      <c r="AI66" s="2727"/>
      <c r="AJ66" s="2727"/>
      <c r="AK66" s="2727"/>
      <c r="AL66" s="2727"/>
      <c r="AM66" s="2727"/>
      <c r="AN66" s="2727"/>
      <c r="AO66" s="2727"/>
      <c r="AP66" s="2727"/>
      <c r="AQ66" s="2727"/>
      <c r="AR66" s="2727"/>
      <c r="AS66" s="2727"/>
      <c r="AT66" s="2727"/>
      <c r="AU66" s="2727"/>
      <c r="AV66" s="2727"/>
      <c r="AW66" s="2727"/>
      <c r="AX66" s="2727"/>
      <c r="AY66" s="2727"/>
      <c r="AZ66" s="2727"/>
      <c r="BA66" s="2727"/>
      <c r="BB66" s="2727"/>
      <c r="BC66" s="2727"/>
      <c r="BD66" s="2727"/>
      <c r="BE66" s="2727"/>
      <c r="BF66" s="2727"/>
      <c r="BG66" s="2740"/>
      <c r="BH66" s="2740"/>
      <c r="BI66" s="2351"/>
      <c r="BJ66" s="2743"/>
      <c r="BK66" s="2727"/>
      <c r="BL66" s="2489"/>
      <c r="BM66" s="517"/>
      <c r="BN66" s="2355"/>
      <c r="BO66" s="514"/>
      <c r="BP66" s="2305"/>
    </row>
    <row r="67" spans="1:68" ht="42" customHeight="1" x14ac:dyDescent="0.25">
      <c r="A67" s="1060"/>
      <c r="C67" s="600"/>
      <c r="G67" s="2729"/>
      <c r="H67" s="2731"/>
      <c r="I67" s="2734"/>
      <c r="J67" s="2440"/>
      <c r="K67" s="2321"/>
      <c r="L67" s="2321"/>
      <c r="M67" s="2319"/>
      <c r="N67" s="2319"/>
      <c r="O67" s="2440"/>
      <c r="P67" s="2719"/>
      <c r="Q67" s="2722"/>
      <c r="R67" s="2440"/>
      <c r="S67" s="2470"/>
      <c r="T67" s="1120" t="s">
        <v>980</v>
      </c>
      <c r="U67" s="1121">
        <v>15000000</v>
      </c>
      <c r="V67" s="1121">
        <v>15000000</v>
      </c>
      <c r="W67" s="1121">
        <v>0</v>
      </c>
      <c r="X67" s="504">
        <v>20</v>
      </c>
      <c r="Y67" s="540" t="s">
        <v>301</v>
      </c>
      <c r="Z67" s="2727"/>
      <c r="AA67" s="2727"/>
      <c r="AB67" s="2727"/>
      <c r="AC67" s="2727"/>
      <c r="AD67" s="2727"/>
      <c r="AE67" s="2727"/>
      <c r="AF67" s="2727"/>
      <c r="AG67" s="2727"/>
      <c r="AH67" s="2727"/>
      <c r="AI67" s="2727"/>
      <c r="AJ67" s="2727"/>
      <c r="AK67" s="2727"/>
      <c r="AL67" s="2727"/>
      <c r="AM67" s="2727"/>
      <c r="AN67" s="2727"/>
      <c r="AO67" s="2727"/>
      <c r="AP67" s="2727"/>
      <c r="AQ67" s="2727"/>
      <c r="AR67" s="2727"/>
      <c r="AS67" s="2727"/>
      <c r="AT67" s="2727"/>
      <c r="AU67" s="2727"/>
      <c r="AV67" s="2727"/>
      <c r="AW67" s="2727"/>
      <c r="AX67" s="2727"/>
      <c r="AY67" s="2727"/>
      <c r="AZ67" s="2727"/>
      <c r="BA67" s="2727"/>
      <c r="BB67" s="2727"/>
      <c r="BC67" s="2727"/>
      <c r="BD67" s="2727"/>
      <c r="BE67" s="2727"/>
      <c r="BF67" s="2727"/>
      <c r="BG67" s="2740"/>
      <c r="BH67" s="2740"/>
      <c r="BI67" s="2351"/>
      <c r="BJ67" s="2743"/>
      <c r="BK67" s="2727"/>
      <c r="BL67" s="2489"/>
      <c r="BM67" s="517"/>
      <c r="BN67" s="2355"/>
      <c r="BO67" s="514"/>
      <c r="BP67" s="2305"/>
    </row>
    <row r="68" spans="1:68" ht="74.25" customHeight="1" x14ac:dyDescent="0.25">
      <c r="A68" s="1060"/>
      <c r="C68" s="600"/>
      <c r="G68" s="2729"/>
      <c r="H68" s="2731"/>
      <c r="I68" s="2734"/>
      <c r="J68" s="2440"/>
      <c r="K68" s="2321"/>
      <c r="L68" s="2321"/>
      <c r="M68" s="2319"/>
      <c r="N68" s="2319"/>
      <c r="O68" s="2440"/>
      <c r="P68" s="2719"/>
      <c r="Q68" s="2722"/>
      <c r="R68" s="2440"/>
      <c r="S68" s="2470"/>
      <c r="T68" s="1120" t="s">
        <v>981</v>
      </c>
      <c r="U68" s="1117">
        <v>15762000</v>
      </c>
      <c r="V68" s="1121">
        <v>15762000</v>
      </c>
      <c r="W68" s="1121">
        <v>15762000</v>
      </c>
      <c r="X68" s="505">
        <v>20</v>
      </c>
      <c r="Y68" s="540" t="s">
        <v>301</v>
      </c>
      <c r="Z68" s="2727"/>
      <c r="AA68" s="2727"/>
      <c r="AB68" s="2727"/>
      <c r="AC68" s="2727"/>
      <c r="AD68" s="2727"/>
      <c r="AE68" s="2727"/>
      <c r="AF68" s="2727"/>
      <c r="AG68" s="2727"/>
      <c r="AH68" s="2727"/>
      <c r="AI68" s="2727"/>
      <c r="AJ68" s="2727"/>
      <c r="AK68" s="2727"/>
      <c r="AL68" s="2727"/>
      <c r="AM68" s="2727"/>
      <c r="AN68" s="2727"/>
      <c r="AO68" s="2727"/>
      <c r="AP68" s="2727"/>
      <c r="AQ68" s="2727"/>
      <c r="AR68" s="2727"/>
      <c r="AS68" s="2727"/>
      <c r="AT68" s="2727"/>
      <c r="AU68" s="2727"/>
      <c r="AV68" s="2727"/>
      <c r="AW68" s="2727"/>
      <c r="AX68" s="2727"/>
      <c r="AY68" s="2727"/>
      <c r="AZ68" s="2727"/>
      <c r="BA68" s="2727"/>
      <c r="BB68" s="2727"/>
      <c r="BC68" s="2727"/>
      <c r="BD68" s="2727"/>
      <c r="BE68" s="2727"/>
      <c r="BF68" s="2727"/>
      <c r="BG68" s="2740"/>
      <c r="BH68" s="2740"/>
      <c r="BI68" s="2351"/>
      <c r="BJ68" s="2743"/>
      <c r="BK68" s="2727"/>
      <c r="BL68" s="2489"/>
      <c r="BM68" s="517"/>
      <c r="BN68" s="2355"/>
      <c r="BO68" s="514"/>
      <c r="BP68" s="2305"/>
    </row>
    <row r="69" spans="1:68" ht="79.900000000000006" customHeight="1" x14ac:dyDescent="0.25">
      <c r="A69" s="1060"/>
      <c r="C69" s="600"/>
      <c r="G69" s="2729"/>
      <c r="H69" s="2731"/>
      <c r="I69" s="2734"/>
      <c r="J69" s="2440"/>
      <c r="K69" s="2321"/>
      <c r="L69" s="2321"/>
      <c r="M69" s="2319"/>
      <c r="N69" s="2319"/>
      <c r="O69" s="2440"/>
      <c r="P69" s="2719"/>
      <c r="Q69" s="2722"/>
      <c r="R69" s="2440"/>
      <c r="S69" s="2470"/>
      <c r="T69" s="1120" t="s">
        <v>938</v>
      </c>
      <c r="U69" s="1117">
        <v>7166000</v>
      </c>
      <c r="V69" s="1121">
        <v>7166000</v>
      </c>
      <c r="W69" s="1121">
        <v>7166000</v>
      </c>
      <c r="X69" s="505">
        <v>20</v>
      </c>
      <c r="Y69" s="540" t="s">
        <v>301</v>
      </c>
      <c r="Z69" s="2727"/>
      <c r="AA69" s="2727"/>
      <c r="AB69" s="2727"/>
      <c r="AC69" s="2727"/>
      <c r="AD69" s="2727"/>
      <c r="AE69" s="2727"/>
      <c r="AF69" s="2727"/>
      <c r="AG69" s="2727"/>
      <c r="AH69" s="2727"/>
      <c r="AI69" s="2727"/>
      <c r="AJ69" s="2727"/>
      <c r="AK69" s="2727"/>
      <c r="AL69" s="2727"/>
      <c r="AM69" s="2727"/>
      <c r="AN69" s="2727"/>
      <c r="AO69" s="2727"/>
      <c r="AP69" s="2727"/>
      <c r="AQ69" s="2727"/>
      <c r="AR69" s="2727"/>
      <c r="AS69" s="2727"/>
      <c r="AT69" s="2727"/>
      <c r="AU69" s="2727"/>
      <c r="AV69" s="2727"/>
      <c r="AW69" s="2727"/>
      <c r="AX69" s="2727"/>
      <c r="AY69" s="2727"/>
      <c r="AZ69" s="2727"/>
      <c r="BA69" s="2727"/>
      <c r="BB69" s="2727"/>
      <c r="BC69" s="2727"/>
      <c r="BD69" s="2727"/>
      <c r="BE69" s="2727"/>
      <c r="BF69" s="2727"/>
      <c r="BG69" s="2740"/>
      <c r="BH69" s="2740"/>
      <c r="BI69" s="2351"/>
      <c r="BJ69" s="2743"/>
      <c r="BK69" s="2727"/>
      <c r="BL69" s="2489"/>
      <c r="BM69" s="517"/>
      <c r="BN69" s="2355"/>
      <c r="BO69" s="514"/>
      <c r="BP69" s="2305"/>
    </row>
    <row r="70" spans="1:68" ht="84" customHeight="1" x14ac:dyDescent="0.25">
      <c r="A70" s="1060"/>
      <c r="C70" s="600"/>
      <c r="G70" s="2729"/>
      <c r="H70" s="2731"/>
      <c r="I70" s="2734"/>
      <c r="J70" s="2440"/>
      <c r="K70" s="2321"/>
      <c r="L70" s="2321"/>
      <c r="M70" s="2319"/>
      <c r="N70" s="2319"/>
      <c r="O70" s="2440"/>
      <c r="P70" s="2719"/>
      <c r="Q70" s="2722"/>
      <c r="R70" s="2440"/>
      <c r="S70" s="2470"/>
      <c r="T70" s="1120" t="s">
        <v>911</v>
      </c>
      <c r="U70" s="1117">
        <v>15429333</v>
      </c>
      <c r="V70" s="1121">
        <v>15429333</v>
      </c>
      <c r="W70" s="1121">
        <v>15429333</v>
      </c>
      <c r="X70" s="505">
        <v>20</v>
      </c>
      <c r="Y70" s="540" t="s">
        <v>301</v>
      </c>
      <c r="Z70" s="2727"/>
      <c r="AA70" s="2727"/>
      <c r="AB70" s="2727"/>
      <c r="AC70" s="2727"/>
      <c r="AD70" s="2727"/>
      <c r="AE70" s="2727"/>
      <c r="AF70" s="2727"/>
      <c r="AG70" s="2727"/>
      <c r="AH70" s="2727"/>
      <c r="AI70" s="2727"/>
      <c r="AJ70" s="2727"/>
      <c r="AK70" s="2727"/>
      <c r="AL70" s="2727"/>
      <c r="AM70" s="2727"/>
      <c r="AN70" s="2727"/>
      <c r="AO70" s="2727"/>
      <c r="AP70" s="2727"/>
      <c r="AQ70" s="2727"/>
      <c r="AR70" s="2727"/>
      <c r="AS70" s="2727"/>
      <c r="AT70" s="2727"/>
      <c r="AU70" s="2727"/>
      <c r="AV70" s="2727"/>
      <c r="AW70" s="2727"/>
      <c r="AX70" s="2727"/>
      <c r="AY70" s="2727"/>
      <c r="AZ70" s="2727"/>
      <c r="BA70" s="2727"/>
      <c r="BB70" s="2727"/>
      <c r="BC70" s="2727"/>
      <c r="BD70" s="2727"/>
      <c r="BE70" s="2727"/>
      <c r="BF70" s="2727"/>
      <c r="BG70" s="2740"/>
      <c r="BH70" s="2740"/>
      <c r="BI70" s="2351"/>
      <c r="BJ70" s="2743"/>
      <c r="BK70" s="2727"/>
      <c r="BL70" s="2489"/>
      <c r="BM70" s="517"/>
      <c r="BN70" s="2355"/>
      <c r="BO70" s="514"/>
      <c r="BP70" s="2305"/>
    </row>
    <row r="71" spans="1:68" ht="85.15" customHeight="1" x14ac:dyDescent="0.25">
      <c r="A71" s="1060"/>
      <c r="C71" s="600"/>
      <c r="G71" s="2729"/>
      <c r="H71" s="2731"/>
      <c r="I71" s="2734"/>
      <c r="J71" s="2440"/>
      <c r="K71" s="2321"/>
      <c r="L71" s="2321"/>
      <c r="M71" s="2319"/>
      <c r="N71" s="2319"/>
      <c r="O71" s="2440"/>
      <c r="P71" s="2719"/>
      <c r="Q71" s="2722"/>
      <c r="R71" s="2440"/>
      <c r="S71" s="2470"/>
      <c r="T71" s="1120" t="s">
        <v>982</v>
      </c>
      <c r="U71" s="1121">
        <v>20833333</v>
      </c>
      <c r="V71" s="1121">
        <v>20833333</v>
      </c>
      <c r="W71" s="1121">
        <v>20833333</v>
      </c>
      <c r="X71" s="504">
        <v>20</v>
      </c>
      <c r="Y71" s="540" t="s">
        <v>301</v>
      </c>
      <c r="Z71" s="2727"/>
      <c r="AA71" s="2727"/>
      <c r="AB71" s="2727"/>
      <c r="AC71" s="2727"/>
      <c r="AD71" s="2727"/>
      <c r="AE71" s="2727"/>
      <c r="AF71" s="2727"/>
      <c r="AG71" s="2727"/>
      <c r="AH71" s="2727"/>
      <c r="AI71" s="2727"/>
      <c r="AJ71" s="2727"/>
      <c r="AK71" s="2727"/>
      <c r="AL71" s="2727"/>
      <c r="AM71" s="2727"/>
      <c r="AN71" s="2727"/>
      <c r="AO71" s="2727"/>
      <c r="AP71" s="2727"/>
      <c r="AQ71" s="2727"/>
      <c r="AR71" s="2727"/>
      <c r="AS71" s="2727"/>
      <c r="AT71" s="2727"/>
      <c r="AU71" s="2727"/>
      <c r="AV71" s="2727"/>
      <c r="AW71" s="2727"/>
      <c r="AX71" s="2727"/>
      <c r="AY71" s="2727"/>
      <c r="AZ71" s="2727"/>
      <c r="BA71" s="2727"/>
      <c r="BB71" s="2727"/>
      <c r="BC71" s="2727"/>
      <c r="BD71" s="2727"/>
      <c r="BE71" s="2727"/>
      <c r="BF71" s="2727"/>
      <c r="BG71" s="2740"/>
      <c r="BH71" s="2740"/>
      <c r="BI71" s="2351"/>
      <c r="BJ71" s="2743"/>
      <c r="BK71" s="2727"/>
      <c r="BL71" s="2489"/>
      <c r="BM71" s="517"/>
      <c r="BN71" s="2355"/>
      <c r="BO71" s="514"/>
      <c r="BP71" s="2305"/>
    </row>
    <row r="72" spans="1:68" ht="51.75" customHeight="1" x14ac:dyDescent="0.25">
      <c r="A72" s="1060"/>
      <c r="C72" s="600"/>
      <c r="G72" s="2729"/>
      <c r="H72" s="2731"/>
      <c r="I72" s="2734"/>
      <c r="J72" s="2440"/>
      <c r="K72" s="2321"/>
      <c r="L72" s="2321"/>
      <c r="M72" s="2319"/>
      <c r="N72" s="2319"/>
      <c r="O72" s="2440"/>
      <c r="P72" s="2719"/>
      <c r="Q72" s="2722"/>
      <c r="R72" s="2440"/>
      <c r="S72" s="2470"/>
      <c r="T72" s="1120" t="s">
        <v>983</v>
      </c>
      <c r="U72" s="1121">
        <v>45045333</v>
      </c>
      <c r="V72" s="1121">
        <v>45045333</v>
      </c>
      <c r="W72" s="1121">
        <v>45045333</v>
      </c>
      <c r="X72" s="504">
        <v>23</v>
      </c>
      <c r="Y72" s="540" t="s">
        <v>984</v>
      </c>
      <c r="Z72" s="2727"/>
      <c r="AA72" s="2727"/>
      <c r="AB72" s="2727"/>
      <c r="AC72" s="2727"/>
      <c r="AD72" s="2727"/>
      <c r="AE72" s="2727"/>
      <c r="AF72" s="2727"/>
      <c r="AG72" s="2727"/>
      <c r="AH72" s="2727"/>
      <c r="AI72" s="2727"/>
      <c r="AJ72" s="2727"/>
      <c r="AK72" s="2727"/>
      <c r="AL72" s="2727"/>
      <c r="AM72" s="2727"/>
      <c r="AN72" s="2727"/>
      <c r="AO72" s="2727"/>
      <c r="AP72" s="2727"/>
      <c r="AQ72" s="2727"/>
      <c r="AR72" s="2727"/>
      <c r="AS72" s="2727"/>
      <c r="AT72" s="2727"/>
      <c r="AU72" s="2727"/>
      <c r="AV72" s="2727"/>
      <c r="AW72" s="2727"/>
      <c r="AX72" s="2727"/>
      <c r="AY72" s="2727"/>
      <c r="AZ72" s="2727"/>
      <c r="BA72" s="2727"/>
      <c r="BB72" s="2727"/>
      <c r="BC72" s="2727"/>
      <c r="BD72" s="2727"/>
      <c r="BE72" s="2727"/>
      <c r="BF72" s="2727"/>
      <c r="BG72" s="2740"/>
      <c r="BH72" s="2740"/>
      <c r="BI72" s="2351"/>
      <c r="BJ72" s="2743"/>
      <c r="BK72" s="2727"/>
      <c r="BL72" s="2489"/>
      <c r="BM72" s="517"/>
      <c r="BN72" s="2355"/>
      <c r="BO72" s="514"/>
      <c r="BP72" s="2305"/>
    </row>
    <row r="73" spans="1:68" ht="51.75" customHeight="1" x14ac:dyDescent="0.25">
      <c r="A73" s="1060"/>
      <c r="C73" s="600"/>
      <c r="G73" s="2729"/>
      <c r="H73" s="2731"/>
      <c r="I73" s="2734"/>
      <c r="J73" s="2440"/>
      <c r="K73" s="2321"/>
      <c r="L73" s="2321"/>
      <c r="M73" s="2319"/>
      <c r="N73" s="2319"/>
      <c r="O73" s="2440"/>
      <c r="P73" s="2719"/>
      <c r="Q73" s="2722"/>
      <c r="R73" s="2440"/>
      <c r="S73" s="2470"/>
      <c r="T73" s="1120" t="s">
        <v>985</v>
      </c>
      <c r="U73" s="1121">
        <v>37700000</v>
      </c>
      <c r="V73" s="1121">
        <v>37700000</v>
      </c>
      <c r="W73" s="1121">
        <v>37700000</v>
      </c>
      <c r="X73" s="504">
        <v>23</v>
      </c>
      <c r="Y73" s="540" t="s">
        <v>984</v>
      </c>
      <c r="Z73" s="2727"/>
      <c r="AA73" s="2727"/>
      <c r="AB73" s="2727"/>
      <c r="AC73" s="2727"/>
      <c r="AD73" s="2727"/>
      <c r="AE73" s="2727"/>
      <c r="AF73" s="2727"/>
      <c r="AG73" s="2727"/>
      <c r="AH73" s="2727"/>
      <c r="AI73" s="2727"/>
      <c r="AJ73" s="2727"/>
      <c r="AK73" s="2727"/>
      <c r="AL73" s="2727"/>
      <c r="AM73" s="2727"/>
      <c r="AN73" s="2727"/>
      <c r="AO73" s="2727"/>
      <c r="AP73" s="2727"/>
      <c r="AQ73" s="2727"/>
      <c r="AR73" s="2727"/>
      <c r="AS73" s="2727"/>
      <c r="AT73" s="2727"/>
      <c r="AU73" s="2727"/>
      <c r="AV73" s="2727"/>
      <c r="AW73" s="2727"/>
      <c r="AX73" s="2727"/>
      <c r="AY73" s="2727"/>
      <c r="AZ73" s="2727"/>
      <c r="BA73" s="2727"/>
      <c r="BB73" s="2727"/>
      <c r="BC73" s="2727"/>
      <c r="BD73" s="2727"/>
      <c r="BE73" s="2727"/>
      <c r="BF73" s="2727"/>
      <c r="BG73" s="2740"/>
      <c r="BH73" s="2740"/>
      <c r="BI73" s="2351"/>
      <c r="BJ73" s="2743"/>
      <c r="BK73" s="2727"/>
      <c r="BL73" s="2489"/>
      <c r="BM73" s="517"/>
      <c r="BN73" s="2355"/>
      <c r="BO73" s="514"/>
      <c r="BP73" s="2305"/>
    </row>
    <row r="74" spans="1:68" ht="60.75" customHeight="1" x14ac:dyDescent="0.25">
      <c r="A74" s="1060"/>
      <c r="C74" s="600"/>
      <c r="G74" s="2729"/>
      <c r="H74" s="2731"/>
      <c r="I74" s="2734"/>
      <c r="J74" s="2440"/>
      <c r="K74" s="2321"/>
      <c r="L74" s="2321"/>
      <c r="M74" s="2319"/>
      <c r="N74" s="2319"/>
      <c r="O74" s="2440"/>
      <c r="P74" s="2719"/>
      <c r="Q74" s="2722"/>
      <c r="R74" s="2440"/>
      <c r="S74" s="2470"/>
      <c r="T74" s="1120" t="s">
        <v>986</v>
      </c>
      <c r="U74" s="1121">
        <v>4533333</v>
      </c>
      <c r="V74" s="1121">
        <v>4533333</v>
      </c>
      <c r="W74" s="1121">
        <v>4533333</v>
      </c>
      <c r="X74" s="504">
        <v>23</v>
      </c>
      <c r="Y74" s="540" t="s">
        <v>984</v>
      </c>
      <c r="Z74" s="2727"/>
      <c r="AA74" s="2727"/>
      <c r="AB74" s="2727"/>
      <c r="AC74" s="2727"/>
      <c r="AD74" s="2727"/>
      <c r="AE74" s="2727"/>
      <c r="AF74" s="2727"/>
      <c r="AG74" s="2727"/>
      <c r="AH74" s="2727"/>
      <c r="AI74" s="2727"/>
      <c r="AJ74" s="2727"/>
      <c r="AK74" s="2727"/>
      <c r="AL74" s="2727"/>
      <c r="AM74" s="2727"/>
      <c r="AN74" s="2727"/>
      <c r="AO74" s="2727"/>
      <c r="AP74" s="2727"/>
      <c r="AQ74" s="2727"/>
      <c r="AR74" s="2727"/>
      <c r="AS74" s="2727"/>
      <c r="AT74" s="2727"/>
      <c r="AU74" s="2727"/>
      <c r="AV74" s="2727"/>
      <c r="AW74" s="2727"/>
      <c r="AX74" s="2727"/>
      <c r="AY74" s="2727"/>
      <c r="AZ74" s="2727"/>
      <c r="BA74" s="2727"/>
      <c r="BB74" s="2727"/>
      <c r="BC74" s="2727"/>
      <c r="BD74" s="2727"/>
      <c r="BE74" s="2727"/>
      <c r="BF74" s="2727"/>
      <c r="BG74" s="2740"/>
      <c r="BH74" s="2740"/>
      <c r="BI74" s="2351"/>
      <c r="BJ74" s="2743"/>
      <c r="BK74" s="2727"/>
      <c r="BL74" s="2489"/>
      <c r="BM74" s="517"/>
      <c r="BN74" s="2355"/>
      <c r="BO74" s="514"/>
      <c r="BP74" s="2305"/>
    </row>
    <row r="75" spans="1:68" ht="58.5" customHeight="1" x14ac:dyDescent="0.25">
      <c r="A75" s="1060"/>
      <c r="C75" s="600"/>
      <c r="G75" s="2729"/>
      <c r="H75" s="2731"/>
      <c r="I75" s="2734"/>
      <c r="J75" s="2440"/>
      <c r="K75" s="2321"/>
      <c r="L75" s="2321"/>
      <c r="M75" s="2319"/>
      <c r="N75" s="2319"/>
      <c r="O75" s="2440"/>
      <c r="P75" s="2719"/>
      <c r="Q75" s="2722"/>
      <c r="R75" s="2440"/>
      <c r="S75" s="2470"/>
      <c r="T75" s="2505" t="s">
        <v>987</v>
      </c>
      <c r="U75" s="1123">
        <v>11602334</v>
      </c>
      <c r="V75" s="1124">
        <v>11600000</v>
      </c>
      <c r="W75" s="1124"/>
      <c r="X75" s="505">
        <v>20</v>
      </c>
      <c r="Y75" s="540" t="s">
        <v>261</v>
      </c>
      <c r="Z75" s="2727"/>
      <c r="AA75" s="2727"/>
      <c r="AB75" s="2727"/>
      <c r="AC75" s="2727"/>
      <c r="AD75" s="2727"/>
      <c r="AE75" s="2727"/>
      <c r="AF75" s="2727"/>
      <c r="AG75" s="2727"/>
      <c r="AH75" s="2727"/>
      <c r="AI75" s="2727"/>
      <c r="AJ75" s="2727"/>
      <c r="AK75" s="2727"/>
      <c r="AL75" s="2727"/>
      <c r="AM75" s="2727"/>
      <c r="AN75" s="2727"/>
      <c r="AO75" s="2727"/>
      <c r="AP75" s="2727"/>
      <c r="AQ75" s="2727"/>
      <c r="AR75" s="2727"/>
      <c r="AS75" s="2727"/>
      <c r="AT75" s="2727"/>
      <c r="AU75" s="2727"/>
      <c r="AV75" s="2727"/>
      <c r="AW75" s="2727"/>
      <c r="AX75" s="2727"/>
      <c r="AY75" s="2727"/>
      <c r="AZ75" s="2727"/>
      <c r="BA75" s="2727"/>
      <c r="BB75" s="2727"/>
      <c r="BC75" s="2727"/>
      <c r="BD75" s="2727"/>
      <c r="BE75" s="2727"/>
      <c r="BF75" s="2727"/>
      <c r="BG75" s="2740"/>
      <c r="BH75" s="2740"/>
      <c r="BI75" s="2351"/>
      <c r="BJ75" s="2743"/>
      <c r="BK75" s="2727"/>
      <c r="BL75" s="2489"/>
      <c r="BM75" s="517"/>
      <c r="BN75" s="2355"/>
      <c r="BO75" s="514"/>
      <c r="BP75" s="2305"/>
    </row>
    <row r="76" spans="1:68" ht="60" customHeight="1" x14ac:dyDescent="0.25">
      <c r="A76" s="1060"/>
      <c r="C76" s="600"/>
      <c r="G76" s="2729"/>
      <c r="H76" s="2731"/>
      <c r="I76" s="2734"/>
      <c r="J76" s="2440"/>
      <c r="K76" s="2321"/>
      <c r="L76" s="2321"/>
      <c r="M76" s="2319"/>
      <c r="N76" s="2319"/>
      <c r="O76" s="2440"/>
      <c r="P76" s="2719"/>
      <c r="Q76" s="2722"/>
      <c r="R76" s="2440"/>
      <c r="S76" s="2470"/>
      <c r="T76" s="2507"/>
      <c r="U76" s="1069">
        <v>12025411.939999999</v>
      </c>
      <c r="V76" s="1125">
        <v>12000000</v>
      </c>
      <c r="W76" s="1125"/>
      <c r="X76" s="504">
        <v>89</v>
      </c>
      <c r="Y76" s="540" t="s">
        <v>988</v>
      </c>
      <c r="Z76" s="2727"/>
      <c r="AA76" s="2727"/>
      <c r="AB76" s="2727"/>
      <c r="AC76" s="2727"/>
      <c r="AD76" s="2727"/>
      <c r="AE76" s="2727"/>
      <c r="AF76" s="2727"/>
      <c r="AG76" s="2727"/>
      <c r="AH76" s="2727"/>
      <c r="AI76" s="2727"/>
      <c r="AJ76" s="2727"/>
      <c r="AK76" s="2727"/>
      <c r="AL76" s="2727"/>
      <c r="AM76" s="2727"/>
      <c r="AN76" s="2727"/>
      <c r="AO76" s="2727"/>
      <c r="AP76" s="2727"/>
      <c r="AQ76" s="2727"/>
      <c r="AR76" s="2727"/>
      <c r="AS76" s="2727"/>
      <c r="AT76" s="2727"/>
      <c r="AU76" s="2727"/>
      <c r="AV76" s="2727"/>
      <c r="AW76" s="2727"/>
      <c r="AX76" s="2727"/>
      <c r="AY76" s="2727"/>
      <c r="AZ76" s="2727"/>
      <c r="BA76" s="2727"/>
      <c r="BB76" s="2727"/>
      <c r="BC76" s="2727"/>
      <c r="BD76" s="2727"/>
      <c r="BE76" s="2727"/>
      <c r="BF76" s="2727"/>
      <c r="BG76" s="2740"/>
      <c r="BH76" s="2740"/>
      <c r="BI76" s="2351"/>
      <c r="BJ76" s="2743"/>
      <c r="BK76" s="2727"/>
      <c r="BL76" s="2489"/>
      <c r="BM76" s="517"/>
      <c r="BN76" s="2355"/>
      <c r="BO76" s="514"/>
      <c r="BP76" s="2305"/>
    </row>
    <row r="77" spans="1:68" ht="53.25" customHeight="1" x14ac:dyDescent="0.25">
      <c r="A77" s="1060"/>
      <c r="C77" s="600"/>
      <c r="G77" s="2729"/>
      <c r="H77" s="2731"/>
      <c r="I77" s="2734"/>
      <c r="J77" s="2440"/>
      <c r="K77" s="2321"/>
      <c r="L77" s="2321"/>
      <c r="M77" s="2319"/>
      <c r="N77" s="2319"/>
      <c r="O77" s="2440"/>
      <c r="P77" s="2719"/>
      <c r="Q77" s="2722"/>
      <c r="R77" s="2440"/>
      <c r="S77" s="2470"/>
      <c r="T77" s="547" t="s">
        <v>989</v>
      </c>
      <c r="U77" s="1121">
        <v>198328336</v>
      </c>
      <c r="V77" s="1121"/>
      <c r="W77" s="1121"/>
      <c r="X77" s="504">
        <v>88</v>
      </c>
      <c r="Y77" s="540" t="s">
        <v>990</v>
      </c>
      <c r="Z77" s="2727"/>
      <c r="AA77" s="2727"/>
      <c r="AB77" s="2727"/>
      <c r="AC77" s="2727"/>
      <c r="AD77" s="2727"/>
      <c r="AE77" s="2727"/>
      <c r="AF77" s="2727"/>
      <c r="AG77" s="2727"/>
      <c r="AH77" s="2727"/>
      <c r="AI77" s="2727"/>
      <c r="AJ77" s="2727"/>
      <c r="AK77" s="2727"/>
      <c r="AL77" s="2727"/>
      <c r="AM77" s="2727"/>
      <c r="AN77" s="2727"/>
      <c r="AO77" s="2727"/>
      <c r="AP77" s="2727"/>
      <c r="AQ77" s="2727"/>
      <c r="AR77" s="2727"/>
      <c r="AS77" s="2727"/>
      <c r="AT77" s="2727"/>
      <c r="AU77" s="2727"/>
      <c r="AV77" s="2727"/>
      <c r="AW77" s="2727"/>
      <c r="AX77" s="2727"/>
      <c r="AY77" s="2727"/>
      <c r="AZ77" s="2727"/>
      <c r="BA77" s="2727"/>
      <c r="BB77" s="2727"/>
      <c r="BC77" s="2727"/>
      <c r="BD77" s="2727"/>
      <c r="BE77" s="2727"/>
      <c r="BF77" s="2727"/>
      <c r="BG77" s="2740"/>
      <c r="BH77" s="2740"/>
      <c r="BI77" s="2351"/>
      <c r="BJ77" s="2743"/>
      <c r="BK77" s="2727"/>
      <c r="BL77" s="2489"/>
      <c r="BM77" s="517"/>
      <c r="BN77" s="2355"/>
      <c r="BO77" s="514"/>
      <c r="BP77" s="2305"/>
    </row>
    <row r="78" spans="1:68" ht="107.25" customHeight="1" x14ac:dyDescent="0.25">
      <c r="A78" s="1060"/>
      <c r="C78" s="600"/>
      <c r="G78" s="2729"/>
      <c r="H78" s="2731"/>
      <c r="I78" s="2734"/>
      <c r="J78" s="2440"/>
      <c r="K78" s="2321"/>
      <c r="L78" s="2321"/>
      <c r="M78" s="2319"/>
      <c r="N78" s="2319"/>
      <c r="O78" s="2440"/>
      <c r="P78" s="2719"/>
      <c r="Q78" s="2722"/>
      <c r="R78" s="2440"/>
      <c r="S78" s="2470"/>
      <c r="T78" s="1116" t="s">
        <v>991</v>
      </c>
      <c r="U78" s="1121">
        <v>200000</v>
      </c>
      <c r="V78" s="1121">
        <v>200000</v>
      </c>
      <c r="W78" s="1121">
        <v>0</v>
      </c>
      <c r="X78" s="504">
        <v>20</v>
      </c>
      <c r="Y78" s="540" t="s">
        <v>261</v>
      </c>
      <c r="Z78" s="2727"/>
      <c r="AA78" s="2727"/>
      <c r="AB78" s="2727"/>
      <c r="AC78" s="2727"/>
      <c r="AD78" s="2727"/>
      <c r="AE78" s="2727"/>
      <c r="AF78" s="2727"/>
      <c r="AG78" s="2727"/>
      <c r="AH78" s="2727"/>
      <c r="AI78" s="2727"/>
      <c r="AJ78" s="2727"/>
      <c r="AK78" s="2727"/>
      <c r="AL78" s="2727"/>
      <c r="AM78" s="2727"/>
      <c r="AN78" s="2727"/>
      <c r="AO78" s="2727"/>
      <c r="AP78" s="2727"/>
      <c r="AQ78" s="2727"/>
      <c r="AR78" s="2727"/>
      <c r="AS78" s="2727"/>
      <c r="AT78" s="2727"/>
      <c r="AU78" s="2727"/>
      <c r="AV78" s="2727"/>
      <c r="AW78" s="2727"/>
      <c r="AX78" s="2727"/>
      <c r="AY78" s="2727"/>
      <c r="AZ78" s="2727"/>
      <c r="BA78" s="2727"/>
      <c r="BB78" s="2727"/>
      <c r="BC78" s="2727"/>
      <c r="BD78" s="2727"/>
      <c r="BE78" s="2727"/>
      <c r="BF78" s="2727"/>
      <c r="BG78" s="2740"/>
      <c r="BH78" s="2740"/>
      <c r="BI78" s="2351"/>
      <c r="BJ78" s="2743"/>
      <c r="BK78" s="2727"/>
      <c r="BL78" s="2489"/>
      <c r="BM78" s="517"/>
      <c r="BN78" s="2355"/>
      <c r="BO78" s="514"/>
      <c r="BP78" s="2305"/>
    </row>
    <row r="79" spans="1:68" ht="98.25" customHeight="1" x14ac:dyDescent="0.25">
      <c r="A79" s="1060"/>
      <c r="C79" s="600"/>
      <c r="G79" s="2729"/>
      <c r="H79" s="2732"/>
      <c r="I79" s="2735"/>
      <c r="J79" s="2441"/>
      <c r="K79" s="2736"/>
      <c r="L79" s="2321"/>
      <c r="M79" s="2465"/>
      <c r="N79" s="2465"/>
      <c r="O79" s="2441"/>
      <c r="P79" s="2720"/>
      <c r="Q79" s="2723"/>
      <c r="R79" s="2441"/>
      <c r="S79" s="2725"/>
      <c r="T79" s="1116" t="s">
        <v>912</v>
      </c>
      <c r="U79" s="1121">
        <v>200000</v>
      </c>
      <c r="V79" s="1121">
        <v>200000</v>
      </c>
      <c r="W79" s="1121">
        <v>0</v>
      </c>
      <c r="X79" s="504">
        <v>20</v>
      </c>
      <c r="Y79" s="540" t="s">
        <v>261</v>
      </c>
      <c r="Z79" s="2728"/>
      <c r="AA79" s="2728"/>
      <c r="AB79" s="2728">
        <v>285580</v>
      </c>
      <c r="AC79" s="2728"/>
      <c r="AD79" s="2728">
        <v>135545</v>
      </c>
      <c r="AE79" s="2728"/>
      <c r="AF79" s="2728">
        <v>44254</v>
      </c>
      <c r="AG79" s="2728"/>
      <c r="AH79" s="2728">
        <v>309146</v>
      </c>
      <c r="AI79" s="2728"/>
      <c r="AJ79" s="2728">
        <v>92607</v>
      </c>
      <c r="AK79" s="2728"/>
      <c r="AL79" s="2728">
        <v>2145</v>
      </c>
      <c r="AM79" s="2728"/>
      <c r="AN79" s="2728">
        <v>12718</v>
      </c>
      <c r="AO79" s="2728"/>
      <c r="AP79" s="2728">
        <v>26</v>
      </c>
      <c r="AQ79" s="2728"/>
      <c r="AR79" s="2728">
        <v>37</v>
      </c>
      <c r="AS79" s="2728"/>
      <c r="AT79" s="2728">
        <v>0</v>
      </c>
      <c r="AU79" s="2728"/>
      <c r="AV79" s="2728">
        <v>0</v>
      </c>
      <c r="AW79" s="2728"/>
      <c r="AX79" s="2728">
        <v>44350</v>
      </c>
      <c r="AY79" s="2728"/>
      <c r="AZ79" s="2728">
        <v>21944</v>
      </c>
      <c r="BA79" s="2728"/>
      <c r="BB79" s="2728">
        <v>75687</v>
      </c>
      <c r="BC79" s="2728"/>
      <c r="BD79" s="2728">
        <f>SUM(AD79:AJ79)</f>
        <v>581552</v>
      </c>
      <c r="BE79" s="2728"/>
      <c r="BF79" s="2728"/>
      <c r="BG79" s="2741"/>
      <c r="BH79" s="2741"/>
      <c r="BI79" s="2681"/>
      <c r="BJ79" s="2744"/>
      <c r="BK79" s="2728"/>
      <c r="BL79" s="2490"/>
      <c r="BM79" s="517"/>
      <c r="BN79" s="2478"/>
      <c r="BO79" s="514"/>
      <c r="BP79" s="2648"/>
    </row>
    <row r="80" spans="1:68" s="148" customFormat="1" ht="27" customHeight="1" x14ac:dyDescent="0.25">
      <c r="A80" s="108"/>
      <c r="B80" s="109"/>
      <c r="C80" s="110"/>
      <c r="D80" s="1042">
        <v>21</v>
      </c>
      <c r="E80" s="746" t="s">
        <v>498</v>
      </c>
      <c r="F80" s="1043"/>
      <c r="G80" s="745"/>
      <c r="H80" s="745"/>
      <c r="I80" s="744"/>
      <c r="J80" s="744"/>
      <c r="K80" s="746"/>
      <c r="L80" s="746"/>
      <c r="M80" s="1044"/>
      <c r="N80" s="1043"/>
      <c r="O80" s="744"/>
      <c r="P80" s="832"/>
      <c r="Q80" s="1056"/>
      <c r="R80" s="753"/>
      <c r="S80" s="753"/>
      <c r="T80" s="744"/>
      <c r="U80" s="1056"/>
      <c r="V80" s="1056"/>
      <c r="W80" s="1056"/>
      <c r="X80" s="1046"/>
      <c r="Y80" s="1044"/>
      <c r="Z80" s="749"/>
      <c r="AA80" s="749"/>
      <c r="AB80" s="749"/>
      <c r="AC80" s="749"/>
      <c r="AD80" s="749"/>
      <c r="AE80" s="749"/>
      <c r="AF80" s="749"/>
      <c r="AG80" s="749"/>
      <c r="AH80" s="749"/>
      <c r="AI80" s="749"/>
      <c r="AJ80" s="749"/>
      <c r="AK80" s="749"/>
      <c r="AL80" s="749"/>
      <c r="AM80" s="749"/>
      <c r="AN80" s="749"/>
      <c r="AO80" s="749"/>
      <c r="AP80" s="749"/>
      <c r="AQ80" s="749"/>
      <c r="AR80" s="749"/>
      <c r="AS80" s="749"/>
      <c r="AT80" s="749"/>
      <c r="AU80" s="749"/>
      <c r="AV80" s="749"/>
      <c r="AW80" s="749"/>
      <c r="AX80" s="749"/>
      <c r="AY80" s="749"/>
      <c r="AZ80" s="749"/>
      <c r="BA80" s="749"/>
      <c r="BB80" s="749"/>
      <c r="BC80" s="749"/>
      <c r="BD80" s="749"/>
      <c r="BE80" s="749"/>
      <c r="BF80" s="650"/>
      <c r="BG80" s="1076"/>
      <c r="BH80" s="1077"/>
      <c r="BI80" s="756"/>
      <c r="BJ80" s="1046"/>
      <c r="BK80" s="749"/>
      <c r="BL80" s="758"/>
      <c r="BM80" s="758"/>
      <c r="BN80" s="758"/>
      <c r="BO80" s="758"/>
      <c r="BP80" s="1059"/>
    </row>
    <row r="81" spans="1:68" ht="131.25" customHeight="1" x14ac:dyDescent="0.25">
      <c r="A81" s="1060"/>
      <c r="C81" s="600"/>
      <c r="D81" s="1061"/>
      <c r="E81" s="1061"/>
      <c r="F81" s="470"/>
      <c r="G81" s="8">
        <v>3202033</v>
      </c>
      <c r="H81" s="8" t="s">
        <v>992</v>
      </c>
      <c r="I81" s="547" t="s">
        <v>993</v>
      </c>
      <c r="J81" s="550" t="s">
        <v>993</v>
      </c>
      <c r="K81" s="594">
        <v>0.1</v>
      </c>
      <c r="L81" s="594">
        <v>0</v>
      </c>
      <c r="M81" s="25" t="s">
        <v>994</v>
      </c>
      <c r="N81" s="546" t="s">
        <v>957</v>
      </c>
      <c r="O81" s="568" t="s">
        <v>965</v>
      </c>
      <c r="P81" s="1107">
        <f>(U81)/(+Q60+Q62+Q81)</f>
        <v>0.25</v>
      </c>
      <c r="Q81" s="1050">
        <f>+U81</f>
        <v>1000000</v>
      </c>
      <c r="R81" s="568" t="s">
        <v>959</v>
      </c>
      <c r="S81" s="568" t="s">
        <v>960</v>
      </c>
      <c r="T81" s="547" t="s">
        <v>993</v>
      </c>
      <c r="U81" s="1051">
        <v>1000000</v>
      </c>
      <c r="V81" s="1051"/>
      <c r="W81" s="1051"/>
      <c r="X81" s="414">
        <v>88</v>
      </c>
      <c r="Y81" s="551" t="s">
        <v>961</v>
      </c>
      <c r="Z81" s="6">
        <v>295972</v>
      </c>
      <c r="AA81" s="6"/>
      <c r="AB81" s="6">
        <v>294321</v>
      </c>
      <c r="AC81" s="6"/>
      <c r="AD81" s="6">
        <v>132302</v>
      </c>
      <c r="AE81" s="6"/>
      <c r="AF81" s="6">
        <v>43426</v>
      </c>
      <c r="AG81" s="6"/>
      <c r="AH81" s="6">
        <v>313940</v>
      </c>
      <c r="AI81" s="6"/>
      <c r="AJ81" s="6">
        <v>100625</v>
      </c>
      <c r="AK81" s="6"/>
      <c r="AL81" s="6">
        <v>2145</v>
      </c>
      <c r="AM81" s="6"/>
      <c r="AN81" s="6">
        <v>12718</v>
      </c>
      <c r="AO81" s="6"/>
      <c r="AP81" s="6">
        <v>36</v>
      </c>
      <c r="AQ81" s="6"/>
      <c r="AR81" s="6">
        <v>0</v>
      </c>
      <c r="AS81" s="6"/>
      <c r="AT81" s="6">
        <v>0</v>
      </c>
      <c r="AU81" s="6"/>
      <c r="AV81" s="6">
        <v>0</v>
      </c>
      <c r="AW81" s="6"/>
      <c r="AX81" s="6">
        <v>70</v>
      </c>
      <c r="AY81" s="6"/>
      <c r="AZ81" s="6">
        <v>21944</v>
      </c>
      <c r="BA81" s="6"/>
      <c r="BB81" s="6">
        <v>285</v>
      </c>
      <c r="BC81" s="6"/>
      <c r="BD81" s="6">
        <v>590292</v>
      </c>
      <c r="BE81" s="1052"/>
      <c r="BF81" s="556"/>
      <c r="BG81" s="1112"/>
      <c r="BH81" s="924"/>
      <c r="BI81" s="1113"/>
      <c r="BJ81" s="414"/>
      <c r="BK81" s="589"/>
      <c r="BL81" s="513"/>
      <c r="BM81" s="513"/>
      <c r="BN81" s="513"/>
      <c r="BO81" s="513"/>
      <c r="BP81" s="549"/>
    </row>
    <row r="82" spans="1:68" s="148" customFormat="1" ht="27" customHeight="1" x14ac:dyDescent="0.25">
      <c r="A82" s="108"/>
      <c r="B82" s="109"/>
      <c r="C82" s="110"/>
      <c r="D82" s="1042">
        <v>23</v>
      </c>
      <c r="E82" s="746" t="s">
        <v>560</v>
      </c>
      <c r="F82" s="1043"/>
      <c r="G82" s="745"/>
      <c r="H82" s="745"/>
      <c r="I82" s="744"/>
      <c r="J82" s="744"/>
      <c r="K82" s="746"/>
      <c r="L82" s="746"/>
      <c r="M82" s="1044"/>
      <c r="N82" s="1043"/>
      <c r="O82" s="744"/>
      <c r="P82" s="832"/>
      <c r="Q82" s="1056"/>
      <c r="R82" s="753"/>
      <c r="S82" s="753"/>
      <c r="T82" s="744"/>
      <c r="U82" s="1056"/>
      <c r="V82" s="1074"/>
      <c r="W82" s="1074"/>
      <c r="X82" s="756"/>
      <c r="Y82" s="1075"/>
      <c r="Z82" s="749"/>
      <c r="AA82" s="749"/>
      <c r="AB82" s="749"/>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49"/>
      <c r="AY82" s="749"/>
      <c r="AZ82" s="749"/>
      <c r="BA82" s="749"/>
      <c r="BB82" s="749"/>
      <c r="BC82" s="749"/>
      <c r="BD82" s="749"/>
      <c r="BE82" s="749"/>
      <c r="BF82" s="650"/>
      <c r="BG82" s="1076"/>
      <c r="BH82" s="1077"/>
      <c r="BI82" s="756"/>
      <c r="BJ82" s="756"/>
      <c r="BK82" s="749"/>
      <c r="BL82" s="758"/>
      <c r="BM82" s="758"/>
      <c r="BN82" s="758"/>
      <c r="BO82" s="758"/>
      <c r="BP82" s="1059"/>
    </row>
    <row r="83" spans="1:68" ht="81" customHeight="1" x14ac:dyDescent="0.25">
      <c r="A83" s="1060"/>
      <c r="C83" s="600"/>
      <c r="D83" s="200"/>
      <c r="E83" s="200"/>
      <c r="F83" s="1106"/>
      <c r="G83" s="8">
        <v>3205021</v>
      </c>
      <c r="H83" s="8" t="s">
        <v>995</v>
      </c>
      <c r="I83" s="547" t="s">
        <v>996</v>
      </c>
      <c r="J83" s="602" t="s">
        <v>997</v>
      </c>
      <c r="K83" s="606">
        <v>1</v>
      </c>
      <c r="L83" s="606">
        <v>0</v>
      </c>
      <c r="M83" s="521" t="s">
        <v>998</v>
      </c>
      <c r="N83" s="1049" t="s">
        <v>971</v>
      </c>
      <c r="O83" s="1126" t="s">
        <v>972</v>
      </c>
      <c r="P83" s="375">
        <f>Q83/SUM(Q65,Q83)</f>
        <v>0.26644412947353868</v>
      </c>
      <c r="Q83" s="1108">
        <f>SUM(U83)</f>
        <v>170360668</v>
      </c>
      <c r="R83" s="550" t="s">
        <v>973</v>
      </c>
      <c r="S83" s="602" t="s">
        <v>974</v>
      </c>
      <c r="T83" s="598" t="s">
        <v>989</v>
      </c>
      <c r="U83" s="1127">
        <v>170360668</v>
      </c>
      <c r="V83" s="1051"/>
      <c r="W83" s="1051"/>
      <c r="X83" s="455">
        <v>88</v>
      </c>
      <c r="Y83" s="521" t="s">
        <v>990</v>
      </c>
      <c r="Z83" s="1128">
        <v>295972</v>
      </c>
      <c r="AA83" s="6"/>
      <c r="AB83" s="1106">
        <v>285580</v>
      </c>
      <c r="AC83" s="6"/>
      <c r="AD83" s="590">
        <v>135545</v>
      </c>
      <c r="AE83" s="6"/>
      <c r="AF83" s="590">
        <v>44254</v>
      </c>
      <c r="AG83" s="6"/>
      <c r="AH83" s="590">
        <v>309146</v>
      </c>
      <c r="AI83" s="6"/>
      <c r="AJ83" s="590">
        <v>92607</v>
      </c>
      <c r="AK83" s="6"/>
      <c r="AL83" s="590">
        <v>2145</v>
      </c>
      <c r="AM83" s="6"/>
      <c r="AN83" s="590">
        <v>12718</v>
      </c>
      <c r="AO83" s="6"/>
      <c r="AP83" s="590">
        <v>26</v>
      </c>
      <c r="AQ83" s="6"/>
      <c r="AR83" s="590">
        <v>37</v>
      </c>
      <c r="AS83" s="6"/>
      <c r="AT83" s="590">
        <v>0</v>
      </c>
      <c r="AU83" s="6"/>
      <c r="AV83" s="590">
        <v>0</v>
      </c>
      <c r="AW83" s="6"/>
      <c r="AX83" s="590">
        <v>44350</v>
      </c>
      <c r="AY83" s="6"/>
      <c r="AZ83" s="590">
        <v>21944</v>
      </c>
      <c r="BA83" s="6"/>
      <c r="BB83" s="590">
        <v>75687</v>
      </c>
      <c r="BC83" s="6"/>
      <c r="BD83" s="590">
        <f>SUM(AD83:AJ83)</f>
        <v>581552</v>
      </c>
      <c r="BE83" s="590"/>
      <c r="BF83" s="556"/>
      <c r="BG83" s="1112"/>
      <c r="BH83" s="924"/>
      <c r="BI83" s="1113"/>
      <c r="BJ83" s="414"/>
      <c r="BK83" s="590"/>
      <c r="BL83" s="516"/>
      <c r="BM83" s="518"/>
      <c r="BN83" s="513"/>
      <c r="BO83" s="515"/>
      <c r="BP83" s="587"/>
    </row>
    <row r="84" spans="1:68" s="148" customFormat="1" ht="27" customHeight="1" x14ac:dyDescent="0.25">
      <c r="A84" s="108"/>
      <c r="B84" s="109"/>
      <c r="C84" s="110"/>
      <c r="D84" s="1099">
        <v>33</v>
      </c>
      <c r="E84" s="48" t="s">
        <v>999</v>
      </c>
      <c r="F84" s="1073"/>
      <c r="G84" s="47"/>
      <c r="H84" s="47"/>
      <c r="I84" s="46"/>
      <c r="J84" s="46"/>
      <c r="K84" s="113"/>
      <c r="L84" s="113"/>
      <c r="M84" s="1129"/>
      <c r="N84" s="1073"/>
      <c r="O84" s="46"/>
      <c r="P84" s="751"/>
      <c r="Q84" s="1074"/>
      <c r="R84" s="192"/>
      <c r="S84" s="192"/>
      <c r="T84" s="46"/>
      <c r="U84" s="1130"/>
      <c r="V84" s="1130"/>
      <c r="W84" s="1130"/>
      <c r="X84" s="54"/>
      <c r="Y84" s="1129"/>
      <c r="Z84" s="1092"/>
      <c r="AA84" s="1092"/>
      <c r="AB84" s="749"/>
      <c r="AC84" s="749"/>
      <c r="AD84" s="749"/>
      <c r="AE84" s="749"/>
      <c r="AF84" s="749"/>
      <c r="AG84" s="749"/>
      <c r="AH84" s="749"/>
      <c r="AI84" s="749"/>
      <c r="AJ84" s="749"/>
      <c r="AK84" s="749"/>
      <c r="AL84" s="749"/>
      <c r="AM84" s="749"/>
      <c r="AN84" s="749"/>
      <c r="AO84" s="749"/>
      <c r="AP84" s="749"/>
      <c r="AQ84" s="749"/>
      <c r="AR84" s="749"/>
      <c r="AS84" s="749"/>
      <c r="AT84" s="749"/>
      <c r="AU84" s="749"/>
      <c r="AV84" s="749"/>
      <c r="AW84" s="749"/>
      <c r="AX84" s="749"/>
      <c r="AY84" s="749"/>
      <c r="AZ84" s="749"/>
      <c r="BA84" s="749"/>
      <c r="BB84" s="749"/>
      <c r="BC84" s="749"/>
      <c r="BD84" s="749"/>
      <c r="BE84" s="749"/>
      <c r="BF84" s="650"/>
      <c r="BG84" s="1076"/>
      <c r="BH84" s="1077"/>
      <c r="BI84" s="756"/>
      <c r="BJ84" s="54"/>
      <c r="BK84" s="749"/>
      <c r="BL84" s="758"/>
      <c r="BM84" s="758"/>
      <c r="BN84" s="758"/>
      <c r="BO84" s="758"/>
      <c r="BP84" s="1059"/>
    </row>
    <row r="85" spans="1:68" ht="57.75" customHeight="1" x14ac:dyDescent="0.25">
      <c r="A85" s="118"/>
      <c r="B85" s="509"/>
      <c r="C85" s="509"/>
      <c r="D85" s="988"/>
      <c r="E85" s="574"/>
      <c r="F85" s="577"/>
      <c r="G85" s="2737">
        <v>4001015</v>
      </c>
      <c r="H85" s="2738" t="s">
        <v>1000</v>
      </c>
      <c r="I85" s="2413" t="s">
        <v>1001</v>
      </c>
      <c r="J85" s="2413" t="s">
        <v>1001</v>
      </c>
      <c r="K85" s="2634">
        <v>10</v>
      </c>
      <c r="L85" s="2701">
        <v>0</v>
      </c>
      <c r="M85" s="2348" t="s">
        <v>1002</v>
      </c>
      <c r="N85" s="2343" t="s">
        <v>896</v>
      </c>
      <c r="O85" s="2413" t="s">
        <v>897</v>
      </c>
      <c r="P85" s="2746">
        <f>Q85/SUM(Q16,Q33,Q37,Q51,Q85,Q100,Q103)</f>
        <v>6.6313951404563309E-2</v>
      </c>
      <c r="Q85" s="2747">
        <f>SUM(U85:U88)</f>
        <v>129129296.87</v>
      </c>
      <c r="R85" s="2745" t="s">
        <v>898</v>
      </c>
      <c r="S85" s="2416" t="s">
        <v>899</v>
      </c>
      <c r="T85" s="566" t="s">
        <v>1003</v>
      </c>
      <c r="U85" s="879">
        <f>100000000-85000000</f>
        <v>15000000</v>
      </c>
      <c r="V85" s="879"/>
      <c r="W85" s="879"/>
      <c r="X85" s="258">
        <v>4</v>
      </c>
      <c r="Y85" s="565" t="s">
        <v>906</v>
      </c>
      <c r="Z85" s="2633">
        <v>295972</v>
      </c>
      <c r="AA85" s="2675"/>
      <c r="AB85" s="2633">
        <v>285580</v>
      </c>
      <c r="AC85" s="2675"/>
      <c r="AD85" s="2633">
        <v>135545</v>
      </c>
      <c r="AE85" s="2675"/>
      <c r="AF85" s="2633">
        <v>44254</v>
      </c>
      <c r="AG85" s="2675"/>
      <c r="AH85" s="2633">
        <v>309146</v>
      </c>
      <c r="AI85" s="2675"/>
      <c r="AJ85" s="2633">
        <v>92607</v>
      </c>
      <c r="AK85" s="2675"/>
      <c r="AL85" s="2633">
        <v>2145</v>
      </c>
      <c r="AM85" s="2675"/>
      <c r="AN85" s="2633">
        <v>12718</v>
      </c>
      <c r="AO85" s="2675"/>
      <c r="AP85" s="2633">
        <v>26</v>
      </c>
      <c r="AQ85" s="2675"/>
      <c r="AR85" s="2633">
        <v>37</v>
      </c>
      <c r="AS85" s="2675"/>
      <c r="AT85" s="2633">
        <v>0</v>
      </c>
      <c r="AU85" s="2675"/>
      <c r="AV85" s="2633">
        <v>0</v>
      </c>
      <c r="AW85" s="2675"/>
      <c r="AX85" s="2633">
        <v>44350</v>
      </c>
      <c r="AY85" s="2675"/>
      <c r="AZ85" s="2633">
        <v>21944</v>
      </c>
      <c r="BA85" s="2675"/>
      <c r="BB85" s="2633">
        <v>75687</v>
      </c>
      <c r="BC85" s="2675"/>
      <c r="BD85" s="2633">
        <f>+Z85+AB85</f>
        <v>581552</v>
      </c>
      <c r="BE85" s="2678"/>
      <c r="BF85" s="2675"/>
      <c r="BG85" s="2714"/>
      <c r="BH85" s="2714"/>
      <c r="BI85" s="2675"/>
      <c r="BJ85" s="2675"/>
      <c r="BK85" s="2675"/>
      <c r="BL85" s="2675"/>
      <c r="BM85" s="2675"/>
      <c r="BN85" s="2675"/>
      <c r="BO85" s="2675"/>
      <c r="BP85" s="1131"/>
    </row>
    <row r="86" spans="1:68" ht="77.25" customHeight="1" x14ac:dyDescent="0.25">
      <c r="A86" s="118"/>
      <c r="B86" s="509"/>
      <c r="C86" s="509"/>
      <c r="D86" s="999"/>
      <c r="E86" s="575"/>
      <c r="F86" s="578"/>
      <c r="G86" s="2737"/>
      <c r="H86" s="2738"/>
      <c r="I86" s="2413"/>
      <c r="J86" s="2413"/>
      <c r="K86" s="2634"/>
      <c r="L86" s="2636"/>
      <c r="M86" s="2348"/>
      <c r="N86" s="2343"/>
      <c r="O86" s="2413"/>
      <c r="P86" s="2746"/>
      <c r="Q86" s="2748"/>
      <c r="R86" s="2745"/>
      <c r="S86" s="2416"/>
      <c r="T86" s="566" t="s">
        <v>1004</v>
      </c>
      <c r="U86" s="879">
        <f>100000000-85000000</f>
        <v>15000000</v>
      </c>
      <c r="V86" s="879"/>
      <c r="W86" s="879"/>
      <c r="X86" s="258">
        <v>4</v>
      </c>
      <c r="Y86" s="565" t="s">
        <v>906</v>
      </c>
      <c r="Z86" s="2633"/>
      <c r="AA86" s="2676"/>
      <c r="AB86" s="2633"/>
      <c r="AC86" s="2676"/>
      <c r="AD86" s="2633"/>
      <c r="AE86" s="2676"/>
      <c r="AF86" s="2633"/>
      <c r="AG86" s="2676"/>
      <c r="AH86" s="2633"/>
      <c r="AI86" s="2676"/>
      <c r="AJ86" s="2633"/>
      <c r="AK86" s="2676"/>
      <c r="AL86" s="2633"/>
      <c r="AM86" s="2676"/>
      <c r="AN86" s="2633"/>
      <c r="AO86" s="2676"/>
      <c r="AP86" s="2633"/>
      <c r="AQ86" s="2676"/>
      <c r="AR86" s="2633"/>
      <c r="AS86" s="2676"/>
      <c r="AT86" s="2633"/>
      <c r="AU86" s="2676"/>
      <c r="AV86" s="2633"/>
      <c r="AW86" s="2676"/>
      <c r="AX86" s="2633"/>
      <c r="AY86" s="2676"/>
      <c r="AZ86" s="2633"/>
      <c r="BA86" s="2676"/>
      <c r="BB86" s="2633"/>
      <c r="BC86" s="2676"/>
      <c r="BD86" s="2633"/>
      <c r="BE86" s="2679"/>
      <c r="BF86" s="2676"/>
      <c r="BG86" s="2715"/>
      <c r="BH86" s="2715"/>
      <c r="BI86" s="2676"/>
      <c r="BJ86" s="2676"/>
      <c r="BK86" s="2676"/>
      <c r="BL86" s="2676"/>
      <c r="BM86" s="2676"/>
      <c r="BN86" s="2676"/>
      <c r="BO86" s="2676"/>
      <c r="BP86" s="1132"/>
    </row>
    <row r="87" spans="1:68" ht="43.5" customHeight="1" x14ac:dyDescent="0.25">
      <c r="A87" s="118"/>
      <c r="B87" s="509"/>
      <c r="C87" s="509"/>
      <c r="D87" s="999"/>
      <c r="E87" s="575"/>
      <c r="F87" s="578"/>
      <c r="G87" s="2737"/>
      <c r="H87" s="2738"/>
      <c r="I87" s="2413"/>
      <c r="J87" s="2413"/>
      <c r="K87" s="2634"/>
      <c r="L87" s="2636"/>
      <c r="M87" s="2348"/>
      <c r="N87" s="2343"/>
      <c r="O87" s="2413"/>
      <c r="P87" s="2746"/>
      <c r="Q87" s="2748"/>
      <c r="R87" s="2745"/>
      <c r="S87" s="2416"/>
      <c r="T87" s="2750" t="s">
        <v>926</v>
      </c>
      <c r="U87" s="879">
        <v>3787990.66</v>
      </c>
      <c r="V87" s="879"/>
      <c r="W87" s="879"/>
      <c r="X87" s="258">
        <v>82</v>
      </c>
      <c r="Y87" s="565" t="s">
        <v>901</v>
      </c>
      <c r="Z87" s="2633"/>
      <c r="AA87" s="2676"/>
      <c r="AB87" s="2633"/>
      <c r="AC87" s="2676"/>
      <c r="AD87" s="2633"/>
      <c r="AE87" s="2676"/>
      <c r="AF87" s="2633"/>
      <c r="AG87" s="2676"/>
      <c r="AH87" s="2633"/>
      <c r="AI87" s="2676"/>
      <c r="AJ87" s="2633"/>
      <c r="AK87" s="2676"/>
      <c r="AL87" s="2633"/>
      <c r="AM87" s="2676"/>
      <c r="AN87" s="2633"/>
      <c r="AO87" s="2676"/>
      <c r="AP87" s="2633"/>
      <c r="AQ87" s="2676"/>
      <c r="AR87" s="2633"/>
      <c r="AS87" s="2676"/>
      <c r="AT87" s="2633"/>
      <c r="AU87" s="2676"/>
      <c r="AV87" s="2633"/>
      <c r="AW87" s="2676"/>
      <c r="AX87" s="2633"/>
      <c r="AY87" s="2676"/>
      <c r="AZ87" s="2633"/>
      <c r="BA87" s="2676"/>
      <c r="BB87" s="2633"/>
      <c r="BC87" s="2676"/>
      <c r="BD87" s="2633"/>
      <c r="BE87" s="2679"/>
      <c r="BF87" s="2676"/>
      <c r="BG87" s="2715"/>
      <c r="BH87" s="2715"/>
      <c r="BI87" s="2676"/>
      <c r="BJ87" s="2676"/>
      <c r="BK87" s="2676"/>
      <c r="BL87" s="2676"/>
      <c r="BM87" s="2676"/>
      <c r="BN87" s="2676"/>
      <c r="BO87" s="2676"/>
      <c r="BP87" s="1132"/>
    </row>
    <row r="88" spans="1:68" ht="43.5" customHeight="1" x14ac:dyDescent="0.25">
      <c r="A88" s="1060"/>
      <c r="D88" s="1133"/>
      <c r="E88" s="200"/>
      <c r="F88" s="1106"/>
      <c r="G88" s="2737"/>
      <c r="H88" s="2738"/>
      <c r="I88" s="2413"/>
      <c r="J88" s="2413"/>
      <c r="K88" s="2634"/>
      <c r="L88" s="2702"/>
      <c r="M88" s="2348"/>
      <c r="N88" s="2343"/>
      <c r="O88" s="2413"/>
      <c r="P88" s="2746"/>
      <c r="Q88" s="2749"/>
      <c r="R88" s="2745"/>
      <c r="S88" s="2416"/>
      <c r="T88" s="2751"/>
      <c r="U88" s="879">
        <f>228658294.21-133316988</f>
        <v>95341306.210000008</v>
      </c>
      <c r="V88" s="879"/>
      <c r="W88" s="879"/>
      <c r="X88" s="1134" t="s">
        <v>1005</v>
      </c>
      <c r="Y88" s="1072" t="s">
        <v>906</v>
      </c>
      <c r="Z88" s="2633"/>
      <c r="AA88" s="2677"/>
      <c r="AB88" s="2633"/>
      <c r="AC88" s="2677"/>
      <c r="AD88" s="2633"/>
      <c r="AE88" s="2677"/>
      <c r="AF88" s="2633"/>
      <c r="AG88" s="2677"/>
      <c r="AH88" s="2633"/>
      <c r="AI88" s="2677"/>
      <c r="AJ88" s="2633"/>
      <c r="AK88" s="2677"/>
      <c r="AL88" s="2633"/>
      <c r="AM88" s="2677"/>
      <c r="AN88" s="2633"/>
      <c r="AO88" s="2677"/>
      <c r="AP88" s="2633"/>
      <c r="AQ88" s="2677"/>
      <c r="AR88" s="2633"/>
      <c r="AS88" s="2677"/>
      <c r="AT88" s="2633"/>
      <c r="AU88" s="2677"/>
      <c r="AV88" s="2633"/>
      <c r="AW88" s="2677"/>
      <c r="AX88" s="2633"/>
      <c r="AY88" s="2677"/>
      <c r="AZ88" s="2633"/>
      <c r="BA88" s="2677"/>
      <c r="BB88" s="2633"/>
      <c r="BC88" s="2677"/>
      <c r="BD88" s="2633"/>
      <c r="BE88" s="2384"/>
      <c r="BF88" s="2677"/>
      <c r="BG88" s="2716"/>
      <c r="BH88" s="2716"/>
      <c r="BI88" s="2677"/>
      <c r="BJ88" s="2677"/>
      <c r="BK88" s="2677"/>
      <c r="BL88" s="2677"/>
      <c r="BM88" s="2677"/>
      <c r="BN88" s="2677"/>
      <c r="BO88" s="2677"/>
      <c r="BP88" s="1135"/>
    </row>
    <row r="89" spans="1:68" s="148" customFormat="1" ht="27" customHeight="1" x14ac:dyDescent="0.25">
      <c r="A89" s="108"/>
      <c r="B89" s="109"/>
      <c r="C89" s="110"/>
      <c r="D89" s="1136">
        <v>34</v>
      </c>
      <c r="E89" s="113" t="s">
        <v>1006</v>
      </c>
      <c r="F89" s="1137"/>
      <c r="G89" s="1084"/>
      <c r="H89" s="1084"/>
      <c r="I89" s="1085"/>
      <c r="J89" s="1085"/>
      <c r="K89" s="1082"/>
      <c r="L89" s="1082"/>
      <c r="M89" s="1090"/>
      <c r="N89" s="1083"/>
      <c r="O89" s="1085"/>
      <c r="P89" s="51"/>
      <c r="Q89" s="1130"/>
      <c r="R89" s="49"/>
      <c r="S89" s="49"/>
      <c r="T89" s="1085"/>
      <c r="U89" s="1130"/>
      <c r="V89" s="1130"/>
      <c r="W89" s="1130"/>
      <c r="X89" s="54"/>
      <c r="Y89" s="1090"/>
      <c r="Z89" s="749"/>
      <c r="AA89" s="749"/>
      <c r="AB89" s="749"/>
      <c r="AC89" s="749"/>
      <c r="AD89" s="749"/>
      <c r="AE89" s="749"/>
      <c r="AF89" s="749"/>
      <c r="AG89" s="749"/>
      <c r="AH89" s="749"/>
      <c r="AI89" s="749"/>
      <c r="AJ89" s="749"/>
      <c r="AK89" s="749"/>
      <c r="AL89" s="749"/>
      <c r="AM89" s="749"/>
      <c r="AN89" s="749"/>
      <c r="AO89" s="749"/>
      <c r="AP89" s="749"/>
      <c r="AQ89" s="749"/>
      <c r="AR89" s="749"/>
      <c r="AS89" s="749"/>
      <c r="AT89" s="749"/>
      <c r="AU89" s="749"/>
      <c r="AV89" s="749"/>
      <c r="AW89" s="749"/>
      <c r="AX89" s="749"/>
      <c r="AY89" s="749"/>
      <c r="AZ89" s="749"/>
      <c r="BA89" s="749"/>
      <c r="BB89" s="749"/>
      <c r="BC89" s="749"/>
      <c r="BD89" s="749"/>
      <c r="BE89" s="749"/>
      <c r="BF89" s="650"/>
      <c r="BG89" s="1076"/>
      <c r="BH89" s="1077"/>
      <c r="BI89" s="756"/>
      <c r="BJ89" s="54"/>
      <c r="BK89" s="749"/>
      <c r="BL89" s="758"/>
      <c r="BM89" s="758"/>
      <c r="BN89" s="758"/>
      <c r="BO89" s="758"/>
      <c r="BP89" s="1059"/>
    </row>
    <row r="90" spans="1:68" ht="45.75" customHeight="1" x14ac:dyDescent="0.25">
      <c r="A90" s="118"/>
      <c r="B90" s="509"/>
      <c r="C90" s="509"/>
      <c r="D90" s="988"/>
      <c r="E90" s="574"/>
      <c r="F90" s="577"/>
      <c r="G90" s="2737" t="s">
        <v>208</v>
      </c>
      <c r="H90" s="2752" t="s">
        <v>1007</v>
      </c>
      <c r="I90" s="2453" t="s">
        <v>1008</v>
      </c>
      <c r="J90" s="2493" t="s">
        <v>1009</v>
      </c>
      <c r="K90" s="2753">
        <v>1</v>
      </c>
      <c r="L90" s="2666">
        <v>0</v>
      </c>
      <c r="M90" s="2755" t="s">
        <v>1010</v>
      </c>
      <c r="N90" s="2760" t="s">
        <v>1011</v>
      </c>
      <c r="O90" s="2763" t="s">
        <v>1012</v>
      </c>
      <c r="P90" s="2766">
        <f>SUM(U90:U91)/Q90</f>
        <v>1.0745193068471348E-2</v>
      </c>
      <c r="Q90" s="2767">
        <f>SUM(U90:U97)</f>
        <v>2791946111.0500002</v>
      </c>
      <c r="R90" s="2331" t="s">
        <v>1013</v>
      </c>
      <c r="S90" s="2331" t="s">
        <v>1014</v>
      </c>
      <c r="T90" s="2758" t="s">
        <v>1008</v>
      </c>
      <c r="U90" s="879">
        <v>10000000</v>
      </c>
      <c r="V90" s="879"/>
      <c r="W90" s="879"/>
      <c r="X90" s="258">
        <v>20</v>
      </c>
      <c r="Y90" s="1138" t="s">
        <v>261</v>
      </c>
      <c r="Z90" s="2759">
        <v>295972</v>
      </c>
      <c r="AA90" s="2383"/>
      <c r="AB90" s="2759">
        <v>294321</v>
      </c>
      <c r="AC90" s="2383"/>
      <c r="AD90" s="2759">
        <v>132302</v>
      </c>
      <c r="AE90" s="2383"/>
      <c r="AF90" s="2759">
        <v>43426</v>
      </c>
      <c r="AG90" s="2383"/>
      <c r="AH90" s="2759">
        <v>313940</v>
      </c>
      <c r="AI90" s="2383"/>
      <c r="AJ90" s="2759">
        <v>100625</v>
      </c>
      <c r="AK90" s="2383"/>
      <c r="AL90" s="2759">
        <v>2145</v>
      </c>
      <c r="AM90" s="2383"/>
      <c r="AN90" s="2759">
        <v>12718</v>
      </c>
      <c r="AO90" s="2383"/>
      <c r="AP90" s="2759">
        <v>36</v>
      </c>
      <c r="AQ90" s="2383"/>
      <c r="AR90" s="2759">
        <v>0</v>
      </c>
      <c r="AS90" s="2383"/>
      <c r="AT90" s="2759">
        <v>0</v>
      </c>
      <c r="AU90" s="2383"/>
      <c r="AV90" s="2759">
        <v>0</v>
      </c>
      <c r="AW90" s="2383"/>
      <c r="AX90" s="2759">
        <v>70</v>
      </c>
      <c r="AY90" s="2383"/>
      <c r="AZ90" s="2759">
        <v>21944</v>
      </c>
      <c r="BA90" s="2383"/>
      <c r="BB90" s="2759">
        <v>75687</v>
      </c>
      <c r="BC90" s="2383"/>
      <c r="BD90" s="2759">
        <v>581552</v>
      </c>
      <c r="BE90" s="2649"/>
      <c r="BF90" s="2675"/>
      <c r="BG90" s="2714"/>
      <c r="BH90" s="2714"/>
      <c r="BI90" s="2675"/>
      <c r="BJ90" s="2675"/>
      <c r="BK90" s="2675"/>
      <c r="BL90" s="2675"/>
      <c r="BM90" s="2675"/>
      <c r="BN90" s="2675"/>
      <c r="BO90" s="2675"/>
      <c r="BP90" s="2675"/>
    </row>
    <row r="91" spans="1:68" ht="47.25" customHeight="1" x14ac:dyDescent="0.25">
      <c r="A91" s="1060"/>
      <c r="D91" s="1028"/>
      <c r="F91" s="600"/>
      <c r="G91" s="2737"/>
      <c r="H91" s="2752"/>
      <c r="I91" s="2453"/>
      <c r="J91" s="2492"/>
      <c r="K91" s="2754"/>
      <c r="L91" s="2668"/>
      <c r="M91" s="2756"/>
      <c r="N91" s="2761"/>
      <c r="O91" s="2764"/>
      <c r="P91" s="2766"/>
      <c r="Q91" s="2768"/>
      <c r="R91" s="2331"/>
      <c r="S91" s="2331"/>
      <c r="T91" s="2758"/>
      <c r="U91" s="1098">
        <v>20000000</v>
      </c>
      <c r="V91" s="1098"/>
      <c r="W91" s="1098"/>
      <c r="X91" s="504">
        <v>88</v>
      </c>
      <c r="Y91" s="1139" t="s">
        <v>1015</v>
      </c>
      <c r="Z91" s="2759"/>
      <c r="AA91" s="2383"/>
      <c r="AB91" s="2759"/>
      <c r="AC91" s="2383"/>
      <c r="AD91" s="2759"/>
      <c r="AE91" s="2383"/>
      <c r="AF91" s="2759"/>
      <c r="AG91" s="2383"/>
      <c r="AH91" s="2759"/>
      <c r="AI91" s="2383"/>
      <c r="AJ91" s="2759"/>
      <c r="AK91" s="2383"/>
      <c r="AL91" s="2759"/>
      <c r="AM91" s="2383"/>
      <c r="AN91" s="2759"/>
      <c r="AO91" s="2383"/>
      <c r="AP91" s="2759"/>
      <c r="AQ91" s="2383"/>
      <c r="AR91" s="2759"/>
      <c r="AS91" s="2383"/>
      <c r="AT91" s="2759"/>
      <c r="AU91" s="2383"/>
      <c r="AV91" s="2759"/>
      <c r="AW91" s="2383"/>
      <c r="AX91" s="2759"/>
      <c r="AY91" s="2383"/>
      <c r="AZ91" s="2759"/>
      <c r="BA91" s="2383"/>
      <c r="BB91" s="2759"/>
      <c r="BC91" s="2383"/>
      <c r="BD91" s="2759"/>
      <c r="BE91" s="2649"/>
      <c r="BF91" s="2676"/>
      <c r="BG91" s="2715"/>
      <c r="BH91" s="2715"/>
      <c r="BI91" s="2676"/>
      <c r="BJ91" s="2676"/>
      <c r="BK91" s="2676"/>
      <c r="BL91" s="2676"/>
      <c r="BM91" s="2676"/>
      <c r="BN91" s="2676"/>
      <c r="BO91" s="2676"/>
      <c r="BP91" s="2676"/>
    </row>
    <row r="92" spans="1:68" ht="90.75" customHeight="1" x14ac:dyDescent="0.25">
      <c r="A92" s="1060"/>
      <c r="D92" s="1028"/>
      <c r="F92" s="600"/>
      <c r="G92" s="1140" t="s">
        <v>1016</v>
      </c>
      <c r="H92" s="581" t="s">
        <v>1017</v>
      </c>
      <c r="I92" s="1141" t="s">
        <v>1018</v>
      </c>
      <c r="J92" s="534" t="s">
        <v>1019</v>
      </c>
      <c r="K92" s="595">
        <v>1</v>
      </c>
      <c r="L92" s="790">
        <v>0</v>
      </c>
      <c r="M92" s="2756"/>
      <c r="N92" s="2761"/>
      <c r="O92" s="2526"/>
      <c r="P92" s="1142">
        <f>SUM(U92)/Q90</f>
        <v>0.21064769039500547</v>
      </c>
      <c r="Q92" s="2768"/>
      <c r="R92" s="2331"/>
      <c r="S92" s="2331"/>
      <c r="T92" s="1143" t="s">
        <v>1018</v>
      </c>
      <c r="U92" s="1098">
        <v>588117000</v>
      </c>
      <c r="V92" s="1098"/>
      <c r="W92" s="1098"/>
      <c r="X92" s="504">
        <v>27</v>
      </c>
      <c r="Y92" s="1144" t="s">
        <v>1020</v>
      </c>
      <c r="Z92" s="2759"/>
      <c r="AA92" s="2383"/>
      <c r="AB92" s="2759"/>
      <c r="AC92" s="2383"/>
      <c r="AD92" s="2759"/>
      <c r="AE92" s="2383"/>
      <c r="AF92" s="2759"/>
      <c r="AG92" s="2383"/>
      <c r="AH92" s="2759"/>
      <c r="AI92" s="2383"/>
      <c r="AJ92" s="2759"/>
      <c r="AK92" s="2383"/>
      <c r="AL92" s="2759"/>
      <c r="AM92" s="2383"/>
      <c r="AN92" s="2759"/>
      <c r="AO92" s="2383"/>
      <c r="AP92" s="2759"/>
      <c r="AQ92" s="2383"/>
      <c r="AR92" s="2759"/>
      <c r="AS92" s="2383"/>
      <c r="AT92" s="2759"/>
      <c r="AU92" s="2383"/>
      <c r="AV92" s="2759"/>
      <c r="AW92" s="2383"/>
      <c r="AX92" s="2759"/>
      <c r="AY92" s="2383"/>
      <c r="AZ92" s="2759"/>
      <c r="BA92" s="2383"/>
      <c r="BB92" s="2759"/>
      <c r="BC92" s="2383"/>
      <c r="BD92" s="2759"/>
      <c r="BE92" s="2649"/>
      <c r="BF92" s="2676"/>
      <c r="BG92" s="2715"/>
      <c r="BH92" s="2715"/>
      <c r="BI92" s="2676"/>
      <c r="BJ92" s="2676"/>
      <c r="BK92" s="2676"/>
      <c r="BL92" s="2676"/>
      <c r="BM92" s="2676"/>
      <c r="BN92" s="2676"/>
      <c r="BO92" s="2676"/>
      <c r="BP92" s="2676"/>
    </row>
    <row r="93" spans="1:68" ht="57" customHeight="1" x14ac:dyDescent="0.25">
      <c r="A93" s="1060"/>
      <c r="D93" s="1028"/>
      <c r="F93" s="600"/>
      <c r="G93" s="2770" t="s">
        <v>1021</v>
      </c>
      <c r="H93" s="2771" t="s">
        <v>1022</v>
      </c>
      <c r="I93" s="2774" t="s">
        <v>1023</v>
      </c>
      <c r="J93" s="2493" t="s">
        <v>1024</v>
      </c>
      <c r="K93" s="2777">
        <v>1</v>
      </c>
      <c r="L93" s="2666">
        <v>0</v>
      </c>
      <c r="M93" s="2756"/>
      <c r="N93" s="2761"/>
      <c r="O93" s="2526"/>
      <c r="P93" s="2780">
        <f>SUM(U93:U95)/Q90</f>
        <v>0.48848690368779668</v>
      </c>
      <c r="Q93" s="2768"/>
      <c r="R93" s="2331"/>
      <c r="S93" s="2331"/>
      <c r="T93" s="2783" t="s">
        <v>1023</v>
      </c>
      <c r="U93" s="1098">
        <v>75293233.930000007</v>
      </c>
      <c r="V93" s="1098"/>
      <c r="W93" s="1098"/>
      <c r="X93" s="504">
        <v>82</v>
      </c>
      <c r="Y93" s="1144" t="s">
        <v>1025</v>
      </c>
      <c r="Z93" s="2759"/>
      <c r="AA93" s="2383"/>
      <c r="AB93" s="2759"/>
      <c r="AC93" s="2383"/>
      <c r="AD93" s="2759"/>
      <c r="AE93" s="2383"/>
      <c r="AF93" s="2759"/>
      <c r="AG93" s="2383"/>
      <c r="AH93" s="2759"/>
      <c r="AI93" s="2383"/>
      <c r="AJ93" s="2759"/>
      <c r="AK93" s="2383"/>
      <c r="AL93" s="2759"/>
      <c r="AM93" s="2383"/>
      <c r="AN93" s="2759"/>
      <c r="AO93" s="2383"/>
      <c r="AP93" s="2759"/>
      <c r="AQ93" s="2383"/>
      <c r="AR93" s="2759"/>
      <c r="AS93" s="2383"/>
      <c r="AT93" s="2759"/>
      <c r="AU93" s="2383"/>
      <c r="AV93" s="2759"/>
      <c r="AW93" s="2383"/>
      <c r="AX93" s="2759"/>
      <c r="AY93" s="2383"/>
      <c r="AZ93" s="2759"/>
      <c r="BA93" s="2383"/>
      <c r="BB93" s="2759"/>
      <c r="BC93" s="2383"/>
      <c r="BD93" s="2759"/>
      <c r="BE93" s="2649"/>
      <c r="BF93" s="2676"/>
      <c r="BG93" s="2715"/>
      <c r="BH93" s="2715"/>
      <c r="BI93" s="2676"/>
      <c r="BJ93" s="2676"/>
      <c r="BK93" s="2676"/>
      <c r="BL93" s="2676"/>
      <c r="BM93" s="2676"/>
      <c r="BN93" s="2676"/>
      <c r="BO93" s="2676"/>
      <c r="BP93" s="2676"/>
    </row>
    <row r="94" spans="1:68" ht="57" customHeight="1" x14ac:dyDescent="0.25">
      <c r="A94" s="1060"/>
      <c r="D94" s="1028"/>
      <c r="F94" s="600"/>
      <c r="G94" s="2770"/>
      <c r="H94" s="2772"/>
      <c r="I94" s="2775"/>
      <c r="J94" s="2526"/>
      <c r="K94" s="2778"/>
      <c r="L94" s="2667"/>
      <c r="M94" s="2756"/>
      <c r="N94" s="2761"/>
      <c r="O94" s="2526"/>
      <c r="P94" s="2781"/>
      <c r="Q94" s="2768"/>
      <c r="R94" s="2331"/>
      <c r="S94" s="2331"/>
      <c r="T94" s="2784"/>
      <c r="U94" s="1098">
        <v>13452877.119999999</v>
      </c>
      <c r="V94" s="1098"/>
      <c r="W94" s="1098"/>
      <c r="X94" s="504">
        <v>90</v>
      </c>
      <c r="Y94" s="1144" t="s">
        <v>1026</v>
      </c>
      <c r="Z94" s="2759"/>
      <c r="AA94" s="2383"/>
      <c r="AB94" s="2759"/>
      <c r="AC94" s="2383"/>
      <c r="AD94" s="2759"/>
      <c r="AE94" s="2383"/>
      <c r="AF94" s="2759"/>
      <c r="AG94" s="2383"/>
      <c r="AH94" s="2759"/>
      <c r="AI94" s="2383"/>
      <c r="AJ94" s="2759"/>
      <c r="AK94" s="2383"/>
      <c r="AL94" s="2759"/>
      <c r="AM94" s="2383"/>
      <c r="AN94" s="2759"/>
      <c r="AO94" s="2383"/>
      <c r="AP94" s="2759"/>
      <c r="AQ94" s="2383"/>
      <c r="AR94" s="2759"/>
      <c r="AS94" s="2383"/>
      <c r="AT94" s="2759"/>
      <c r="AU94" s="2383"/>
      <c r="AV94" s="2759"/>
      <c r="AW94" s="2383"/>
      <c r="AX94" s="2759"/>
      <c r="AY94" s="2383"/>
      <c r="AZ94" s="2759"/>
      <c r="BA94" s="2383"/>
      <c r="BB94" s="2759"/>
      <c r="BC94" s="2383"/>
      <c r="BD94" s="2759"/>
      <c r="BE94" s="2649"/>
      <c r="BF94" s="2676"/>
      <c r="BG94" s="2715"/>
      <c r="BH94" s="2715"/>
      <c r="BI94" s="2676"/>
      <c r="BJ94" s="2676"/>
      <c r="BK94" s="2676"/>
      <c r="BL94" s="2676"/>
      <c r="BM94" s="2676"/>
      <c r="BN94" s="2676"/>
      <c r="BO94" s="2676"/>
      <c r="BP94" s="2676"/>
    </row>
    <row r="95" spans="1:68" ht="75.75" customHeight="1" x14ac:dyDescent="0.25">
      <c r="A95" s="1060"/>
      <c r="D95" s="1028"/>
      <c r="F95" s="600"/>
      <c r="G95" s="2770"/>
      <c r="H95" s="2773"/>
      <c r="I95" s="2776"/>
      <c r="J95" s="2492"/>
      <c r="K95" s="2779"/>
      <c r="L95" s="2668"/>
      <c r="M95" s="2756"/>
      <c r="N95" s="2761"/>
      <c r="O95" s="2526"/>
      <c r="P95" s="2782"/>
      <c r="Q95" s="2768"/>
      <c r="R95" s="2331"/>
      <c r="S95" s="2331"/>
      <c r="T95" s="2785"/>
      <c r="U95" s="1145">
        <v>1275083000</v>
      </c>
      <c r="V95" s="1145"/>
      <c r="W95" s="1145"/>
      <c r="X95" s="506">
        <v>27</v>
      </c>
      <c r="Y95" s="1146" t="s">
        <v>1020</v>
      </c>
      <c r="Z95" s="2759"/>
      <c r="AA95" s="2383"/>
      <c r="AB95" s="2759"/>
      <c r="AC95" s="2383"/>
      <c r="AD95" s="2759"/>
      <c r="AE95" s="2383"/>
      <c r="AF95" s="2759"/>
      <c r="AG95" s="2383"/>
      <c r="AH95" s="2759"/>
      <c r="AI95" s="2383"/>
      <c r="AJ95" s="2759"/>
      <c r="AK95" s="2383"/>
      <c r="AL95" s="2759"/>
      <c r="AM95" s="2383"/>
      <c r="AN95" s="2759"/>
      <c r="AO95" s="2383"/>
      <c r="AP95" s="2759"/>
      <c r="AQ95" s="2383"/>
      <c r="AR95" s="2759"/>
      <c r="AS95" s="2383"/>
      <c r="AT95" s="2759"/>
      <c r="AU95" s="2383"/>
      <c r="AV95" s="2759"/>
      <c r="AW95" s="2383"/>
      <c r="AX95" s="2759"/>
      <c r="AY95" s="2383"/>
      <c r="AZ95" s="2759"/>
      <c r="BA95" s="2383"/>
      <c r="BB95" s="2759"/>
      <c r="BC95" s="2383"/>
      <c r="BD95" s="2759"/>
      <c r="BE95" s="2649"/>
      <c r="BF95" s="2676"/>
      <c r="BG95" s="2715"/>
      <c r="BH95" s="2715"/>
      <c r="BI95" s="2676"/>
      <c r="BJ95" s="2676"/>
      <c r="BK95" s="2676"/>
      <c r="BL95" s="2676"/>
      <c r="BM95" s="2676"/>
      <c r="BN95" s="2676"/>
      <c r="BO95" s="2676"/>
      <c r="BP95" s="2676"/>
    </row>
    <row r="96" spans="1:68" ht="78" customHeight="1" x14ac:dyDescent="0.25">
      <c r="A96" s="1060"/>
      <c r="D96" s="1028"/>
      <c r="F96" s="600"/>
      <c r="G96" s="1147" t="s">
        <v>1027</v>
      </c>
      <c r="H96" s="581" t="s">
        <v>1028</v>
      </c>
      <c r="I96" s="1141" t="s">
        <v>1029</v>
      </c>
      <c r="J96" s="534" t="s">
        <v>1030</v>
      </c>
      <c r="K96" s="595">
        <v>4</v>
      </c>
      <c r="L96" s="790">
        <v>0</v>
      </c>
      <c r="M96" s="2756"/>
      <c r="N96" s="2761"/>
      <c r="O96" s="2526"/>
      <c r="P96" s="1148">
        <f>SUM(U96)/Q90</f>
        <v>4.4771637785297289E-2</v>
      </c>
      <c r="Q96" s="2768"/>
      <c r="R96" s="2331"/>
      <c r="S96" s="2331"/>
      <c r="T96" s="1149" t="s">
        <v>1029</v>
      </c>
      <c r="U96" s="1098">
        <v>125000000</v>
      </c>
      <c r="V96" s="1098"/>
      <c r="W96" s="1098"/>
      <c r="X96" s="504">
        <v>27</v>
      </c>
      <c r="Y96" s="1146" t="s">
        <v>1020</v>
      </c>
      <c r="Z96" s="2759"/>
      <c r="AA96" s="2383"/>
      <c r="AB96" s="2759"/>
      <c r="AC96" s="2383"/>
      <c r="AD96" s="2759"/>
      <c r="AE96" s="2383"/>
      <c r="AF96" s="2759"/>
      <c r="AG96" s="2383"/>
      <c r="AH96" s="2759"/>
      <c r="AI96" s="2383"/>
      <c r="AJ96" s="2759"/>
      <c r="AK96" s="2383"/>
      <c r="AL96" s="2759"/>
      <c r="AM96" s="2383"/>
      <c r="AN96" s="2759"/>
      <c r="AO96" s="2383"/>
      <c r="AP96" s="2759"/>
      <c r="AQ96" s="2383"/>
      <c r="AR96" s="2759"/>
      <c r="AS96" s="2383"/>
      <c r="AT96" s="2759"/>
      <c r="AU96" s="2383"/>
      <c r="AV96" s="2759"/>
      <c r="AW96" s="2383"/>
      <c r="AX96" s="2759"/>
      <c r="AY96" s="2383"/>
      <c r="AZ96" s="2759"/>
      <c r="BA96" s="2383"/>
      <c r="BB96" s="2759"/>
      <c r="BC96" s="2383"/>
      <c r="BD96" s="2759"/>
      <c r="BE96" s="2649"/>
      <c r="BF96" s="2676"/>
      <c r="BG96" s="2715"/>
      <c r="BH96" s="2715"/>
      <c r="BI96" s="2676"/>
      <c r="BJ96" s="2676"/>
      <c r="BK96" s="2676"/>
      <c r="BL96" s="2676"/>
      <c r="BM96" s="2676"/>
      <c r="BN96" s="2676"/>
      <c r="BO96" s="2676"/>
      <c r="BP96" s="2676"/>
    </row>
    <row r="97" spans="1:88" ht="88.5" customHeight="1" x14ac:dyDescent="0.25">
      <c r="A97" s="1111"/>
      <c r="B97" s="200"/>
      <c r="C97" s="200"/>
      <c r="D97" s="1133"/>
      <c r="E97" s="200"/>
      <c r="F97" s="1106"/>
      <c r="G97" s="1150">
        <v>4003042</v>
      </c>
      <c r="H97" s="581" t="s">
        <v>1031</v>
      </c>
      <c r="I97" s="1141" t="s">
        <v>1032</v>
      </c>
      <c r="J97" s="534" t="s">
        <v>1033</v>
      </c>
      <c r="K97" s="595">
        <v>1</v>
      </c>
      <c r="L97" s="790">
        <v>0</v>
      </c>
      <c r="M97" s="2757"/>
      <c r="N97" s="2762"/>
      <c r="O97" s="2765"/>
      <c r="P97" s="1148">
        <f>SUM(U97)/Q90</f>
        <v>0.24534857506342914</v>
      </c>
      <c r="Q97" s="2769"/>
      <c r="R97" s="2331"/>
      <c r="S97" s="2331"/>
      <c r="T97" s="1149" t="s">
        <v>1032</v>
      </c>
      <c r="U97" s="1098">
        <v>685000000</v>
      </c>
      <c r="V97" s="1098"/>
      <c r="W97" s="1098"/>
      <c r="X97" s="504">
        <v>27</v>
      </c>
      <c r="Y97" s="1146" t="s">
        <v>1020</v>
      </c>
      <c r="Z97" s="2759"/>
      <c r="AA97" s="2383"/>
      <c r="AB97" s="2759"/>
      <c r="AC97" s="2383"/>
      <c r="AD97" s="2759"/>
      <c r="AE97" s="2383"/>
      <c r="AF97" s="2759"/>
      <c r="AG97" s="2383"/>
      <c r="AH97" s="2759"/>
      <c r="AI97" s="2383"/>
      <c r="AJ97" s="2759"/>
      <c r="AK97" s="2383"/>
      <c r="AL97" s="2759"/>
      <c r="AM97" s="2383"/>
      <c r="AN97" s="2759"/>
      <c r="AO97" s="2383"/>
      <c r="AP97" s="2759"/>
      <c r="AQ97" s="2383"/>
      <c r="AR97" s="2759"/>
      <c r="AS97" s="2383"/>
      <c r="AT97" s="2759"/>
      <c r="AU97" s="2383"/>
      <c r="AV97" s="2759"/>
      <c r="AW97" s="2383"/>
      <c r="AX97" s="2759"/>
      <c r="AY97" s="2383"/>
      <c r="AZ97" s="2759"/>
      <c r="BA97" s="2383"/>
      <c r="BB97" s="2759"/>
      <c r="BC97" s="2383"/>
      <c r="BD97" s="2759"/>
      <c r="BE97" s="2649"/>
      <c r="BF97" s="2677"/>
      <c r="BG97" s="2716"/>
      <c r="BH97" s="2716"/>
      <c r="BI97" s="2677"/>
      <c r="BJ97" s="2677"/>
      <c r="BK97" s="2677"/>
      <c r="BL97" s="2677"/>
      <c r="BM97" s="2677"/>
      <c r="BN97" s="2677"/>
      <c r="BO97" s="2677"/>
      <c r="BP97" s="2677"/>
    </row>
    <row r="98" spans="1:88" ht="27" customHeight="1" x14ac:dyDescent="0.25">
      <c r="A98" s="1100">
        <v>4</v>
      </c>
      <c r="B98" s="980" t="s">
        <v>812</v>
      </c>
      <c r="C98" s="980"/>
      <c r="D98" s="1151"/>
      <c r="E98" s="1152"/>
      <c r="F98" s="1152"/>
      <c r="G98" s="31"/>
      <c r="H98" s="31"/>
      <c r="I98" s="29"/>
      <c r="J98" s="29"/>
      <c r="K98" s="34"/>
      <c r="L98" s="34"/>
      <c r="M98" s="1101"/>
      <c r="N98" s="1037"/>
      <c r="O98" s="29"/>
      <c r="P98" s="35"/>
      <c r="Q98" s="1153"/>
      <c r="R98" s="1154"/>
      <c r="S98" s="1154"/>
      <c r="T98" s="29"/>
      <c r="U98" s="1102"/>
      <c r="V98" s="1102"/>
      <c r="W98" s="1102"/>
      <c r="X98" s="38"/>
      <c r="Y98" s="1101"/>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276"/>
      <c r="BG98" s="1103"/>
      <c r="BH98" s="1104"/>
      <c r="BI98" s="735"/>
      <c r="BJ98" s="38"/>
      <c r="BK98" s="34"/>
      <c r="BL98" s="39"/>
      <c r="BM98" s="39"/>
      <c r="BN98" s="39"/>
      <c r="BO98" s="39"/>
      <c r="BP98" s="1115"/>
      <c r="BQ98" s="148"/>
      <c r="BR98" s="148"/>
      <c r="BS98" s="148"/>
      <c r="BT98" s="148"/>
      <c r="BU98" s="148"/>
      <c r="BV98" s="148"/>
      <c r="BW98" s="148"/>
      <c r="BX98" s="148"/>
      <c r="BY98" s="148"/>
      <c r="BZ98" s="148"/>
      <c r="CA98" s="148"/>
      <c r="CB98" s="148"/>
      <c r="CC98" s="148"/>
      <c r="CD98" s="148"/>
      <c r="CE98" s="148"/>
      <c r="CF98" s="148"/>
      <c r="CG98" s="148"/>
      <c r="CH98" s="148"/>
    </row>
    <row r="99" spans="1:88" s="148" customFormat="1" ht="27" customHeight="1" x14ac:dyDescent="0.25">
      <c r="A99" s="612"/>
      <c r="B99" s="42"/>
      <c r="C99" s="43"/>
      <c r="D99" s="1042">
        <v>45</v>
      </c>
      <c r="E99" s="746" t="s">
        <v>308</v>
      </c>
      <c r="F99" s="1043"/>
      <c r="G99" s="745"/>
      <c r="H99" s="745"/>
      <c r="I99" s="744"/>
      <c r="J99" s="744"/>
      <c r="K99" s="746"/>
      <c r="L99" s="746"/>
      <c r="M99" s="1044"/>
      <c r="N99" s="1083"/>
      <c r="O99" s="1085"/>
      <c r="P99" s="832"/>
      <c r="Q99" s="1056"/>
      <c r="R99" s="753"/>
      <c r="S99" s="753"/>
      <c r="T99" s="744"/>
      <c r="U99" s="1056"/>
      <c r="V99" s="1056"/>
      <c r="W99" s="1056"/>
      <c r="X99" s="1046"/>
      <c r="Y99" s="1044"/>
      <c r="Z99" s="749"/>
      <c r="AA99" s="749"/>
      <c r="AB99" s="749"/>
      <c r="AC99" s="749"/>
      <c r="AD99" s="749"/>
      <c r="AE99" s="749"/>
      <c r="AF99" s="749"/>
      <c r="AG99" s="749"/>
      <c r="AH99" s="749"/>
      <c r="AI99" s="749"/>
      <c r="AJ99" s="749"/>
      <c r="AK99" s="749"/>
      <c r="AL99" s="749"/>
      <c r="AM99" s="749"/>
      <c r="AN99" s="749"/>
      <c r="AO99" s="749"/>
      <c r="AP99" s="749"/>
      <c r="AQ99" s="749"/>
      <c r="AR99" s="749"/>
      <c r="AS99" s="749"/>
      <c r="AT99" s="749"/>
      <c r="AU99" s="749"/>
      <c r="AV99" s="749"/>
      <c r="AW99" s="749"/>
      <c r="AX99" s="749"/>
      <c r="AY99" s="749"/>
      <c r="AZ99" s="749"/>
      <c r="BA99" s="749"/>
      <c r="BB99" s="749"/>
      <c r="BC99" s="749"/>
      <c r="BD99" s="749"/>
      <c r="BE99" s="749"/>
      <c r="BF99" s="650"/>
      <c r="BG99" s="1076"/>
      <c r="BH99" s="1077"/>
      <c r="BI99" s="756"/>
      <c r="BJ99" s="1046"/>
      <c r="BK99" s="749"/>
      <c r="BL99" s="758"/>
      <c r="BM99" s="758"/>
      <c r="BN99" s="758"/>
      <c r="BO99" s="758"/>
      <c r="BP99" s="1059"/>
    </row>
    <row r="100" spans="1:88" ht="63.75" customHeight="1" x14ac:dyDescent="0.25">
      <c r="A100" s="118"/>
      <c r="B100" s="509"/>
      <c r="C100" s="510"/>
      <c r="D100" s="2631"/>
      <c r="E100" s="2632"/>
      <c r="F100" s="2632"/>
      <c r="G100" s="2343" t="s">
        <v>208</v>
      </c>
      <c r="H100" s="2343" t="s">
        <v>1034</v>
      </c>
      <c r="I100" s="2331" t="s">
        <v>1035</v>
      </c>
      <c r="J100" s="2413" t="s">
        <v>1036</v>
      </c>
      <c r="K100" s="2634">
        <v>4</v>
      </c>
      <c r="L100" s="2635">
        <v>0</v>
      </c>
      <c r="M100" s="2348" t="s">
        <v>1037</v>
      </c>
      <c r="N100" s="2343" t="s">
        <v>896</v>
      </c>
      <c r="O100" s="2413" t="s">
        <v>897</v>
      </c>
      <c r="P100" s="2766">
        <f>Q100/SUM(Q16,Q33,Q37,Q51,Q85,Q100,Q103)</f>
        <v>3.7321771374874559E-2</v>
      </c>
      <c r="Q100" s="2705">
        <f>SUM(U100:U101)</f>
        <v>72674512.579999998</v>
      </c>
      <c r="R100" s="2416" t="s">
        <v>898</v>
      </c>
      <c r="S100" s="2659" t="s">
        <v>899</v>
      </c>
      <c r="T100" s="547" t="s">
        <v>912</v>
      </c>
      <c r="U100" s="882">
        <v>12013864.58</v>
      </c>
      <c r="V100" s="882">
        <v>8400000</v>
      </c>
      <c r="W100" s="882"/>
      <c r="X100" s="714">
        <v>20</v>
      </c>
      <c r="Y100" s="565" t="s">
        <v>301</v>
      </c>
      <c r="Z100" s="2633">
        <v>295972</v>
      </c>
      <c r="AA100" s="2675"/>
      <c r="AB100" s="2633">
        <v>285580</v>
      </c>
      <c r="AC100" s="2675"/>
      <c r="AD100" s="2633">
        <v>135545</v>
      </c>
      <c r="AE100" s="2675"/>
      <c r="AF100" s="2633">
        <v>44254</v>
      </c>
      <c r="AG100" s="2675"/>
      <c r="AH100" s="2633">
        <v>309146</v>
      </c>
      <c r="AI100" s="2675"/>
      <c r="AJ100" s="2633">
        <v>92607</v>
      </c>
      <c r="AK100" s="2675"/>
      <c r="AL100" s="2633">
        <v>2145</v>
      </c>
      <c r="AM100" s="2675"/>
      <c r="AN100" s="2633">
        <v>12718</v>
      </c>
      <c r="AO100" s="2675"/>
      <c r="AP100" s="2633">
        <v>26</v>
      </c>
      <c r="AQ100" s="2675"/>
      <c r="AR100" s="2633">
        <v>37</v>
      </c>
      <c r="AS100" s="2675"/>
      <c r="AT100" s="2633">
        <v>0</v>
      </c>
      <c r="AU100" s="2675"/>
      <c r="AV100" s="2633">
        <v>0</v>
      </c>
      <c r="AW100" s="2675"/>
      <c r="AX100" s="2633">
        <v>44350</v>
      </c>
      <c r="AY100" s="2675"/>
      <c r="AZ100" s="2633">
        <v>21944</v>
      </c>
      <c r="BA100" s="2675"/>
      <c r="BB100" s="2633">
        <v>75687</v>
      </c>
      <c r="BC100" s="2675"/>
      <c r="BD100" s="2633">
        <f>+Z100+AB100</f>
        <v>581552</v>
      </c>
      <c r="BE100" s="2678"/>
      <c r="BF100" s="2466">
        <v>1</v>
      </c>
      <c r="BG100" s="2643">
        <v>8400000</v>
      </c>
      <c r="BH100" s="2643"/>
      <c r="BI100" s="2787">
        <f>BH100/BG100</f>
        <v>0</v>
      </c>
      <c r="BJ100" s="2789">
        <v>20</v>
      </c>
      <c r="BK100" s="2304" t="s">
        <v>903</v>
      </c>
      <c r="BL100" s="2687">
        <v>44069</v>
      </c>
      <c r="BM100" s="2488"/>
      <c r="BN100" s="2791">
        <v>44160</v>
      </c>
      <c r="BO100" s="2638"/>
      <c r="BP100" s="2304" t="s">
        <v>885</v>
      </c>
    </row>
    <row r="101" spans="1:88" ht="60.75" customHeight="1" x14ac:dyDescent="0.25">
      <c r="A101" s="1060"/>
      <c r="C101" s="600"/>
      <c r="D101" s="2631"/>
      <c r="E101" s="2632"/>
      <c r="F101" s="2632"/>
      <c r="G101" s="2343"/>
      <c r="H101" s="2343"/>
      <c r="I101" s="2331"/>
      <c r="J101" s="2413"/>
      <c r="K101" s="2634"/>
      <c r="L101" s="2637"/>
      <c r="M101" s="2348"/>
      <c r="N101" s="2343"/>
      <c r="O101" s="2413"/>
      <c r="P101" s="2766"/>
      <c r="Q101" s="2705"/>
      <c r="R101" s="2416"/>
      <c r="S101" s="2661"/>
      <c r="T101" s="568" t="s">
        <v>1038</v>
      </c>
      <c r="U101" s="1155">
        <v>60660648</v>
      </c>
      <c r="V101" s="1051"/>
      <c r="W101" s="1051"/>
      <c r="X101" s="459">
        <v>165</v>
      </c>
      <c r="Y101" s="1072" t="s">
        <v>1039</v>
      </c>
      <c r="Z101" s="2633"/>
      <c r="AA101" s="2677"/>
      <c r="AB101" s="2633"/>
      <c r="AC101" s="2677"/>
      <c r="AD101" s="2633"/>
      <c r="AE101" s="2677"/>
      <c r="AF101" s="2633"/>
      <c r="AG101" s="2677"/>
      <c r="AH101" s="2633"/>
      <c r="AI101" s="2677"/>
      <c r="AJ101" s="2633"/>
      <c r="AK101" s="2677"/>
      <c r="AL101" s="2633"/>
      <c r="AM101" s="2677"/>
      <c r="AN101" s="2633"/>
      <c r="AO101" s="2677"/>
      <c r="AP101" s="2633"/>
      <c r="AQ101" s="2677"/>
      <c r="AR101" s="2633"/>
      <c r="AS101" s="2677"/>
      <c r="AT101" s="2633"/>
      <c r="AU101" s="2677"/>
      <c r="AV101" s="2633"/>
      <c r="AW101" s="2677"/>
      <c r="AX101" s="2633"/>
      <c r="AY101" s="2677"/>
      <c r="AZ101" s="2633"/>
      <c r="BA101" s="2677"/>
      <c r="BB101" s="2633"/>
      <c r="BC101" s="2677"/>
      <c r="BD101" s="2633"/>
      <c r="BE101" s="2384"/>
      <c r="BF101" s="2466"/>
      <c r="BG101" s="2645"/>
      <c r="BH101" s="2645"/>
      <c r="BI101" s="2788"/>
      <c r="BJ101" s="2790"/>
      <c r="BK101" s="2648"/>
      <c r="BL101" s="2687"/>
      <c r="BM101" s="2490"/>
      <c r="BN101" s="2791"/>
      <c r="BO101" s="2640"/>
      <c r="BP101" s="2648"/>
    </row>
    <row r="102" spans="1:88" s="148" customFormat="1" ht="27" customHeight="1" x14ac:dyDescent="0.25">
      <c r="A102" s="108"/>
      <c r="B102" s="109"/>
      <c r="C102" s="110"/>
      <c r="D102" s="1099">
        <v>42</v>
      </c>
      <c r="E102" s="48" t="s">
        <v>328</v>
      </c>
      <c r="F102" s="1073"/>
      <c r="G102" s="745"/>
      <c r="H102" s="745"/>
      <c r="I102" s="744"/>
      <c r="J102" s="744"/>
      <c r="K102" s="746"/>
      <c r="L102" s="746"/>
      <c r="M102" s="1044"/>
      <c r="N102" s="1083"/>
      <c r="O102" s="1085"/>
      <c r="P102" s="832"/>
      <c r="Q102" s="1056"/>
      <c r="R102" s="753"/>
      <c r="S102" s="753"/>
      <c r="T102" s="744"/>
      <c r="U102" s="1056"/>
      <c r="V102" s="1056"/>
      <c r="W102" s="1056"/>
      <c r="X102" s="1046"/>
      <c r="Y102" s="1044"/>
      <c r="Z102" s="749"/>
      <c r="AA102" s="749"/>
      <c r="AB102" s="749"/>
      <c r="AC102" s="749"/>
      <c r="AD102" s="749"/>
      <c r="AE102" s="749"/>
      <c r="AF102" s="749"/>
      <c r="AG102" s="749"/>
      <c r="AH102" s="749"/>
      <c r="AI102" s="749"/>
      <c r="AJ102" s="749"/>
      <c r="AK102" s="749"/>
      <c r="AL102" s="749"/>
      <c r="AM102" s="749"/>
      <c r="AN102" s="749"/>
      <c r="AO102" s="749"/>
      <c r="AP102" s="749"/>
      <c r="AQ102" s="749"/>
      <c r="AR102" s="749"/>
      <c r="AS102" s="749"/>
      <c r="AT102" s="749"/>
      <c r="AU102" s="749"/>
      <c r="AV102" s="749"/>
      <c r="AW102" s="749"/>
      <c r="AX102" s="749"/>
      <c r="AY102" s="749"/>
      <c r="AZ102" s="749"/>
      <c r="BA102" s="749"/>
      <c r="BB102" s="749"/>
      <c r="BC102" s="749"/>
      <c r="BD102" s="749"/>
      <c r="BE102" s="749"/>
      <c r="BF102" s="650"/>
      <c r="BG102" s="1056"/>
      <c r="BH102" s="1056"/>
      <c r="BI102" s="756"/>
      <c r="BJ102" s="1046"/>
      <c r="BK102" s="749"/>
      <c r="BL102" s="758"/>
      <c r="BM102" s="758"/>
      <c r="BN102" s="758"/>
      <c r="BO102" s="758"/>
      <c r="BP102" s="1059"/>
    </row>
    <row r="103" spans="1:88" ht="49.5" customHeight="1" x14ac:dyDescent="0.25">
      <c r="A103" s="118"/>
      <c r="B103" s="509"/>
      <c r="C103" s="510"/>
      <c r="D103" s="2631"/>
      <c r="E103" s="2632"/>
      <c r="F103" s="2632"/>
      <c r="G103" s="2786">
        <v>4502003</v>
      </c>
      <c r="H103" s="2786" t="s">
        <v>1040</v>
      </c>
      <c r="I103" s="2690" t="s">
        <v>1041</v>
      </c>
      <c r="J103" s="2413" t="s">
        <v>1041</v>
      </c>
      <c r="K103" s="2634">
        <v>2</v>
      </c>
      <c r="L103" s="2635">
        <v>0</v>
      </c>
      <c r="M103" s="2348" t="s">
        <v>1042</v>
      </c>
      <c r="N103" s="2343" t="s">
        <v>896</v>
      </c>
      <c r="O103" s="2413" t="s">
        <v>897</v>
      </c>
      <c r="P103" s="2766">
        <f>Q103/SUM(Q16,Q33,Q37,Q51,Q85,Q100,Q103)</f>
        <v>1.2339366065644782E-2</v>
      </c>
      <c r="Q103" s="2705">
        <f>SUM(U103:U105)</f>
        <v>24027729.16</v>
      </c>
      <c r="R103" s="2416" t="s">
        <v>898</v>
      </c>
      <c r="S103" s="2416" t="s">
        <v>899</v>
      </c>
      <c r="T103" s="2493" t="s">
        <v>926</v>
      </c>
      <c r="U103" s="879">
        <v>1027729.16</v>
      </c>
      <c r="V103" s="879"/>
      <c r="W103" s="879"/>
      <c r="X103" s="258">
        <v>20</v>
      </c>
      <c r="Y103" s="565" t="s">
        <v>925</v>
      </c>
      <c r="Z103" s="2633">
        <v>295972</v>
      </c>
      <c r="AA103" s="2383"/>
      <c r="AB103" s="2633">
        <v>285580</v>
      </c>
      <c r="AC103" s="2383"/>
      <c r="AD103" s="2633">
        <v>135545</v>
      </c>
      <c r="AE103" s="2383"/>
      <c r="AF103" s="2633">
        <v>44254</v>
      </c>
      <c r="AG103" s="2383"/>
      <c r="AH103" s="2633">
        <v>309146</v>
      </c>
      <c r="AI103" s="2383"/>
      <c r="AJ103" s="2633">
        <v>92607</v>
      </c>
      <c r="AK103" s="2383"/>
      <c r="AL103" s="2633">
        <v>2145</v>
      </c>
      <c r="AM103" s="2383"/>
      <c r="AN103" s="2633">
        <v>12718</v>
      </c>
      <c r="AO103" s="2383"/>
      <c r="AP103" s="2633">
        <v>26</v>
      </c>
      <c r="AQ103" s="2383"/>
      <c r="AR103" s="2633">
        <v>37</v>
      </c>
      <c r="AS103" s="2383"/>
      <c r="AT103" s="2633">
        <v>0</v>
      </c>
      <c r="AU103" s="2383"/>
      <c r="AV103" s="2633">
        <v>0</v>
      </c>
      <c r="AW103" s="2383"/>
      <c r="AX103" s="2633">
        <v>44350</v>
      </c>
      <c r="AY103" s="2383"/>
      <c r="AZ103" s="2633">
        <v>21944</v>
      </c>
      <c r="BA103" s="2383"/>
      <c r="BB103" s="2633">
        <v>75687</v>
      </c>
      <c r="BC103" s="2383"/>
      <c r="BD103" s="2633">
        <f>+Z103+AB103</f>
        <v>581552</v>
      </c>
      <c r="BE103" s="2649"/>
      <c r="BF103" s="2675"/>
      <c r="BG103" s="2714"/>
      <c r="BH103" s="2714"/>
      <c r="BI103" s="2675"/>
      <c r="BJ103" s="2675"/>
      <c r="BK103" s="2675"/>
      <c r="BL103" s="2675"/>
      <c r="BM103" s="2675"/>
      <c r="BN103" s="2675"/>
      <c r="BO103" s="2675"/>
      <c r="BP103" s="2675"/>
    </row>
    <row r="104" spans="1:88" ht="49.5" customHeight="1" x14ac:dyDescent="0.25">
      <c r="A104" s="118"/>
      <c r="B104" s="509"/>
      <c r="C104" s="510"/>
      <c r="D104" s="2631"/>
      <c r="E104" s="2632"/>
      <c r="F104" s="2632"/>
      <c r="G104" s="2786"/>
      <c r="H104" s="2786"/>
      <c r="I104" s="2690"/>
      <c r="J104" s="2413"/>
      <c r="K104" s="2634"/>
      <c r="L104" s="2636"/>
      <c r="M104" s="2348"/>
      <c r="N104" s="2343"/>
      <c r="O104" s="2413"/>
      <c r="P104" s="2766"/>
      <c r="Q104" s="2705"/>
      <c r="R104" s="2416"/>
      <c r="S104" s="2416"/>
      <c r="T104" s="2492"/>
      <c r="U104" s="879">
        <v>13000000</v>
      </c>
      <c r="V104" s="936"/>
      <c r="W104" s="936"/>
      <c r="X104" s="258">
        <v>88</v>
      </c>
      <c r="Y104" s="565" t="s">
        <v>927</v>
      </c>
      <c r="Z104" s="2633"/>
      <c r="AA104" s="2383"/>
      <c r="AB104" s="2633"/>
      <c r="AC104" s="2383"/>
      <c r="AD104" s="2633"/>
      <c r="AE104" s="2383"/>
      <c r="AF104" s="2633"/>
      <c r="AG104" s="2383"/>
      <c r="AH104" s="2633"/>
      <c r="AI104" s="2383"/>
      <c r="AJ104" s="2633"/>
      <c r="AK104" s="2383"/>
      <c r="AL104" s="2633"/>
      <c r="AM104" s="2383"/>
      <c r="AN104" s="2633"/>
      <c r="AO104" s="2383"/>
      <c r="AP104" s="2633"/>
      <c r="AQ104" s="2383"/>
      <c r="AR104" s="2633"/>
      <c r="AS104" s="2383"/>
      <c r="AT104" s="2633"/>
      <c r="AU104" s="2383"/>
      <c r="AV104" s="2633"/>
      <c r="AW104" s="2383"/>
      <c r="AX104" s="2633"/>
      <c r="AY104" s="2383"/>
      <c r="AZ104" s="2633"/>
      <c r="BA104" s="2383"/>
      <c r="BB104" s="2633"/>
      <c r="BC104" s="2383"/>
      <c r="BD104" s="2633"/>
      <c r="BE104" s="2649"/>
      <c r="BF104" s="2676"/>
      <c r="BG104" s="2715"/>
      <c r="BH104" s="2715"/>
      <c r="BI104" s="2676"/>
      <c r="BJ104" s="2676"/>
      <c r="BK104" s="2676"/>
      <c r="BL104" s="2676"/>
      <c r="BM104" s="2676"/>
      <c r="BN104" s="2676"/>
      <c r="BO104" s="2676"/>
      <c r="BP104" s="2676"/>
    </row>
    <row r="105" spans="1:88" ht="92.25" customHeight="1" x14ac:dyDescent="0.25">
      <c r="A105" s="1060"/>
      <c r="C105" s="600"/>
      <c r="D105" s="2631"/>
      <c r="E105" s="2632"/>
      <c r="F105" s="2632"/>
      <c r="G105" s="2786"/>
      <c r="H105" s="2786"/>
      <c r="I105" s="2690"/>
      <c r="J105" s="2413"/>
      <c r="K105" s="2634"/>
      <c r="L105" s="2637"/>
      <c r="M105" s="2348"/>
      <c r="N105" s="2343"/>
      <c r="O105" s="2413"/>
      <c r="P105" s="2766"/>
      <c r="Q105" s="2705"/>
      <c r="R105" s="2416"/>
      <c r="S105" s="2416"/>
      <c r="T105" s="1048" t="s">
        <v>1043</v>
      </c>
      <c r="U105" s="1051">
        <v>10000000</v>
      </c>
      <c r="V105" s="1051"/>
      <c r="W105" s="1156"/>
      <c r="X105" s="714">
        <v>88</v>
      </c>
      <c r="Y105" s="565" t="s">
        <v>927</v>
      </c>
      <c r="Z105" s="2633"/>
      <c r="AA105" s="2383"/>
      <c r="AB105" s="2633"/>
      <c r="AC105" s="2383"/>
      <c r="AD105" s="2633"/>
      <c r="AE105" s="2383"/>
      <c r="AF105" s="2633"/>
      <c r="AG105" s="2383"/>
      <c r="AH105" s="2633"/>
      <c r="AI105" s="2383"/>
      <c r="AJ105" s="2633"/>
      <c r="AK105" s="2383"/>
      <c r="AL105" s="2633"/>
      <c r="AM105" s="2383"/>
      <c r="AN105" s="2633"/>
      <c r="AO105" s="2383"/>
      <c r="AP105" s="2633"/>
      <c r="AQ105" s="2383"/>
      <c r="AR105" s="2633"/>
      <c r="AS105" s="2383"/>
      <c r="AT105" s="2633"/>
      <c r="AU105" s="2383"/>
      <c r="AV105" s="2633"/>
      <c r="AW105" s="2383"/>
      <c r="AX105" s="2633"/>
      <c r="AY105" s="2383"/>
      <c r="AZ105" s="2633"/>
      <c r="BA105" s="2383"/>
      <c r="BB105" s="2633"/>
      <c r="BC105" s="2383"/>
      <c r="BD105" s="2633"/>
      <c r="BE105" s="2649"/>
      <c r="BF105" s="2677"/>
      <c r="BG105" s="2716"/>
      <c r="BH105" s="2716"/>
      <c r="BI105" s="2677"/>
      <c r="BJ105" s="2677"/>
      <c r="BK105" s="2677"/>
      <c r="BL105" s="2677"/>
      <c r="BM105" s="2677"/>
      <c r="BN105" s="2677"/>
      <c r="BO105" s="2677"/>
      <c r="BP105" s="2677"/>
    </row>
    <row r="106" spans="1:88" ht="27" customHeight="1" x14ac:dyDescent="0.25">
      <c r="A106" s="1111"/>
      <c r="B106" s="200"/>
      <c r="C106" s="1106"/>
      <c r="D106" s="1061"/>
      <c r="E106" s="1061"/>
      <c r="F106" s="470"/>
      <c r="G106" s="470"/>
      <c r="H106" s="470"/>
      <c r="I106" s="551"/>
      <c r="J106" s="551"/>
      <c r="K106" s="594"/>
      <c r="L106" s="594"/>
      <c r="M106" s="594"/>
      <c r="N106" s="594"/>
      <c r="O106" s="551"/>
      <c r="P106" s="685"/>
      <c r="Q106" s="1157">
        <f>SUM(Q12:Q105)</f>
        <v>5387573974.4699993</v>
      </c>
      <c r="R106" s="549"/>
      <c r="S106" s="549"/>
      <c r="T106" s="549"/>
      <c r="U106" s="1157">
        <f>SUM(U12:U105)</f>
        <v>5387573974.4699993</v>
      </c>
      <c r="V106" s="1157">
        <f>SUM(V12:V105)</f>
        <v>906775998</v>
      </c>
      <c r="W106" s="1157">
        <f>SUM(W12:W105)</f>
        <v>440188008</v>
      </c>
      <c r="X106" s="402"/>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1158"/>
      <c r="BF106" s="6"/>
      <c r="BG106" s="1159">
        <f>SUM(BG12:BG105)</f>
        <v>906775998</v>
      </c>
      <c r="BH106" s="1157">
        <f>SUM(BH12:BH105)</f>
        <v>440188008</v>
      </c>
      <c r="BI106" s="1160">
        <f>BH106/BG106</f>
        <v>0.4854429417749101</v>
      </c>
      <c r="BJ106" s="402"/>
      <c r="BK106" s="6"/>
      <c r="BL106" s="720"/>
      <c r="BM106" s="720"/>
      <c r="BN106" s="720"/>
      <c r="BO106" s="720"/>
      <c r="BP106" s="6"/>
    </row>
    <row r="107" spans="1:88" s="164" customFormat="1" ht="27" customHeight="1" x14ac:dyDescent="0.25">
      <c r="A107" s="155"/>
      <c r="B107" s="12"/>
      <c r="C107" s="12"/>
      <c r="D107" s="12"/>
      <c r="E107" s="12"/>
      <c r="F107" s="12"/>
      <c r="G107" s="12"/>
      <c r="H107" s="12"/>
      <c r="I107" s="527"/>
      <c r="J107" s="527"/>
      <c r="K107" s="148"/>
      <c r="L107" s="148"/>
      <c r="M107" s="148"/>
      <c r="N107" s="148"/>
      <c r="O107" s="527"/>
      <c r="P107" s="145"/>
      <c r="Q107" s="1161"/>
      <c r="R107" s="527"/>
      <c r="S107" s="527"/>
      <c r="T107" s="25"/>
      <c r="U107" s="1162"/>
      <c r="V107" s="1162"/>
      <c r="W107" s="1162"/>
      <c r="X107" s="147"/>
      <c r="Y107" s="148"/>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163"/>
      <c r="BH107" s="1163"/>
      <c r="BI107" s="12"/>
      <c r="BJ107" s="12"/>
      <c r="BK107" s="12"/>
      <c r="BL107" s="149"/>
      <c r="BM107" s="149"/>
      <c r="BN107" s="149"/>
      <c r="BO107" s="149"/>
      <c r="BP107" s="12"/>
      <c r="BQ107" s="12"/>
      <c r="BR107" s="12"/>
      <c r="BS107" s="12"/>
      <c r="BT107" s="12"/>
      <c r="BU107" s="12"/>
      <c r="BV107" s="12"/>
      <c r="BW107" s="12"/>
      <c r="BX107" s="12"/>
      <c r="BY107" s="12"/>
      <c r="BZ107" s="12"/>
      <c r="CA107" s="12"/>
      <c r="CB107" s="12"/>
      <c r="CC107" s="12"/>
      <c r="CD107" s="12"/>
      <c r="CE107" s="12"/>
      <c r="CF107" s="12"/>
      <c r="CG107" s="12"/>
      <c r="CH107" s="12"/>
      <c r="CI107" s="12"/>
      <c r="CJ107" s="12"/>
    </row>
    <row r="108" spans="1:88" s="164" customFormat="1" ht="27" customHeight="1" x14ac:dyDescent="0.25">
      <c r="A108" s="155"/>
      <c r="B108" s="12"/>
      <c r="C108" s="12"/>
      <c r="D108" s="12"/>
      <c r="E108" s="12"/>
      <c r="F108" s="12"/>
      <c r="G108" s="12"/>
      <c r="H108" s="12"/>
      <c r="I108" s="527"/>
      <c r="J108" s="527"/>
      <c r="K108" s="148"/>
      <c r="L108" s="148"/>
      <c r="M108" s="148"/>
      <c r="N108" s="148"/>
      <c r="O108" s="527"/>
      <c r="P108" s="145"/>
      <c r="Q108" s="1161"/>
      <c r="R108" s="527"/>
      <c r="S108" s="1164"/>
      <c r="T108" s="25"/>
      <c r="U108" s="1162"/>
      <c r="V108" s="1162"/>
      <c r="W108" s="1162"/>
      <c r="X108" s="147"/>
      <c r="Y108" s="148"/>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163"/>
      <c r="BH108" s="1163"/>
      <c r="BI108" s="12"/>
      <c r="BJ108" s="12"/>
      <c r="BK108" s="12"/>
      <c r="BL108" s="149"/>
      <c r="BM108" s="149"/>
      <c r="BN108" s="149"/>
      <c r="BO108" s="149"/>
      <c r="BP108" s="12"/>
      <c r="BQ108" s="12"/>
      <c r="BR108" s="12"/>
      <c r="BS108" s="12"/>
      <c r="BT108" s="12"/>
      <c r="BU108" s="12"/>
      <c r="BV108" s="12"/>
      <c r="BW108" s="12"/>
      <c r="BX108" s="12"/>
      <c r="BY108" s="12"/>
      <c r="BZ108" s="12"/>
      <c r="CA108" s="12"/>
      <c r="CB108" s="12"/>
      <c r="CC108" s="12"/>
      <c r="CD108" s="12"/>
      <c r="CE108" s="12"/>
      <c r="CF108" s="12"/>
      <c r="CG108" s="12"/>
      <c r="CH108" s="12"/>
      <c r="CI108" s="12"/>
      <c r="CJ108" s="12"/>
    </row>
    <row r="109" spans="1:88" s="164" customFormat="1" ht="27" customHeight="1" x14ac:dyDescent="0.25">
      <c r="A109" s="155"/>
      <c r="B109" s="12"/>
      <c r="C109" s="1165"/>
      <c r="D109" s="1166"/>
      <c r="E109" s="200"/>
      <c r="F109" s="200"/>
      <c r="G109" s="200"/>
      <c r="H109" s="12"/>
      <c r="I109" s="25"/>
      <c r="J109" s="527"/>
      <c r="K109" s="148"/>
      <c r="L109" s="148"/>
      <c r="M109" s="148"/>
      <c r="N109" s="148"/>
      <c r="O109" s="527"/>
      <c r="P109" s="145"/>
      <c r="Q109" s="1161"/>
      <c r="R109" s="527"/>
      <c r="S109" s="527"/>
      <c r="T109" s="25"/>
      <c r="U109" s="1162"/>
      <c r="V109" s="1162"/>
      <c r="W109" s="1162"/>
      <c r="X109" s="147"/>
      <c r="Y109" s="148"/>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163"/>
      <c r="BH109" s="1163"/>
      <c r="BI109" s="12"/>
      <c r="BJ109" s="12"/>
      <c r="BK109" s="12"/>
      <c r="BL109" s="149"/>
      <c r="BM109" s="149"/>
      <c r="BN109" s="149"/>
      <c r="BO109" s="149"/>
      <c r="BP109" s="12"/>
      <c r="BQ109" s="12"/>
      <c r="BR109" s="12"/>
      <c r="BS109" s="12"/>
      <c r="BT109" s="12"/>
      <c r="BU109" s="12"/>
      <c r="BV109" s="12"/>
      <c r="BW109" s="12"/>
      <c r="BX109" s="12"/>
      <c r="BY109" s="12"/>
      <c r="BZ109" s="12"/>
      <c r="CA109" s="12"/>
      <c r="CB109" s="12"/>
      <c r="CC109" s="12"/>
      <c r="CD109" s="12"/>
      <c r="CE109" s="12"/>
      <c r="CF109" s="12"/>
      <c r="CG109" s="12"/>
      <c r="CH109" s="12"/>
      <c r="CI109" s="12"/>
      <c r="CJ109" s="12"/>
    </row>
    <row r="110" spans="1:88" s="164" customFormat="1" ht="27" customHeight="1" x14ac:dyDescent="0.25">
      <c r="A110" s="155"/>
      <c r="B110" s="12"/>
      <c r="C110" s="592" t="s">
        <v>1044</v>
      </c>
      <c r="D110" s="148"/>
      <c r="E110" s="12"/>
      <c r="F110" s="12"/>
      <c r="G110" s="12"/>
      <c r="H110" s="12"/>
      <c r="I110" s="25"/>
      <c r="J110" s="527"/>
      <c r="K110" s="148"/>
      <c r="L110" s="148"/>
      <c r="M110" s="148"/>
      <c r="N110" s="148"/>
      <c r="O110" s="527"/>
      <c r="P110" s="145"/>
      <c r="Q110" s="1161"/>
      <c r="R110" s="527"/>
      <c r="S110" s="527"/>
      <c r="T110" s="527"/>
      <c r="U110" s="1161"/>
      <c r="V110" s="1161"/>
      <c r="W110" s="1161"/>
      <c r="X110" s="147"/>
      <c r="Y110" s="148"/>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163"/>
      <c r="BH110" s="1163"/>
      <c r="BI110" s="12"/>
      <c r="BJ110" s="12"/>
      <c r="BK110" s="12"/>
      <c r="BL110" s="149"/>
      <c r="BM110" s="149"/>
      <c r="BN110" s="149"/>
      <c r="BO110" s="149"/>
      <c r="BP110" s="12"/>
      <c r="BQ110" s="12"/>
      <c r="BR110" s="12"/>
      <c r="BS110" s="12"/>
      <c r="BT110" s="12"/>
      <c r="BU110" s="12"/>
      <c r="BV110" s="12"/>
      <c r="BW110" s="12"/>
      <c r="BX110" s="12"/>
      <c r="BY110" s="12"/>
      <c r="BZ110" s="12"/>
      <c r="CA110" s="12"/>
      <c r="CB110" s="12"/>
      <c r="CC110" s="12"/>
      <c r="CD110" s="12"/>
      <c r="CE110" s="12"/>
      <c r="CF110" s="12"/>
      <c r="CG110" s="12"/>
      <c r="CH110" s="12"/>
      <c r="CI110" s="12"/>
      <c r="CJ110" s="12"/>
    </row>
    <row r="111" spans="1:88" s="164" customFormat="1" ht="27" customHeight="1" x14ac:dyDescent="0.25">
      <c r="A111" s="155"/>
      <c r="B111" s="12"/>
      <c r="C111" s="592" t="s">
        <v>1045</v>
      </c>
      <c r="D111" s="148"/>
      <c r="E111" s="12"/>
      <c r="F111" s="12"/>
      <c r="G111" s="12"/>
      <c r="H111" s="12"/>
      <c r="I111" s="25"/>
      <c r="J111" s="527"/>
      <c r="K111" s="148"/>
      <c r="L111" s="148"/>
      <c r="M111" s="148"/>
      <c r="N111" s="148"/>
      <c r="O111" s="527"/>
      <c r="P111" s="145"/>
      <c r="Q111" s="1161"/>
      <c r="R111" s="527"/>
      <c r="S111" s="527"/>
      <c r="T111" s="527"/>
      <c r="U111" s="1161"/>
      <c r="V111" s="1161"/>
      <c r="W111" s="1161"/>
      <c r="X111" s="147"/>
      <c r="Y111" s="148"/>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163"/>
      <c r="BH111" s="1163"/>
      <c r="BI111" s="12"/>
      <c r="BJ111" s="12"/>
      <c r="BK111" s="12"/>
      <c r="BL111" s="149"/>
      <c r="BM111" s="149"/>
      <c r="BN111" s="149"/>
      <c r="BO111" s="149"/>
      <c r="BP111" s="12"/>
      <c r="BQ111" s="12"/>
      <c r="BR111" s="12"/>
      <c r="BS111" s="12"/>
      <c r="BT111" s="12"/>
      <c r="BU111" s="12"/>
      <c r="BV111" s="12"/>
      <c r="BW111" s="12"/>
      <c r="BX111" s="12"/>
      <c r="BY111" s="12"/>
      <c r="BZ111" s="12"/>
      <c r="CA111" s="12"/>
      <c r="CB111" s="12"/>
      <c r="CC111" s="12"/>
      <c r="CD111" s="12"/>
      <c r="CE111" s="12"/>
      <c r="CF111" s="12"/>
      <c r="CG111" s="12"/>
      <c r="CH111" s="12"/>
      <c r="CI111" s="12"/>
      <c r="CJ111" s="12"/>
    </row>
  </sheetData>
  <sheetProtection password="A60F" sheet="1" objects="1" scenarios="1"/>
  <mergeCells count="619">
    <mergeCell ref="BL103:BL105"/>
    <mergeCell ref="BM103:BM105"/>
    <mergeCell ref="BN103:BN105"/>
    <mergeCell ref="BO103:BO105"/>
    <mergeCell ref="BP103:BP105"/>
    <mergeCell ref="BF103:BF105"/>
    <mergeCell ref="BG103:BG105"/>
    <mergeCell ref="BH103:BH105"/>
    <mergeCell ref="BI103:BI105"/>
    <mergeCell ref="BJ103:BJ105"/>
    <mergeCell ref="BK103:BK105"/>
    <mergeCell ref="AZ103:AZ105"/>
    <mergeCell ref="BA103:BA105"/>
    <mergeCell ref="BB103:BB105"/>
    <mergeCell ref="BC103:BC105"/>
    <mergeCell ref="BD103:BD105"/>
    <mergeCell ref="BE103:BE105"/>
    <mergeCell ref="AT103:AT105"/>
    <mergeCell ref="AU103:AU105"/>
    <mergeCell ref="AV103:AV105"/>
    <mergeCell ref="AW103:AW105"/>
    <mergeCell ref="AX103:AX105"/>
    <mergeCell ref="AY103:AY105"/>
    <mergeCell ref="AN103:AN105"/>
    <mergeCell ref="AO103:AO105"/>
    <mergeCell ref="AP103:AP105"/>
    <mergeCell ref="AQ103:AQ105"/>
    <mergeCell ref="AR103:AR105"/>
    <mergeCell ref="AS103:AS105"/>
    <mergeCell ref="AH103:AH105"/>
    <mergeCell ref="AI103:AI105"/>
    <mergeCell ref="AJ103:AJ105"/>
    <mergeCell ref="AK103:AK105"/>
    <mergeCell ref="AL103:AL105"/>
    <mergeCell ref="AM103:AM105"/>
    <mergeCell ref="AB103:AB105"/>
    <mergeCell ref="AC103:AC105"/>
    <mergeCell ref="AD103:AD105"/>
    <mergeCell ref="AE103:AE105"/>
    <mergeCell ref="AF103:AF105"/>
    <mergeCell ref="AG103:AG105"/>
    <mergeCell ref="Q103:Q105"/>
    <mergeCell ref="R103:R105"/>
    <mergeCell ref="S103:S105"/>
    <mergeCell ref="T103:T104"/>
    <mergeCell ref="Z103:Z105"/>
    <mergeCell ref="AA103:AA105"/>
    <mergeCell ref="K103:K105"/>
    <mergeCell ref="L103:L105"/>
    <mergeCell ref="M103:M105"/>
    <mergeCell ref="N103:N105"/>
    <mergeCell ref="O103:O105"/>
    <mergeCell ref="P103:P105"/>
    <mergeCell ref="BM100:BM101"/>
    <mergeCell ref="BN100:BN101"/>
    <mergeCell ref="BO100:BO101"/>
    <mergeCell ref="AZ100:AZ101"/>
    <mergeCell ref="AO100:AO101"/>
    <mergeCell ref="AP100:AP101"/>
    <mergeCell ref="AQ100:AQ101"/>
    <mergeCell ref="AR100:AR101"/>
    <mergeCell ref="AS100:AS101"/>
    <mergeCell ref="AT100:AT101"/>
    <mergeCell ref="AI100:AI101"/>
    <mergeCell ref="AJ100:AJ101"/>
    <mergeCell ref="AK100:AK101"/>
    <mergeCell ref="AL100:AL101"/>
    <mergeCell ref="AM100:AM101"/>
    <mergeCell ref="AN100:AN101"/>
    <mergeCell ref="AC100:AC101"/>
    <mergeCell ref="AD100:AD101"/>
    <mergeCell ref="BP100:BP101"/>
    <mergeCell ref="D103:D105"/>
    <mergeCell ref="E103:F105"/>
    <mergeCell ref="G103:G105"/>
    <mergeCell ref="H103:H105"/>
    <mergeCell ref="I103:I105"/>
    <mergeCell ref="J103:J105"/>
    <mergeCell ref="BG100:BG101"/>
    <mergeCell ref="BH100:BH101"/>
    <mergeCell ref="BI100:BI101"/>
    <mergeCell ref="BJ100:BJ101"/>
    <mergeCell ref="BK100:BK101"/>
    <mergeCell ref="BL100:BL101"/>
    <mergeCell ref="BA100:BA101"/>
    <mergeCell ref="BB100:BB101"/>
    <mergeCell ref="BC100:BC101"/>
    <mergeCell ref="BD100:BD101"/>
    <mergeCell ref="BE100:BE101"/>
    <mergeCell ref="BF100:BF101"/>
    <mergeCell ref="AU100:AU101"/>
    <mergeCell ref="AV100:AV101"/>
    <mergeCell ref="AW100:AW101"/>
    <mergeCell ref="AX100:AX101"/>
    <mergeCell ref="AY100:AY101"/>
    <mergeCell ref="AE100:AE101"/>
    <mergeCell ref="AF100:AF101"/>
    <mergeCell ref="AG100:AG101"/>
    <mergeCell ref="AH100:AH101"/>
    <mergeCell ref="Q100:Q101"/>
    <mergeCell ref="R100:R101"/>
    <mergeCell ref="S100:S101"/>
    <mergeCell ref="Z100:Z101"/>
    <mergeCell ref="AA100:AA101"/>
    <mergeCell ref="AB100:AB101"/>
    <mergeCell ref="K100:K101"/>
    <mergeCell ref="L100:L101"/>
    <mergeCell ref="M100:M101"/>
    <mergeCell ref="N100:N101"/>
    <mergeCell ref="O100:O101"/>
    <mergeCell ref="P100:P101"/>
    <mergeCell ref="D100:D101"/>
    <mergeCell ref="E100:F101"/>
    <mergeCell ref="G100:G101"/>
    <mergeCell ref="H100:H101"/>
    <mergeCell ref="I100:I101"/>
    <mergeCell ref="J100:J101"/>
    <mergeCell ref="BO90:BO97"/>
    <mergeCell ref="BP90:BP97"/>
    <mergeCell ref="G93:G95"/>
    <mergeCell ref="H93:H95"/>
    <mergeCell ref="I93:I95"/>
    <mergeCell ref="J93:J95"/>
    <mergeCell ref="K93:K95"/>
    <mergeCell ref="L93:L95"/>
    <mergeCell ref="P93:P95"/>
    <mergeCell ref="T93:T95"/>
    <mergeCell ref="BI90:BI97"/>
    <mergeCell ref="BJ90:BJ97"/>
    <mergeCell ref="BK90:BK97"/>
    <mergeCell ref="BL90:BL97"/>
    <mergeCell ref="BM90:BM97"/>
    <mergeCell ref="BN90:BN97"/>
    <mergeCell ref="BC90:BC97"/>
    <mergeCell ref="BD90:BD97"/>
    <mergeCell ref="BE90:BE97"/>
    <mergeCell ref="BF90:BF97"/>
    <mergeCell ref="BG90:BG97"/>
    <mergeCell ref="BH90:BH97"/>
    <mergeCell ref="AW90:AW97"/>
    <mergeCell ref="AX90:AX97"/>
    <mergeCell ref="AY90:AY97"/>
    <mergeCell ref="AZ90:AZ97"/>
    <mergeCell ref="BA90:BA97"/>
    <mergeCell ref="BB90:BB97"/>
    <mergeCell ref="AQ90:AQ97"/>
    <mergeCell ref="AR90:AR97"/>
    <mergeCell ref="AS90:AS97"/>
    <mergeCell ref="AT90:AT97"/>
    <mergeCell ref="AU90:AU97"/>
    <mergeCell ref="AV90:AV97"/>
    <mergeCell ref="AK90:AK97"/>
    <mergeCell ref="AL90:AL97"/>
    <mergeCell ref="AM90:AM97"/>
    <mergeCell ref="AN90:AN97"/>
    <mergeCell ref="AO90:AO97"/>
    <mergeCell ref="AP90:AP97"/>
    <mergeCell ref="AE90:AE97"/>
    <mergeCell ref="AF90:AF97"/>
    <mergeCell ref="AG90:AG97"/>
    <mergeCell ref="AH90:AH97"/>
    <mergeCell ref="AI90:AI97"/>
    <mergeCell ref="AJ90:AJ97"/>
    <mergeCell ref="T90:T91"/>
    <mergeCell ref="Z90:Z97"/>
    <mergeCell ref="AA90:AA97"/>
    <mergeCell ref="AB90:AB97"/>
    <mergeCell ref="AC90:AC97"/>
    <mergeCell ref="AD90:AD97"/>
    <mergeCell ref="N90:N97"/>
    <mergeCell ref="O90:O97"/>
    <mergeCell ref="P90:P91"/>
    <mergeCell ref="Q90:Q97"/>
    <mergeCell ref="R90:R97"/>
    <mergeCell ref="S90:S97"/>
    <mergeCell ref="BN85:BN88"/>
    <mergeCell ref="BO85:BO88"/>
    <mergeCell ref="T87:T88"/>
    <mergeCell ref="G90:G91"/>
    <mergeCell ref="H90:H91"/>
    <mergeCell ref="I90:I91"/>
    <mergeCell ref="J90:J91"/>
    <mergeCell ref="K90:K91"/>
    <mergeCell ref="L90:L91"/>
    <mergeCell ref="M90:M97"/>
    <mergeCell ref="BH85:BH88"/>
    <mergeCell ref="BI85:BI88"/>
    <mergeCell ref="BJ85:BJ88"/>
    <mergeCell ref="BK85:BK88"/>
    <mergeCell ref="BL85:BL88"/>
    <mergeCell ref="BM85:BM88"/>
    <mergeCell ref="BB85:BB88"/>
    <mergeCell ref="BC85:BC88"/>
    <mergeCell ref="BD85:BD88"/>
    <mergeCell ref="BE85:BE88"/>
    <mergeCell ref="BF85:BF88"/>
    <mergeCell ref="BG85:BG88"/>
    <mergeCell ref="AV85:AV88"/>
    <mergeCell ref="AW85:AW88"/>
    <mergeCell ref="AX85:AX88"/>
    <mergeCell ref="AY85:AY88"/>
    <mergeCell ref="AZ85:AZ88"/>
    <mergeCell ref="BA85:BA88"/>
    <mergeCell ref="AP85:AP88"/>
    <mergeCell ref="AQ85:AQ88"/>
    <mergeCell ref="AR85:AR88"/>
    <mergeCell ref="AS85:AS88"/>
    <mergeCell ref="AT85:AT88"/>
    <mergeCell ref="AU85:AU88"/>
    <mergeCell ref="AJ85:AJ88"/>
    <mergeCell ref="AK85:AK88"/>
    <mergeCell ref="AL85:AL88"/>
    <mergeCell ref="AM85:AM88"/>
    <mergeCell ref="AN85:AN88"/>
    <mergeCell ref="AO85:AO88"/>
    <mergeCell ref="AD85:AD88"/>
    <mergeCell ref="AE85:AE88"/>
    <mergeCell ref="AF85:AF88"/>
    <mergeCell ref="AG85:AG88"/>
    <mergeCell ref="AH85:AH88"/>
    <mergeCell ref="AI85:AI88"/>
    <mergeCell ref="R85:R88"/>
    <mergeCell ref="S85:S88"/>
    <mergeCell ref="Z85:Z88"/>
    <mergeCell ref="AA85:AA88"/>
    <mergeCell ref="AB85:AB88"/>
    <mergeCell ref="AC85:AC88"/>
    <mergeCell ref="L85:L88"/>
    <mergeCell ref="M85:M88"/>
    <mergeCell ref="N85:N88"/>
    <mergeCell ref="O85:O88"/>
    <mergeCell ref="P85:P88"/>
    <mergeCell ref="Q85:Q88"/>
    <mergeCell ref="BK65:BK79"/>
    <mergeCell ref="BL65:BL79"/>
    <mergeCell ref="BN65:BN79"/>
    <mergeCell ref="BP65:BP79"/>
    <mergeCell ref="T75:T76"/>
    <mergeCell ref="G85:G88"/>
    <mergeCell ref="H85:H88"/>
    <mergeCell ref="I85:I88"/>
    <mergeCell ref="J85:J88"/>
    <mergeCell ref="K85:K88"/>
    <mergeCell ref="BE65:BE79"/>
    <mergeCell ref="BF65:BF79"/>
    <mergeCell ref="BG65:BG79"/>
    <mergeCell ref="BH65:BH79"/>
    <mergeCell ref="BI65:BI79"/>
    <mergeCell ref="BJ65:BJ79"/>
    <mergeCell ref="AY65:AY79"/>
    <mergeCell ref="AZ65:AZ79"/>
    <mergeCell ref="BA65:BA79"/>
    <mergeCell ref="BB65:BB79"/>
    <mergeCell ref="BC65:BC79"/>
    <mergeCell ref="BD65:BD79"/>
    <mergeCell ref="AS65:AS79"/>
    <mergeCell ref="AT65:AT79"/>
    <mergeCell ref="AU65:AU79"/>
    <mergeCell ref="AV65:AV79"/>
    <mergeCell ref="AW65:AW79"/>
    <mergeCell ref="AX65:AX79"/>
    <mergeCell ref="AM65:AM79"/>
    <mergeCell ref="AN65:AN79"/>
    <mergeCell ref="AO65:AO79"/>
    <mergeCell ref="AP65:AP79"/>
    <mergeCell ref="AQ65:AQ79"/>
    <mergeCell ref="AR65:AR79"/>
    <mergeCell ref="AG65:AG79"/>
    <mergeCell ref="AH65:AH79"/>
    <mergeCell ref="AI65:AI79"/>
    <mergeCell ref="AJ65:AJ79"/>
    <mergeCell ref="AK65:AK79"/>
    <mergeCell ref="AL65:AL79"/>
    <mergeCell ref="AA65:AA79"/>
    <mergeCell ref="AB65:AB79"/>
    <mergeCell ref="AC65:AC79"/>
    <mergeCell ref="AD65:AD79"/>
    <mergeCell ref="AE65:AE79"/>
    <mergeCell ref="AF65:AF79"/>
    <mergeCell ref="O65:O79"/>
    <mergeCell ref="P65:P79"/>
    <mergeCell ref="Q65:Q79"/>
    <mergeCell ref="R65:R79"/>
    <mergeCell ref="S65:S79"/>
    <mergeCell ref="Z65:Z79"/>
    <mergeCell ref="CU60:CU61"/>
    <mergeCell ref="CV60:CV61"/>
    <mergeCell ref="G65:G79"/>
    <mergeCell ref="H65:H79"/>
    <mergeCell ref="I65:I79"/>
    <mergeCell ref="J65:J79"/>
    <mergeCell ref="K65:K79"/>
    <mergeCell ref="L65:L79"/>
    <mergeCell ref="M65:M79"/>
    <mergeCell ref="N65:N79"/>
    <mergeCell ref="CO60:CO61"/>
    <mergeCell ref="CP60:CP61"/>
    <mergeCell ref="CQ60:CQ61"/>
    <mergeCell ref="CR60:CR61"/>
    <mergeCell ref="CS60:CS61"/>
    <mergeCell ref="CT60:CT61"/>
    <mergeCell ref="CI60:CI61"/>
    <mergeCell ref="CJ60:CJ61"/>
    <mergeCell ref="CK60:CK61"/>
    <mergeCell ref="CL60:CL61"/>
    <mergeCell ref="CM60:CM61"/>
    <mergeCell ref="CN60:CN61"/>
    <mergeCell ref="CC60:CC61"/>
    <mergeCell ref="CD60:CD61"/>
    <mergeCell ref="CE60:CE61"/>
    <mergeCell ref="CF60:CF61"/>
    <mergeCell ref="CG60:CG61"/>
    <mergeCell ref="CH60:CH61"/>
    <mergeCell ref="BW60:BW61"/>
    <mergeCell ref="BX60:BX61"/>
    <mergeCell ref="BY60:BY61"/>
    <mergeCell ref="BZ60:BZ61"/>
    <mergeCell ref="CA60:CA61"/>
    <mergeCell ref="CB60:CB61"/>
    <mergeCell ref="BQ60:BQ61"/>
    <mergeCell ref="BR60:BR61"/>
    <mergeCell ref="BS60:BS61"/>
    <mergeCell ref="BT60:BT61"/>
    <mergeCell ref="BU60:BU61"/>
    <mergeCell ref="BV60:BV61"/>
    <mergeCell ref="BN51:BN57"/>
    <mergeCell ref="BO51:BO57"/>
    <mergeCell ref="BP51:BP57"/>
    <mergeCell ref="D54:D57"/>
    <mergeCell ref="E54:F57"/>
    <mergeCell ref="T54:T55"/>
    <mergeCell ref="BH51:BH57"/>
    <mergeCell ref="BI51:BI57"/>
    <mergeCell ref="BJ51:BJ57"/>
    <mergeCell ref="BK51:BK57"/>
    <mergeCell ref="BL51:BL57"/>
    <mergeCell ref="BM51:BM57"/>
    <mergeCell ref="BB51:BB57"/>
    <mergeCell ref="BC51:BC57"/>
    <mergeCell ref="BD51:BD57"/>
    <mergeCell ref="BE51:BE57"/>
    <mergeCell ref="BF51:BF57"/>
    <mergeCell ref="BG51:BG57"/>
    <mergeCell ref="AV51:AV57"/>
    <mergeCell ref="AW51:AW57"/>
    <mergeCell ref="AX51:AX57"/>
    <mergeCell ref="AY51:AY57"/>
    <mergeCell ref="AZ51:AZ57"/>
    <mergeCell ref="BA51:BA57"/>
    <mergeCell ref="AQ51:AQ57"/>
    <mergeCell ref="AR51:AR57"/>
    <mergeCell ref="AS51:AS57"/>
    <mergeCell ref="AT51:AT57"/>
    <mergeCell ref="AU51:AU57"/>
    <mergeCell ref="AJ51:AJ57"/>
    <mergeCell ref="AK51:AK57"/>
    <mergeCell ref="AL51:AL57"/>
    <mergeCell ref="AM51:AM57"/>
    <mergeCell ref="AN51:AN57"/>
    <mergeCell ref="AO51:AO57"/>
    <mergeCell ref="AH51:AH57"/>
    <mergeCell ref="AI51:AI57"/>
    <mergeCell ref="R51:R57"/>
    <mergeCell ref="S51:S57"/>
    <mergeCell ref="Z51:Z57"/>
    <mergeCell ref="AA51:AA57"/>
    <mergeCell ref="AB51:AB57"/>
    <mergeCell ref="AC51:AC57"/>
    <mergeCell ref="AP51:AP57"/>
    <mergeCell ref="P51:P57"/>
    <mergeCell ref="Q51:Q57"/>
    <mergeCell ref="BL37:BL49"/>
    <mergeCell ref="BM37:BM49"/>
    <mergeCell ref="BN37:BN49"/>
    <mergeCell ref="AT37:AT49"/>
    <mergeCell ref="AI37:AI49"/>
    <mergeCell ref="AJ37:AJ49"/>
    <mergeCell ref="AK37:AK49"/>
    <mergeCell ref="AL37:AL49"/>
    <mergeCell ref="AM37:AM49"/>
    <mergeCell ref="AN37:AN49"/>
    <mergeCell ref="AC37:AC49"/>
    <mergeCell ref="AD37:AD49"/>
    <mergeCell ref="AE37:AE49"/>
    <mergeCell ref="AF37:AF49"/>
    <mergeCell ref="AG37:AG49"/>
    <mergeCell ref="AH37:AH49"/>
    <mergeCell ref="Q37:Q49"/>
    <mergeCell ref="R37:R49"/>
    <mergeCell ref="AD51:AD57"/>
    <mergeCell ref="AE51:AE57"/>
    <mergeCell ref="AF51:AF57"/>
    <mergeCell ref="AG51:AG57"/>
    <mergeCell ref="G51:G57"/>
    <mergeCell ref="H51:H57"/>
    <mergeCell ref="I51:I57"/>
    <mergeCell ref="J51:J57"/>
    <mergeCell ref="K51:K57"/>
    <mergeCell ref="BF37:BF49"/>
    <mergeCell ref="BG37:BG49"/>
    <mergeCell ref="BH37:BH49"/>
    <mergeCell ref="BI37:BI49"/>
    <mergeCell ref="AU37:AU49"/>
    <mergeCell ref="AV37:AV49"/>
    <mergeCell ref="AW37:AW49"/>
    <mergeCell ref="AX37:AX49"/>
    <mergeCell ref="AY37:AY49"/>
    <mergeCell ref="BA37:BA49"/>
    <mergeCell ref="AO37:AO49"/>
    <mergeCell ref="AP37:AP49"/>
    <mergeCell ref="AQ37:AQ49"/>
    <mergeCell ref="AR37:AR49"/>
    <mergeCell ref="AS37:AS49"/>
    <mergeCell ref="L51:L57"/>
    <mergeCell ref="M51:M57"/>
    <mergeCell ref="N51:N57"/>
    <mergeCell ref="O51:O57"/>
    <mergeCell ref="S37:S49"/>
    <mergeCell ref="Z37:Z49"/>
    <mergeCell ref="AA37:AA49"/>
    <mergeCell ref="AB37:AB49"/>
    <mergeCell ref="K37:K49"/>
    <mergeCell ref="L37:L49"/>
    <mergeCell ref="M37:M49"/>
    <mergeCell ref="N37:N49"/>
    <mergeCell ref="O37:O49"/>
    <mergeCell ref="P37:P49"/>
    <mergeCell ref="D37:D49"/>
    <mergeCell ref="E37:F49"/>
    <mergeCell ref="G37:G49"/>
    <mergeCell ref="H37:H49"/>
    <mergeCell ref="I37:I49"/>
    <mergeCell ref="J37:J49"/>
    <mergeCell ref="BL33:BL35"/>
    <mergeCell ref="BM33:BM35"/>
    <mergeCell ref="BN33:BN35"/>
    <mergeCell ref="AT33:AT35"/>
    <mergeCell ref="AU33:AU35"/>
    <mergeCell ref="AV33:AV35"/>
    <mergeCell ref="AW33:AW35"/>
    <mergeCell ref="AX33:AX35"/>
    <mergeCell ref="AY33:AY35"/>
    <mergeCell ref="AN33:AN35"/>
    <mergeCell ref="AO33:AO35"/>
    <mergeCell ref="AP33:AP35"/>
    <mergeCell ref="AQ33:AQ35"/>
    <mergeCell ref="AR33:AR35"/>
    <mergeCell ref="AS33:AS35"/>
    <mergeCell ref="AH33:AH35"/>
    <mergeCell ref="AI33:AI35"/>
    <mergeCell ref="AJ33:AJ35"/>
    <mergeCell ref="BO33:BO35"/>
    <mergeCell ref="BP33:BP35"/>
    <mergeCell ref="AZ36:AZ49"/>
    <mergeCell ref="BB37:BB49"/>
    <mergeCell ref="BC37:BC49"/>
    <mergeCell ref="BD37:BD49"/>
    <mergeCell ref="BE37:BE49"/>
    <mergeCell ref="BF33:BF35"/>
    <mergeCell ref="BG33:BG35"/>
    <mergeCell ref="BH33:BH35"/>
    <mergeCell ref="BI33:BI35"/>
    <mergeCell ref="BJ33:BJ35"/>
    <mergeCell ref="BK33:BK35"/>
    <mergeCell ref="AZ33:AZ35"/>
    <mergeCell ref="BA33:BA35"/>
    <mergeCell ref="BB33:BB35"/>
    <mergeCell ref="BC33:BC35"/>
    <mergeCell ref="BD33:BD35"/>
    <mergeCell ref="BE33:BE35"/>
    <mergeCell ref="BO37:BO49"/>
    <mergeCell ref="BP37:BP49"/>
    <mergeCell ref="BJ37:BJ49"/>
    <mergeCell ref="BK37:BK49"/>
    <mergeCell ref="AK33:AK35"/>
    <mergeCell ref="AL33:AL35"/>
    <mergeCell ref="AM33:AM35"/>
    <mergeCell ref="AB33:AB35"/>
    <mergeCell ref="AC33:AC35"/>
    <mergeCell ref="AD33:AD35"/>
    <mergeCell ref="AE33:AE35"/>
    <mergeCell ref="AF33:AF35"/>
    <mergeCell ref="AG33:AG35"/>
    <mergeCell ref="P33:P35"/>
    <mergeCell ref="Q33:Q35"/>
    <mergeCell ref="R33:R35"/>
    <mergeCell ref="S33:S35"/>
    <mergeCell ref="Z33:Z35"/>
    <mergeCell ref="AA33:AA35"/>
    <mergeCell ref="J33:J35"/>
    <mergeCell ref="K33:K35"/>
    <mergeCell ref="L33:L35"/>
    <mergeCell ref="M33:M35"/>
    <mergeCell ref="N33:N35"/>
    <mergeCell ref="O33:O35"/>
    <mergeCell ref="D33:D35"/>
    <mergeCell ref="E33:E35"/>
    <mergeCell ref="F33:F35"/>
    <mergeCell ref="G33:G35"/>
    <mergeCell ref="H33:H35"/>
    <mergeCell ref="I33:I35"/>
    <mergeCell ref="BL16:BL31"/>
    <mergeCell ref="BM16:BM31"/>
    <mergeCell ref="BN16:BN31"/>
    <mergeCell ref="AQ16:AQ31"/>
    <mergeCell ref="AR16:AR31"/>
    <mergeCell ref="AS16:AS31"/>
    <mergeCell ref="AH16:AH31"/>
    <mergeCell ref="AI16:AI31"/>
    <mergeCell ref="AJ16:AJ31"/>
    <mergeCell ref="AK16:AK31"/>
    <mergeCell ref="AL16:AL31"/>
    <mergeCell ref="AM16:AM31"/>
    <mergeCell ref="AB16:AB31"/>
    <mergeCell ref="AC16:AC31"/>
    <mergeCell ref="AD16:AD31"/>
    <mergeCell ref="AE16:AE31"/>
    <mergeCell ref="AF16:AF31"/>
    <mergeCell ref="AG16:AG31"/>
    <mergeCell ref="BO16:BO31"/>
    <mergeCell ref="BP16:BP31"/>
    <mergeCell ref="T29:T30"/>
    <mergeCell ref="BF16:BF31"/>
    <mergeCell ref="BG16:BG31"/>
    <mergeCell ref="BH16:BH31"/>
    <mergeCell ref="BI16:BI31"/>
    <mergeCell ref="BJ16:BJ31"/>
    <mergeCell ref="BK16:BK31"/>
    <mergeCell ref="AZ16:AZ31"/>
    <mergeCell ref="BA16:BA31"/>
    <mergeCell ref="BB16:BB31"/>
    <mergeCell ref="BC16:BC31"/>
    <mergeCell ref="BD16:BD31"/>
    <mergeCell ref="BE16:BE31"/>
    <mergeCell ref="AT16:AT31"/>
    <mergeCell ref="AU16:AU31"/>
    <mergeCell ref="AV16:AV31"/>
    <mergeCell ref="AW16:AW31"/>
    <mergeCell ref="AX16:AX31"/>
    <mergeCell ref="AY16:AY31"/>
    <mergeCell ref="AN16:AN31"/>
    <mergeCell ref="AO16:AO31"/>
    <mergeCell ref="AP16:AP31"/>
    <mergeCell ref="S16:S31"/>
    <mergeCell ref="Z16:Z31"/>
    <mergeCell ref="AA16:AA31"/>
    <mergeCell ref="J16:J31"/>
    <mergeCell ref="K16:K31"/>
    <mergeCell ref="L16:L31"/>
    <mergeCell ref="M16:M31"/>
    <mergeCell ref="N16:N31"/>
    <mergeCell ref="O16:O31"/>
    <mergeCell ref="BJ8:BJ9"/>
    <mergeCell ref="BK8:BK9"/>
    <mergeCell ref="D16:D31"/>
    <mergeCell ref="E16:F31"/>
    <mergeCell ref="G16:G31"/>
    <mergeCell ref="H16:H31"/>
    <mergeCell ref="I16:I31"/>
    <mergeCell ref="AT8:AU8"/>
    <mergeCell ref="AV8:AW8"/>
    <mergeCell ref="AX8:AY8"/>
    <mergeCell ref="AZ8:BA8"/>
    <mergeCell ref="BB8:BC8"/>
    <mergeCell ref="BF8:BF9"/>
    <mergeCell ref="AH8:AI8"/>
    <mergeCell ref="AJ8:AK8"/>
    <mergeCell ref="AL8:AM8"/>
    <mergeCell ref="AN8:AO8"/>
    <mergeCell ref="AP8:AQ8"/>
    <mergeCell ref="AR8:AS8"/>
    <mergeCell ref="BD7:BE8"/>
    <mergeCell ref="BF7:BK7"/>
    <mergeCell ref="P16:P31"/>
    <mergeCell ref="Q16:Q31"/>
    <mergeCell ref="R16:R31"/>
    <mergeCell ref="P7:P9"/>
    <mergeCell ref="Q7:Q9"/>
    <mergeCell ref="R7:R9"/>
    <mergeCell ref="S7:S9"/>
    <mergeCell ref="T7:T9"/>
    <mergeCell ref="U7:W7"/>
    <mergeCell ref="BG8:BG9"/>
    <mergeCell ref="BH8:BH9"/>
    <mergeCell ref="BI8:BI9"/>
    <mergeCell ref="X7:X9"/>
    <mergeCell ref="Y7:Y9"/>
    <mergeCell ref="Z7:AC7"/>
    <mergeCell ref="AD7:AK7"/>
    <mergeCell ref="AL7:AW7"/>
    <mergeCell ref="AX7:BC7"/>
    <mergeCell ref="Z8:AA8"/>
    <mergeCell ref="AB8:AC8"/>
    <mergeCell ref="AD8:AE8"/>
    <mergeCell ref="AF8:AG8"/>
    <mergeCell ref="I7:I9"/>
    <mergeCell ref="J7:J9"/>
    <mergeCell ref="K7:L7"/>
    <mergeCell ref="M7:M9"/>
    <mergeCell ref="N7:N9"/>
    <mergeCell ref="O7:O9"/>
    <mergeCell ref="A1:BM4"/>
    <mergeCell ref="A5:L6"/>
    <mergeCell ref="N5:BP5"/>
    <mergeCell ref="AA6:BC6"/>
    <mergeCell ref="A7:A9"/>
    <mergeCell ref="B7:C9"/>
    <mergeCell ref="D7:D9"/>
    <mergeCell ref="E7:F9"/>
    <mergeCell ref="G7:G9"/>
    <mergeCell ref="H7:H9"/>
    <mergeCell ref="BL7:BM8"/>
    <mergeCell ref="BN7:BO8"/>
    <mergeCell ref="BP7:BP9"/>
    <mergeCell ref="K8:K9"/>
    <mergeCell ref="L8:L9"/>
    <mergeCell ref="U8:U9"/>
    <mergeCell ref="V8:V9"/>
    <mergeCell ref="W8:W9"/>
  </mergeCells>
  <pageMargins left="0.7" right="0.7" top="0.75" bottom="0.75" header="0.3" footer="0.3"/>
  <pageSetup paperSize="9"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G184"/>
  <sheetViews>
    <sheetView showGridLines="0" zoomScale="50" zoomScaleNormal="50" workbookViewId="0">
      <selection sqref="A1:BN4"/>
    </sheetView>
  </sheetViews>
  <sheetFormatPr baseColWidth="10" defaultColWidth="11.42578125" defaultRowHeight="14.25" x14ac:dyDescent="0.2"/>
  <cols>
    <col min="1" max="1" width="14.28515625" style="1372" customWidth="1"/>
    <col min="2" max="2" width="5.5703125" style="1170" customWidth="1"/>
    <col min="3" max="3" width="17.7109375" style="1170" customWidth="1"/>
    <col min="4" max="4" width="15.85546875" style="1170" customWidth="1"/>
    <col min="5" max="5" width="12.85546875" style="1170" customWidth="1"/>
    <col min="6" max="6" width="6.7109375" style="1170" customWidth="1"/>
    <col min="7" max="7" width="16.140625" style="1373" customWidth="1"/>
    <col min="8" max="8" width="17.5703125" style="1373" customWidth="1"/>
    <col min="9" max="9" width="35.85546875" style="1374" customWidth="1"/>
    <col min="10" max="10" width="46.28515625" style="1374" customWidth="1"/>
    <col min="11" max="11" width="16" style="1169" customWidth="1"/>
    <col min="12" max="12" width="22.28515625" style="1169" customWidth="1"/>
    <col min="13" max="13" width="38.28515625" style="1374" customWidth="1"/>
    <col min="14" max="14" width="28.85546875" style="1375" customWidth="1"/>
    <col min="15" max="15" width="30.85546875" style="1374" customWidth="1"/>
    <col min="16" max="16" width="14.140625" style="1376" bestFit="1" customWidth="1"/>
    <col min="17" max="17" width="28.28515625" style="1377" customWidth="1"/>
    <col min="18" max="18" width="42.28515625" style="1374" customWidth="1"/>
    <col min="19" max="19" width="39.7109375" style="1374" customWidth="1"/>
    <col min="20" max="20" width="56.140625" style="1378" customWidth="1"/>
    <col min="21" max="21" width="34.85546875" style="1377" customWidth="1"/>
    <col min="22" max="22" width="34.7109375" style="1385" customWidth="1"/>
    <col min="23" max="23" width="33.7109375" style="1385" customWidth="1"/>
    <col min="24" max="24" width="21.85546875" style="1381" customWidth="1"/>
    <col min="25" max="25" width="35.42578125" style="1374" customWidth="1"/>
    <col min="26" max="57" width="9.7109375" style="1373" customWidth="1"/>
    <col min="58" max="58" width="22.140625" style="1373" customWidth="1"/>
    <col min="59" max="59" width="27.28515625" style="1373" customWidth="1"/>
    <col min="60" max="60" width="27.140625" style="1373" customWidth="1"/>
    <col min="61" max="61" width="20" style="1373" customWidth="1"/>
    <col min="62" max="62" width="19.140625" style="1373" customWidth="1"/>
    <col min="63" max="63" width="36.140625" style="1373" customWidth="1"/>
    <col min="64" max="64" width="19.7109375" style="1382" customWidth="1"/>
    <col min="65" max="65" width="16.85546875" style="1382" customWidth="1"/>
    <col min="66" max="66" width="20.140625" style="1383" customWidth="1"/>
    <col min="67" max="67" width="16" style="1383" customWidth="1"/>
    <col min="68" max="68" width="30.5703125" style="1384" customWidth="1"/>
    <col min="69" max="16384" width="11.42578125" style="1170"/>
  </cols>
  <sheetData>
    <row r="1" spans="1:85" ht="16.5" customHeight="1" x14ac:dyDescent="0.2">
      <c r="A1" s="2793" t="s">
        <v>1046</v>
      </c>
      <c r="B1" s="2793"/>
      <c r="C1" s="2793"/>
      <c r="D1" s="2793"/>
      <c r="E1" s="2793"/>
      <c r="F1" s="2793"/>
      <c r="G1" s="2793"/>
      <c r="H1" s="2793"/>
      <c r="I1" s="2793"/>
      <c r="J1" s="2793"/>
      <c r="K1" s="2793"/>
      <c r="L1" s="2793"/>
      <c r="M1" s="2793"/>
      <c r="N1" s="2793"/>
      <c r="O1" s="2793"/>
      <c r="P1" s="2793"/>
      <c r="Q1" s="2793"/>
      <c r="R1" s="2793"/>
      <c r="S1" s="2793"/>
      <c r="T1" s="2793"/>
      <c r="U1" s="2793"/>
      <c r="V1" s="2793"/>
      <c r="W1" s="2793"/>
      <c r="X1" s="2793"/>
      <c r="Y1" s="2793"/>
      <c r="Z1" s="2793"/>
      <c r="AA1" s="2793"/>
      <c r="AB1" s="2793"/>
      <c r="AC1" s="2793"/>
      <c r="AD1" s="2793"/>
      <c r="AE1" s="2793"/>
      <c r="AF1" s="2793"/>
      <c r="AG1" s="2793"/>
      <c r="AH1" s="2793"/>
      <c r="AI1" s="2793"/>
      <c r="AJ1" s="2793"/>
      <c r="AK1" s="2793"/>
      <c r="AL1" s="2793"/>
      <c r="AM1" s="2793"/>
      <c r="AN1" s="2793"/>
      <c r="AO1" s="2793"/>
      <c r="AP1" s="2793"/>
      <c r="AQ1" s="2793"/>
      <c r="AR1" s="2793"/>
      <c r="AS1" s="2793"/>
      <c r="AT1" s="2793"/>
      <c r="AU1" s="2793"/>
      <c r="AV1" s="2793"/>
      <c r="AW1" s="2793"/>
      <c r="AX1" s="2793"/>
      <c r="AY1" s="2793"/>
      <c r="AZ1" s="2793"/>
      <c r="BA1" s="2793"/>
      <c r="BB1" s="2793"/>
      <c r="BC1" s="2793"/>
      <c r="BD1" s="2793"/>
      <c r="BE1" s="2793"/>
      <c r="BF1" s="2793"/>
      <c r="BG1" s="2793"/>
      <c r="BH1" s="2793"/>
      <c r="BI1" s="2793"/>
      <c r="BJ1" s="2793"/>
      <c r="BK1" s="2793"/>
      <c r="BL1" s="2793"/>
      <c r="BM1" s="2793"/>
      <c r="BN1" s="2794"/>
      <c r="BO1" s="1167" t="s">
        <v>29</v>
      </c>
      <c r="BP1" s="1168" t="s">
        <v>1047</v>
      </c>
      <c r="BQ1" s="1169"/>
      <c r="BR1" s="1169"/>
      <c r="BS1" s="1169"/>
      <c r="BT1" s="1169"/>
      <c r="BU1" s="1169"/>
      <c r="BV1" s="1169"/>
      <c r="BW1" s="1169"/>
      <c r="BX1" s="1169"/>
      <c r="BY1" s="1169"/>
      <c r="BZ1" s="1169"/>
      <c r="CA1" s="1169"/>
      <c r="CB1" s="1169"/>
      <c r="CC1" s="1169"/>
      <c r="CD1" s="1169"/>
      <c r="CE1" s="1169"/>
      <c r="CF1" s="1169"/>
      <c r="CG1" s="1169"/>
    </row>
    <row r="2" spans="1:85" ht="18.75" customHeight="1" x14ac:dyDescent="0.2">
      <c r="A2" s="2793"/>
      <c r="B2" s="2793"/>
      <c r="C2" s="2793"/>
      <c r="D2" s="2793"/>
      <c r="E2" s="2793"/>
      <c r="F2" s="2793"/>
      <c r="G2" s="2793"/>
      <c r="H2" s="2793"/>
      <c r="I2" s="2793"/>
      <c r="J2" s="2793"/>
      <c r="K2" s="2793"/>
      <c r="L2" s="2793"/>
      <c r="M2" s="2793"/>
      <c r="N2" s="2793"/>
      <c r="O2" s="2793"/>
      <c r="P2" s="2793"/>
      <c r="Q2" s="2793"/>
      <c r="R2" s="2793"/>
      <c r="S2" s="2793"/>
      <c r="T2" s="2793"/>
      <c r="U2" s="2793"/>
      <c r="V2" s="2793"/>
      <c r="W2" s="2793"/>
      <c r="X2" s="2793"/>
      <c r="Y2" s="2793"/>
      <c r="Z2" s="2793"/>
      <c r="AA2" s="2793"/>
      <c r="AB2" s="2793"/>
      <c r="AC2" s="2793"/>
      <c r="AD2" s="2793"/>
      <c r="AE2" s="2793"/>
      <c r="AF2" s="2793"/>
      <c r="AG2" s="2793"/>
      <c r="AH2" s="2793"/>
      <c r="AI2" s="2793"/>
      <c r="AJ2" s="2793"/>
      <c r="AK2" s="2793"/>
      <c r="AL2" s="2793"/>
      <c r="AM2" s="2793"/>
      <c r="AN2" s="2793"/>
      <c r="AO2" s="2793"/>
      <c r="AP2" s="2793"/>
      <c r="AQ2" s="2793"/>
      <c r="AR2" s="2793"/>
      <c r="AS2" s="2793"/>
      <c r="AT2" s="2793"/>
      <c r="AU2" s="2793"/>
      <c r="AV2" s="2793"/>
      <c r="AW2" s="2793"/>
      <c r="AX2" s="2793"/>
      <c r="AY2" s="2793"/>
      <c r="AZ2" s="2793"/>
      <c r="BA2" s="2793"/>
      <c r="BB2" s="2793"/>
      <c r="BC2" s="2793"/>
      <c r="BD2" s="2793"/>
      <c r="BE2" s="2793"/>
      <c r="BF2" s="2793"/>
      <c r="BG2" s="2793"/>
      <c r="BH2" s="2793"/>
      <c r="BI2" s="2793"/>
      <c r="BJ2" s="2793"/>
      <c r="BK2" s="2793"/>
      <c r="BL2" s="2793"/>
      <c r="BM2" s="2793"/>
      <c r="BN2" s="2794"/>
      <c r="BO2" s="1167" t="s">
        <v>30</v>
      </c>
      <c r="BP2" s="1168" t="s">
        <v>31</v>
      </c>
      <c r="BQ2" s="1169"/>
      <c r="BR2" s="1169"/>
      <c r="BS2" s="1169"/>
      <c r="BT2" s="1169"/>
      <c r="BU2" s="1169"/>
      <c r="BV2" s="1169"/>
      <c r="BW2" s="1169"/>
      <c r="BX2" s="1169"/>
      <c r="BY2" s="1169"/>
      <c r="BZ2" s="1169"/>
      <c r="CA2" s="1169"/>
      <c r="CB2" s="1169"/>
      <c r="CC2" s="1169"/>
      <c r="CD2" s="1169"/>
      <c r="CE2" s="1169"/>
      <c r="CF2" s="1169"/>
      <c r="CG2" s="1169"/>
    </row>
    <row r="3" spans="1:85" ht="18" customHeight="1" x14ac:dyDescent="0.2">
      <c r="A3" s="2793"/>
      <c r="B3" s="2793"/>
      <c r="C3" s="2793"/>
      <c r="D3" s="2793"/>
      <c r="E3" s="2793"/>
      <c r="F3" s="2793"/>
      <c r="G3" s="2793"/>
      <c r="H3" s="2793"/>
      <c r="I3" s="2793"/>
      <c r="J3" s="2793"/>
      <c r="K3" s="2793"/>
      <c r="L3" s="2793"/>
      <c r="M3" s="2793"/>
      <c r="N3" s="2793"/>
      <c r="O3" s="2793"/>
      <c r="P3" s="2793"/>
      <c r="Q3" s="2793"/>
      <c r="R3" s="2793"/>
      <c r="S3" s="2793"/>
      <c r="T3" s="2793"/>
      <c r="U3" s="2793"/>
      <c r="V3" s="2793"/>
      <c r="W3" s="2793"/>
      <c r="X3" s="2793"/>
      <c r="Y3" s="2793"/>
      <c r="Z3" s="2793"/>
      <c r="AA3" s="2793"/>
      <c r="AB3" s="2793"/>
      <c r="AC3" s="2793"/>
      <c r="AD3" s="2793"/>
      <c r="AE3" s="2793"/>
      <c r="AF3" s="2793"/>
      <c r="AG3" s="2793"/>
      <c r="AH3" s="2793"/>
      <c r="AI3" s="2793"/>
      <c r="AJ3" s="2793"/>
      <c r="AK3" s="2793"/>
      <c r="AL3" s="2793"/>
      <c r="AM3" s="2793"/>
      <c r="AN3" s="2793"/>
      <c r="AO3" s="2793"/>
      <c r="AP3" s="2793"/>
      <c r="AQ3" s="2793"/>
      <c r="AR3" s="2793"/>
      <c r="AS3" s="2793"/>
      <c r="AT3" s="2793"/>
      <c r="AU3" s="2793"/>
      <c r="AV3" s="2793"/>
      <c r="AW3" s="2793"/>
      <c r="AX3" s="2793"/>
      <c r="AY3" s="2793"/>
      <c r="AZ3" s="2793"/>
      <c r="BA3" s="2793"/>
      <c r="BB3" s="2793"/>
      <c r="BC3" s="2793"/>
      <c r="BD3" s="2793"/>
      <c r="BE3" s="2793"/>
      <c r="BF3" s="2793"/>
      <c r="BG3" s="2793"/>
      <c r="BH3" s="2793"/>
      <c r="BI3" s="2793"/>
      <c r="BJ3" s="2793"/>
      <c r="BK3" s="2793"/>
      <c r="BL3" s="2793"/>
      <c r="BM3" s="2793"/>
      <c r="BN3" s="2794"/>
      <c r="BO3" s="1167" t="s">
        <v>32</v>
      </c>
      <c r="BP3" s="1171" t="s">
        <v>33</v>
      </c>
      <c r="BQ3" s="1169"/>
      <c r="BR3" s="1169"/>
      <c r="BS3" s="1169"/>
      <c r="BT3" s="1169"/>
      <c r="BU3" s="1169"/>
      <c r="BV3" s="1169"/>
      <c r="BW3" s="1169"/>
      <c r="BX3" s="1169"/>
      <c r="BY3" s="1169"/>
      <c r="BZ3" s="1169"/>
      <c r="CA3" s="1169"/>
      <c r="CB3" s="1169"/>
      <c r="CC3" s="1169"/>
      <c r="CD3" s="1169"/>
      <c r="CE3" s="1169"/>
      <c r="CF3" s="1169"/>
      <c r="CG3" s="1169"/>
    </row>
    <row r="4" spans="1:85" ht="14.25" customHeight="1" x14ac:dyDescent="0.2">
      <c r="A4" s="2795"/>
      <c r="B4" s="2795"/>
      <c r="C4" s="2795"/>
      <c r="D4" s="2795"/>
      <c r="E4" s="2795"/>
      <c r="F4" s="2795"/>
      <c r="G4" s="2795"/>
      <c r="H4" s="2795"/>
      <c r="I4" s="2795"/>
      <c r="J4" s="2795"/>
      <c r="K4" s="2795"/>
      <c r="L4" s="2795"/>
      <c r="M4" s="2795"/>
      <c r="N4" s="2795"/>
      <c r="O4" s="2795"/>
      <c r="P4" s="2795"/>
      <c r="Q4" s="2795"/>
      <c r="R4" s="2795"/>
      <c r="S4" s="2795"/>
      <c r="T4" s="2795"/>
      <c r="U4" s="2795"/>
      <c r="V4" s="2795"/>
      <c r="W4" s="2795"/>
      <c r="X4" s="2795"/>
      <c r="Y4" s="2795"/>
      <c r="Z4" s="2795"/>
      <c r="AA4" s="2795"/>
      <c r="AB4" s="2795"/>
      <c r="AC4" s="2795"/>
      <c r="AD4" s="2795"/>
      <c r="AE4" s="2795"/>
      <c r="AF4" s="2795"/>
      <c r="AG4" s="2795"/>
      <c r="AH4" s="2795"/>
      <c r="AI4" s="2795"/>
      <c r="AJ4" s="2795"/>
      <c r="AK4" s="2795"/>
      <c r="AL4" s="2795"/>
      <c r="AM4" s="2795"/>
      <c r="AN4" s="2795"/>
      <c r="AO4" s="2795"/>
      <c r="AP4" s="2795"/>
      <c r="AQ4" s="2795"/>
      <c r="AR4" s="2795"/>
      <c r="AS4" s="2795"/>
      <c r="AT4" s="2795"/>
      <c r="AU4" s="2795"/>
      <c r="AV4" s="2795"/>
      <c r="AW4" s="2795"/>
      <c r="AX4" s="2795"/>
      <c r="AY4" s="2795"/>
      <c r="AZ4" s="2795"/>
      <c r="BA4" s="2795"/>
      <c r="BB4" s="2795"/>
      <c r="BC4" s="2795"/>
      <c r="BD4" s="2795"/>
      <c r="BE4" s="2795"/>
      <c r="BF4" s="2795"/>
      <c r="BG4" s="2795"/>
      <c r="BH4" s="2795"/>
      <c r="BI4" s="2795"/>
      <c r="BJ4" s="2795"/>
      <c r="BK4" s="2795"/>
      <c r="BL4" s="2795"/>
      <c r="BM4" s="2795"/>
      <c r="BN4" s="2796"/>
      <c r="BO4" s="1167" t="s">
        <v>34</v>
      </c>
      <c r="BP4" s="1172" t="s">
        <v>35</v>
      </c>
      <c r="BQ4" s="1169"/>
      <c r="BR4" s="1169"/>
      <c r="BS4" s="1169"/>
      <c r="BT4" s="1169"/>
      <c r="BU4" s="1169"/>
      <c r="BV4" s="1169"/>
      <c r="BW4" s="1169"/>
      <c r="BX4" s="1169"/>
      <c r="BY4" s="1169"/>
      <c r="BZ4" s="1169"/>
      <c r="CA4" s="1169"/>
      <c r="CB4" s="1169"/>
      <c r="CC4" s="1169"/>
      <c r="CD4" s="1169"/>
      <c r="CE4" s="1169"/>
      <c r="CF4" s="1169"/>
      <c r="CG4" s="1169"/>
    </row>
    <row r="5" spans="1:85" s="768" customFormat="1" ht="24" customHeight="1" x14ac:dyDescent="0.2">
      <c r="A5" s="2251" t="s">
        <v>36</v>
      </c>
      <c r="B5" s="2251"/>
      <c r="C5" s="2251"/>
      <c r="D5" s="2251"/>
      <c r="E5" s="2251"/>
      <c r="F5" s="2251"/>
      <c r="G5" s="2251"/>
      <c r="H5" s="2251"/>
      <c r="I5" s="2251"/>
      <c r="J5" s="2251"/>
      <c r="K5" s="2251"/>
      <c r="L5" s="574"/>
      <c r="M5" s="2555" t="s">
        <v>37</v>
      </c>
      <c r="N5" s="2555"/>
      <c r="O5" s="2555"/>
      <c r="P5" s="2555"/>
      <c r="Q5" s="2555"/>
      <c r="R5" s="2555"/>
      <c r="S5" s="2555"/>
      <c r="T5" s="2555"/>
      <c r="U5" s="2555"/>
      <c r="V5" s="2555"/>
      <c r="W5" s="2555"/>
      <c r="X5" s="2555"/>
      <c r="Y5" s="2555"/>
      <c r="Z5" s="2555"/>
      <c r="AA5" s="2555"/>
      <c r="AB5" s="2555"/>
      <c r="AC5" s="2555"/>
      <c r="AD5" s="2555"/>
      <c r="AE5" s="2555"/>
      <c r="AF5" s="2555"/>
      <c r="AG5" s="2555"/>
      <c r="AH5" s="2555"/>
      <c r="AI5" s="2555"/>
      <c r="AJ5" s="2555"/>
      <c r="AK5" s="2555"/>
      <c r="AL5" s="2555"/>
      <c r="AM5" s="2555"/>
      <c r="AN5" s="2555"/>
      <c r="AO5" s="2555"/>
      <c r="AP5" s="2555"/>
      <c r="AQ5" s="2555"/>
      <c r="AR5" s="2555"/>
      <c r="AS5" s="2555"/>
      <c r="AT5" s="2555"/>
      <c r="AU5" s="2555"/>
      <c r="AV5" s="2555"/>
      <c r="AW5" s="2555"/>
      <c r="AX5" s="2555"/>
      <c r="AY5" s="2555"/>
      <c r="AZ5" s="2555"/>
      <c r="BA5" s="2555"/>
      <c r="BB5" s="2555"/>
      <c r="BC5" s="2555"/>
      <c r="BD5" s="2555"/>
      <c r="BE5" s="2555"/>
      <c r="BF5" s="2555"/>
      <c r="BG5" s="2555"/>
      <c r="BH5" s="2555"/>
      <c r="BI5" s="2555"/>
      <c r="BJ5" s="2555"/>
      <c r="BK5" s="2555"/>
      <c r="BL5" s="2555"/>
      <c r="BM5" s="2555"/>
      <c r="BN5" s="2555"/>
      <c r="BO5" s="2555"/>
      <c r="BP5" s="2555"/>
      <c r="BQ5" s="1173"/>
      <c r="BR5" s="1173"/>
      <c r="BS5" s="1173"/>
      <c r="BT5" s="1173"/>
      <c r="BU5" s="1173"/>
      <c r="BV5" s="1173"/>
      <c r="BW5" s="1173"/>
      <c r="BX5" s="1173"/>
      <c r="BY5" s="1173"/>
      <c r="BZ5" s="1173"/>
      <c r="CA5" s="1173"/>
      <c r="CB5" s="1173"/>
      <c r="CC5" s="1173"/>
      <c r="CD5" s="1173"/>
      <c r="CE5" s="1173"/>
      <c r="CF5" s="1173"/>
      <c r="CG5" s="1173"/>
    </row>
    <row r="6" spans="1:85" s="768" customFormat="1" ht="24.75" customHeight="1" thickBot="1" x14ac:dyDescent="0.25">
      <c r="A6" s="2253"/>
      <c r="B6" s="2253"/>
      <c r="C6" s="2253"/>
      <c r="D6" s="2253"/>
      <c r="E6" s="2253"/>
      <c r="F6" s="2253"/>
      <c r="G6" s="2253"/>
      <c r="H6" s="2253"/>
      <c r="I6" s="2253"/>
      <c r="J6" s="2253"/>
      <c r="K6" s="2253"/>
      <c r="L6" s="576"/>
      <c r="M6" s="1174"/>
      <c r="N6" s="1175"/>
      <c r="O6" s="1176"/>
      <c r="P6" s="576"/>
      <c r="Q6" s="576"/>
      <c r="R6" s="1176"/>
      <c r="S6" s="1176"/>
      <c r="T6" s="1177"/>
      <c r="U6" s="575"/>
      <c r="V6" s="1178"/>
      <c r="W6" s="1178"/>
      <c r="X6" s="575"/>
      <c r="Y6" s="1176"/>
      <c r="Z6" s="2557" t="s">
        <v>38</v>
      </c>
      <c r="AA6" s="2253"/>
      <c r="AB6" s="2253"/>
      <c r="AC6" s="2253"/>
      <c r="AD6" s="2253"/>
      <c r="AE6" s="2253"/>
      <c r="AF6" s="2253"/>
      <c r="AG6" s="2253"/>
      <c r="AH6" s="2253"/>
      <c r="AI6" s="2253"/>
      <c r="AJ6" s="2253"/>
      <c r="AK6" s="2253"/>
      <c r="AL6" s="2253"/>
      <c r="AM6" s="2253"/>
      <c r="AN6" s="2253"/>
      <c r="AO6" s="2253"/>
      <c r="AP6" s="2253"/>
      <c r="AQ6" s="2253"/>
      <c r="AR6" s="2253"/>
      <c r="AS6" s="2253"/>
      <c r="AT6" s="2253"/>
      <c r="AU6" s="2253"/>
      <c r="AV6" s="2253"/>
      <c r="AW6" s="2253"/>
      <c r="AX6" s="2253"/>
      <c r="AY6" s="2253"/>
      <c r="AZ6" s="2253"/>
      <c r="BA6" s="2253"/>
      <c r="BB6" s="2713"/>
      <c r="BC6" s="576"/>
      <c r="BD6" s="576"/>
      <c r="BE6" s="576"/>
      <c r="BF6" s="576"/>
      <c r="BG6" s="576"/>
      <c r="BH6" s="576"/>
      <c r="BI6" s="576"/>
      <c r="BJ6" s="576"/>
      <c r="BK6" s="576"/>
      <c r="BL6" s="576"/>
      <c r="BM6" s="576"/>
      <c r="BN6" s="576"/>
      <c r="BO6" s="576"/>
      <c r="BP6" s="1179"/>
      <c r="BQ6" s="1173"/>
      <c r="BR6" s="1173"/>
      <c r="BS6" s="1173"/>
      <c r="BT6" s="1173"/>
      <c r="BU6" s="1173"/>
      <c r="BV6" s="1173"/>
      <c r="BW6" s="1173"/>
      <c r="BX6" s="1173"/>
      <c r="BY6" s="1173"/>
      <c r="BZ6" s="1173"/>
      <c r="CA6" s="1173"/>
      <c r="CB6" s="1173"/>
      <c r="CC6" s="1173"/>
      <c r="CD6" s="1173"/>
      <c r="CE6" s="1173"/>
      <c r="CF6" s="1173"/>
      <c r="CG6" s="1173"/>
    </row>
    <row r="7" spans="1:85" s="768" customFormat="1" ht="40.5" customHeight="1" x14ac:dyDescent="0.2">
      <c r="A7" s="2797" t="s">
        <v>39</v>
      </c>
      <c r="B7" s="2792" t="s">
        <v>40</v>
      </c>
      <c r="C7" s="2792"/>
      <c r="D7" s="2792" t="s">
        <v>39</v>
      </c>
      <c r="E7" s="2792" t="s">
        <v>41</v>
      </c>
      <c r="F7" s="2792"/>
      <c r="G7" s="2792" t="s">
        <v>39</v>
      </c>
      <c r="H7" s="2792" t="s">
        <v>579</v>
      </c>
      <c r="I7" s="2792" t="s">
        <v>43</v>
      </c>
      <c r="J7" s="2792" t="s">
        <v>44</v>
      </c>
      <c r="K7" s="2829" t="s">
        <v>45</v>
      </c>
      <c r="L7" s="2814"/>
      <c r="M7" s="2792" t="s">
        <v>46</v>
      </c>
      <c r="N7" s="2792" t="s">
        <v>47</v>
      </c>
      <c r="O7" s="2792" t="s">
        <v>37</v>
      </c>
      <c r="P7" s="2828" t="s">
        <v>48</v>
      </c>
      <c r="Q7" s="2806" t="s">
        <v>49</v>
      </c>
      <c r="R7" s="2792" t="s">
        <v>50</v>
      </c>
      <c r="S7" s="2792" t="s">
        <v>51</v>
      </c>
      <c r="T7" s="2792" t="s">
        <v>52</v>
      </c>
      <c r="U7" s="2817" t="s">
        <v>49</v>
      </c>
      <c r="V7" s="2817"/>
      <c r="W7" s="2818"/>
      <c r="X7" s="2813" t="s">
        <v>39</v>
      </c>
      <c r="Y7" s="2814" t="s">
        <v>53</v>
      </c>
      <c r="Z7" s="2274" t="s">
        <v>54</v>
      </c>
      <c r="AA7" s="2275"/>
      <c r="AB7" s="2275"/>
      <c r="AC7" s="2276"/>
      <c r="AD7" s="2277" t="s">
        <v>55</v>
      </c>
      <c r="AE7" s="2278"/>
      <c r="AF7" s="2278"/>
      <c r="AG7" s="2278"/>
      <c r="AH7" s="2278"/>
      <c r="AI7" s="2278"/>
      <c r="AJ7" s="2278"/>
      <c r="AK7" s="2279"/>
      <c r="AL7" s="2542" t="s">
        <v>56</v>
      </c>
      <c r="AM7" s="2543"/>
      <c r="AN7" s="2543"/>
      <c r="AO7" s="2543"/>
      <c r="AP7" s="2543"/>
      <c r="AQ7" s="2543"/>
      <c r="AR7" s="2543"/>
      <c r="AS7" s="2543"/>
      <c r="AT7" s="2543"/>
      <c r="AU7" s="2543"/>
      <c r="AV7" s="2543"/>
      <c r="AW7" s="2544"/>
      <c r="AX7" s="2277" t="s">
        <v>57</v>
      </c>
      <c r="AY7" s="2278"/>
      <c r="AZ7" s="2278"/>
      <c r="BA7" s="2278"/>
      <c r="BB7" s="2278"/>
      <c r="BC7" s="2279"/>
      <c r="BD7" s="2277" t="s">
        <v>58</v>
      </c>
      <c r="BE7" s="2279"/>
      <c r="BF7" s="2300" t="s">
        <v>335</v>
      </c>
      <c r="BG7" s="2301"/>
      <c r="BH7" s="2301"/>
      <c r="BI7" s="2301"/>
      <c r="BJ7" s="2301"/>
      <c r="BK7" s="2302"/>
      <c r="BL7" s="2800" t="s">
        <v>59</v>
      </c>
      <c r="BM7" s="2801"/>
      <c r="BN7" s="2800" t="s">
        <v>60</v>
      </c>
      <c r="BO7" s="2801"/>
      <c r="BP7" s="2804" t="s">
        <v>61</v>
      </c>
      <c r="BQ7" s="1173"/>
      <c r="BR7" s="1173"/>
      <c r="BS7" s="1173"/>
      <c r="BT7" s="1173"/>
      <c r="BU7" s="1173"/>
      <c r="BV7" s="1173"/>
      <c r="BW7" s="1173"/>
      <c r="BX7" s="1173"/>
      <c r="BY7" s="1173"/>
      <c r="BZ7" s="1173"/>
      <c r="CA7" s="1173"/>
      <c r="CB7" s="1173"/>
      <c r="CC7" s="1173"/>
      <c r="CD7" s="1173"/>
      <c r="CE7" s="1173"/>
      <c r="CF7" s="1173"/>
      <c r="CG7" s="1173"/>
    </row>
    <row r="8" spans="1:85" s="768" customFormat="1" ht="121.5" customHeight="1" x14ac:dyDescent="0.2">
      <c r="A8" s="2798"/>
      <c r="B8" s="2792"/>
      <c r="C8" s="2792"/>
      <c r="D8" s="2792"/>
      <c r="E8" s="2792"/>
      <c r="F8" s="2792"/>
      <c r="G8" s="2792"/>
      <c r="H8" s="2792"/>
      <c r="I8" s="2792"/>
      <c r="J8" s="2792"/>
      <c r="K8" s="2830"/>
      <c r="L8" s="2816"/>
      <c r="M8" s="2792"/>
      <c r="N8" s="2792"/>
      <c r="O8" s="2792"/>
      <c r="P8" s="2828"/>
      <c r="Q8" s="2806"/>
      <c r="R8" s="2792"/>
      <c r="S8" s="2792"/>
      <c r="T8" s="2792"/>
      <c r="U8" s="2806" t="s">
        <v>62</v>
      </c>
      <c r="V8" s="2806" t="s">
        <v>150</v>
      </c>
      <c r="W8" s="2807" t="s">
        <v>582</v>
      </c>
      <c r="X8" s="2813"/>
      <c r="Y8" s="2815"/>
      <c r="Z8" s="2809" t="s">
        <v>63</v>
      </c>
      <c r="AA8" s="2810"/>
      <c r="AB8" s="2811" t="s">
        <v>64</v>
      </c>
      <c r="AC8" s="2812"/>
      <c r="AD8" s="2809" t="s">
        <v>65</v>
      </c>
      <c r="AE8" s="2810"/>
      <c r="AF8" s="2809" t="s">
        <v>66</v>
      </c>
      <c r="AG8" s="2810"/>
      <c r="AH8" s="2809" t="s">
        <v>67</v>
      </c>
      <c r="AI8" s="2810"/>
      <c r="AJ8" s="2809" t="s">
        <v>68</v>
      </c>
      <c r="AK8" s="2810"/>
      <c r="AL8" s="2809" t="s">
        <v>69</v>
      </c>
      <c r="AM8" s="2810"/>
      <c r="AN8" s="2809" t="s">
        <v>70</v>
      </c>
      <c r="AO8" s="2810"/>
      <c r="AP8" s="2809" t="s">
        <v>71</v>
      </c>
      <c r="AQ8" s="2810"/>
      <c r="AR8" s="2809" t="s">
        <v>72</v>
      </c>
      <c r="AS8" s="2810"/>
      <c r="AT8" s="2809" t="s">
        <v>73</v>
      </c>
      <c r="AU8" s="2810"/>
      <c r="AV8" s="2809" t="s">
        <v>74</v>
      </c>
      <c r="AW8" s="2810"/>
      <c r="AX8" s="2809" t="s">
        <v>75</v>
      </c>
      <c r="AY8" s="2810"/>
      <c r="AZ8" s="2809" t="s">
        <v>76</v>
      </c>
      <c r="BA8" s="2810"/>
      <c r="BB8" s="2809" t="s">
        <v>77</v>
      </c>
      <c r="BC8" s="2810"/>
      <c r="BD8" s="2809" t="s">
        <v>58</v>
      </c>
      <c r="BE8" s="2810"/>
      <c r="BF8" s="2291" t="s">
        <v>152</v>
      </c>
      <c r="BG8" s="2290" t="s">
        <v>153</v>
      </c>
      <c r="BH8" s="2291" t="s">
        <v>154</v>
      </c>
      <c r="BI8" s="2292" t="s">
        <v>155</v>
      </c>
      <c r="BJ8" s="2291" t="s">
        <v>156</v>
      </c>
      <c r="BK8" s="2293" t="s">
        <v>157</v>
      </c>
      <c r="BL8" s="2802"/>
      <c r="BM8" s="2803"/>
      <c r="BN8" s="2802"/>
      <c r="BO8" s="2803"/>
      <c r="BP8" s="2805"/>
      <c r="BQ8" s="1173"/>
      <c r="BR8" s="1173"/>
      <c r="BS8" s="1173"/>
      <c r="BT8" s="1173"/>
      <c r="BU8" s="1173"/>
      <c r="BV8" s="1173"/>
      <c r="BW8" s="1173"/>
      <c r="BX8" s="1173"/>
      <c r="BY8" s="1173"/>
      <c r="BZ8" s="1173"/>
      <c r="CA8" s="1173"/>
      <c r="CB8" s="1173"/>
      <c r="CC8" s="1173"/>
      <c r="CD8" s="1173"/>
      <c r="CE8" s="1173"/>
      <c r="CF8" s="1173"/>
      <c r="CG8" s="1173"/>
    </row>
    <row r="9" spans="1:85" s="768" customFormat="1" ht="39" customHeight="1" x14ac:dyDescent="0.2">
      <c r="A9" s="2799"/>
      <c r="B9" s="2792"/>
      <c r="C9" s="2792"/>
      <c r="D9" s="2792"/>
      <c r="E9" s="2792"/>
      <c r="F9" s="2792"/>
      <c r="G9" s="2792"/>
      <c r="H9" s="2792"/>
      <c r="I9" s="2792"/>
      <c r="J9" s="2792"/>
      <c r="K9" s="1180" t="s">
        <v>158</v>
      </c>
      <c r="L9" s="1180" t="s">
        <v>159</v>
      </c>
      <c r="M9" s="2792"/>
      <c r="N9" s="2792"/>
      <c r="O9" s="2792"/>
      <c r="P9" s="2828"/>
      <c r="Q9" s="2806"/>
      <c r="R9" s="2792"/>
      <c r="S9" s="2792"/>
      <c r="T9" s="2792"/>
      <c r="U9" s="2806"/>
      <c r="V9" s="2806"/>
      <c r="W9" s="2808"/>
      <c r="X9" s="2813"/>
      <c r="Y9" s="2816"/>
      <c r="Z9" s="1180" t="s">
        <v>158</v>
      </c>
      <c r="AA9" s="1180" t="s">
        <v>159</v>
      </c>
      <c r="AB9" s="1181" t="s">
        <v>158</v>
      </c>
      <c r="AC9" s="1181" t="s">
        <v>159</v>
      </c>
      <c r="AD9" s="1180" t="s">
        <v>158</v>
      </c>
      <c r="AE9" s="1180" t="s">
        <v>159</v>
      </c>
      <c r="AF9" s="1180" t="s">
        <v>158</v>
      </c>
      <c r="AG9" s="1180" t="s">
        <v>159</v>
      </c>
      <c r="AH9" s="1180" t="s">
        <v>158</v>
      </c>
      <c r="AI9" s="1180" t="s">
        <v>159</v>
      </c>
      <c r="AJ9" s="1180" t="s">
        <v>158</v>
      </c>
      <c r="AK9" s="1180" t="s">
        <v>159</v>
      </c>
      <c r="AL9" s="1180" t="s">
        <v>158</v>
      </c>
      <c r="AM9" s="1180" t="s">
        <v>159</v>
      </c>
      <c r="AN9" s="1180" t="s">
        <v>158</v>
      </c>
      <c r="AO9" s="1180" t="s">
        <v>159</v>
      </c>
      <c r="AP9" s="1180" t="s">
        <v>158</v>
      </c>
      <c r="AQ9" s="1180" t="s">
        <v>159</v>
      </c>
      <c r="AR9" s="1180" t="s">
        <v>158</v>
      </c>
      <c r="AS9" s="1180" t="s">
        <v>159</v>
      </c>
      <c r="AT9" s="1180" t="s">
        <v>158</v>
      </c>
      <c r="AU9" s="1180" t="s">
        <v>159</v>
      </c>
      <c r="AV9" s="1180" t="s">
        <v>158</v>
      </c>
      <c r="AW9" s="1180" t="s">
        <v>159</v>
      </c>
      <c r="AX9" s="1180" t="s">
        <v>158</v>
      </c>
      <c r="AY9" s="1180" t="s">
        <v>159</v>
      </c>
      <c r="AZ9" s="1180" t="s">
        <v>158</v>
      </c>
      <c r="BA9" s="1180" t="s">
        <v>159</v>
      </c>
      <c r="BB9" s="1180" t="s">
        <v>158</v>
      </c>
      <c r="BC9" s="1180" t="s">
        <v>159</v>
      </c>
      <c r="BD9" s="1180" t="s">
        <v>158</v>
      </c>
      <c r="BE9" s="1180" t="s">
        <v>159</v>
      </c>
      <c r="BF9" s="2291"/>
      <c r="BG9" s="2290"/>
      <c r="BH9" s="2291"/>
      <c r="BI9" s="2292"/>
      <c r="BJ9" s="2291"/>
      <c r="BK9" s="2294"/>
      <c r="BL9" s="1182" t="s">
        <v>158</v>
      </c>
      <c r="BM9" s="1182" t="s">
        <v>159</v>
      </c>
      <c r="BN9" s="1182" t="s">
        <v>158</v>
      </c>
      <c r="BO9" s="1182" t="s">
        <v>159</v>
      </c>
      <c r="BP9" s="1183"/>
      <c r="BQ9" s="1173"/>
      <c r="BR9" s="1173"/>
      <c r="BS9" s="1173"/>
      <c r="BT9" s="1173"/>
      <c r="BU9" s="1173"/>
      <c r="BV9" s="1173"/>
      <c r="BW9" s="1173"/>
      <c r="BX9" s="1173"/>
      <c r="BY9" s="1173"/>
      <c r="BZ9" s="1173"/>
      <c r="CA9" s="1173"/>
      <c r="CB9" s="1173"/>
      <c r="CC9" s="1173"/>
      <c r="CD9" s="1173"/>
      <c r="CE9" s="1173"/>
      <c r="CF9" s="1173"/>
      <c r="CG9" s="1173"/>
    </row>
    <row r="10" spans="1:85" s="768" customFormat="1" ht="25.5" customHeight="1" x14ac:dyDescent="0.2">
      <c r="A10" s="340">
        <v>1</v>
      </c>
      <c r="B10" s="1184" t="s">
        <v>1048</v>
      </c>
      <c r="C10" s="1184"/>
      <c r="D10" s="30"/>
      <c r="E10" s="30"/>
      <c r="F10" s="30"/>
      <c r="G10" s="31"/>
      <c r="H10" s="31"/>
      <c r="I10" s="29"/>
      <c r="J10" s="29"/>
      <c r="K10" s="30"/>
      <c r="L10" s="30"/>
      <c r="M10" s="29"/>
      <c r="N10" s="31"/>
      <c r="O10" s="29"/>
      <c r="P10" s="1185"/>
      <c r="Q10" s="1186"/>
      <c r="R10" s="29"/>
      <c r="S10" s="29"/>
      <c r="T10" s="1187"/>
      <c r="U10" s="1188"/>
      <c r="V10" s="1189"/>
      <c r="W10" s="1189"/>
      <c r="X10" s="1190"/>
      <c r="Y10" s="29"/>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1191"/>
      <c r="BM10" s="1191"/>
      <c r="BN10" s="1191"/>
      <c r="BO10" s="1191"/>
      <c r="BP10" s="1192"/>
      <c r="BQ10" s="1173"/>
      <c r="BR10" s="1173"/>
      <c r="BS10" s="1173"/>
      <c r="BT10" s="1173"/>
      <c r="BU10" s="1173"/>
      <c r="BV10" s="1173"/>
      <c r="BW10" s="1173"/>
      <c r="BX10" s="1173"/>
      <c r="BY10" s="1173"/>
      <c r="BZ10" s="1173"/>
      <c r="CA10" s="1173"/>
      <c r="CB10" s="1173"/>
      <c r="CC10" s="1173"/>
      <c r="CD10" s="1173"/>
      <c r="CE10" s="1173"/>
      <c r="CF10" s="1173"/>
      <c r="CG10" s="1173"/>
    </row>
    <row r="11" spans="1:85" s="1173" customFormat="1" ht="27.75" customHeight="1" x14ac:dyDescent="0.2">
      <c r="A11" s="1193"/>
      <c r="B11" s="1194"/>
      <c r="C11" s="1195"/>
      <c r="D11" s="715">
        <v>1</v>
      </c>
      <c r="E11" s="1196" t="s">
        <v>877</v>
      </c>
      <c r="F11" s="112"/>
      <c r="G11" s="113"/>
      <c r="H11" s="113"/>
      <c r="I11" s="112"/>
      <c r="J11" s="112"/>
      <c r="K11" s="1197"/>
      <c r="L11" s="1197"/>
      <c r="M11" s="112"/>
      <c r="N11" s="113"/>
      <c r="O11" s="112"/>
      <c r="P11" s="1198"/>
      <c r="Q11" s="1199"/>
      <c r="R11" s="112"/>
      <c r="S11" s="112"/>
      <c r="T11" s="1200"/>
      <c r="U11" s="1201"/>
      <c r="V11" s="1202"/>
      <c r="W11" s="1202"/>
      <c r="X11" s="1203"/>
      <c r="Y11" s="112"/>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204"/>
      <c r="BM11" s="1204"/>
      <c r="BN11" s="1204"/>
      <c r="BO11" s="1204"/>
      <c r="BP11" s="1205"/>
    </row>
    <row r="12" spans="1:85" s="1173" customFormat="1" ht="67.5" customHeight="1" x14ac:dyDescent="0.2">
      <c r="A12" s="1206"/>
      <c r="B12" s="1207"/>
      <c r="C12" s="593"/>
      <c r="D12" s="2819"/>
      <c r="E12" s="2822"/>
      <c r="F12" s="2825"/>
      <c r="G12" s="2343">
        <v>1202004</v>
      </c>
      <c r="H12" s="2343" t="s">
        <v>1049</v>
      </c>
      <c r="I12" s="2413" t="s">
        <v>1050</v>
      </c>
      <c r="J12" s="2413" t="s">
        <v>16</v>
      </c>
      <c r="K12" s="2343">
        <v>12</v>
      </c>
      <c r="L12" s="2491">
        <v>8</v>
      </c>
      <c r="M12" s="2413" t="s">
        <v>1051</v>
      </c>
      <c r="N12" s="2343" t="s">
        <v>1052</v>
      </c>
      <c r="O12" s="2413" t="s">
        <v>1053</v>
      </c>
      <c r="P12" s="2831">
        <f>SUM(U12:U18)/Q12</f>
        <v>1</v>
      </c>
      <c r="Q12" s="2832">
        <f>SUM(U12:U18)</f>
        <v>112128400</v>
      </c>
      <c r="R12" s="2413" t="s">
        <v>1054</v>
      </c>
      <c r="S12" s="2834" t="s">
        <v>1055</v>
      </c>
      <c r="T12" s="2835" t="s">
        <v>1056</v>
      </c>
      <c r="U12" s="1208">
        <v>20128400</v>
      </c>
      <c r="V12" s="1209">
        <f>5260000</f>
        <v>5260000</v>
      </c>
      <c r="W12" s="1209"/>
      <c r="X12" s="1210">
        <v>88</v>
      </c>
      <c r="Y12" s="534" t="s">
        <v>4</v>
      </c>
      <c r="Z12" s="2590">
        <v>1018</v>
      </c>
      <c r="AA12" s="2579">
        <v>325</v>
      </c>
      <c r="AB12" s="2590">
        <v>982</v>
      </c>
      <c r="AC12" s="2579">
        <v>198</v>
      </c>
      <c r="AD12" s="2590">
        <v>466</v>
      </c>
      <c r="AE12" s="2579"/>
      <c r="AF12" s="2590">
        <v>152</v>
      </c>
      <c r="AG12" s="2579"/>
      <c r="AH12" s="2590">
        <v>1063</v>
      </c>
      <c r="AI12" s="2579">
        <v>523</v>
      </c>
      <c r="AJ12" s="2590">
        <v>319</v>
      </c>
      <c r="AK12" s="2579"/>
      <c r="AL12" s="2590">
        <v>0</v>
      </c>
      <c r="AM12" s="2579"/>
      <c r="AN12" s="2590">
        <v>0</v>
      </c>
      <c r="AO12" s="2579"/>
      <c r="AP12" s="2590">
        <v>0</v>
      </c>
      <c r="AQ12" s="2579"/>
      <c r="AR12" s="2590">
        <v>0</v>
      </c>
      <c r="AS12" s="2579"/>
      <c r="AT12" s="2590">
        <v>0</v>
      </c>
      <c r="AU12" s="2579"/>
      <c r="AV12" s="2590">
        <v>0</v>
      </c>
      <c r="AW12" s="2579"/>
      <c r="AX12" s="2590">
        <v>0</v>
      </c>
      <c r="AY12" s="2579"/>
      <c r="AZ12" s="2590">
        <v>0</v>
      </c>
      <c r="BA12" s="2579"/>
      <c r="BB12" s="2590">
        <v>0</v>
      </c>
      <c r="BC12" s="2579"/>
      <c r="BD12" s="2579">
        <f>Z12+AB12</f>
        <v>2000</v>
      </c>
      <c r="BE12" s="2590">
        <f>AA12+AC12</f>
        <v>523</v>
      </c>
      <c r="BF12" s="2842">
        <v>3</v>
      </c>
      <c r="BG12" s="2844">
        <f>SUM(V12:V18)</f>
        <v>36460000</v>
      </c>
      <c r="BH12" s="2844">
        <f>SUM(W12:W18)</f>
        <v>14000000</v>
      </c>
      <c r="BI12" s="2846">
        <f>BH12/BG12</f>
        <v>0.38398244651673069</v>
      </c>
      <c r="BJ12" s="2848" t="s">
        <v>161</v>
      </c>
      <c r="BK12" s="2836" t="s">
        <v>1057</v>
      </c>
      <c r="BL12" s="2838">
        <v>44071</v>
      </c>
      <c r="BM12" s="2838">
        <v>44186</v>
      </c>
      <c r="BN12" s="2838">
        <v>44195</v>
      </c>
      <c r="BO12" s="2838"/>
      <c r="BP12" s="2840" t="s">
        <v>1058</v>
      </c>
    </row>
    <row r="13" spans="1:85" s="1173" customFormat="1" ht="44.25" customHeight="1" x14ac:dyDescent="0.2">
      <c r="A13" s="1206"/>
      <c r="B13" s="1207"/>
      <c r="C13" s="593"/>
      <c r="D13" s="2820"/>
      <c r="E13" s="2823"/>
      <c r="F13" s="2826"/>
      <c r="G13" s="2343"/>
      <c r="H13" s="2343"/>
      <c r="I13" s="2413"/>
      <c r="J13" s="2413"/>
      <c r="K13" s="2343"/>
      <c r="L13" s="2761"/>
      <c r="M13" s="2413"/>
      <c r="N13" s="2343"/>
      <c r="O13" s="2413"/>
      <c r="P13" s="2831"/>
      <c r="Q13" s="2833"/>
      <c r="R13" s="2413"/>
      <c r="S13" s="2834"/>
      <c r="T13" s="2835"/>
      <c r="U13" s="1208">
        <v>7800000</v>
      </c>
      <c r="V13" s="1209"/>
      <c r="W13" s="1209"/>
      <c r="X13" s="1210">
        <v>20</v>
      </c>
      <c r="Y13" s="534" t="s">
        <v>7</v>
      </c>
      <c r="Z13" s="2590"/>
      <c r="AA13" s="2580"/>
      <c r="AB13" s="2590"/>
      <c r="AC13" s="2580"/>
      <c r="AD13" s="2590"/>
      <c r="AE13" s="2580"/>
      <c r="AF13" s="2590"/>
      <c r="AG13" s="2580"/>
      <c r="AH13" s="2590"/>
      <c r="AI13" s="2580"/>
      <c r="AJ13" s="2590"/>
      <c r="AK13" s="2580"/>
      <c r="AL13" s="2590"/>
      <c r="AM13" s="2580"/>
      <c r="AN13" s="2590"/>
      <c r="AO13" s="2580"/>
      <c r="AP13" s="2590"/>
      <c r="AQ13" s="2580"/>
      <c r="AR13" s="2590"/>
      <c r="AS13" s="2580"/>
      <c r="AT13" s="2590"/>
      <c r="AU13" s="2580"/>
      <c r="AV13" s="2590"/>
      <c r="AW13" s="2580"/>
      <c r="AX13" s="2590"/>
      <c r="AY13" s="2580"/>
      <c r="AZ13" s="2590"/>
      <c r="BA13" s="2580"/>
      <c r="BB13" s="2590"/>
      <c r="BC13" s="2580"/>
      <c r="BD13" s="2580"/>
      <c r="BE13" s="2590"/>
      <c r="BF13" s="2843"/>
      <c r="BG13" s="2845"/>
      <c r="BH13" s="2845"/>
      <c r="BI13" s="2847"/>
      <c r="BJ13" s="2841"/>
      <c r="BK13" s="2837"/>
      <c r="BL13" s="2839"/>
      <c r="BM13" s="2839"/>
      <c r="BN13" s="2839"/>
      <c r="BO13" s="2839"/>
      <c r="BP13" s="2841"/>
    </row>
    <row r="14" spans="1:85" s="1173" customFormat="1" ht="68.25" customHeight="1" x14ac:dyDescent="0.2">
      <c r="A14" s="1206"/>
      <c r="B14" s="1207"/>
      <c r="C14" s="593"/>
      <c r="D14" s="2820"/>
      <c r="E14" s="2823"/>
      <c r="F14" s="2826"/>
      <c r="G14" s="2343"/>
      <c r="H14" s="2343"/>
      <c r="I14" s="2413"/>
      <c r="J14" s="2413"/>
      <c r="K14" s="2343"/>
      <c r="L14" s="2761"/>
      <c r="M14" s="2413"/>
      <c r="N14" s="2343"/>
      <c r="O14" s="2413"/>
      <c r="P14" s="2831"/>
      <c r="Q14" s="2833"/>
      <c r="R14" s="2413"/>
      <c r="S14" s="2834"/>
      <c r="T14" s="1211" t="s">
        <v>1059</v>
      </c>
      <c r="U14" s="1212">
        <v>15000000</v>
      </c>
      <c r="V14" s="1209"/>
      <c r="W14" s="1209"/>
      <c r="X14" s="1210">
        <v>20</v>
      </c>
      <c r="Y14" s="534" t="s">
        <v>7</v>
      </c>
      <c r="Z14" s="2590"/>
      <c r="AA14" s="2580"/>
      <c r="AB14" s="2590"/>
      <c r="AC14" s="2580"/>
      <c r="AD14" s="2590"/>
      <c r="AE14" s="2580"/>
      <c r="AF14" s="2590"/>
      <c r="AG14" s="2580"/>
      <c r="AH14" s="2590"/>
      <c r="AI14" s="2580"/>
      <c r="AJ14" s="2590"/>
      <c r="AK14" s="2580"/>
      <c r="AL14" s="2590"/>
      <c r="AM14" s="2580"/>
      <c r="AN14" s="2590"/>
      <c r="AO14" s="2580"/>
      <c r="AP14" s="2590"/>
      <c r="AQ14" s="2580"/>
      <c r="AR14" s="2590"/>
      <c r="AS14" s="2580"/>
      <c r="AT14" s="2590"/>
      <c r="AU14" s="2580"/>
      <c r="AV14" s="2590"/>
      <c r="AW14" s="2580"/>
      <c r="AX14" s="2590"/>
      <c r="AY14" s="2580"/>
      <c r="AZ14" s="2590"/>
      <c r="BA14" s="2580"/>
      <c r="BB14" s="2590"/>
      <c r="BC14" s="2580"/>
      <c r="BD14" s="2580"/>
      <c r="BE14" s="2590"/>
      <c r="BF14" s="2843"/>
      <c r="BG14" s="2845"/>
      <c r="BH14" s="2845"/>
      <c r="BI14" s="2847"/>
      <c r="BJ14" s="2841"/>
      <c r="BK14" s="2837"/>
      <c r="BL14" s="2839"/>
      <c r="BM14" s="2839"/>
      <c r="BN14" s="2839"/>
      <c r="BO14" s="2839"/>
      <c r="BP14" s="2841"/>
    </row>
    <row r="15" spans="1:85" s="1173" customFormat="1" ht="56.25" customHeight="1" x14ac:dyDescent="0.2">
      <c r="A15" s="1206"/>
      <c r="B15" s="1207"/>
      <c r="C15" s="593"/>
      <c r="D15" s="2820"/>
      <c r="E15" s="2823"/>
      <c r="F15" s="2826"/>
      <c r="G15" s="2343"/>
      <c r="H15" s="2343"/>
      <c r="I15" s="2413"/>
      <c r="J15" s="2413"/>
      <c r="K15" s="2343"/>
      <c r="L15" s="2761"/>
      <c r="M15" s="2413"/>
      <c r="N15" s="2343"/>
      <c r="O15" s="2413"/>
      <c r="P15" s="2831"/>
      <c r="Q15" s="2833"/>
      <c r="R15" s="2413"/>
      <c r="S15" s="2834"/>
      <c r="T15" s="1213" t="s">
        <v>1060</v>
      </c>
      <c r="U15" s="1212">
        <v>15000000</v>
      </c>
      <c r="V15" s="1209"/>
      <c r="W15" s="1209"/>
      <c r="X15" s="1210">
        <v>20</v>
      </c>
      <c r="Y15" s="534" t="s">
        <v>7</v>
      </c>
      <c r="Z15" s="2590"/>
      <c r="AA15" s="2580"/>
      <c r="AB15" s="2590"/>
      <c r="AC15" s="2580"/>
      <c r="AD15" s="2590"/>
      <c r="AE15" s="2580"/>
      <c r="AF15" s="2590"/>
      <c r="AG15" s="2580"/>
      <c r="AH15" s="2590"/>
      <c r="AI15" s="2580"/>
      <c r="AJ15" s="2590"/>
      <c r="AK15" s="2580"/>
      <c r="AL15" s="2590"/>
      <c r="AM15" s="2580"/>
      <c r="AN15" s="2590"/>
      <c r="AO15" s="2580"/>
      <c r="AP15" s="2590"/>
      <c r="AQ15" s="2580"/>
      <c r="AR15" s="2590"/>
      <c r="AS15" s="2580"/>
      <c r="AT15" s="2590"/>
      <c r="AU15" s="2580"/>
      <c r="AV15" s="2590"/>
      <c r="AW15" s="2580"/>
      <c r="AX15" s="2590"/>
      <c r="AY15" s="2580"/>
      <c r="AZ15" s="2590"/>
      <c r="BA15" s="2580"/>
      <c r="BB15" s="2590"/>
      <c r="BC15" s="2580"/>
      <c r="BD15" s="2580"/>
      <c r="BE15" s="2590"/>
      <c r="BF15" s="2843"/>
      <c r="BG15" s="2845"/>
      <c r="BH15" s="2845"/>
      <c r="BI15" s="2847"/>
      <c r="BJ15" s="2841"/>
      <c r="BK15" s="2837"/>
      <c r="BL15" s="2839"/>
      <c r="BM15" s="2839"/>
      <c r="BN15" s="2839"/>
      <c r="BO15" s="2839"/>
      <c r="BP15" s="2841"/>
    </row>
    <row r="16" spans="1:85" s="1173" customFormat="1" ht="57.75" customHeight="1" x14ac:dyDescent="0.2">
      <c r="A16" s="1206"/>
      <c r="B16" s="1207"/>
      <c r="C16" s="593"/>
      <c r="D16" s="2820"/>
      <c r="E16" s="2823"/>
      <c r="F16" s="2826"/>
      <c r="G16" s="2343"/>
      <c r="H16" s="2343"/>
      <c r="I16" s="2413"/>
      <c r="J16" s="2413"/>
      <c r="K16" s="2343"/>
      <c r="L16" s="2761"/>
      <c r="M16" s="2413"/>
      <c r="N16" s="2343"/>
      <c r="O16" s="2413"/>
      <c r="P16" s="2831"/>
      <c r="Q16" s="2833"/>
      <c r="R16" s="2413"/>
      <c r="S16" s="2834"/>
      <c r="T16" s="1213" t="s">
        <v>1061</v>
      </c>
      <c r="U16" s="1212">
        <v>23000000</v>
      </c>
      <c r="V16" s="1209"/>
      <c r="W16" s="1209"/>
      <c r="X16" s="1210">
        <v>20</v>
      </c>
      <c r="Y16" s="534" t="s">
        <v>7</v>
      </c>
      <c r="Z16" s="2590"/>
      <c r="AA16" s="2580"/>
      <c r="AB16" s="2590"/>
      <c r="AC16" s="2580"/>
      <c r="AD16" s="2590"/>
      <c r="AE16" s="2580"/>
      <c r="AF16" s="2590"/>
      <c r="AG16" s="2580"/>
      <c r="AH16" s="2590"/>
      <c r="AI16" s="2580"/>
      <c r="AJ16" s="2590"/>
      <c r="AK16" s="2580"/>
      <c r="AL16" s="2590"/>
      <c r="AM16" s="2580"/>
      <c r="AN16" s="2590"/>
      <c r="AO16" s="2580"/>
      <c r="AP16" s="2590"/>
      <c r="AQ16" s="2580"/>
      <c r="AR16" s="2590"/>
      <c r="AS16" s="2580"/>
      <c r="AT16" s="2590"/>
      <c r="AU16" s="2580"/>
      <c r="AV16" s="2590"/>
      <c r="AW16" s="2580"/>
      <c r="AX16" s="2590"/>
      <c r="AY16" s="2580"/>
      <c r="AZ16" s="2590"/>
      <c r="BA16" s="2580"/>
      <c r="BB16" s="2590"/>
      <c r="BC16" s="2580"/>
      <c r="BD16" s="2580"/>
      <c r="BE16" s="2590"/>
      <c r="BF16" s="2843"/>
      <c r="BG16" s="2845"/>
      <c r="BH16" s="2845"/>
      <c r="BI16" s="2847"/>
      <c r="BJ16" s="2841"/>
      <c r="BK16" s="2837"/>
      <c r="BL16" s="2839"/>
      <c r="BM16" s="2839"/>
      <c r="BN16" s="2839"/>
      <c r="BO16" s="2839"/>
      <c r="BP16" s="2841"/>
    </row>
    <row r="17" spans="1:68" s="1173" customFormat="1" ht="66.75" customHeight="1" x14ac:dyDescent="0.2">
      <c r="A17" s="1206"/>
      <c r="B17" s="1207"/>
      <c r="C17" s="593"/>
      <c r="D17" s="2820"/>
      <c r="E17" s="2823"/>
      <c r="F17" s="2826"/>
      <c r="G17" s="2343"/>
      <c r="H17" s="2343"/>
      <c r="I17" s="2413"/>
      <c r="J17" s="2413"/>
      <c r="K17" s="2343"/>
      <c r="L17" s="2761"/>
      <c r="M17" s="2413"/>
      <c r="N17" s="2343"/>
      <c r="O17" s="2413"/>
      <c r="P17" s="2831"/>
      <c r="Q17" s="2833"/>
      <c r="R17" s="2413"/>
      <c r="S17" s="2834"/>
      <c r="T17" s="1213" t="s">
        <v>1062</v>
      </c>
      <c r="U17" s="1212">
        <f>3000000+17000000</f>
        <v>20000000</v>
      </c>
      <c r="V17" s="1209">
        <f>3000000+11760000+5240000</f>
        <v>20000000</v>
      </c>
      <c r="W17" s="1209">
        <v>2800000</v>
      </c>
      <c r="X17" s="1210">
        <v>20</v>
      </c>
      <c r="Y17" s="534" t="s">
        <v>7</v>
      </c>
      <c r="Z17" s="2590"/>
      <c r="AA17" s="2580"/>
      <c r="AB17" s="2590"/>
      <c r="AC17" s="2580"/>
      <c r="AD17" s="2590"/>
      <c r="AE17" s="2580"/>
      <c r="AF17" s="2590"/>
      <c r="AG17" s="2580"/>
      <c r="AH17" s="2590"/>
      <c r="AI17" s="2580"/>
      <c r="AJ17" s="2590"/>
      <c r="AK17" s="2580"/>
      <c r="AL17" s="2590"/>
      <c r="AM17" s="2580"/>
      <c r="AN17" s="2590"/>
      <c r="AO17" s="2580"/>
      <c r="AP17" s="2590"/>
      <c r="AQ17" s="2580"/>
      <c r="AR17" s="2590"/>
      <c r="AS17" s="2580"/>
      <c r="AT17" s="2590"/>
      <c r="AU17" s="2580"/>
      <c r="AV17" s="2590"/>
      <c r="AW17" s="2580"/>
      <c r="AX17" s="2590"/>
      <c r="AY17" s="2580"/>
      <c r="AZ17" s="2590"/>
      <c r="BA17" s="2580"/>
      <c r="BB17" s="2590"/>
      <c r="BC17" s="2580"/>
      <c r="BD17" s="2580"/>
      <c r="BE17" s="2590"/>
      <c r="BF17" s="2843"/>
      <c r="BG17" s="2845"/>
      <c r="BH17" s="2845"/>
      <c r="BI17" s="2847"/>
      <c r="BJ17" s="2841"/>
      <c r="BK17" s="2837"/>
      <c r="BL17" s="2839"/>
      <c r="BM17" s="2839"/>
      <c r="BN17" s="2839"/>
      <c r="BO17" s="2839"/>
      <c r="BP17" s="2841"/>
    </row>
    <row r="18" spans="1:68" s="1173" customFormat="1" ht="63.75" customHeight="1" x14ac:dyDescent="0.2">
      <c r="A18" s="1206"/>
      <c r="B18" s="1207"/>
      <c r="C18" s="593"/>
      <c r="D18" s="2821"/>
      <c r="E18" s="2824"/>
      <c r="F18" s="2827"/>
      <c r="G18" s="2343"/>
      <c r="H18" s="2343"/>
      <c r="I18" s="2413"/>
      <c r="J18" s="2413"/>
      <c r="K18" s="2343"/>
      <c r="L18" s="2342"/>
      <c r="M18" s="2413"/>
      <c r="N18" s="2343"/>
      <c r="O18" s="2413"/>
      <c r="P18" s="2831"/>
      <c r="Q18" s="2833"/>
      <c r="R18" s="2413"/>
      <c r="S18" s="2834"/>
      <c r="T18" s="1213" t="s">
        <v>1063</v>
      </c>
      <c r="U18" s="1212">
        <v>11200000</v>
      </c>
      <c r="V18" s="1209">
        <f>11200000</f>
        <v>11200000</v>
      </c>
      <c r="W18" s="1209">
        <v>11200000</v>
      </c>
      <c r="X18" s="1210">
        <v>20</v>
      </c>
      <c r="Y18" s="534" t="s">
        <v>7</v>
      </c>
      <c r="Z18" s="2590"/>
      <c r="AA18" s="2581"/>
      <c r="AB18" s="2590"/>
      <c r="AC18" s="2581"/>
      <c r="AD18" s="2590"/>
      <c r="AE18" s="2581"/>
      <c r="AF18" s="2590"/>
      <c r="AG18" s="2581"/>
      <c r="AH18" s="2590"/>
      <c r="AI18" s="2581"/>
      <c r="AJ18" s="2590"/>
      <c r="AK18" s="2581"/>
      <c r="AL18" s="2590"/>
      <c r="AM18" s="2581"/>
      <c r="AN18" s="2590"/>
      <c r="AO18" s="2581"/>
      <c r="AP18" s="2590"/>
      <c r="AQ18" s="2581"/>
      <c r="AR18" s="2590"/>
      <c r="AS18" s="2581"/>
      <c r="AT18" s="2590"/>
      <c r="AU18" s="2581"/>
      <c r="AV18" s="2590"/>
      <c r="AW18" s="2581"/>
      <c r="AX18" s="2590"/>
      <c r="AY18" s="2581"/>
      <c r="AZ18" s="2590"/>
      <c r="BA18" s="2581"/>
      <c r="BB18" s="2590"/>
      <c r="BC18" s="2581"/>
      <c r="BD18" s="2581"/>
      <c r="BE18" s="2590"/>
      <c r="BF18" s="2843"/>
      <c r="BG18" s="2845"/>
      <c r="BH18" s="2845"/>
      <c r="BI18" s="2847"/>
      <c r="BJ18" s="2841"/>
      <c r="BK18" s="2837"/>
      <c r="BL18" s="2839"/>
      <c r="BM18" s="2839"/>
      <c r="BN18" s="2839"/>
      <c r="BO18" s="2839"/>
      <c r="BP18" s="2841"/>
    </row>
    <row r="19" spans="1:68" s="1173" customFormat="1" ht="27" customHeight="1" x14ac:dyDescent="0.2">
      <c r="A19" s="1214"/>
      <c r="B19" s="1215"/>
      <c r="C19" s="1216"/>
      <c r="D19" s="1217">
        <v>2</v>
      </c>
      <c r="E19" s="1218" t="s">
        <v>1064</v>
      </c>
      <c r="F19" s="744"/>
      <c r="G19" s="111"/>
      <c r="H19" s="111"/>
      <c r="I19" s="112"/>
      <c r="J19" s="112"/>
      <c r="K19" s="1197"/>
      <c r="L19" s="1197"/>
      <c r="M19" s="112"/>
      <c r="N19" s="113"/>
      <c r="O19" s="112"/>
      <c r="P19" s="1219"/>
      <c r="Q19" s="1199"/>
      <c r="R19" s="112"/>
      <c r="S19" s="112"/>
      <c r="T19" s="1200"/>
      <c r="U19" s="1220"/>
      <c r="V19" s="1221"/>
      <c r="W19" s="1221"/>
      <c r="X19" s="1203"/>
      <c r="Y19" s="112"/>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48"/>
      <c r="BG19" s="48"/>
      <c r="BH19" s="48"/>
      <c r="BI19" s="48"/>
      <c r="BJ19" s="48"/>
      <c r="BK19" s="48"/>
      <c r="BL19" s="1222"/>
      <c r="BM19" s="1222"/>
      <c r="BN19" s="1222"/>
      <c r="BO19" s="1222"/>
      <c r="BP19" s="1223"/>
    </row>
    <row r="20" spans="1:68" s="1173" customFormat="1" ht="96.75" customHeight="1" x14ac:dyDescent="0.2">
      <c r="A20" s="1224"/>
      <c r="B20" s="1225"/>
      <c r="C20" s="1226"/>
      <c r="D20" s="1227"/>
      <c r="E20" s="1227"/>
      <c r="F20" s="1227"/>
      <c r="G20" s="2343">
        <v>1203002</v>
      </c>
      <c r="H20" s="2343" t="s">
        <v>1065</v>
      </c>
      <c r="I20" s="2413" t="s">
        <v>1066</v>
      </c>
      <c r="J20" s="2413" t="s">
        <v>1067</v>
      </c>
      <c r="K20" s="2343">
        <v>10</v>
      </c>
      <c r="L20" s="2491">
        <v>1</v>
      </c>
      <c r="M20" s="2413" t="s">
        <v>1068</v>
      </c>
      <c r="N20" s="2451" t="s">
        <v>1069</v>
      </c>
      <c r="O20" s="2413" t="s">
        <v>1070</v>
      </c>
      <c r="P20" s="2853">
        <f>SUM(U20:U21)/Q20</f>
        <v>1</v>
      </c>
      <c r="Q20" s="2833">
        <f>SUM(U20:U21)</f>
        <v>15000000</v>
      </c>
      <c r="R20" s="2413" t="s">
        <v>1071</v>
      </c>
      <c r="S20" s="2849" t="s">
        <v>1072</v>
      </c>
      <c r="T20" s="1228" t="s">
        <v>1073</v>
      </c>
      <c r="U20" s="1212">
        <f>620000+5380000</f>
        <v>6000000</v>
      </c>
      <c r="V20" s="1229">
        <f>620000</f>
        <v>620000</v>
      </c>
      <c r="W20" s="1229">
        <v>620000</v>
      </c>
      <c r="X20" s="1210">
        <v>20</v>
      </c>
      <c r="Y20" s="534" t="s">
        <v>1074</v>
      </c>
      <c r="Z20" s="2850">
        <v>295972</v>
      </c>
      <c r="AA20" s="2851">
        <v>48</v>
      </c>
      <c r="AB20" s="2850">
        <v>285580</v>
      </c>
      <c r="AC20" s="2851">
        <v>55</v>
      </c>
      <c r="AD20" s="2850">
        <v>135545</v>
      </c>
      <c r="AE20" s="2851"/>
      <c r="AF20" s="2850">
        <v>44254</v>
      </c>
      <c r="AG20" s="2851"/>
      <c r="AH20" s="2850">
        <v>309146</v>
      </c>
      <c r="AI20" s="2851">
        <v>103</v>
      </c>
      <c r="AJ20" s="2850">
        <v>92607</v>
      </c>
      <c r="AK20" s="2851"/>
      <c r="AL20" s="2850">
        <v>2145</v>
      </c>
      <c r="AM20" s="2851"/>
      <c r="AN20" s="2850">
        <v>12718</v>
      </c>
      <c r="AO20" s="2851"/>
      <c r="AP20" s="2850">
        <v>26</v>
      </c>
      <c r="AQ20" s="2851"/>
      <c r="AR20" s="2850">
        <v>12</v>
      </c>
      <c r="AS20" s="2851"/>
      <c r="AT20" s="2850">
        <v>0</v>
      </c>
      <c r="AU20" s="2851"/>
      <c r="AV20" s="2850">
        <v>0</v>
      </c>
      <c r="AW20" s="2851"/>
      <c r="AX20" s="2850"/>
      <c r="AY20" s="2851"/>
      <c r="AZ20" s="2850"/>
      <c r="BA20" s="2851"/>
      <c r="BB20" s="2850"/>
      <c r="BC20" s="2851"/>
      <c r="BD20" s="2851">
        <f>Z20+AB20</f>
        <v>581552</v>
      </c>
      <c r="BE20" s="2850">
        <f>AA20+AC20</f>
        <v>103</v>
      </c>
      <c r="BF20" s="2861">
        <v>2</v>
      </c>
      <c r="BG20" s="2844">
        <f>+V20+V21</f>
        <v>620000</v>
      </c>
      <c r="BH20" s="2844">
        <f>+W20+W21</f>
        <v>620000</v>
      </c>
      <c r="BI20" s="2846">
        <f>BH20/BG20</f>
        <v>1</v>
      </c>
      <c r="BJ20" s="2857">
        <v>20</v>
      </c>
      <c r="BK20" s="2859" t="s">
        <v>1075</v>
      </c>
      <c r="BL20" s="2838"/>
      <c r="BM20" s="2838"/>
      <c r="BN20" s="2838">
        <v>44195</v>
      </c>
      <c r="BO20" s="2838"/>
      <c r="BP20" s="2840" t="s">
        <v>1058</v>
      </c>
    </row>
    <row r="21" spans="1:68" s="1173" customFormat="1" ht="104.25" customHeight="1" x14ac:dyDescent="0.2">
      <c r="A21" s="1224"/>
      <c r="B21" s="1225"/>
      <c r="C21" s="1226"/>
      <c r="D21" s="1230"/>
      <c r="E21" s="1230"/>
      <c r="F21" s="1230"/>
      <c r="G21" s="2491"/>
      <c r="H21" s="2343"/>
      <c r="I21" s="2413"/>
      <c r="J21" s="2413"/>
      <c r="K21" s="2343"/>
      <c r="L21" s="2342"/>
      <c r="M21" s="2413"/>
      <c r="N21" s="2451"/>
      <c r="O21" s="2413"/>
      <c r="P21" s="2853"/>
      <c r="Q21" s="2833"/>
      <c r="R21" s="2413"/>
      <c r="S21" s="2849"/>
      <c r="T21" s="1228" t="s">
        <v>1076</v>
      </c>
      <c r="U21" s="1212">
        <v>9000000</v>
      </c>
      <c r="V21" s="1229"/>
      <c r="W21" s="1229"/>
      <c r="X21" s="1210">
        <v>88</v>
      </c>
      <c r="Y21" s="534" t="s">
        <v>4</v>
      </c>
      <c r="Z21" s="2850"/>
      <c r="AA21" s="2852"/>
      <c r="AB21" s="2850"/>
      <c r="AC21" s="2852"/>
      <c r="AD21" s="2850"/>
      <c r="AE21" s="2852"/>
      <c r="AF21" s="2850"/>
      <c r="AG21" s="2852"/>
      <c r="AH21" s="2850"/>
      <c r="AI21" s="2852"/>
      <c r="AJ21" s="2850"/>
      <c r="AK21" s="2852"/>
      <c r="AL21" s="2850"/>
      <c r="AM21" s="2852"/>
      <c r="AN21" s="2850"/>
      <c r="AO21" s="2852"/>
      <c r="AP21" s="2850"/>
      <c r="AQ21" s="2852"/>
      <c r="AR21" s="2850"/>
      <c r="AS21" s="2852"/>
      <c r="AT21" s="2850"/>
      <c r="AU21" s="2852"/>
      <c r="AV21" s="2850"/>
      <c r="AW21" s="2852"/>
      <c r="AX21" s="2850"/>
      <c r="AY21" s="2852"/>
      <c r="AZ21" s="2850"/>
      <c r="BA21" s="2852"/>
      <c r="BB21" s="2850"/>
      <c r="BC21" s="2852"/>
      <c r="BD21" s="2852"/>
      <c r="BE21" s="2850"/>
      <c r="BF21" s="2862"/>
      <c r="BG21" s="2845"/>
      <c r="BH21" s="2845"/>
      <c r="BI21" s="2847"/>
      <c r="BJ21" s="2858"/>
      <c r="BK21" s="2860"/>
      <c r="BL21" s="2839"/>
      <c r="BM21" s="2839"/>
      <c r="BN21" s="2839"/>
      <c r="BO21" s="2839"/>
      <c r="BP21" s="2841"/>
    </row>
    <row r="22" spans="1:68" s="1173" customFormat="1" ht="27" customHeight="1" x14ac:dyDescent="0.2">
      <c r="A22" s="1224"/>
      <c r="B22" s="1225"/>
      <c r="C22" s="1226"/>
      <c r="D22" s="613">
        <v>3</v>
      </c>
      <c r="E22" s="989" t="s">
        <v>1077</v>
      </c>
      <c r="F22" s="46"/>
      <c r="G22" s="47"/>
      <c r="H22" s="111"/>
      <c r="I22" s="112"/>
      <c r="J22" s="112"/>
      <c r="K22" s="113"/>
      <c r="L22" s="113"/>
      <c r="M22" s="112"/>
      <c r="N22" s="113"/>
      <c r="O22" s="112"/>
      <c r="P22" s="1219"/>
      <c r="Q22" s="1199"/>
      <c r="R22" s="112"/>
      <c r="S22" s="112"/>
      <c r="T22" s="1200"/>
      <c r="U22" s="1220"/>
      <c r="V22" s="1221"/>
      <c r="W22" s="1221"/>
      <c r="X22" s="1203"/>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48"/>
      <c r="BG22" s="48"/>
      <c r="BH22" s="48"/>
      <c r="BI22" s="48"/>
      <c r="BJ22" s="48"/>
      <c r="BK22" s="48"/>
      <c r="BL22" s="1222"/>
      <c r="BM22" s="1222"/>
      <c r="BN22" s="1222"/>
      <c r="BO22" s="1222"/>
      <c r="BP22" s="1223"/>
    </row>
    <row r="23" spans="1:68" s="1173" customFormat="1" ht="50.25" customHeight="1" x14ac:dyDescent="0.2">
      <c r="A23" s="1224"/>
      <c r="B23" s="1225"/>
      <c r="C23" s="1226"/>
      <c r="D23" s="1227"/>
      <c r="E23" s="1227"/>
      <c r="F23" s="1227"/>
      <c r="G23" s="2343">
        <v>1206005</v>
      </c>
      <c r="H23" s="2343">
        <v>3.1</v>
      </c>
      <c r="I23" s="2413" t="s">
        <v>1078</v>
      </c>
      <c r="J23" s="2413" t="s">
        <v>1079</v>
      </c>
      <c r="K23" s="2343">
        <v>15</v>
      </c>
      <c r="L23" s="2491">
        <v>0</v>
      </c>
      <c r="M23" s="2413" t="s">
        <v>1080</v>
      </c>
      <c r="N23" s="2343" t="s">
        <v>1069</v>
      </c>
      <c r="O23" s="2413" t="s">
        <v>1070</v>
      </c>
      <c r="P23" s="2854">
        <f>SUM(U23:U26)/Q23</f>
        <v>1</v>
      </c>
      <c r="Q23" s="2833">
        <f>SUM(U23:U26)</f>
        <v>15000000</v>
      </c>
      <c r="R23" s="2413" t="s">
        <v>1081</v>
      </c>
      <c r="S23" s="2834" t="s">
        <v>1072</v>
      </c>
      <c r="T23" s="2855" t="s">
        <v>1082</v>
      </c>
      <c r="U23" s="1212">
        <v>4500000</v>
      </c>
      <c r="V23" s="1229"/>
      <c r="W23" s="1229"/>
      <c r="X23" s="1210">
        <v>88</v>
      </c>
      <c r="Y23" s="537" t="s">
        <v>4</v>
      </c>
      <c r="Z23" s="2850">
        <v>295972</v>
      </c>
      <c r="AA23" s="2851">
        <v>48</v>
      </c>
      <c r="AB23" s="2850">
        <v>285580</v>
      </c>
      <c r="AC23" s="2851">
        <v>55</v>
      </c>
      <c r="AD23" s="2850">
        <v>135545</v>
      </c>
      <c r="AE23" s="2851"/>
      <c r="AF23" s="2850">
        <v>44254</v>
      </c>
      <c r="AG23" s="2851"/>
      <c r="AH23" s="2850">
        <v>309146</v>
      </c>
      <c r="AI23" s="2851">
        <v>103</v>
      </c>
      <c r="AJ23" s="2850">
        <v>92607</v>
      </c>
      <c r="AK23" s="2851"/>
      <c r="AL23" s="2850">
        <v>2145</v>
      </c>
      <c r="AM23" s="2851"/>
      <c r="AN23" s="2850">
        <v>12718</v>
      </c>
      <c r="AO23" s="2851"/>
      <c r="AP23" s="2850">
        <v>26</v>
      </c>
      <c r="AQ23" s="2851"/>
      <c r="AR23" s="2850">
        <v>12</v>
      </c>
      <c r="AS23" s="2851"/>
      <c r="AT23" s="2850">
        <v>0</v>
      </c>
      <c r="AU23" s="2851"/>
      <c r="AV23" s="2850">
        <v>0</v>
      </c>
      <c r="AW23" s="2851"/>
      <c r="AX23" s="2850"/>
      <c r="AY23" s="2851"/>
      <c r="AZ23" s="2850"/>
      <c r="BA23" s="2851"/>
      <c r="BB23" s="2850"/>
      <c r="BC23" s="2851"/>
      <c r="BD23" s="2851">
        <f>Z23+AB23</f>
        <v>581552</v>
      </c>
      <c r="BE23" s="2872">
        <f>AA23+AC23</f>
        <v>103</v>
      </c>
      <c r="BF23" s="2851">
        <v>1</v>
      </c>
      <c r="BG23" s="2873">
        <f>+V23+V24+V25+V26</f>
        <v>620000</v>
      </c>
      <c r="BH23" s="2875">
        <f>+W23+W24+W25+W26</f>
        <v>620000</v>
      </c>
      <c r="BI23" s="2846">
        <f t="shared" ref="BI23" si="0">BH23/BG23</f>
        <v>1</v>
      </c>
      <c r="BJ23" s="2857">
        <v>20</v>
      </c>
      <c r="BK23" s="2859" t="s">
        <v>1075</v>
      </c>
      <c r="BL23" s="2838"/>
      <c r="BM23" s="2838"/>
      <c r="BN23" s="2838">
        <v>44195</v>
      </c>
      <c r="BO23" s="2871"/>
      <c r="BP23" s="2864" t="s">
        <v>1058</v>
      </c>
    </row>
    <row r="24" spans="1:68" s="1173" customFormat="1" ht="50.25" customHeight="1" x14ac:dyDescent="0.2">
      <c r="A24" s="1224"/>
      <c r="B24" s="1225"/>
      <c r="C24" s="1226"/>
      <c r="D24" s="1230"/>
      <c r="E24" s="1230"/>
      <c r="F24" s="1230"/>
      <c r="G24" s="2343"/>
      <c r="H24" s="2343"/>
      <c r="I24" s="2413"/>
      <c r="J24" s="2413"/>
      <c r="K24" s="2343"/>
      <c r="L24" s="2761"/>
      <c r="M24" s="2413"/>
      <c r="N24" s="2343"/>
      <c r="O24" s="2413"/>
      <c r="P24" s="2854"/>
      <c r="Q24" s="2833"/>
      <c r="R24" s="2413"/>
      <c r="S24" s="2834"/>
      <c r="T24" s="2856"/>
      <c r="U24" s="1212">
        <v>620000</v>
      </c>
      <c r="V24" s="1229">
        <v>620000</v>
      </c>
      <c r="W24" s="1229">
        <v>620000</v>
      </c>
      <c r="X24" s="1210">
        <v>20</v>
      </c>
      <c r="Y24" s="537" t="s">
        <v>1074</v>
      </c>
      <c r="Z24" s="2850"/>
      <c r="AA24" s="2863"/>
      <c r="AB24" s="2850"/>
      <c r="AC24" s="2863"/>
      <c r="AD24" s="2850"/>
      <c r="AE24" s="2863"/>
      <c r="AF24" s="2850"/>
      <c r="AG24" s="2863"/>
      <c r="AH24" s="2850"/>
      <c r="AI24" s="2863"/>
      <c r="AJ24" s="2850"/>
      <c r="AK24" s="2863"/>
      <c r="AL24" s="2850"/>
      <c r="AM24" s="2863"/>
      <c r="AN24" s="2850"/>
      <c r="AO24" s="2863"/>
      <c r="AP24" s="2850"/>
      <c r="AQ24" s="2863"/>
      <c r="AR24" s="2850"/>
      <c r="AS24" s="2863"/>
      <c r="AT24" s="2850"/>
      <c r="AU24" s="2863"/>
      <c r="AV24" s="2850"/>
      <c r="AW24" s="2863"/>
      <c r="AX24" s="2850"/>
      <c r="AY24" s="2863"/>
      <c r="AZ24" s="2850"/>
      <c r="BA24" s="2863"/>
      <c r="BB24" s="2850"/>
      <c r="BC24" s="2863"/>
      <c r="BD24" s="2863"/>
      <c r="BE24" s="2872"/>
      <c r="BF24" s="2863"/>
      <c r="BG24" s="2874"/>
      <c r="BH24" s="2876"/>
      <c r="BI24" s="2847"/>
      <c r="BJ24" s="2858"/>
      <c r="BK24" s="2860"/>
      <c r="BL24" s="2839"/>
      <c r="BM24" s="2839"/>
      <c r="BN24" s="2839"/>
      <c r="BO24" s="2858"/>
      <c r="BP24" s="2864"/>
    </row>
    <row r="25" spans="1:68" s="1173" customFormat="1" ht="63" customHeight="1" x14ac:dyDescent="0.2">
      <c r="A25" s="1224"/>
      <c r="B25" s="1225"/>
      <c r="C25" s="1226"/>
      <c r="D25" s="1230"/>
      <c r="E25" s="1230"/>
      <c r="F25" s="1230"/>
      <c r="G25" s="2343"/>
      <c r="H25" s="2343"/>
      <c r="I25" s="2413"/>
      <c r="J25" s="2413"/>
      <c r="K25" s="2343"/>
      <c r="L25" s="2761"/>
      <c r="M25" s="2413"/>
      <c r="N25" s="2343"/>
      <c r="O25" s="2413"/>
      <c r="P25" s="2854"/>
      <c r="Q25" s="2833"/>
      <c r="R25" s="2413"/>
      <c r="S25" s="2834"/>
      <c r="T25" s="1228" t="s">
        <v>1083</v>
      </c>
      <c r="U25" s="1212">
        <v>5380000</v>
      </c>
      <c r="V25" s="1229"/>
      <c r="W25" s="1229"/>
      <c r="X25" s="1210">
        <v>20</v>
      </c>
      <c r="Y25" s="537" t="s">
        <v>1074</v>
      </c>
      <c r="Z25" s="2850"/>
      <c r="AA25" s="2863"/>
      <c r="AB25" s="2850"/>
      <c r="AC25" s="2863"/>
      <c r="AD25" s="2850"/>
      <c r="AE25" s="2863"/>
      <c r="AF25" s="2850"/>
      <c r="AG25" s="2863"/>
      <c r="AH25" s="2850"/>
      <c r="AI25" s="2863"/>
      <c r="AJ25" s="2850"/>
      <c r="AK25" s="2863"/>
      <c r="AL25" s="2850"/>
      <c r="AM25" s="2863"/>
      <c r="AN25" s="2850"/>
      <c r="AO25" s="2863"/>
      <c r="AP25" s="2850"/>
      <c r="AQ25" s="2863"/>
      <c r="AR25" s="2850"/>
      <c r="AS25" s="2863"/>
      <c r="AT25" s="2850"/>
      <c r="AU25" s="2863"/>
      <c r="AV25" s="2850"/>
      <c r="AW25" s="2863"/>
      <c r="AX25" s="2850"/>
      <c r="AY25" s="2863"/>
      <c r="AZ25" s="2850"/>
      <c r="BA25" s="2863"/>
      <c r="BB25" s="2850"/>
      <c r="BC25" s="2863"/>
      <c r="BD25" s="2863"/>
      <c r="BE25" s="2872"/>
      <c r="BF25" s="2863"/>
      <c r="BG25" s="2874"/>
      <c r="BH25" s="2876"/>
      <c r="BI25" s="2847" t="e">
        <f t="shared" ref="BI25" si="1">BH25/BG25</f>
        <v>#DIV/0!</v>
      </c>
      <c r="BJ25" s="2858"/>
      <c r="BK25" s="2860"/>
      <c r="BL25" s="2839"/>
      <c r="BM25" s="2839"/>
      <c r="BN25" s="2839"/>
      <c r="BO25" s="2858"/>
      <c r="BP25" s="2864"/>
    </row>
    <row r="26" spans="1:68" s="1173" customFormat="1" ht="66" customHeight="1" x14ac:dyDescent="0.2">
      <c r="A26" s="1224"/>
      <c r="B26" s="1225"/>
      <c r="C26" s="1226"/>
      <c r="D26" s="1230"/>
      <c r="E26" s="1230"/>
      <c r="F26" s="1230"/>
      <c r="G26" s="2491"/>
      <c r="H26" s="2343"/>
      <c r="I26" s="2413"/>
      <c r="J26" s="2413"/>
      <c r="K26" s="2343"/>
      <c r="L26" s="2342"/>
      <c r="M26" s="2413"/>
      <c r="N26" s="2343"/>
      <c r="O26" s="2413"/>
      <c r="P26" s="2854"/>
      <c r="Q26" s="2833"/>
      <c r="R26" s="2413"/>
      <c r="S26" s="2834"/>
      <c r="T26" s="1228" t="s">
        <v>1084</v>
      </c>
      <c r="U26" s="1212">
        <v>4500000</v>
      </c>
      <c r="V26" s="1229"/>
      <c r="W26" s="1229"/>
      <c r="X26" s="1210">
        <v>88</v>
      </c>
      <c r="Y26" s="537" t="s">
        <v>4</v>
      </c>
      <c r="Z26" s="2850"/>
      <c r="AA26" s="2852"/>
      <c r="AB26" s="2850"/>
      <c r="AC26" s="2852"/>
      <c r="AD26" s="2850"/>
      <c r="AE26" s="2852"/>
      <c r="AF26" s="2850"/>
      <c r="AG26" s="2852"/>
      <c r="AH26" s="2850"/>
      <c r="AI26" s="2852"/>
      <c r="AJ26" s="2850"/>
      <c r="AK26" s="2852"/>
      <c r="AL26" s="2850"/>
      <c r="AM26" s="2852"/>
      <c r="AN26" s="2850"/>
      <c r="AO26" s="2852"/>
      <c r="AP26" s="2850"/>
      <c r="AQ26" s="2852"/>
      <c r="AR26" s="2850"/>
      <c r="AS26" s="2852"/>
      <c r="AT26" s="2850"/>
      <c r="AU26" s="2852"/>
      <c r="AV26" s="2850"/>
      <c r="AW26" s="2852"/>
      <c r="AX26" s="2850"/>
      <c r="AY26" s="2852"/>
      <c r="AZ26" s="2850"/>
      <c r="BA26" s="2852"/>
      <c r="BB26" s="2850"/>
      <c r="BC26" s="2852"/>
      <c r="BD26" s="2852"/>
      <c r="BE26" s="2872"/>
      <c r="BF26" s="2852"/>
      <c r="BG26" s="2874"/>
      <c r="BH26" s="2876"/>
      <c r="BI26" s="2847"/>
      <c r="BJ26" s="2858"/>
      <c r="BK26" s="2860"/>
      <c r="BL26" s="2839"/>
      <c r="BM26" s="2839"/>
      <c r="BN26" s="2839"/>
      <c r="BO26" s="2858"/>
      <c r="BP26" s="2865"/>
    </row>
    <row r="27" spans="1:68" s="1173" customFormat="1" ht="27" customHeight="1" x14ac:dyDescent="0.2">
      <c r="A27" s="1224"/>
      <c r="B27" s="1225"/>
      <c r="C27" s="1226"/>
      <c r="D27" s="613">
        <v>15</v>
      </c>
      <c r="E27" s="989" t="s">
        <v>622</v>
      </c>
      <c r="F27" s="46"/>
      <c r="G27" s="47"/>
      <c r="H27" s="111"/>
      <c r="I27" s="112"/>
      <c r="J27" s="112"/>
      <c r="K27" s="113"/>
      <c r="L27" s="113"/>
      <c r="M27" s="112"/>
      <c r="N27" s="113"/>
      <c r="O27" s="112"/>
      <c r="P27" s="1219"/>
      <c r="Q27" s="1199"/>
      <c r="R27" s="112"/>
      <c r="S27" s="112"/>
      <c r="T27" s="1200"/>
      <c r="U27" s="1220"/>
      <c r="V27" s="1221"/>
      <c r="W27" s="1221"/>
      <c r="X27" s="1203"/>
      <c r="Y27" s="112"/>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48"/>
      <c r="BH27" s="48"/>
      <c r="BI27" s="48"/>
      <c r="BJ27" s="48"/>
      <c r="BK27" s="48"/>
      <c r="BL27" s="1222"/>
      <c r="BM27" s="1222"/>
      <c r="BN27" s="1222"/>
      <c r="BO27" s="1222"/>
      <c r="BP27" s="1223"/>
    </row>
    <row r="28" spans="1:68" s="1173" customFormat="1" ht="60.75" customHeight="1" x14ac:dyDescent="0.2">
      <c r="A28" s="1224"/>
      <c r="B28" s="1225"/>
      <c r="C28" s="1225"/>
      <c r="D28" s="1231"/>
      <c r="E28" s="1227"/>
      <c r="F28" s="1232"/>
      <c r="G28" s="2866">
        <v>2201068</v>
      </c>
      <c r="H28" s="2729" t="s">
        <v>714</v>
      </c>
      <c r="I28" s="2413" t="s">
        <v>715</v>
      </c>
      <c r="J28" s="2453" t="s">
        <v>716</v>
      </c>
      <c r="K28" s="2867">
        <v>40</v>
      </c>
      <c r="L28" s="2868">
        <v>0</v>
      </c>
      <c r="M28" s="2453" t="s">
        <v>1085</v>
      </c>
      <c r="N28" s="2605" t="s">
        <v>1086</v>
      </c>
      <c r="O28" s="2453" t="s">
        <v>1087</v>
      </c>
      <c r="P28" s="2896">
        <f>SUM(U28:U30)/Q28</f>
        <v>1</v>
      </c>
      <c r="Q28" s="2897">
        <f>SUM(U28:U30)</f>
        <v>201866667</v>
      </c>
      <c r="R28" s="2453" t="s">
        <v>1088</v>
      </c>
      <c r="S28" s="2899" t="s">
        <v>1089</v>
      </c>
      <c r="T28" s="1233" t="s">
        <v>1090</v>
      </c>
      <c r="U28" s="1234">
        <f>13551333+90000000</f>
        <v>103551333</v>
      </c>
      <c r="V28" s="1229">
        <f>1582666+4293333+8500000-373333-560000</f>
        <v>13442666</v>
      </c>
      <c r="W28" s="1229">
        <v>2800000</v>
      </c>
      <c r="X28" s="1235">
        <v>88</v>
      </c>
      <c r="Y28" s="545" t="s">
        <v>4</v>
      </c>
      <c r="Z28" s="2850">
        <v>5089</v>
      </c>
      <c r="AA28" s="2851">
        <v>0</v>
      </c>
      <c r="AB28" s="2850">
        <v>4911</v>
      </c>
      <c r="AC28" s="2851">
        <v>0</v>
      </c>
      <c r="AD28" s="2850">
        <v>2331</v>
      </c>
      <c r="AE28" s="2851">
        <v>0</v>
      </c>
      <c r="AF28" s="2850">
        <v>761</v>
      </c>
      <c r="AG28" s="2851">
        <v>0</v>
      </c>
      <c r="AH28" s="2850">
        <v>5316</v>
      </c>
      <c r="AI28" s="2851">
        <v>0</v>
      </c>
      <c r="AJ28" s="2850">
        <v>1592</v>
      </c>
      <c r="AK28" s="2851">
        <v>0</v>
      </c>
      <c r="AL28" s="2850">
        <v>0</v>
      </c>
      <c r="AM28" s="2851"/>
      <c r="AN28" s="2850">
        <v>0</v>
      </c>
      <c r="AO28" s="2851"/>
      <c r="AP28" s="2850">
        <v>0</v>
      </c>
      <c r="AQ28" s="2851"/>
      <c r="AR28" s="2850">
        <v>0</v>
      </c>
      <c r="AS28" s="2851"/>
      <c r="AT28" s="2850">
        <v>0</v>
      </c>
      <c r="AU28" s="2851"/>
      <c r="AV28" s="2850">
        <v>0</v>
      </c>
      <c r="AW28" s="2851"/>
      <c r="AX28" s="2850">
        <v>0</v>
      </c>
      <c r="AY28" s="2851"/>
      <c r="AZ28" s="2850">
        <v>0</v>
      </c>
      <c r="BA28" s="2851"/>
      <c r="BB28" s="2850">
        <v>0</v>
      </c>
      <c r="BC28" s="2851"/>
      <c r="BD28" s="2850">
        <f>+Z28+AB28</f>
        <v>10000</v>
      </c>
      <c r="BE28" s="2851">
        <f>AA28+AC28+AE28+AG28+AI28+AK28</f>
        <v>0</v>
      </c>
      <c r="BF28" s="2851">
        <v>2</v>
      </c>
      <c r="BG28" s="2873">
        <f>+V28+V29+V30</f>
        <v>13442666</v>
      </c>
      <c r="BH28" s="2875">
        <f>+W28+W29+W30</f>
        <v>2800000</v>
      </c>
      <c r="BI28" s="2846">
        <f t="shared" ref="BI28" si="2">BH28/BG28</f>
        <v>0.20829201588434912</v>
      </c>
      <c r="BJ28" s="2881">
        <v>88</v>
      </c>
      <c r="BK28" s="2882" t="s">
        <v>1091</v>
      </c>
      <c r="BL28" s="2838">
        <v>44057</v>
      </c>
      <c r="BM28" s="2838">
        <v>44186</v>
      </c>
      <c r="BN28" s="2838">
        <v>44195</v>
      </c>
      <c r="BO28" s="2877"/>
      <c r="BP28" s="2864"/>
    </row>
    <row r="29" spans="1:68" s="1173" customFormat="1" ht="57.75" customHeight="1" x14ac:dyDescent="0.2">
      <c r="A29" s="1224"/>
      <c r="B29" s="1225"/>
      <c r="C29" s="1225"/>
      <c r="D29" s="2820"/>
      <c r="E29" s="2823"/>
      <c r="F29" s="2879"/>
      <c r="G29" s="2866"/>
      <c r="H29" s="2729"/>
      <c r="I29" s="2413"/>
      <c r="J29" s="2453"/>
      <c r="K29" s="2867"/>
      <c r="L29" s="2869"/>
      <c r="M29" s="2453"/>
      <c r="N29" s="2605"/>
      <c r="O29" s="2453"/>
      <c r="P29" s="2896"/>
      <c r="Q29" s="2898"/>
      <c r="R29" s="2453"/>
      <c r="S29" s="2899"/>
      <c r="T29" s="1233" t="s">
        <v>1092</v>
      </c>
      <c r="U29" s="1234">
        <f>8315334+90000000</f>
        <v>98315334</v>
      </c>
      <c r="V29" s="1229"/>
      <c r="W29" s="1229"/>
      <c r="X29" s="1235">
        <v>88</v>
      </c>
      <c r="Y29" s="545" t="s">
        <v>4</v>
      </c>
      <c r="Z29" s="2850"/>
      <c r="AA29" s="2863"/>
      <c r="AB29" s="2850"/>
      <c r="AC29" s="2863"/>
      <c r="AD29" s="2850"/>
      <c r="AE29" s="2863"/>
      <c r="AF29" s="2850"/>
      <c r="AG29" s="2863"/>
      <c r="AH29" s="2850"/>
      <c r="AI29" s="2863"/>
      <c r="AJ29" s="2850"/>
      <c r="AK29" s="2863"/>
      <c r="AL29" s="2850"/>
      <c r="AM29" s="2863"/>
      <c r="AN29" s="2850"/>
      <c r="AO29" s="2863"/>
      <c r="AP29" s="2850"/>
      <c r="AQ29" s="2863"/>
      <c r="AR29" s="2850"/>
      <c r="AS29" s="2863"/>
      <c r="AT29" s="2850"/>
      <c r="AU29" s="2863"/>
      <c r="AV29" s="2850"/>
      <c r="AW29" s="2863"/>
      <c r="AX29" s="2850"/>
      <c r="AY29" s="2863"/>
      <c r="AZ29" s="2850"/>
      <c r="BA29" s="2863"/>
      <c r="BB29" s="2850"/>
      <c r="BC29" s="2863"/>
      <c r="BD29" s="2850"/>
      <c r="BE29" s="2863"/>
      <c r="BF29" s="2863"/>
      <c r="BG29" s="2874"/>
      <c r="BH29" s="2876"/>
      <c r="BI29" s="2847"/>
      <c r="BJ29" s="2878"/>
      <c r="BK29" s="2883"/>
      <c r="BL29" s="2839"/>
      <c r="BM29" s="2839"/>
      <c r="BN29" s="2839"/>
      <c r="BO29" s="2878"/>
      <c r="BP29" s="2864"/>
    </row>
    <row r="30" spans="1:68" s="1173" customFormat="1" ht="70.5" customHeight="1" x14ac:dyDescent="0.2">
      <c r="A30" s="1236"/>
      <c r="B30" s="1237"/>
      <c r="C30" s="1237"/>
      <c r="D30" s="2821"/>
      <c r="E30" s="2824"/>
      <c r="F30" s="2880"/>
      <c r="G30" s="2866"/>
      <c r="H30" s="2729"/>
      <c r="I30" s="2413"/>
      <c r="J30" s="2453"/>
      <c r="K30" s="2867"/>
      <c r="L30" s="2870"/>
      <c r="M30" s="2453"/>
      <c r="N30" s="2605"/>
      <c r="O30" s="2453"/>
      <c r="P30" s="2896"/>
      <c r="Q30" s="2898"/>
      <c r="R30" s="2453"/>
      <c r="S30" s="2899"/>
      <c r="T30" s="1233" t="s">
        <v>1093</v>
      </c>
      <c r="U30" s="1238">
        <v>0</v>
      </c>
      <c r="V30" s="1239"/>
      <c r="W30" s="1229"/>
      <c r="X30" s="1235"/>
      <c r="Y30" s="545"/>
      <c r="Z30" s="2850"/>
      <c r="AA30" s="2852"/>
      <c r="AB30" s="2850"/>
      <c r="AC30" s="2852"/>
      <c r="AD30" s="2850"/>
      <c r="AE30" s="2852"/>
      <c r="AF30" s="2850"/>
      <c r="AG30" s="2852"/>
      <c r="AH30" s="2850"/>
      <c r="AI30" s="2852"/>
      <c r="AJ30" s="2850"/>
      <c r="AK30" s="2852"/>
      <c r="AL30" s="2850"/>
      <c r="AM30" s="2852"/>
      <c r="AN30" s="2850"/>
      <c r="AO30" s="2852"/>
      <c r="AP30" s="2850"/>
      <c r="AQ30" s="2852"/>
      <c r="AR30" s="2850"/>
      <c r="AS30" s="2852"/>
      <c r="AT30" s="2850"/>
      <c r="AU30" s="2852"/>
      <c r="AV30" s="2850"/>
      <c r="AW30" s="2852"/>
      <c r="AX30" s="2850"/>
      <c r="AY30" s="2852"/>
      <c r="AZ30" s="2850"/>
      <c r="BA30" s="2852"/>
      <c r="BB30" s="2850"/>
      <c r="BC30" s="2852"/>
      <c r="BD30" s="2850"/>
      <c r="BE30" s="2852"/>
      <c r="BF30" s="2852"/>
      <c r="BG30" s="2874"/>
      <c r="BH30" s="2876"/>
      <c r="BI30" s="2847" t="e">
        <f t="shared" ref="BI30" si="3">BH30/BG30</f>
        <v>#DIV/0!</v>
      </c>
      <c r="BJ30" s="2878"/>
      <c r="BK30" s="2883"/>
      <c r="BL30" s="2839"/>
      <c r="BM30" s="2839"/>
      <c r="BN30" s="2839"/>
      <c r="BO30" s="2878"/>
      <c r="BP30" s="2865"/>
    </row>
    <row r="31" spans="1:68" s="1173" customFormat="1" ht="27" customHeight="1" x14ac:dyDescent="0.2">
      <c r="A31" s="1225"/>
      <c r="B31" s="1225"/>
      <c r="C31" s="1225"/>
      <c r="D31" s="605">
        <v>35</v>
      </c>
      <c r="E31" s="1240" t="s">
        <v>1094</v>
      </c>
      <c r="F31" s="1241"/>
      <c r="G31" s="1084"/>
      <c r="H31" s="1084"/>
      <c r="I31" s="1085"/>
      <c r="J31" s="1085"/>
      <c r="K31" s="1082"/>
      <c r="L31" s="1082"/>
      <c r="M31" s="1085"/>
      <c r="N31" s="1082"/>
      <c r="O31" s="1085"/>
      <c r="P31" s="1242"/>
      <c r="Q31" s="1243"/>
      <c r="R31" s="1085"/>
      <c r="S31" s="1085"/>
      <c r="T31" s="1244"/>
      <c r="U31" s="1245"/>
      <c r="V31" s="1246"/>
      <c r="W31" s="1221"/>
      <c r="X31" s="1203"/>
      <c r="Y31" s="112"/>
      <c r="Z31" s="1082"/>
      <c r="AA31" s="1082"/>
      <c r="AB31" s="1082"/>
      <c r="AC31" s="1082"/>
      <c r="AD31" s="1082"/>
      <c r="AE31" s="1082"/>
      <c r="AF31" s="1082"/>
      <c r="AG31" s="1082"/>
      <c r="AH31" s="1082"/>
      <c r="AI31" s="1082"/>
      <c r="AJ31" s="1082"/>
      <c r="AK31" s="1082"/>
      <c r="AL31" s="1082"/>
      <c r="AM31" s="1082"/>
      <c r="AN31" s="1082"/>
      <c r="AO31" s="1082"/>
      <c r="AP31" s="1082"/>
      <c r="AQ31" s="1082"/>
      <c r="AR31" s="1082"/>
      <c r="AS31" s="1082"/>
      <c r="AT31" s="1082"/>
      <c r="AU31" s="1082"/>
      <c r="AV31" s="1082"/>
      <c r="AW31" s="1082"/>
      <c r="AX31" s="1082"/>
      <c r="AY31" s="1082"/>
      <c r="AZ31" s="1082"/>
      <c r="BA31" s="1082"/>
      <c r="BB31" s="1082"/>
      <c r="BC31" s="1082"/>
      <c r="BD31" s="1082"/>
      <c r="BE31" s="1082"/>
      <c r="BF31" s="1082"/>
      <c r="BG31" s="746"/>
      <c r="BH31" s="746"/>
      <c r="BI31" s="746"/>
      <c r="BJ31" s="746"/>
      <c r="BK31" s="746"/>
      <c r="BL31" s="1247"/>
      <c r="BM31" s="1247"/>
      <c r="BN31" s="1247"/>
      <c r="BO31" s="1247"/>
      <c r="BP31" s="1248"/>
    </row>
    <row r="32" spans="1:68" s="1173" customFormat="1" ht="33" customHeight="1" x14ac:dyDescent="0.2">
      <c r="A32" s="1225"/>
      <c r="B32" s="1225"/>
      <c r="C32" s="1225"/>
      <c r="D32" s="2820"/>
      <c r="E32" s="2823"/>
      <c r="F32" s="2879"/>
      <c r="G32" s="2891">
        <v>4101023</v>
      </c>
      <c r="H32" s="2891" t="s">
        <v>1095</v>
      </c>
      <c r="I32" s="2894" t="s">
        <v>1096</v>
      </c>
      <c r="J32" s="2422" t="s">
        <v>1097</v>
      </c>
      <c r="K32" s="2306">
        <v>200</v>
      </c>
      <c r="L32" s="2306">
        <v>150</v>
      </c>
      <c r="M32" s="2422" t="s">
        <v>1098</v>
      </c>
      <c r="N32" s="2306" t="s">
        <v>1099</v>
      </c>
      <c r="O32" s="2422" t="s">
        <v>1100</v>
      </c>
      <c r="P32" s="2885">
        <f>SUM(U32:U52)/Q32</f>
        <v>0.5944374890154972</v>
      </c>
      <c r="Q32" s="2888">
        <f>SUM(U32:U77)</f>
        <v>522730761</v>
      </c>
      <c r="R32" s="2422" t="s">
        <v>1101</v>
      </c>
      <c r="S32" s="2902" t="s">
        <v>1102</v>
      </c>
      <c r="T32" s="2568" t="s">
        <v>1103</v>
      </c>
      <c r="U32" s="1234">
        <v>12000000</v>
      </c>
      <c r="V32" s="1249">
        <f>1226667</f>
        <v>1226667</v>
      </c>
      <c r="W32" s="1229">
        <v>700000</v>
      </c>
      <c r="X32" s="1235">
        <v>88</v>
      </c>
      <c r="Y32" s="545" t="s">
        <v>1104</v>
      </c>
      <c r="Z32" s="2842">
        <v>1018</v>
      </c>
      <c r="AA32" s="2840">
        <v>62</v>
      </c>
      <c r="AB32" s="2840">
        <v>982</v>
      </c>
      <c r="AC32" s="2840">
        <v>195</v>
      </c>
      <c r="AD32" s="2840">
        <v>466</v>
      </c>
      <c r="AE32" s="2840">
        <v>62</v>
      </c>
      <c r="AF32" s="2840">
        <v>152</v>
      </c>
      <c r="AG32" s="2840">
        <v>0</v>
      </c>
      <c r="AH32" s="2840">
        <v>1063</v>
      </c>
      <c r="AI32" s="2840">
        <v>0</v>
      </c>
      <c r="AJ32" s="2840">
        <v>319</v>
      </c>
      <c r="AK32" s="2840">
        <v>50</v>
      </c>
      <c r="AL32" s="2840">
        <v>0</v>
      </c>
      <c r="AM32" s="2840">
        <v>18</v>
      </c>
      <c r="AN32" s="2900">
        <v>0</v>
      </c>
      <c r="AO32" s="2900">
        <v>2</v>
      </c>
      <c r="AP32" s="2900">
        <v>0</v>
      </c>
      <c r="AQ32" s="2900">
        <v>0</v>
      </c>
      <c r="AR32" s="2900">
        <v>0</v>
      </c>
      <c r="AS32" s="2900">
        <v>0</v>
      </c>
      <c r="AT32" s="2840">
        <v>0</v>
      </c>
      <c r="AU32" s="2900">
        <v>0</v>
      </c>
      <c r="AV32" s="2840">
        <v>0</v>
      </c>
      <c r="AW32" s="2840">
        <v>0</v>
      </c>
      <c r="AX32" s="2840">
        <v>0</v>
      </c>
      <c r="AY32" s="2840">
        <v>0</v>
      </c>
      <c r="AZ32" s="2840">
        <v>0</v>
      </c>
      <c r="BA32" s="2840">
        <v>22</v>
      </c>
      <c r="BB32" s="2840">
        <v>0</v>
      </c>
      <c r="BC32" s="2840">
        <v>411</v>
      </c>
      <c r="BD32" s="2840">
        <f>+Z32+AB32</f>
        <v>2000</v>
      </c>
      <c r="BE32" s="2917">
        <v>411</v>
      </c>
      <c r="BF32" s="2840">
        <v>10</v>
      </c>
      <c r="BG32" s="2915">
        <f>SUM(V32:V77)</f>
        <v>115701436</v>
      </c>
      <c r="BH32" s="2915">
        <f>SUM(W32:W77)</f>
        <v>45371460</v>
      </c>
      <c r="BI32" s="2846">
        <f>BH32/BG32</f>
        <v>0.39214258326059154</v>
      </c>
      <c r="BJ32" s="2857" t="s">
        <v>161</v>
      </c>
      <c r="BK32" s="2859" t="s">
        <v>1105</v>
      </c>
      <c r="BL32" s="2838">
        <v>44056</v>
      </c>
      <c r="BM32" s="2838">
        <v>44186</v>
      </c>
      <c r="BN32" s="2838">
        <v>44195</v>
      </c>
      <c r="BO32" s="2838"/>
      <c r="BP32" s="2840" t="s">
        <v>1058</v>
      </c>
    </row>
    <row r="33" spans="1:68" s="1173" customFormat="1" ht="33" customHeight="1" x14ac:dyDescent="0.2">
      <c r="A33" s="1225"/>
      <c r="B33" s="1225"/>
      <c r="C33" s="1225"/>
      <c r="D33" s="1250"/>
      <c r="E33" s="1207"/>
      <c r="F33" s="593"/>
      <c r="G33" s="2892"/>
      <c r="H33" s="2892"/>
      <c r="I33" s="2884"/>
      <c r="J33" s="2423"/>
      <c r="K33" s="2307"/>
      <c r="L33" s="2307"/>
      <c r="M33" s="2423"/>
      <c r="N33" s="2307"/>
      <c r="O33" s="2423"/>
      <c r="P33" s="2886"/>
      <c r="Q33" s="2889"/>
      <c r="R33" s="2423"/>
      <c r="S33" s="2903"/>
      <c r="T33" s="2907"/>
      <c r="U33" s="1234">
        <v>12000000</v>
      </c>
      <c r="V33" s="1229"/>
      <c r="W33" s="1229"/>
      <c r="X33" s="1235">
        <v>20</v>
      </c>
      <c r="Y33" s="545" t="s">
        <v>7</v>
      </c>
      <c r="Z33" s="2843"/>
      <c r="AA33" s="2841"/>
      <c r="AB33" s="2841"/>
      <c r="AC33" s="2841"/>
      <c r="AD33" s="2841"/>
      <c r="AE33" s="2841"/>
      <c r="AF33" s="2841"/>
      <c r="AG33" s="2841"/>
      <c r="AH33" s="2841"/>
      <c r="AI33" s="2841"/>
      <c r="AJ33" s="2841"/>
      <c r="AK33" s="2841"/>
      <c r="AL33" s="2841"/>
      <c r="AM33" s="2841"/>
      <c r="AN33" s="2901"/>
      <c r="AO33" s="2901"/>
      <c r="AP33" s="2901"/>
      <c r="AQ33" s="2901"/>
      <c r="AR33" s="2901"/>
      <c r="AS33" s="2901"/>
      <c r="AT33" s="2841"/>
      <c r="AU33" s="2901"/>
      <c r="AV33" s="2841"/>
      <c r="AW33" s="2841"/>
      <c r="AX33" s="2841"/>
      <c r="AY33" s="2841"/>
      <c r="AZ33" s="2841"/>
      <c r="BA33" s="2841"/>
      <c r="BB33" s="2841"/>
      <c r="BC33" s="2841"/>
      <c r="BD33" s="2841"/>
      <c r="BE33" s="2918"/>
      <c r="BF33" s="2841"/>
      <c r="BG33" s="2916"/>
      <c r="BH33" s="2916"/>
      <c r="BI33" s="2847"/>
      <c r="BJ33" s="2858"/>
      <c r="BK33" s="2860"/>
      <c r="BL33" s="2839"/>
      <c r="BM33" s="2839"/>
      <c r="BN33" s="2839"/>
      <c r="BO33" s="2839"/>
      <c r="BP33" s="2841"/>
    </row>
    <row r="34" spans="1:68" s="1173" customFormat="1" ht="35.25" customHeight="1" x14ac:dyDescent="0.2">
      <c r="A34" s="1225"/>
      <c r="B34" s="1225"/>
      <c r="C34" s="1225"/>
      <c r="D34" s="1250"/>
      <c r="E34" s="1207"/>
      <c r="F34" s="593"/>
      <c r="G34" s="2892"/>
      <c r="H34" s="2892"/>
      <c r="I34" s="2884"/>
      <c r="J34" s="2423"/>
      <c r="K34" s="2307"/>
      <c r="L34" s="2307"/>
      <c r="M34" s="2423"/>
      <c r="N34" s="2307"/>
      <c r="O34" s="2423"/>
      <c r="P34" s="2886"/>
      <c r="Q34" s="2889"/>
      <c r="R34" s="2423"/>
      <c r="S34" s="2903"/>
      <c r="T34" s="2568" t="s">
        <v>1106</v>
      </c>
      <c r="U34" s="1234">
        <v>14000000</v>
      </c>
      <c r="V34" s="1229">
        <f>1226667+1391650</f>
        <v>2618317</v>
      </c>
      <c r="W34" s="1229">
        <v>1866666</v>
      </c>
      <c r="X34" s="1235">
        <v>88</v>
      </c>
      <c r="Y34" s="545" t="s">
        <v>4</v>
      </c>
      <c r="Z34" s="2843"/>
      <c r="AA34" s="2841"/>
      <c r="AB34" s="2841"/>
      <c r="AC34" s="2841"/>
      <c r="AD34" s="2841"/>
      <c r="AE34" s="2841"/>
      <c r="AF34" s="2841"/>
      <c r="AG34" s="2841"/>
      <c r="AH34" s="2841"/>
      <c r="AI34" s="2841"/>
      <c r="AJ34" s="2841"/>
      <c r="AK34" s="2841"/>
      <c r="AL34" s="2841"/>
      <c r="AM34" s="2841"/>
      <c r="AN34" s="2901"/>
      <c r="AO34" s="2901"/>
      <c r="AP34" s="2901"/>
      <c r="AQ34" s="2901"/>
      <c r="AR34" s="2901"/>
      <c r="AS34" s="2901"/>
      <c r="AT34" s="2841"/>
      <c r="AU34" s="2901"/>
      <c r="AV34" s="2841"/>
      <c r="AW34" s="2841"/>
      <c r="AX34" s="2841"/>
      <c r="AY34" s="2841"/>
      <c r="AZ34" s="2841"/>
      <c r="BA34" s="2841"/>
      <c r="BB34" s="2841"/>
      <c r="BC34" s="2841"/>
      <c r="BD34" s="2841"/>
      <c r="BE34" s="2918"/>
      <c r="BF34" s="2841"/>
      <c r="BG34" s="2916"/>
      <c r="BH34" s="2916"/>
      <c r="BI34" s="2847" t="e">
        <f t="shared" ref="BI34:BI77" si="4">BH34/BG34</f>
        <v>#DIV/0!</v>
      </c>
      <c r="BJ34" s="2858"/>
      <c r="BK34" s="2860"/>
      <c r="BL34" s="2839"/>
      <c r="BM34" s="2839"/>
      <c r="BN34" s="2839"/>
      <c r="BO34" s="2839"/>
      <c r="BP34" s="2841"/>
    </row>
    <row r="35" spans="1:68" s="1173" customFormat="1" ht="33" customHeight="1" x14ac:dyDescent="0.2">
      <c r="A35" s="1225"/>
      <c r="B35" s="1225"/>
      <c r="C35" s="1225"/>
      <c r="D35" s="1250"/>
      <c r="E35" s="1207"/>
      <c r="F35" s="593"/>
      <c r="G35" s="2892"/>
      <c r="H35" s="2892"/>
      <c r="I35" s="2884"/>
      <c r="J35" s="2884"/>
      <c r="K35" s="2567"/>
      <c r="L35" s="2567"/>
      <c r="M35" s="2884"/>
      <c r="N35" s="2567"/>
      <c r="O35" s="2884"/>
      <c r="P35" s="2847"/>
      <c r="Q35" s="2890"/>
      <c r="R35" s="2884"/>
      <c r="S35" s="2904"/>
      <c r="T35" s="2907"/>
      <c r="U35" s="1234">
        <f>2700000+17000000</f>
        <v>19700000</v>
      </c>
      <c r="V35" s="1229">
        <f>2700000</f>
        <v>2700000</v>
      </c>
      <c r="W35" s="1229">
        <v>2700000</v>
      </c>
      <c r="X35" s="1235">
        <v>20</v>
      </c>
      <c r="Y35" s="545" t="s">
        <v>7</v>
      </c>
      <c r="Z35" s="2843"/>
      <c r="AA35" s="2841"/>
      <c r="AB35" s="2841"/>
      <c r="AC35" s="2841"/>
      <c r="AD35" s="2841"/>
      <c r="AE35" s="2841"/>
      <c r="AF35" s="2841"/>
      <c r="AG35" s="2841"/>
      <c r="AH35" s="2841"/>
      <c r="AI35" s="2841"/>
      <c r="AJ35" s="2841"/>
      <c r="AK35" s="2841"/>
      <c r="AL35" s="2841"/>
      <c r="AM35" s="2841"/>
      <c r="AN35" s="2901"/>
      <c r="AO35" s="2901"/>
      <c r="AP35" s="2901"/>
      <c r="AQ35" s="2901"/>
      <c r="AR35" s="2901"/>
      <c r="AS35" s="2901"/>
      <c r="AT35" s="2841"/>
      <c r="AU35" s="2901"/>
      <c r="AV35" s="2841"/>
      <c r="AW35" s="2841"/>
      <c r="AX35" s="2841"/>
      <c r="AY35" s="2841"/>
      <c r="AZ35" s="2841"/>
      <c r="BA35" s="2841"/>
      <c r="BB35" s="2841"/>
      <c r="BC35" s="2841"/>
      <c r="BD35" s="2841"/>
      <c r="BE35" s="2918"/>
      <c r="BF35" s="2841"/>
      <c r="BG35" s="2916"/>
      <c r="BH35" s="2916"/>
      <c r="BI35" s="2847" t="e">
        <f t="shared" si="4"/>
        <v>#DIV/0!</v>
      </c>
      <c r="BJ35" s="2858"/>
      <c r="BK35" s="2860"/>
      <c r="BL35" s="2839"/>
      <c r="BM35" s="2839"/>
      <c r="BN35" s="2839"/>
      <c r="BO35" s="2839"/>
      <c r="BP35" s="2841"/>
    </row>
    <row r="36" spans="1:68" s="1173" customFormat="1" ht="39.75" customHeight="1" x14ac:dyDescent="0.2">
      <c r="A36" s="1225"/>
      <c r="B36" s="1225"/>
      <c r="C36" s="1225"/>
      <c r="D36" s="1250"/>
      <c r="E36" s="1207"/>
      <c r="F36" s="593"/>
      <c r="G36" s="2892"/>
      <c r="H36" s="2892"/>
      <c r="I36" s="2884"/>
      <c r="J36" s="2884"/>
      <c r="K36" s="2567"/>
      <c r="L36" s="2567"/>
      <c r="M36" s="2884"/>
      <c r="N36" s="2567"/>
      <c r="O36" s="2884"/>
      <c r="P36" s="2847"/>
      <c r="Q36" s="2890"/>
      <c r="R36" s="2884"/>
      <c r="S36" s="2904"/>
      <c r="T36" s="2568" t="s">
        <v>1107</v>
      </c>
      <c r="U36" s="1234">
        <v>27000000</v>
      </c>
      <c r="V36" s="1229">
        <f>3533333+3000000+1138266+3346675+1600000+377917</f>
        <v>12996191</v>
      </c>
      <c r="W36" s="1229">
        <f>700000+933333+513072</f>
        <v>2146405</v>
      </c>
      <c r="X36" s="1235">
        <v>88</v>
      </c>
      <c r="Y36" s="545" t="s">
        <v>4</v>
      </c>
      <c r="Z36" s="2843"/>
      <c r="AA36" s="2841"/>
      <c r="AB36" s="2841"/>
      <c r="AC36" s="2841"/>
      <c r="AD36" s="2841"/>
      <c r="AE36" s="2841"/>
      <c r="AF36" s="2841"/>
      <c r="AG36" s="2841"/>
      <c r="AH36" s="2841"/>
      <c r="AI36" s="2841"/>
      <c r="AJ36" s="2841"/>
      <c r="AK36" s="2841"/>
      <c r="AL36" s="2841"/>
      <c r="AM36" s="2841"/>
      <c r="AN36" s="2901"/>
      <c r="AO36" s="2901"/>
      <c r="AP36" s="2901"/>
      <c r="AQ36" s="2901"/>
      <c r="AR36" s="2901"/>
      <c r="AS36" s="2901"/>
      <c r="AT36" s="2841"/>
      <c r="AU36" s="2901"/>
      <c r="AV36" s="2841"/>
      <c r="AW36" s="2841"/>
      <c r="AX36" s="2841"/>
      <c r="AY36" s="2841"/>
      <c r="AZ36" s="2841"/>
      <c r="BA36" s="2841"/>
      <c r="BB36" s="2841"/>
      <c r="BC36" s="2841"/>
      <c r="BD36" s="2841"/>
      <c r="BE36" s="2918"/>
      <c r="BF36" s="2841"/>
      <c r="BG36" s="2916"/>
      <c r="BH36" s="2916"/>
      <c r="BI36" s="2847"/>
      <c r="BJ36" s="2858"/>
      <c r="BK36" s="2860"/>
      <c r="BL36" s="2839"/>
      <c r="BM36" s="2839"/>
      <c r="BN36" s="2839"/>
      <c r="BO36" s="2839"/>
      <c r="BP36" s="2841"/>
    </row>
    <row r="37" spans="1:68" s="1173" customFormat="1" ht="47.25" customHeight="1" x14ac:dyDescent="0.2">
      <c r="A37" s="1225"/>
      <c r="B37" s="1225"/>
      <c r="C37" s="1225"/>
      <c r="D37" s="1250"/>
      <c r="E37" s="1207"/>
      <c r="F37" s="593"/>
      <c r="G37" s="2892"/>
      <c r="H37" s="2892"/>
      <c r="I37" s="2884"/>
      <c r="J37" s="2884"/>
      <c r="K37" s="2567"/>
      <c r="L37" s="2567"/>
      <c r="M37" s="2884"/>
      <c r="N37" s="2567"/>
      <c r="O37" s="2884"/>
      <c r="P37" s="2847"/>
      <c r="Q37" s="2890"/>
      <c r="R37" s="2884"/>
      <c r="S37" s="2904"/>
      <c r="T37" s="2907"/>
      <c r="U37" s="1234">
        <f>6350000+27000000</f>
        <v>33350000</v>
      </c>
      <c r="V37" s="1229">
        <f>6350000</f>
        <v>6350000</v>
      </c>
      <c r="W37" s="1229">
        <v>6350000</v>
      </c>
      <c r="X37" s="1235">
        <v>20</v>
      </c>
      <c r="Y37" s="545" t="s">
        <v>7</v>
      </c>
      <c r="Z37" s="2843"/>
      <c r="AA37" s="2841"/>
      <c r="AB37" s="2841"/>
      <c r="AC37" s="2841"/>
      <c r="AD37" s="2841"/>
      <c r="AE37" s="2841"/>
      <c r="AF37" s="2841"/>
      <c r="AG37" s="2841"/>
      <c r="AH37" s="2841"/>
      <c r="AI37" s="2841"/>
      <c r="AJ37" s="2841"/>
      <c r="AK37" s="2841"/>
      <c r="AL37" s="2841"/>
      <c r="AM37" s="2841"/>
      <c r="AN37" s="2901"/>
      <c r="AO37" s="2901"/>
      <c r="AP37" s="2901"/>
      <c r="AQ37" s="2901"/>
      <c r="AR37" s="2901"/>
      <c r="AS37" s="2901"/>
      <c r="AT37" s="2841"/>
      <c r="AU37" s="2901"/>
      <c r="AV37" s="2841"/>
      <c r="AW37" s="2841"/>
      <c r="AX37" s="2841"/>
      <c r="AY37" s="2841"/>
      <c r="AZ37" s="2841"/>
      <c r="BA37" s="2841"/>
      <c r="BB37" s="2841"/>
      <c r="BC37" s="2841"/>
      <c r="BD37" s="2841"/>
      <c r="BE37" s="2918"/>
      <c r="BF37" s="2841"/>
      <c r="BG37" s="2916"/>
      <c r="BH37" s="2916"/>
      <c r="BI37" s="2847" t="e">
        <f t="shared" si="4"/>
        <v>#DIV/0!</v>
      </c>
      <c r="BJ37" s="2858"/>
      <c r="BK37" s="2860"/>
      <c r="BL37" s="2839"/>
      <c r="BM37" s="2839"/>
      <c r="BN37" s="2839"/>
      <c r="BO37" s="2839"/>
      <c r="BP37" s="2841"/>
    </row>
    <row r="38" spans="1:68" s="1173" customFormat="1" ht="40.5" customHeight="1" x14ac:dyDescent="0.2">
      <c r="A38" s="1225"/>
      <c r="B38" s="1225"/>
      <c r="C38" s="1225"/>
      <c r="D38" s="1250"/>
      <c r="E38" s="1207"/>
      <c r="F38" s="593"/>
      <c r="G38" s="2892"/>
      <c r="H38" s="2892"/>
      <c r="I38" s="2884"/>
      <c r="J38" s="2884"/>
      <c r="K38" s="2567"/>
      <c r="L38" s="2567"/>
      <c r="M38" s="2884"/>
      <c r="N38" s="2567"/>
      <c r="O38" s="2884"/>
      <c r="P38" s="2847"/>
      <c r="Q38" s="2890"/>
      <c r="R38" s="2884"/>
      <c r="S38" s="2904"/>
      <c r="T38" s="2568"/>
      <c r="U38" s="1234">
        <v>12000000</v>
      </c>
      <c r="V38" s="1229">
        <f>2000000+1533333+1000000</f>
        <v>4533333</v>
      </c>
      <c r="W38" s="1229">
        <v>700000</v>
      </c>
      <c r="X38" s="1235">
        <v>88</v>
      </c>
      <c r="Y38" s="545" t="s">
        <v>4</v>
      </c>
      <c r="Z38" s="2843"/>
      <c r="AA38" s="2841"/>
      <c r="AB38" s="2841"/>
      <c r="AC38" s="2841"/>
      <c r="AD38" s="2841"/>
      <c r="AE38" s="2841"/>
      <c r="AF38" s="2841"/>
      <c r="AG38" s="2841"/>
      <c r="AH38" s="2841"/>
      <c r="AI38" s="2841"/>
      <c r="AJ38" s="2841"/>
      <c r="AK38" s="2841"/>
      <c r="AL38" s="2841"/>
      <c r="AM38" s="2841"/>
      <c r="AN38" s="2901"/>
      <c r="AO38" s="2901"/>
      <c r="AP38" s="2901"/>
      <c r="AQ38" s="2901"/>
      <c r="AR38" s="2901"/>
      <c r="AS38" s="2901"/>
      <c r="AT38" s="2841"/>
      <c r="AU38" s="2901"/>
      <c r="AV38" s="2841"/>
      <c r="AW38" s="2841"/>
      <c r="AX38" s="2841"/>
      <c r="AY38" s="2841"/>
      <c r="AZ38" s="2841"/>
      <c r="BA38" s="2841"/>
      <c r="BB38" s="2841"/>
      <c r="BC38" s="2841"/>
      <c r="BD38" s="2841"/>
      <c r="BE38" s="2918"/>
      <c r="BF38" s="2841"/>
      <c r="BG38" s="2916"/>
      <c r="BH38" s="2916"/>
      <c r="BI38" s="2847" t="e">
        <f t="shared" si="4"/>
        <v>#DIV/0!</v>
      </c>
      <c r="BJ38" s="2858"/>
      <c r="BK38" s="2860"/>
      <c r="BL38" s="2839"/>
      <c r="BM38" s="2839"/>
      <c r="BN38" s="2839"/>
      <c r="BO38" s="2839"/>
      <c r="BP38" s="2841"/>
    </row>
    <row r="39" spans="1:68" s="1173" customFormat="1" ht="45.75" customHeight="1" x14ac:dyDescent="0.2">
      <c r="A39" s="1225"/>
      <c r="B39" s="1225"/>
      <c r="C39" s="1225"/>
      <c r="D39" s="1250"/>
      <c r="E39" s="1207"/>
      <c r="F39" s="593"/>
      <c r="G39" s="2892"/>
      <c r="H39" s="2892"/>
      <c r="I39" s="2884"/>
      <c r="J39" s="2884"/>
      <c r="K39" s="2567"/>
      <c r="L39" s="2567"/>
      <c r="M39" s="2884"/>
      <c r="N39" s="2567"/>
      <c r="O39" s="2884"/>
      <c r="P39" s="2847"/>
      <c r="Q39" s="2890"/>
      <c r="R39" s="2884"/>
      <c r="S39" s="2904"/>
      <c r="T39" s="2569"/>
      <c r="U39" s="1234">
        <f>2800000+12000000</f>
        <v>14800000</v>
      </c>
      <c r="V39" s="1229">
        <f>2800000</f>
        <v>2800000</v>
      </c>
      <c r="W39" s="1229">
        <v>2800000</v>
      </c>
      <c r="X39" s="1235">
        <v>20</v>
      </c>
      <c r="Y39" s="545" t="s">
        <v>7</v>
      </c>
      <c r="Z39" s="2843"/>
      <c r="AA39" s="2841"/>
      <c r="AB39" s="2841"/>
      <c r="AC39" s="2841"/>
      <c r="AD39" s="2841"/>
      <c r="AE39" s="2841"/>
      <c r="AF39" s="2841"/>
      <c r="AG39" s="2841"/>
      <c r="AH39" s="2841"/>
      <c r="AI39" s="2841"/>
      <c r="AJ39" s="2841"/>
      <c r="AK39" s="2841"/>
      <c r="AL39" s="2841"/>
      <c r="AM39" s="2841"/>
      <c r="AN39" s="2901"/>
      <c r="AO39" s="2901"/>
      <c r="AP39" s="2901"/>
      <c r="AQ39" s="2901"/>
      <c r="AR39" s="2901"/>
      <c r="AS39" s="2901"/>
      <c r="AT39" s="2841"/>
      <c r="AU39" s="2901"/>
      <c r="AV39" s="2841"/>
      <c r="AW39" s="2841"/>
      <c r="AX39" s="2841"/>
      <c r="AY39" s="2841"/>
      <c r="AZ39" s="2841"/>
      <c r="BA39" s="2841"/>
      <c r="BB39" s="2841"/>
      <c r="BC39" s="2841"/>
      <c r="BD39" s="2841"/>
      <c r="BE39" s="2918"/>
      <c r="BF39" s="2841"/>
      <c r="BG39" s="2916"/>
      <c r="BH39" s="2916"/>
      <c r="BI39" s="2847"/>
      <c r="BJ39" s="2858"/>
      <c r="BK39" s="2860"/>
      <c r="BL39" s="2839"/>
      <c r="BM39" s="2839"/>
      <c r="BN39" s="2839"/>
      <c r="BO39" s="2839"/>
      <c r="BP39" s="2841"/>
    </row>
    <row r="40" spans="1:68" s="1173" customFormat="1" ht="50.25" customHeight="1" x14ac:dyDescent="0.2">
      <c r="A40" s="1225"/>
      <c r="B40" s="1225"/>
      <c r="C40" s="1225"/>
      <c r="D40" s="1250"/>
      <c r="E40" s="1207"/>
      <c r="F40" s="593"/>
      <c r="G40" s="2892"/>
      <c r="H40" s="2892"/>
      <c r="I40" s="2884"/>
      <c r="J40" s="2884"/>
      <c r="K40" s="2567"/>
      <c r="L40" s="2567"/>
      <c r="M40" s="2884"/>
      <c r="N40" s="2567"/>
      <c r="O40" s="2884"/>
      <c r="P40" s="2847"/>
      <c r="Q40" s="2890"/>
      <c r="R40" s="2884"/>
      <c r="S40" s="2905"/>
      <c r="T40" s="2914" t="s">
        <v>1108</v>
      </c>
      <c r="U40" s="1234">
        <v>16200000</v>
      </c>
      <c r="V40" s="1229">
        <v>4033295</v>
      </c>
      <c r="W40" s="1229">
        <v>1866666</v>
      </c>
      <c r="X40" s="1235">
        <v>88</v>
      </c>
      <c r="Y40" s="545" t="s">
        <v>4</v>
      </c>
      <c r="Z40" s="2843"/>
      <c r="AA40" s="2841"/>
      <c r="AB40" s="2841"/>
      <c r="AC40" s="2841"/>
      <c r="AD40" s="2841"/>
      <c r="AE40" s="2841"/>
      <c r="AF40" s="2841"/>
      <c r="AG40" s="2841"/>
      <c r="AH40" s="2841"/>
      <c r="AI40" s="2841"/>
      <c r="AJ40" s="2841"/>
      <c r="AK40" s="2841"/>
      <c r="AL40" s="2841"/>
      <c r="AM40" s="2841"/>
      <c r="AN40" s="2901"/>
      <c r="AO40" s="2901"/>
      <c r="AP40" s="2901"/>
      <c r="AQ40" s="2901"/>
      <c r="AR40" s="2901"/>
      <c r="AS40" s="2901"/>
      <c r="AT40" s="2841"/>
      <c r="AU40" s="2901"/>
      <c r="AV40" s="2841"/>
      <c r="AW40" s="2841"/>
      <c r="AX40" s="2841"/>
      <c r="AY40" s="2841"/>
      <c r="AZ40" s="2841"/>
      <c r="BA40" s="2841"/>
      <c r="BB40" s="2841"/>
      <c r="BC40" s="2841"/>
      <c r="BD40" s="2841"/>
      <c r="BE40" s="2918"/>
      <c r="BF40" s="2841"/>
      <c r="BG40" s="2916"/>
      <c r="BH40" s="2916"/>
      <c r="BI40" s="2847" t="e">
        <f t="shared" si="4"/>
        <v>#DIV/0!</v>
      </c>
      <c r="BJ40" s="2858"/>
      <c r="BK40" s="2860"/>
      <c r="BL40" s="2839"/>
      <c r="BM40" s="2839"/>
      <c r="BN40" s="2839"/>
      <c r="BO40" s="2839"/>
      <c r="BP40" s="2841"/>
    </row>
    <row r="41" spans="1:68" s="1173" customFormat="1" ht="34.5" customHeight="1" x14ac:dyDescent="0.2">
      <c r="A41" s="1225"/>
      <c r="B41" s="1225"/>
      <c r="C41" s="1225"/>
      <c r="D41" s="1250"/>
      <c r="E41" s="1207"/>
      <c r="F41" s="593"/>
      <c r="G41" s="2892"/>
      <c r="H41" s="2892"/>
      <c r="I41" s="2884"/>
      <c r="J41" s="2884"/>
      <c r="K41" s="2567"/>
      <c r="L41" s="2567"/>
      <c r="M41" s="2884"/>
      <c r="N41" s="2567"/>
      <c r="O41" s="2884"/>
      <c r="P41" s="2847"/>
      <c r="Q41" s="2890"/>
      <c r="R41" s="2884"/>
      <c r="S41" s="2905"/>
      <c r="T41" s="2914"/>
      <c r="U41" s="1234">
        <v>31060761</v>
      </c>
      <c r="V41" s="1229"/>
      <c r="W41" s="1229"/>
      <c r="X41" s="1235">
        <v>20</v>
      </c>
      <c r="Y41" s="545" t="s">
        <v>7</v>
      </c>
      <c r="Z41" s="2843"/>
      <c r="AA41" s="2841"/>
      <c r="AB41" s="2841"/>
      <c r="AC41" s="2841"/>
      <c r="AD41" s="2841"/>
      <c r="AE41" s="2841"/>
      <c r="AF41" s="2841"/>
      <c r="AG41" s="2841"/>
      <c r="AH41" s="2841"/>
      <c r="AI41" s="2841"/>
      <c r="AJ41" s="2841"/>
      <c r="AK41" s="2841"/>
      <c r="AL41" s="2841"/>
      <c r="AM41" s="2841"/>
      <c r="AN41" s="2901"/>
      <c r="AO41" s="2901"/>
      <c r="AP41" s="2901"/>
      <c r="AQ41" s="2901"/>
      <c r="AR41" s="2901"/>
      <c r="AS41" s="2901"/>
      <c r="AT41" s="2841"/>
      <c r="AU41" s="2901"/>
      <c r="AV41" s="2841"/>
      <c r="AW41" s="2841"/>
      <c r="AX41" s="2841"/>
      <c r="AY41" s="2841"/>
      <c r="AZ41" s="2841"/>
      <c r="BA41" s="2841"/>
      <c r="BB41" s="2841"/>
      <c r="BC41" s="2841"/>
      <c r="BD41" s="2841"/>
      <c r="BE41" s="2918"/>
      <c r="BF41" s="2841"/>
      <c r="BG41" s="2916"/>
      <c r="BH41" s="2916"/>
      <c r="BI41" s="2847" t="e">
        <f t="shared" si="4"/>
        <v>#DIV/0!</v>
      </c>
      <c r="BJ41" s="2858"/>
      <c r="BK41" s="2860"/>
      <c r="BL41" s="2839"/>
      <c r="BM41" s="2839"/>
      <c r="BN41" s="2839"/>
      <c r="BO41" s="2839"/>
      <c r="BP41" s="2841"/>
    </row>
    <row r="42" spans="1:68" s="1173" customFormat="1" ht="42.75" customHeight="1" x14ac:dyDescent="0.2">
      <c r="A42" s="1225"/>
      <c r="B42" s="1225"/>
      <c r="C42" s="1225"/>
      <c r="D42" s="1250"/>
      <c r="E42" s="1207"/>
      <c r="F42" s="593"/>
      <c r="G42" s="2892"/>
      <c r="H42" s="2892"/>
      <c r="I42" s="2884"/>
      <c r="J42" s="2884"/>
      <c r="K42" s="2567"/>
      <c r="L42" s="2567"/>
      <c r="M42" s="2884"/>
      <c r="N42" s="2567"/>
      <c r="O42" s="2884"/>
      <c r="P42" s="2847"/>
      <c r="Q42" s="2890"/>
      <c r="R42" s="2884"/>
      <c r="S42" s="2905"/>
      <c r="T42" s="2914" t="s">
        <v>1109</v>
      </c>
      <c r="U42" s="1234">
        <v>2500000</v>
      </c>
      <c r="V42" s="1229"/>
      <c r="W42" s="1229"/>
      <c r="X42" s="1235">
        <v>88</v>
      </c>
      <c r="Y42" s="545" t="s">
        <v>4</v>
      </c>
      <c r="Z42" s="2843"/>
      <c r="AA42" s="2841"/>
      <c r="AB42" s="2841"/>
      <c r="AC42" s="2841"/>
      <c r="AD42" s="2841"/>
      <c r="AE42" s="2841"/>
      <c r="AF42" s="2841"/>
      <c r="AG42" s="2841"/>
      <c r="AH42" s="2841"/>
      <c r="AI42" s="2841"/>
      <c r="AJ42" s="2841"/>
      <c r="AK42" s="2841"/>
      <c r="AL42" s="2841"/>
      <c r="AM42" s="2841"/>
      <c r="AN42" s="2901"/>
      <c r="AO42" s="2901"/>
      <c r="AP42" s="2901"/>
      <c r="AQ42" s="2901"/>
      <c r="AR42" s="2901"/>
      <c r="AS42" s="2901"/>
      <c r="AT42" s="2841"/>
      <c r="AU42" s="2901"/>
      <c r="AV42" s="2841"/>
      <c r="AW42" s="2841"/>
      <c r="AX42" s="2841"/>
      <c r="AY42" s="2841"/>
      <c r="AZ42" s="2841"/>
      <c r="BA42" s="2841"/>
      <c r="BB42" s="2841"/>
      <c r="BC42" s="2841"/>
      <c r="BD42" s="2841"/>
      <c r="BE42" s="2918"/>
      <c r="BF42" s="2841"/>
      <c r="BG42" s="2916"/>
      <c r="BH42" s="2916"/>
      <c r="BI42" s="2847"/>
      <c r="BJ42" s="2858"/>
      <c r="BK42" s="2860"/>
      <c r="BL42" s="2839"/>
      <c r="BM42" s="2839"/>
      <c r="BN42" s="2839"/>
      <c r="BO42" s="2839"/>
      <c r="BP42" s="2841"/>
    </row>
    <row r="43" spans="1:68" s="1173" customFormat="1" ht="50.25" customHeight="1" x14ac:dyDescent="0.2">
      <c r="A43" s="1225"/>
      <c r="B43" s="1225"/>
      <c r="C43" s="1225"/>
      <c r="D43" s="1250"/>
      <c r="E43" s="1207"/>
      <c r="F43" s="593"/>
      <c r="G43" s="2892"/>
      <c r="H43" s="2892"/>
      <c r="I43" s="2884"/>
      <c r="J43" s="2884"/>
      <c r="K43" s="2567"/>
      <c r="L43" s="2567"/>
      <c r="M43" s="2884"/>
      <c r="N43" s="2567"/>
      <c r="O43" s="2884"/>
      <c r="P43" s="2847"/>
      <c r="Q43" s="2890"/>
      <c r="R43" s="2884"/>
      <c r="S43" s="2905"/>
      <c r="T43" s="2914"/>
      <c r="U43" s="1234">
        <v>5000000</v>
      </c>
      <c r="V43" s="1229"/>
      <c r="W43" s="1229"/>
      <c r="X43" s="1235">
        <v>20</v>
      </c>
      <c r="Y43" s="545" t="s">
        <v>7</v>
      </c>
      <c r="Z43" s="2843"/>
      <c r="AA43" s="2841"/>
      <c r="AB43" s="2841"/>
      <c r="AC43" s="2841"/>
      <c r="AD43" s="2841"/>
      <c r="AE43" s="2841"/>
      <c r="AF43" s="2841"/>
      <c r="AG43" s="2841"/>
      <c r="AH43" s="2841"/>
      <c r="AI43" s="2841"/>
      <c r="AJ43" s="2841"/>
      <c r="AK43" s="2841"/>
      <c r="AL43" s="2841"/>
      <c r="AM43" s="2841"/>
      <c r="AN43" s="2901"/>
      <c r="AO43" s="2901"/>
      <c r="AP43" s="2901"/>
      <c r="AQ43" s="2901"/>
      <c r="AR43" s="2901"/>
      <c r="AS43" s="2901"/>
      <c r="AT43" s="2841"/>
      <c r="AU43" s="2901"/>
      <c r="AV43" s="2841"/>
      <c r="AW43" s="2841"/>
      <c r="AX43" s="2841"/>
      <c r="AY43" s="2841"/>
      <c r="AZ43" s="2841"/>
      <c r="BA43" s="2841"/>
      <c r="BB43" s="2841"/>
      <c r="BC43" s="2841"/>
      <c r="BD43" s="2841"/>
      <c r="BE43" s="2918"/>
      <c r="BF43" s="2841"/>
      <c r="BG43" s="2916"/>
      <c r="BH43" s="2916"/>
      <c r="BI43" s="2847" t="e">
        <f t="shared" si="4"/>
        <v>#DIV/0!</v>
      </c>
      <c r="BJ43" s="2858"/>
      <c r="BK43" s="2860"/>
      <c r="BL43" s="2839"/>
      <c r="BM43" s="2839"/>
      <c r="BN43" s="2839"/>
      <c r="BO43" s="2839"/>
      <c r="BP43" s="2841"/>
    </row>
    <row r="44" spans="1:68" s="1173" customFormat="1" ht="36.75" customHeight="1" x14ac:dyDescent="0.2">
      <c r="A44" s="1225"/>
      <c r="B44" s="1225"/>
      <c r="C44" s="1225"/>
      <c r="D44" s="1250"/>
      <c r="E44" s="1207"/>
      <c r="F44" s="593"/>
      <c r="G44" s="2892"/>
      <c r="H44" s="2892"/>
      <c r="I44" s="2884"/>
      <c r="J44" s="2884"/>
      <c r="K44" s="2567"/>
      <c r="L44" s="2567"/>
      <c r="M44" s="2884"/>
      <c r="N44" s="2567"/>
      <c r="O44" s="2884"/>
      <c r="P44" s="2847"/>
      <c r="Q44" s="2890"/>
      <c r="R44" s="2884"/>
      <c r="S44" s="2905"/>
      <c r="T44" s="2914" t="s">
        <v>1110</v>
      </c>
      <c r="U44" s="1234">
        <v>17000000</v>
      </c>
      <c r="V44" s="1229">
        <v>2714819</v>
      </c>
      <c r="W44" s="1229"/>
      <c r="X44" s="1235">
        <v>88</v>
      </c>
      <c r="Y44" s="545" t="s">
        <v>4</v>
      </c>
      <c r="Z44" s="2843"/>
      <c r="AA44" s="2841"/>
      <c r="AB44" s="2841"/>
      <c r="AC44" s="2841"/>
      <c r="AD44" s="2841"/>
      <c r="AE44" s="2841"/>
      <c r="AF44" s="2841"/>
      <c r="AG44" s="2841"/>
      <c r="AH44" s="2841"/>
      <c r="AI44" s="2841"/>
      <c r="AJ44" s="2841"/>
      <c r="AK44" s="2841"/>
      <c r="AL44" s="2841"/>
      <c r="AM44" s="2841"/>
      <c r="AN44" s="2901"/>
      <c r="AO44" s="2901"/>
      <c r="AP44" s="2901"/>
      <c r="AQ44" s="2901"/>
      <c r="AR44" s="2901"/>
      <c r="AS44" s="2901"/>
      <c r="AT44" s="2841"/>
      <c r="AU44" s="2901"/>
      <c r="AV44" s="2841"/>
      <c r="AW44" s="2841"/>
      <c r="AX44" s="2841"/>
      <c r="AY44" s="2841"/>
      <c r="AZ44" s="2841"/>
      <c r="BA44" s="2841"/>
      <c r="BB44" s="2841"/>
      <c r="BC44" s="2841"/>
      <c r="BD44" s="2841"/>
      <c r="BE44" s="2918"/>
      <c r="BF44" s="2841"/>
      <c r="BG44" s="2916"/>
      <c r="BH44" s="2916"/>
      <c r="BI44" s="2847" t="e">
        <f t="shared" si="4"/>
        <v>#DIV/0!</v>
      </c>
      <c r="BJ44" s="2858"/>
      <c r="BK44" s="2860"/>
      <c r="BL44" s="2839"/>
      <c r="BM44" s="2839"/>
      <c r="BN44" s="2839"/>
      <c r="BO44" s="2839"/>
      <c r="BP44" s="2841"/>
    </row>
    <row r="45" spans="1:68" s="1173" customFormat="1" ht="31.5" customHeight="1" x14ac:dyDescent="0.2">
      <c r="A45" s="1225"/>
      <c r="B45" s="1225"/>
      <c r="C45" s="1225"/>
      <c r="D45" s="1250"/>
      <c r="E45" s="1207"/>
      <c r="F45" s="593"/>
      <c r="G45" s="2892"/>
      <c r="H45" s="2892"/>
      <c r="I45" s="2884"/>
      <c r="J45" s="2884"/>
      <c r="K45" s="2567"/>
      <c r="L45" s="2567"/>
      <c r="M45" s="2884"/>
      <c r="N45" s="2567"/>
      <c r="O45" s="2884"/>
      <c r="P45" s="2847"/>
      <c r="Q45" s="2890"/>
      <c r="R45" s="2884"/>
      <c r="S45" s="2905"/>
      <c r="T45" s="2914"/>
      <c r="U45" s="1234">
        <v>12000000</v>
      </c>
      <c r="V45" s="1229"/>
      <c r="W45" s="1229"/>
      <c r="X45" s="1235">
        <v>20</v>
      </c>
      <c r="Y45" s="545" t="s">
        <v>4</v>
      </c>
      <c r="Z45" s="2843"/>
      <c r="AA45" s="2841"/>
      <c r="AB45" s="2841"/>
      <c r="AC45" s="2841"/>
      <c r="AD45" s="2841"/>
      <c r="AE45" s="2841"/>
      <c r="AF45" s="2841"/>
      <c r="AG45" s="2841"/>
      <c r="AH45" s="2841"/>
      <c r="AI45" s="2841"/>
      <c r="AJ45" s="2841"/>
      <c r="AK45" s="2841"/>
      <c r="AL45" s="2841"/>
      <c r="AM45" s="2841"/>
      <c r="AN45" s="2901"/>
      <c r="AO45" s="2901"/>
      <c r="AP45" s="2901"/>
      <c r="AQ45" s="2901"/>
      <c r="AR45" s="2901"/>
      <c r="AS45" s="2901"/>
      <c r="AT45" s="2841"/>
      <c r="AU45" s="2901"/>
      <c r="AV45" s="2841"/>
      <c r="AW45" s="2841"/>
      <c r="AX45" s="2841"/>
      <c r="AY45" s="2841"/>
      <c r="AZ45" s="2841"/>
      <c r="BA45" s="2841"/>
      <c r="BB45" s="2841"/>
      <c r="BC45" s="2841"/>
      <c r="BD45" s="2841"/>
      <c r="BE45" s="2918"/>
      <c r="BF45" s="2841"/>
      <c r="BG45" s="2916"/>
      <c r="BH45" s="2916"/>
      <c r="BI45" s="2847"/>
      <c r="BJ45" s="2858"/>
      <c r="BK45" s="2860"/>
      <c r="BL45" s="2839"/>
      <c r="BM45" s="2839"/>
      <c r="BN45" s="2839"/>
      <c r="BO45" s="2839"/>
      <c r="BP45" s="2841"/>
    </row>
    <row r="46" spans="1:68" s="1173" customFormat="1" ht="34.5" customHeight="1" x14ac:dyDescent="0.2">
      <c r="A46" s="1225"/>
      <c r="B46" s="1225"/>
      <c r="C46" s="1225"/>
      <c r="D46" s="1250"/>
      <c r="E46" s="1207"/>
      <c r="F46" s="593"/>
      <c r="G46" s="2892"/>
      <c r="H46" s="2892"/>
      <c r="I46" s="2884"/>
      <c r="J46" s="2884"/>
      <c r="K46" s="2567"/>
      <c r="L46" s="2567"/>
      <c r="M46" s="2884"/>
      <c r="N46" s="2567"/>
      <c r="O46" s="2884"/>
      <c r="P46" s="2847"/>
      <c r="Q46" s="2890"/>
      <c r="R46" s="2884"/>
      <c r="S46" s="2904"/>
      <c r="T46" s="2569" t="s">
        <v>1111</v>
      </c>
      <c r="U46" s="1234">
        <v>12000000</v>
      </c>
      <c r="V46" s="1229">
        <f>5000000+1000000+1761333</f>
        <v>7761333</v>
      </c>
      <c r="W46" s="1229">
        <f>700000+933333</f>
        <v>1633333</v>
      </c>
      <c r="X46" s="1235">
        <v>88</v>
      </c>
      <c r="Y46" s="545" t="s">
        <v>4</v>
      </c>
      <c r="Z46" s="2843"/>
      <c r="AA46" s="2841"/>
      <c r="AB46" s="2841"/>
      <c r="AC46" s="2841"/>
      <c r="AD46" s="2841"/>
      <c r="AE46" s="2841"/>
      <c r="AF46" s="2841"/>
      <c r="AG46" s="2841"/>
      <c r="AH46" s="2841"/>
      <c r="AI46" s="2841"/>
      <c r="AJ46" s="2841"/>
      <c r="AK46" s="2841"/>
      <c r="AL46" s="2841"/>
      <c r="AM46" s="2841"/>
      <c r="AN46" s="2901"/>
      <c r="AO46" s="2901"/>
      <c r="AP46" s="2901"/>
      <c r="AQ46" s="2901"/>
      <c r="AR46" s="2901"/>
      <c r="AS46" s="2901"/>
      <c r="AT46" s="2841"/>
      <c r="AU46" s="2901"/>
      <c r="AV46" s="2841"/>
      <c r="AW46" s="2841"/>
      <c r="AX46" s="2841"/>
      <c r="AY46" s="2841"/>
      <c r="AZ46" s="2841"/>
      <c r="BA46" s="2841"/>
      <c r="BB46" s="2841"/>
      <c r="BC46" s="2841"/>
      <c r="BD46" s="2841"/>
      <c r="BE46" s="2918"/>
      <c r="BF46" s="2841"/>
      <c r="BG46" s="2916"/>
      <c r="BH46" s="2916"/>
      <c r="BI46" s="2847" t="e">
        <f t="shared" si="4"/>
        <v>#DIV/0!</v>
      </c>
      <c r="BJ46" s="2858"/>
      <c r="BK46" s="2860"/>
      <c r="BL46" s="2839"/>
      <c r="BM46" s="2839"/>
      <c r="BN46" s="2839"/>
      <c r="BO46" s="2839"/>
      <c r="BP46" s="2841"/>
    </row>
    <row r="47" spans="1:68" s="1173" customFormat="1" ht="44.25" customHeight="1" x14ac:dyDescent="0.2">
      <c r="A47" s="1225"/>
      <c r="B47" s="1225"/>
      <c r="C47" s="1225"/>
      <c r="D47" s="1250"/>
      <c r="E47" s="1207"/>
      <c r="F47" s="593"/>
      <c r="G47" s="2892"/>
      <c r="H47" s="2892"/>
      <c r="I47" s="2884"/>
      <c r="J47" s="2884"/>
      <c r="K47" s="2567"/>
      <c r="L47" s="2567"/>
      <c r="M47" s="2884"/>
      <c r="N47" s="2567"/>
      <c r="O47" s="2884"/>
      <c r="P47" s="2847"/>
      <c r="Q47" s="2890"/>
      <c r="R47" s="2884"/>
      <c r="S47" s="2904"/>
      <c r="T47" s="2907"/>
      <c r="U47" s="1234">
        <v>18000000</v>
      </c>
      <c r="V47" s="1229">
        <v>5133333</v>
      </c>
      <c r="W47" s="1229"/>
      <c r="X47" s="1235">
        <v>20</v>
      </c>
      <c r="Y47" s="545" t="s">
        <v>4</v>
      </c>
      <c r="Z47" s="2843"/>
      <c r="AA47" s="2841"/>
      <c r="AB47" s="2841"/>
      <c r="AC47" s="2841"/>
      <c r="AD47" s="2841"/>
      <c r="AE47" s="2841"/>
      <c r="AF47" s="2841"/>
      <c r="AG47" s="2841"/>
      <c r="AH47" s="2841"/>
      <c r="AI47" s="2841"/>
      <c r="AJ47" s="2841"/>
      <c r="AK47" s="2841"/>
      <c r="AL47" s="2841"/>
      <c r="AM47" s="2841"/>
      <c r="AN47" s="2901"/>
      <c r="AO47" s="2901"/>
      <c r="AP47" s="2901"/>
      <c r="AQ47" s="2901"/>
      <c r="AR47" s="2901"/>
      <c r="AS47" s="2901"/>
      <c r="AT47" s="2841"/>
      <c r="AU47" s="2901"/>
      <c r="AV47" s="2841"/>
      <c r="AW47" s="2841"/>
      <c r="AX47" s="2841"/>
      <c r="AY47" s="2841"/>
      <c r="AZ47" s="2841"/>
      <c r="BA47" s="2841"/>
      <c r="BB47" s="2841"/>
      <c r="BC47" s="2841"/>
      <c r="BD47" s="2841"/>
      <c r="BE47" s="2918"/>
      <c r="BF47" s="2841"/>
      <c r="BG47" s="2916"/>
      <c r="BH47" s="2916"/>
      <c r="BI47" s="2847" t="e">
        <f t="shared" si="4"/>
        <v>#DIV/0!</v>
      </c>
      <c r="BJ47" s="2858"/>
      <c r="BK47" s="2860"/>
      <c r="BL47" s="2839"/>
      <c r="BM47" s="2839"/>
      <c r="BN47" s="2839"/>
      <c r="BO47" s="2839"/>
      <c r="BP47" s="2841"/>
    </row>
    <row r="48" spans="1:68" s="1173" customFormat="1" ht="44.25" customHeight="1" x14ac:dyDescent="0.2">
      <c r="A48" s="1225"/>
      <c r="B48" s="1225"/>
      <c r="C48" s="1225"/>
      <c r="D48" s="1250"/>
      <c r="E48" s="1207"/>
      <c r="F48" s="593"/>
      <c r="G48" s="2892"/>
      <c r="H48" s="2892"/>
      <c r="I48" s="2884"/>
      <c r="J48" s="2884"/>
      <c r="K48" s="2567"/>
      <c r="L48" s="2567"/>
      <c r="M48" s="2884"/>
      <c r="N48" s="2567"/>
      <c r="O48" s="2884"/>
      <c r="P48" s="2847"/>
      <c r="Q48" s="2890"/>
      <c r="R48" s="2884"/>
      <c r="S48" s="2904"/>
      <c r="T48" s="2568" t="s">
        <v>1112</v>
      </c>
      <c r="U48" s="1234">
        <v>15000000</v>
      </c>
      <c r="V48" s="1229">
        <v>5533295</v>
      </c>
      <c r="W48" s="1229"/>
      <c r="X48" s="1235">
        <v>88</v>
      </c>
      <c r="Y48" s="545" t="s">
        <v>4</v>
      </c>
      <c r="Z48" s="2843"/>
      <c r="AA48" s="2841"/>
      <c r="AB48" s="2841"/>
      <c r="AC48" s="2841"/>
      <c r="AD48" s="2841"/>
      <c r="AE48" s="2841"/>
      <c r="AF48" s="2841"/>
      <c r="AG48" s="2841"/>
      <c r="AH48" s="2841"/>
      <c r="AI48" s="2841"/>
      <c r="AJ48" s="2841"/>
      <c r="AK48" s="2841"/>
      <c r="AL48" s="2841"/>
      <c r="AM48" s="2841"/>
      <c r="AN48" s="2901"/>
      <c r="AO48" s="2901"/>
      <c r="AP48" s="2901"/>
      <c r="AQ48" s="2901"/>
      <c r="AR48" s="2901"/>
      <c r="AS48" s="2901"/>
      <c r="AT48" s="2841"/>
      <c r="AU48" s="2901"/>
      <c r="AV48" s="2841"/>
      <c r="AW48" s="2841"/>
      <c r="AX48" s="2841"/>
      <c r="AY48" s="2841"/>
      <c r="AZ48" s="2841"/>
      <c r="BA48" s="2841"/>
      <c r="BB48" s="2841"/>
      <c r="BC48" s="2841"/>
      <c r="BD48" s="2841"/>
      <c r="BE48" s="2918"/>
      <c r="BF48" s="2841"/>
      <c r="BG48" s="2916"/>
      <c r="BH48" s="2916"/>
      <c r="BI48" s="2847"/>
      <c r="BJ48" s="2858"/>
      <c r="BK48" s="2860"/>
      <c r="BL48" s="2839"/>
      <c r="BM48" s="2839"/>
      <c r="BN48" s="2839"/>
      <c r="BO48" s="2839"/>
      <c r="BP48" s="2841"/>
    </row>
    <row r="49" spans="1:68" s="1173" customFormat="1" ht="45" customHeight="1" x14ac:dyDescent="0.2">
      <c r="A49" s="1225"/>
      <c r="B49" s="1225"/>
      <c r="C49" s="1225"/>
      <c r="D49" s="1250"/>
      <c r="E49" s="1207"/>
      <c r="F49" s="593"/>
      <c r="G49" s="2892"/>
      <c r="H49" s="2892"/>
      <c r="I49" s="2884"/>
      <c r="J49" s="2423"/>
      <c r="K49" s="2307"/>
      <c r="L49" s="2307"/>
      <c r="M49" s="2423"/>
      <c r="N49" s="2307"/>
      <c r="O49" s="2423"/>
      <c r="P49" s="2886"/>
      <c r="Q49" s="2889"/>
      <c r="R49" s="2423"/>
      <c r="S49" s="2903"/>
      <c r="T49" s="2907"/>
      <c r="U49" s="1234">
        <v>7000000</v>
      </c>
      <c r="V49" s="1229"/>
      <c r="W49" s="1229"/>
      <c r="X49" s="1235">
        <v>20</v>
      </c>
      <c r="Y49" s="545" t="s">
        <v>7</v>
      </c>
      <c r="Z49" s="2843"/>
      <c r="AA49" s="2841"/>
      <c r="AB49" s="2841"/>
      <c r="AC49" s="2841"/>
      <c r="AD49" s="2841"/>
      <c r="AE49" s="2841"/>
      <c r="AF49" s="2841"/>
      <c r="AG49" s="2841"/>
      <c r="AH49" s="2841"/>
      <c r="AI49" s="2841"/>
      <c r="AJ49" s="2841"/>
      <c r="AK49" s="2841"/>
      <c r="AL49" s="2841"/>
      <c r="AM49" s="2841"/>
      <c r="AN49" s="2901"/>
      <c r="AO49" s="2901"/>
      <c r="AP49" s="2901"/>
      <c r="AQ49" s="2901"/>
      <c r="AR49" s="2901"/>
      <c r="AS49" s="2901"/>
      <c r="AT49" s="2841"/>
      <c r="AU49" s="2901"/>
      <c r="AV49" s="2841"/>
      <c r="AW49" s="2841"/>
      <c r="AX49" s="2841"/>
      <c r="AY49" s="2841"/>
      <c r="AZ49" s="2841"/>
      <c r="BA49" s="2841"/>
      <c r="BB49" s="2841"/>
      <c r="BC49" s="2841"/>
      <c r="BD49" s="2841"/>
      <c r="BE49" s="2918"/>
      <c r="BF49" s="2841"/>
      <c r="BG49" s="2916"/>
      <c r="BH49" s="2916"/>
      <c r="BI49" s="2847" t="e">
        <f t="shared" si="4"/>
        <v>#DIV/0!</v>
      </c>
      <c r="BJ49" s="2858"/>
      <c r="BK49" s="2860"/>
      <c r="BL49" s="2839"/>
      <c r="BM49" s="2839"/>
      <c r="BN49" s="2839"/>
      <c r="BO49" s="2839"/>
      <c r="BP49" s="2841"/>
    </row>
    <row r="50" spans="1:68" s="1173" customFormat="1" ht="51" customHeight="1" x14ac:dyDescent="0.2">
      <c r="A50" s="1225"/>
      <c r="B50" s="1225"/>
      <c r="C50" s="1225"/>
      <c r="D50" s="1250"/>
      <c r="E50" s="1207"/>
      <c r="F50" s="593"/>
      <c r="G50" s="2892"/>
      <c r="H50" s="2892"/>
      <c r="I50" s="2884"/>
      <c r="J50" s="2423"/>
      <c r="K50" s="2307"/>
      <c r="L50" s="2307"/>
      <c r="M50" s="2423"/>
      <c r="N50" s="2307"/>
      <c r="O50" s="2423"/>
      <c r="P50" s="2886"/>
      <c r="Q50" s="2889"/>
      <c r="R50" s="2423"/>
      <c r="S50" s="2903"/>
      <c r="T50" s="1251" t="s">
        <v>1113</v>
      </c>
      <c r="U50" s="1234">
        <v>1120000</v>
      </c>
      <c r="V50" s="1229">
        <v>1120000</v>
      </c>
      <c r="W50" s="1229">
        <v>1120000</v>
      </c>
      <c r="X50" s="1235">
        <v>20</v>
      </c>
      <c r="Y50" s="545" t="s">
        <v>7</v>
      </c>
      <c r="Z50" s="2843"/>
      <c r="AA50" s="2841"/>
      <c r="AB50" s="2841"/>
      <c r="AC50" s="2841"/>
      <c r="AD50" s="2841"/>
      <c r="AE50" s="2841"/>
      <c r="AF50" s="2841"/>
      <c r="AG50" s="2841"/>
      <c r="AH50" s="2841"/>
      <c r="AI50" s="2841"/>
      <c r="AJ50" s="2841"/>
      <c r="AK50" s="2841"/>
      <c r="AL50" s="2841"/>
      <c r="AM50" s="2841"/>
      <c r="AN50" s="2901"/>
      <c r="AO50" s="2901"/>
      <c r="AP50" s="2901"/>
      <c r="AQ50" s="2901"/>
      <c r="AR50" s="2901"/>
      <c r="AS50" s="2901"/>
      <c r="AT50" s="2841"/>
      <c r="AU50" s="2901"/>
      <c r="AV50" s="2841"/>
      <c r="AW50" s="2841"/>
      <c r="AX50" s="2841"/>
      <c r="AY50" s="2841"/>
      <c r="AZ50" s="2841"/>
      <c r="BA50" s="2841"/>
      <c r="BB50" s="2841"/>
      <c r="BC50" s="2841"/>
      <c r="BD50" s="2841"/>
      <c r="BE50" s="2918"/>
      <c r="BF50" s="2841"/>
      <c r="BG50" s="2916"/>
      <c r="BH50" s="2916"/>
      <c r="BI50" s="2847" t="e">
        <f t="shared" si="4"/>
        <v>#DIV/0!</v>
      </c>
      <c r="BJ50" s="2858"/>
      <c r="BK50" s="2860"/>
      <c r="BL50" s="2839"/>
      <c r="BM50" s="2839"/>
      <c r="BN50" s="2839"/>
      <c r="BO50" s="2839"/>
      <c r="BP50" s="2841"/>
    </row>
    <row r="51" spans="1:68" s="1173" customFormat="1" ht="32.25" customHeight="1" x14ac:dyDescent="0.2">
      <c r="A51" s="1225"/>
      <c r="B51" s="1225"/>
      <c r="C51" s="1225"/>
      <c r="D51" s="1250"/>
      <c r="E51" s="1207"/>
      <c r="F51" s="593"/>
      <c r="G51" s="2892"/>
      <c r="H51" s="2892"/>
      <c r="I51" s="2884"/>
      <c r="J51" s="2423"/>
      <c r="K51" s="2307"/>
      <c r="L51" s="2307"/>
      <c r="M51" s="2423"/>
      <c r="N51" s="2307"/>
      <c r="O51" s="2423"/>
      <c r="P51" s="2886"/>
      <c r="Q51" s="2889"/>
      <c r="R51" s="2423"/>
      <c r="S51" s="2903"/>
      <c r="T51" s="2908" t="s">
        <v>1114</v>
      </c>
      <c r="U51" s="1234">
        <v>12000000</v>
      </c>
      <c r="V51" s="1229"/>
      <c r="W51" s="1229"/>
      <c r="X51" s="1235">
        <v>20</v>
      </c>
      <c r="Y51" s="545" t="s">
        <v>7</v>
      </c>
      <c r="Z51" s="2843"/>
      <c r="AA51" s="2841"/>
      <c r="AB51" s="2841"/>
      <c r="AC51" s="2841"/>
      <c r="AD51" s="2841"/>
      <c r="AE51" s="2841"/>
      <c r="AF51" s="2841"/>
      <c r="AG51" s="2841"/>
      <c r="AH51" s="2841"/>
      <c r="AI51" s="2841"/>
      <c r="AJ51" s="2841"/>
      <c r="AK51" s="2841"/>
      <c r="AL51" s="2841"/>
      <c r="AM51" s="2841"/>
      <c r="AN51" s="2901"/>
      <c r="AO51" s="2901"/>
      <c r="AP51" s="2901"/>
      <c r="AQ51" s="2901"/>
      <c r="AR51" s="2901"/>
      <c r="AS51" s="2901"/>
      <c r="AT51" s="2841"/>
      <c r="AU51" s="2901"/>
      <c r="AV51" s="2841"/>
      <c r="AW51" s="2841"/>
      <c r="AX51" s="2841"/>
      <c r="AY51" s="2841"/>
      <c r="AZ51" s="2841"/>
      <c r="BA51" s="2841"/>
      <c r="BB51" s="2841"/>
      <c r="BC51" s="2841"/>
      <c r="BD51" s="2841"/>
      <c r="BE51" s="2918"/>
      <c r="BF51" s="2841"/>
      <c r="BG51" s="2916"/>
      <c r="BH51" s="2916"/>
      <c r="BI51" s="2847"/>
      <c r="BJ51" s="2858"/>
      <c r="BK51" s="2860"/>
      <c r="BL51" s="2839"/>
      <c r="BM51" s="2839"/>
      <c r="BN51" s="2839"/>
      <c r="BO51" s="2839"/>
      <c r="BP51" s="2841"/>
    </row>
    <row r="52" spans="1:68" s="1173" customFormat="1" ht="39.75" customHeight="1" x14ac:dyDescent="0.2">
      <c r="A52" s="1225"/>
      <c r="B52" s="1225"/>
      <c r="C52" s="1225"/>
      <c r="D52" s="1250"/>
      <c r="E52" s="1207"/>
      <c r="F52" s="593"/>
      <c r="G52" s="2893"/>
      <c r="H52" s="2893"/>
      <c r="I52" s="2895"/>
      <c r="J52" s="2424"/>
      <c r="K52" s="2467"/>
      <c r="L52" s="2467"/>
      <c r="M52" s="2423"/>
      <c r="N52" s="2307"/>
      <c r="O52" s="2423"/>
      <c r="P52" s="2887"/>
      <c r="Q52" s="2889"/>
      <c r="R52" s="2423"/>
      <c r="S52" s="2903"/>
      <c r="T52" s="2909"/>
      <c r="U52" s="1234">
        <v>17000000</v>
      </c>
      <c r="V52" s="1229">
        <v>5133333</v>
      </c>
      <c r="W52" s="1229"/>
      <c r="X52" s="1235">
        <v>88</v>
      </c>
      <c r="Y52" s="545" t="s">
        <v>4</v>
      </c>
      <c r="Z52" s="2843"/>
      <c r="AA52" s="2841"/>
      <c r="AB52" s="2841"/>
      <c r="AC52" s="2841"/>
      <c r="AD52" s="2841"/>
      <c r="AE52" s="2841"/>
      <c r="AF52" s="2841"/>
      <c r="AG52" s="2841"/>
      <c r="AH52" s="2841"/>
      <c r="AI52" s="2841"/>
      <c r="AJ52" s="2841"/>
      <c r="AK52" s="2841"/>
      <c r="AL52" s="2841"/>
      <c r="AM52" s="2841"/>
      <c r="AN52" s="2901"/>
      <c r="AO52" s="2901"/>
      <c r="AP52" s="2901"/>
      <c r="AQ52" s="2901"/>
      <c r="AR52" s="2901"/>
      <c r="AS52" s="2901"/>
      <c r="AT52" s="2841"/>
      <c r="AU52" s="2901"/>
      <c r="AV52" s="2841"/>
      <c r="AW52" s="2841"/>
      <c r="AX52" s="2841"/>
      <c r="AY52" s="2841"/>
      <c r="AZ52" s="2841"/>
      <c r="BA52" s="2841"/>
      <c r="BB52" s="2841"/>
      <c r="BC52" s="2841"/>
      <c r="BD52" s="2841"/>
      <c r="BE52" s="2918"/>
      <c r="BF52" s="2841"/>
      <c r="BG52" s="2916"/>
      <c r="BH52" s="2916"/>
      <c r="BI52" s="2847" t="e">
        <f t="shared" si="4"/>
        <v>#DIV/0!</v>
      </c>
      <c r="BJ52" s="2858"/>
      <c r="BK52" s="2860"/>
      <c r="BL52" s="2839"/>
      <c r="BM52" s="2839"/>
      <c r="BN52" s="2839"/>
      <c r="BO52" s="2839"/>
      <c r="BP52" s="2841"/>
    </row>
    <row r="53" spans="1:68" s="768" customFormat="1" ht="69.75" customHeight="1" x14ac:dyDescent="0.2">
      <c r="A53" s="1252"/>
      <c r="D53" s="2920"/>
      <c r="E53" s="2921"/>
      <c r="F53" s="2922"/>
      <c r="G53" s="2891">
        <v>4101025</v>
      </c>
      <c r="H53" s="2891" t="s">
        <v>1115</v>
      </c>
      <c r="I53" s="2894" t="s">
        <v>1116</v>
      </c>
      <c r="J53" s="2422" t="s">
        <v>1117</v>
      </c>
      <c r="K53" s="2306">
        <v>250</v>
      </c>
      <c r="L53" s="2306">
        <v>236</v>
      </c>
      <c r="M53" s="2423"/>
      <c r="N53" s="2307"/>
      <c r="O53" s="2423"/>
      <c r="P53" s="2885">
        <f>SUM(U53:U57)/Q32</f>
        <v>9.5651535609552543E-2</v>
      </c>
      <c r="Q53" s="2889"/>
      <c r="R53" s="2423"/>
      <c r="S53" s="2903"/>
      <c r="T53" s="1253" t="s">
        <v>1118</v>
      </c>
      <c r="U53" s="1234">
        <v>23500000</v>
      </c>
      <c r="V53" s="1229">
        <v>8800850</v>
      </c>
      <c r="W53" s="1229"/>
      <c r="X53" s="1235">
        <v>88</v>
      </c>
      <c r="Y53" s="545" t="s">
        <v>4</v>
      </c>
      <c r="Z53" s="2843"/>
      <c r="AA53" s="2841"/>
      <c r="AB53" s="2841"/>
      <c r="AC53" s="2841"/>
      <c r="AD53" s="2841"/>
      <c r="AE53" s="2841"/>
      <c r="AF53" s="2841"/>
      <c r="AG53" s="2841"/>
      <c r="AH53" s="2841"/>
      <c r="AI53" s="2841"/>
      <c r="AJ53" s="2841"/>
      <c r="AK53" s="2841"/>
      <c r="AL53" s="2841"/>
      <c r="AM53" s="2841"/>
      <c r="AN53" s="2901"/>
      <c r="AO53" s="2901"/>
      <c r="AP53" s="2901"/>
      <c r="AQ53" s="2901"/>
      <c r="AR53" s="2901"/>
      <c r="AS53" s="2901"/>
      <c r="AT53" s="2841"/>
      <c r="AU53" s="2901"/>
      <c r="AV53" s="2841"/>
      <c r="AW53" s="2841"/>
      <c r="AX53" s="2841"/>
      <c r="AY53" s="2841"/>
      <c r="AZ53" s="2841"/>
      <c r="BA53" s="2841"/>
      <c r="BB53" s="2841"/>
      <c r="BC53" s="2841"/>
      <c r="BD53" s="2841"/>
      <c r="BE53" s="2918"/>
      <c r="BF53" s="2841"/>
      <c r="BG53" s="2916"/>
      <c r="BH53" s="2916"/>
      <c r="BI53" s="2847" t="e">
        <f t="shared" si="4"/>
        <v>#DIV/0!</v>
      </c>
      <c r="BJ53" s="2858"/>
      <c r="BK53" s="2860"/>
      <c r="BL53" s="2839"/>
      <c r="BM53" s="2839"/>
      <c r="BN53" s="2839"/>
      <c r="BO53" s="2839"/>
      <c r="BP53" s="2841"/>
    </row>
    <row r="54" spans="1:68" s="768" customFormat="1" ht="44.25" customHeight="1" x14ac:dyDescent="0.2">
      <c r="A54" s="1252"/>
      <c r="D54" s="1254"/>
      <c r="E54" s="1255"/>
      <c r="F54" s="1256"/>
      <c r="G54" s="2892"/>
      <c r="H54" s="2892"/>
      <c r="I54" s="2884"/>
      <c r="J54" s="2423"/>
      <c r="K54" s="2307"/>
      <c r="L54" s="2307"/>
      <c r="M54" s="2423"/>
      <c r="N54" s="2307"/>
      <c r="O54" s="2423"/>
      <c r="P54" s="2886"/>
      <c r="Q54" s="2889"/>
      <c r="R54" s="2423"/>
      <c r="S54" s="2903"/>
      <c r="T54" s="2910" t="s">
        <v>1119</v>
      </c>
      <c r="U54" s="1234">
        <f>4000000</f>
        <v>4000000</v>
      </c>
      <c r="V54" s="1229">
        <v>4000000</v>
      </c>
      <c r="W54" s="1229">
        <v>4000000</v>
      </c>
      <c r="X54" s="1235">
        <v>20</v>
      </c>
      <c r="Y54" s="545" t="s">
        <v>7</v>
      </c>
      <c r="Z54" s="2843"/>
      <c r="AA54" s="2841"/>
      <c r="AB54" s="2841"/>
      <c r="AC54" s="2841"/>
      <c r="AD54" s="2841"/>
      <c r="AE54" s="2841"/>
      <c r="AF54" s="2841"/>
      <c r="AG54" s="2841"/>
      <c r="AH54" s="2841"/>
      <c r="AI54" s="2841"/>
      <c r="AJ54" s="2841"/>
      <c r="AK54" s="2841"/>
      <c r="AL54" s="2841"/>
      <c r="AM54" s="2841"/>
      <c r="AN54" s="2901"/>
      <c r="AO54" s="2901"/>
      <c r="AP54" s="2901"/>
      <c r="AQ54" s="2901"/>
      <c r="AR54" s="2901"/>
      <c r="AS54" s="2901"/>
      <c r="AT54" s="2841"/>
      <c r="AU54" s="2901"/>
      <c r="AV54" s="2841"/>
      <c r="AW54" s="2841"/>
      <c r="AX54" s="2841"/>
      <c r="AY54" s="2841"/>
      <c r="AZ54" s="2841"/>
      <c r="BA54" s="2841"/>
      <c r="BB54" s="2841"/>
      <c r="BC54" s="2841"/>
      <c r="BD54" s="2841"/>
      <c r="BE54" s="2918"/>
      <c r="BF54" s="2841"/>
      <c r="BG54" s="2916"/>
      <c r="BH54" s="2916"/>
      <c r="BI54" s="2847"/>
      <c r="BJ54" s="2858"/>
      <c r="BK54" s="2860"/>
      <c r="BL54" s="2839"/>
      <c r="BM54" s="2839"/>
      <c r="BN54" s="2839"/>
      <c r="BO54" s="2839"/>
      <c r="BP54" s="2841"/>
    </row>
    <row r="55" spans="1:68" s="768" customFormat="1" ht="36" customHeight="1" x14ac:dyDescent="0.2">
      <c r="A55" s="1252"/>
      <c r="D55" s="1254"/>
      <c r="E55" s="1255"/>
      <c r="F55" s="1256"/>
      <c r="G55" s="2892"/>
      <c r="H55" s="2892"/>
      <c r="I55" s="2884"/>
      <c r="J55" s="2423"/>
      <c r="K55" s="2307"/>
      <c r="L55" s="2307"/>
      <c r="M55" s="2423"/>
      <c r="N55" s="2307"/>
      <c r="O55" s="2423"/>
      <c r="P55" s="2886"/>
      <c r="Q55" s="2889"/>
      <c r="R55" s="2423"/>
      <c r="S55" s="2903"/>
      <c r="T55" s="2911"/>
      <c r="U55" s="1234">
        <v>14000000</v>
      </c>
      <c r="V55" s="1229"/>
      <c r="W55" s="1229"/>
      <c r="X55" s="1235">
        <v>88</v>
      </c>
      <c r="Y55" s="545" t="s">
        <v>4</v>
      </c>
      <c r="Z55" s="2843"/>
      <c r="AA55" s="2841"/>
      <c r="AB55" s="2841"/>
      <c r="AC55" s="2841"/>
      <c r="AD55" s="2841"/>
      <c r="AE55" s="2841"/>
      <c r="AF55" s="2841"/>
      <c r="AG55" s="2841"/>
      <c r="AH55" s="2841"/>
      <c r="AI55" s="2841"/>
      <c r="AJ55" s="2841"/>
      <c r="AK55" s="2841"/>
      <c r="AL55" s="2841"/>
      <c r="AM55" s="2841"/>
      <c r="AN55" s="2901"/>
      <c r="AO55" s="2901"/>
      <c r="AP55" s="2901"/>
      <c r="AQ55" s="2901"/>
      <c r="AR55" s="2901"/>
      <c r="AS55" s="2901"/>
      <c r="AT55" s="2841"/>
      <c r="AU55" s="2901"/>
      <c r="AV55" s="2841"/>
      <c r="AW55" s="2841"/>
      <c r="AX55" s="2841"/>
      <c r="AY55" s="2841"/>
      <c r="AZ55" s="2841"/>
      <c r="BA55" s="2841"/>
      <c r="BB55" s="2841"/>
      <c r="BC55" s="2841"/>
      <c r="BD55" s="2841"/>
      <c r="BE55" s="2918"/>
      <c r="BF55" s="2841"/>
      <c r="BG55" s="2916"/>
      <c r="BH55" s="2916"/>
      <c r="BI55" s="2847" t="e">
        <f t="shared" si="4"/>
        <v>#DIV/0!</v>
      </c>
      <c r="BJ55" s="2858"/>
      <c r="BK55" s="2860"/>
      <c r="BL55" s="2839"/>
      <c r="BM55" s="2839"/>
      <c r="BN55" s="2839"/>
      <c r="BO55" s="2839"/>
      <c r="BP55" s="2841"/>
    </row>
    <row r="56" spans="1:68" s="768" customFormat="1" ht="41.25" customHeight="1" x14ac:dyDescent="0.2">
      <c r="A56" s="1252"/>
      <c r="D56" s="1254"/>
      <c r="E56" s="1255"/>
      <c r="F56" s="1256"/>
      <c r="G56" s="2892"/>
      <c r="H56" s="2892"/>
      <c r="I56" s="2884"/>
      <c r="J56" s="2423"/>
      <c r="K56" s="2307"/>
      <c r="L56" s="2307"/>
      <c r="M56" s="2423"/>
      <c r="N56" s="2307"/>
      <c r="O56" s="2423"/>
      <c r="P56" s="2886"/>
      <c r="Q56" s="2889"/>
      <c r="R56" s="2423"/>
      <c r="S56" s="2903"/>
      <c r="T56" s="1253" t="s">
        <v>1120</v>
      </c>
      <c r="U56" s="1234">
        <v>1000000</v>
      </c>
      <c r="V56" s="1229"/>
      <c r="W56" s="1229"/>
      <c r="X56" s="1235">
        <v>88</v>
      </c>
      <c r="Y56" s="545" t="s">
        <v>4</v>
      </c>
      <c r="Z56" s="2843"/>
      <c r="AA56" s="2841"/>
      <c r="AB56" s="2841"/>
      <c r="AC56" s="2841"/>
      <c r="AD56" s="2841"/>
      <c r="AE56" s="2841"/>
      <c r="AF56" s="2841"/>
      <c r="AG56" s="2841"/>
      <c r="AH56" s="2841"/>
      <c r="AI56" s="2841"/>
      <c r="AJ56" s="2841"/>
      <c r="AK56" s="2841"/>
      <c r="AL56" s="2841"/>
      <c r="AM56" s="2841"/>
      <c r="AN56" s="2901"/>
      <c r="AO56" s="2901"/>
      <c r="AP56" s="2901"/>
      <c r="AQ56" s="2901"/>
      <c r="AR56" s="2901"/>
      <c r="AS56" s="2901"/>
      <c r="AT56" s="2841"/>
      <c r="AU56" s="2901"/>
      <c r="AV56" s="2841"/>
      <c r="AW56" s="2841"/>
      <c r="AX56" s="2841"/>
      <c r="AY56" s="2841"/>
      <c r="AZ56" s="2841"/>
      <c r="BA56" s="2841"/>
      <c r="BB56" s="2841"/>
      <c r="BC56" s="2841"/>
      <c r="BD56" s="2841"/>
      <c r="BE56" s="2918"/>
      <c r="BF56" s="2841"/>
      <c r="BG56" s="2916"/>
      <c r="BH56" s="2916"/>
      <c r="BI56" s="2847" t="e">
        <f t="shared" si="4"/>
        <v>#DIV/0!</v>
      </c>
      <c r="BJ56" s="2858"/>
      <c r="BK56" s="2860"/>
      <c r="BL56" s="2839"/>
      <c r="BM56" s="2839"/>
      <c r="BN56" s="2839"/>
      <c r="BO56" s="2839"/>
      <c r="BP56" s="2841"/>
    </row>
    <row r="57" spans="1:68" s="768" customFormat="1" ht="57" customHeight="1" x14ac:dyDescent="0.2">
      <c r="A57" s="1252"/>
      <c r="D57" s="1254"/>
      <c r="E57" s="1255"/>
      <c r="F57" s="1256"/>
      <c r="G57" s="2893"/>
      <c r="H57" s="2893"/>
      <c r="I57" s="2895"/>
      <c r="J57" s="2424"/>
      <c r="K57" s="2467"/>
      <c r="L57" s="2467"/>
      <c r="M57" s="2423"/>
      <c r="N57" s="2307"/>
      <c r="O57" s="2423"/>
      <c r="P57" s="2887"/>
      <c r="Q57" s="2889"/>
      <c r="R57" s="2423"/>
      <c r="S57" s="2903"/>
      <c r="T57" s="1253" t="s">
        <v>1121</v>
      </c>
      <c r="U57" s="1234">
        <v>7500000</v>
      </c>
      <c r="V57" s="1229">
        <f>1000000</f>
        <v>1000000</v>
      </c>
      <c r="W57" s="1229"/>
      <c r="X57" s="1235">
        <v>88</v>
      </c>
      <c r="Y57" s="545" t="s">
        <v>4</v>
      </c>
      <c r="Z57" s="2843"/>
      <c r="AA57" s="2841"/>
      <c r="AB57" s="2841"/>
      <c r="AC57" s="2841"/>
      <c r="AD57" s="2841"/>
      <c r="AE57" s="2841"/>
      <c r="AF57" s="2841"/>
      <c r="AG57" s="2841"/>
      <c r="AH57" s="2841"/>
      <c r="AI57" s="2841"/>
      <c r="AJ57" s="2841"/>
      <c r="AK57" s="2841"/>
      <c r="AL57" s="2841"/>
      <c r="AM57" s="2841"/>
      <c r="AN57" s="2901"/>
      <c r="AO57" s="2901"/>
      <c r="AP57" s="2901"/>
      <c r="AQ57" s="2901"/>
      <c r="AR57" s="2901"/>
      <c r="AS57" s="2901"/>
      <c r="AT57" s="2841"/>
      <c r="AU57" s="2901"/>
      <c r="AV57" s="2841"/>
      <c r="AW57" s="2841"/>
      <c r="AX57" s="2841"/>
      <c r="AY57" s="2841"/>
      <c r="AZ57" s="2841"/>
      <c r="BA57" s="2841"/>
      <c r="BB57" s="2841"/>
      <c r="BC57" s="2841"/>
      <c r="BD57" s="2841"/>
      <c r="BE57" s="2918"/>
      <c r="BF57" s="2841"/>
      <c r="BG57" s="2916"/>
      <c r="BH57" s="2916"/>
      <c r="BI57" s="2847"/>
      <c r="BJ57" s="2858"/>
      <c r="BK57" s="2860"/>
      <c r="BL57" s="2839"/>
      <c r="BM57" s="2839"/>
      <c r="BN57" s="2839"/>
      <c r="BO57" s="2839"/>
      <c r="BP57" s="2841"/>
    </row>
    <row r="58" spans="1:68" s="768" customFormat="1" ht="41.25" customHeight="1" x14ac:dyDescent="0.2">
      <c r="A58" s="1252"/>
      <c r="D58" s="1257"/>
      <c r="F58" s="787"/>
      <c r="G58" s="2891">
        <v>4101038</v>
      </c>
      <c r="H58" s="2891" t="s">
        <v>1122</v>
      </c>
      <c r="I58" s="2894" t="s">
        <v>1123</v>
      </c>
      <c r="J58" s="2422" t="s">
        <v>1124</v>
      </c>
      <c r="K58" s="2306">
        <v>12</v>
      </c>
      <c r="L58" s="2306">
        <v>9</v>
      </c>
      <c r="M58" s="2423"/>
      <c r="N58" s="2307"/>
      <c r="O58" s="2423"/>
      <c r="P58" s="2885">
        <f>SUM(U58:U65)/Q32</f>
        <v>8.0347289912024139E-2</v>
      </c>
      <c r="Q58" s="2889"/>
      <c r="R58" s="2423"/>
      <c r="S58" s="2903"/>
      <c r="T58" s="1258" t="s">
        <v>1125</v>
      </c>
      <c r="U58" s="1234">
        <v>4000000</v>
      </c>
      <c r="V58" s="1229"/>
      <c r="W58" s="1229"/>
      <c r="X58" s="1235">
        <v>88</v>
      </c>
      <c r="Y58" s="545" t="s">
        <v>4</v>
      </c>
      <c r="Z58" s="2843"/>
      <c r="AA58" s="2841"/>
      <c r="AB58" s="2841"/>
      <c r="AC58" s="2841"/>
      <c r="AD58" s="2841"/>
      <c r="AE58" s="2841"/>
      <c r="AF58" s="2841"/>
      <c r="AG58" s="2841"/>
      <c r="AH58" s="2841"/>
      <c r="AI58" s="2841"/>
      <c r="AJ58" s="2841"/>
      <c r="AK58" s="2841"/>
      <c r="AL58" s="2841"/>
      <c r="AM58" s="2841"/>
      <c r="AN58" s="2901"/>
      <c r="AO58" s="2901"/>
      <c r="AP58" s="2901"/>
      <c r="AQ58" s="2901"/>
      <c r="AR58" s="2901"/>
      <c r="AS58" s="2901"/>
      <c r="AT58" s="2841"/>
      <c r="AU58" s="2901"/>
      <c r="AV58" s="2841"/>
      <c r="AW58" s="2841"/>
      <c r="AX58" s="2841"/>
      <c r="AY58" s="2841"/>
      <c r="AZ58" s="2841"/>
      <c r="BA58" s="2841"/>
      <c r="BB58" s="2841"/>
      <c r="BC58" s="2841"/>
      <c r="BD58" s="2841"/>
      <c r="BE58" s="2918"/>
      <c r="BF58" s="2841"/>
      <c r="BG58" s="2916"/>
      <c r="BH58" s="2916"/>
      <c r="BI58" s="2847" t="e">
        <f t="shared" si="4"/>
        <v>#DIV/0!</v>
      </c>
      <c r="BJ58" s="2858"/>
      <c r="BK58" s="2860"/>
      <c r="BL58" s="2839"/>
      <c r="BM58" s="2839"/>
      <c r="BN58" s="2839"/>
      <c r="BO58" s="2839"/>
      <c r="BP58" s="2841"/>
    </row>
    <row r="59" spans="1:68" s="768" customFormat="1" ht="41.25" customHeight="1" x14ac:dyDescent="0.2">
      <c r="A59" s="1252"/>
      <c r="D59" s="1257"/>
      <c r="F59" s="787"/>
      <c r="G59" s="2892"/>
      <c r="H59" s="2892"/>
      <c r="I59" s="2884"/>
      <c r="J59" s="2423"/>
      <c r="K59" s="2307"/>
      <c r="L59" s="2307"/>
      <c r="M59" s="2423"/>
      <c r="N59" s="2307"/>
      <c r="O59" s="2423"/>
      <c r="P59" s="2886"/>
      <c r="Q59" s="2889"/>
      <c r="R59" s="2423"/>
      <c r="S59" s="2903"/>
      <c r="T59" s="2912" t="s">
        <v>1126</v>
      </c>
      <c r="U59" s="1234">
        <v>4663390</v>
      </c>
      <c r="V59" s="1229">
        <v>4663390</v>
      </c>
      <c r="W59" s="1229">
        <v>4663390</v>
      </c>
      <c r="X59" s="1235">
        <v>20</v>
      </c>
      <c r="Y59" s="545" t="s">
        <v>4</v>
      </c>
      <c r="Z59" s="2843"/>
      <c r="AA59" s="2841"/>
      <c r="AB59" s="2841"/>
      <c r="AC59" s="2841"/>
      <c r="AD59" s="2841"/>
      <c r="AE59" s="2841"/>
      <c r="AF59" s="2841"/>
      <c r="AG59" s="2841"/>
      <c r="AH59" s="2841"/>
      <c r="AI59" s="2841"/>
      <c r="AJ59" s="2841"/>
      <c r="AK59" s="2841"/>
      <c r="AL59" s="2841"/>
      <c r="AM59" s="2841"/>
      <c r="AN59" s="2901"/>
      <c r="AO59" s="2901"/>
      <c r="AP59" s="2901"/>
      <c r="AQ59" s="2901"/>
      <c r="AR59" s="2901"/>
      <c r="AS59" s="2901"/>
      <c r="AT59" s="2841"/>
      <c r="AU59" s="2901"/>
      <c r="AV59" s="2841"/>
      <c r="AW59" s="2841"/>
      <c r="AX59" s="2841"/>
      <c r="AY59" s="2841"/>
      <c r="AZ59" s="2841"/>
      <c r="BA59" s="2841"/>
      <c r="BB59" s="2841"/>
      <c r="BC59" s="2841"/>
      <c r="BD59" s="2841"/>
      <c r="BE59" s="2918"/>
      <c r="BF59" s="2841"/>
      <c r="BG59" s="2916"/>
      <c r="BH59" s="2916"/>
      <c r="BI59" s="2847" t="e">
        <f t="shared" si="4"/>
        <v>#DIV/0!</v>
      </c>
      <c r="BJ59" s="2858"/>
      <c r="BK59" s="2860"/>
      <c r="BL59" s="2839"/>
      <c r="BM59" s="2839"/>
      <c r="BN59" s="2839"/>
      <c r="BO59" s="2839"/>
      <c r="BP59" s="2841"/>
    </row>
    <row r="60" spans="1:68" s="768" customFormat="1" ht="41.25" customHeight="1" x14ac:dyDescent="0.2">
      <c r="A60" s="1252"/>
      <c r="D60" s="1257"/>
      <c r="F60" s="787"/>
      <c r="G60" s="2892"/>
      <c r="H60" s="2892"/>
      <c r="I60" s="2884"/>
      <c r="J60" s="2423"/>
      <c r="K60" s="2307"/>
      <c r="L60" s="2307"/>
      <c r="M60" s="2423"/>
      <c r="N60" s="2307"/>
      <c r="O60" s="2423"/>
      <c r="P60" s="2886"/>
      <c r="Q60" s="2889"/>
      <c r="R60" s="2423"/>
      <c r="S60" s="2903"/>
      <c r="T60" s="2913"/>
      <c r="U60" s="1234">
        <v>18000000</v>
      </c>
      <c r="V60" s="1229">
        <f>4516609+181+1596280</f>
        <v>6113070</v>
      </c>
      <c r="W60" s="1229"/>
      <c r="X60" s="1235">
        <v>88</v>
      </c>
      <c r="Y60" s="545" t="s">
        <v>4</v>
      </c>
      <c r="Z60" s="2843"/>
      <c r="AA60" s="2841"/>
      <c r="AB60" s="2841"/>
      <c r="AC60" s="2841"/>
      <c r="AD60" s="2841"/>
      <c r="AE60" s="2841"/>
      <c r="AF60" s="2841"/>
      <c r="AG60" s="2841"/>
      <c r="AH60" s="2841"/>
      <c r="AI60" s="2841"/>
      <c r="AJ60" s="2841"/>
      <c r="AK60" s="2841"/>
      <c r="AL60" s="2841"/>
      <c r="AM60" s="2841"/>
      <c r="AN60" s="2901"/>
      <c r="AO60" s="2901"/>
      <c r="AP60" s="2901"/>
      <c r="AQ60" s="2901"/>
      <c r="AR60" s="2901"/>
      <c r="AS60" s="2901"/>
      <c r="AT60" s="2841"/>
      <c r="AU60" s="2901"/>
      <c r="AV60" s="2841"/>
      <c r="AW60" s="2841"/>
      <c r="AX60" s="2841"/>
      <c r="AY60" s="2841"/>
      <c r="AZ60" s="2841"/>
      <c r="BA60" s="2841"/>
      <c r="BB60" s="2841"/>
      <c r="BC60" s="2841"/>
      <c r="BD60" s="2841"/>
      <c r="BE60" s="2918"/>
      <c r="BF60" s="2841"/>
      <c r="BG60" s="2916"/>
      <c r="BH60" s="2916"/>
      <c r="BI60" s="2847"/>
      <c r="BJ60" s="2858"/>
      <c r="BK60" s="2860"/>
      <c r="BL60" s="2839"/>
      <c r="BM60" s="2839"/>
      <c r="BN60" s="2839"/>
      <c r="BO60" s="2839"/>
      <c r="BP60" s="2841"/>
    </row>
    <row r="61" spans="1:68" s="768" customFormat="1" ht="31.5" customHeight="1" x14ac:dyDescent="0.2">
      <c r="A61" s="1252"/>
      <c r="D61" s="1257"/>
      <c r="F61" s="787"/>
      <c r="G61" s="2892"/>
      <c r="H61" s="2892"/>
      <c r="I61" s="2884"/>
      <c r="J61" s="2423"/>
      <c r="K61" s="2307"/>
      <c r="L61" s="2307"/>
      <c r="M61" s="2423"/>
      <c r="N61" s="2307"/>
      <c r="O61" s="2423"/>
      <c r="P61" s="2886"/>
      <c r="Q61" s="2889"/>
      <c r="R61" s="2423"/>
      <c r="S61" s="2903"/>
      <c r="T61" s="2568" t="s">
        <v>1127</v>
      </c>
      <c r="U61" s="1234">
        <v>4000000</v>
      </c>
      <c r="V61" s="1229"/>
      <c r="W61" s="1229"/>
      <c r="X61" s="1235">
        <v>88</v>
      </c>
      <c r="Y61" s="545" t="s">
        <v>4</v>
      </c>
      <c r="Z61" s="2843"/>
      <c r="AA61" s="2841"/>
      <c r="AB61" s="2841"/>
      <c r="AC61" s="2841"/>
      <c r="AD61" s="2841"/>
      <c r="AE61" s="2841"/>
      <c r="AF61" s="2841"/>
      <c r="AG61" s="2841"/>
      <c r="AH61" s="2841"/>
      <c r="AI61" s="2841"/>
      <c r="AJ61" s="2841"/>
      <c r="AK61" s="2841"/>
      <c r="AL61" s="2841"/>
      <c r="AM61" s="2841"/>
      <c r="AN61" s="2901"/>
      <c r="AO61" s="2901"/>
      <c r="AP61" s="2901"/>
      <c r="AQ61" s="2901"/>
      <c r="AR61" s="2901"/>
      <c r="AS61" s="2901"/>
      <c r="AT61" s="2841"/>
      <c r="AU61" s="2901"/>
      <c r="AV61" s="2841"/>
      <c r="AW61" s="2841"/>
      <c r="AX61" s="2841"/>
      <c r="AY61" s="2841"/>
      <c r="AZ61" s="2841"/>
      <c r="BA61" s="2841"/>
      <c r="BB61" s="2841"/>
      <c r="BC61" s="2841"/>
      <c r="BD61" s="2841"/>
      <c r="BE61" s="2918"/>
      <c r="BF61" s="2841"/>
      <c r="BG61" s="2916"/>
      <c r="BH61" s="2916"/>
      <c r="BI61" s="2847" t="e">
        <f t="shared" si="4"/>
        <v>#DIV/0!</v>
      </c>
      <c r="BJ61" s="2858"/>
      <c r="BK61" s="2860"/>
      <c r="BL61" s="2839"/>
      <c r="BM61" s="2839"/>
      <c r="BN61" s="2839"/>
      <c r="BO61" s="2839"/>
      <c r="BP61" s="2841"/>
    </row>
    <row r="62" spans="1:68" s="768" customFormat="1" ht="30.75" customHeight="1" x14ac:dyDescent="0.2">
      <c r="A62" s="1252"/>
      <c r="D62" s="1257"/>
      <c r="F62" s="787"/>
      <c r="G62" s="2892"/>
      <c r="H62" s="2892"/>
      <c r="I62" s="2884"/>
      <c r="J62" s="2423"/>
      <c r="K62" s="2307"/>
      <c r="L62" s="2307"/>
      <c r="M62" s="2423"/>
      <c r="N62" s="2307"/>
      <c r="O62" s="2423"/>
      <c r="P62" s="2886"/>
      <c r="Q62" s="2889"/>
      <c r="R62" s="2423"/>
      <c r="S62" s="2903"/>
      <c r="T62" s="2907"/>
      <c r="U62" s="1234">
        <v>2711399</v>
      </c>
      <c r="V62" s="1229"/>
      <c r="W62" s="1229"/>
      <c r="X62" s="1235">
        <v>20</v>
      </c>
      <c r="Y62" s="545" t="s">
        <v>4</v>
      </c>
      <c r="Z62" s="2843"/>
      <c r="AA62" s="2841"/>
      <c r="AB62" s="2841"/>
      <c r="AC62" s="2841"/>
      <c r="AD62" s="2841"/>
      <c r="AE62" s="2841"/>
      <c r="AF62" s="2841"/>
      <c r="AG62" s="2841"/>
      <c r="AH62" s="2841"/>
      <c r="AI62" s="2841"/>
      <c r="AJ62" s="2841"/>
      <c r="AK62" s="2841"/>
      <c r="AL62" s="2841"/>
      <c r="AM62" s="2841"/>
      <c r="AN62" s="2901"/>
      <c r="AO62" s="2901"/>
      <c r="AP62" s="2901"/>
      <c r="AQ62" s="2901"/>
      <c r="AR62" s="2901"/>
      <c r="AS62" s="2901"/>
      <c r="AT62" s="2841"/>
      <c r="AU62" s="2901"/>
      <c r="AV62" s="2841"/>
      <c r="AW62" s="2841"/>
      <c r="AX62" s="2841"/>
      <c r="AY62" s="2841"/>
      <c r="AZ62" s="2841"/>
      <c r="BA62" s="2841"/>
      <c r="BB62" s="2841"/>
      <c r="BC62" s="2841"/>
      <c r="BD62" s="2841"/>
      <c r="BE62" s="2918"/>
      <c r="BF62" s="2841"/>
      <c r="BG62" s="2916"/>
      <c r="BH62" s="2916"/>
      <c r="BI62" s="2847" t="e">
        <f t="shared" si="4"/>
        <v>#DIV/0!</v>
      </c>
      <c r="BJ62" s="2858"/>
      <c r="BK62" s="2860"/>
      <c r="BL62" s="2839"/>
      <c r="BM62" s="2839"/>
      <c r="BN62" s="2839"/>
      <c r="BO62" s="2839"/>
      <c r="BP62" s="2841"/>
    </row>
    <row r="63" spans="1:68" s="768" customFormat="1" ht="31.5" customHeight="1" x14ac:dyDescent="0.2">
      <c r="A63" s="1252"/>
      <c r="D63" s="1257"/>
      <c r="F63" s="787"/>
      <c r="G63" s="2892"/>
      <c r="H63" s="2892"/>
      <c r="I63" s="2884"/>
      <c r="J63" s="2423"/>
      <c r="K63" s="2307"/>
      <c r="L63" s="2307"/>
      <c r="M63" s="2423"/>
      <c r="N63" s="2307"/>
      <c r="O63" s="2423"/>
      <c r="P63" s="2886"/>
      <c r="Q63" s="2889"/>
      <c r="R63" s="2423"/>
      <c r="S63" s="2903"/>
      <c r="T63" s="1258" t="s">
        <v>1120</v>
      </c>
      <c r="U63" s="1234">
        <v>1500000</v>
      </c>
      <c r="V63" s="1229"/>
      <c r="W63" s="1229"/>
      <c r="X63" s="1235">
        <v>88</v>
      </c>
      <c r="Y63" s="545" t="s">
        <v>7</v>
      </c>
      <c r="Z63" s="2843"/>
      <c r="AA63" s="2841"/>
      <c r="AB63" s="2841"/>
      <c r="AC63" s="2841"/>
      <c r="AD63" s="2841"/>
      <c r="AE63" s="2841"/>
      <c r="AF63" s="2841"/>
      <c r="AG63" s="2841"/>
      <c r="AH63" s="2841"/>
      <c r="AI63" s="2841"/>
      <c r="AJ63" s="2841"/>
      <c r="AK63" s="2841"/>
      <c r="AL63" s="2841"/>
      <c r="AM63" s="2841"/>
      <c r="AN63" s="2901"/>
      <c r="AO63" s="2901"/>
      <c r="AP63" s="2901"/>
      <c r="AQ63" s="2901"/>
      <c r="AR63" s="2901"/>
      <c r="AS63" s="2901"/>
      <c r="AT63" s="2841"/>
      <c r="AU63" s="2901"/>
      <c r="AV63" s="2841"/>
      <c r="AW63" s="2841"/>
      <c r="AX63" s="2841"/>
      <c r="AY63" s="2841"/>
      <c r="AZ63" s="2841"/>
      <c r="BA63" s="2841"/>
      <c r="BB63" s="2841"/>
      <c r="BC63" s="2841"/>
      <c r="BD63" s="2841"/>
      <c r="BE63" s="2918"/>
      <c r="BF63" s="2841"/>
      <c r="BG63" s="2916"/>
      <c r="BH63" s="2916"/>
      <c r="BI63" s="2847"/>
      <c r="BJ63" s="2858"/>
      <c r="BK63" s="2860"/>
      <c r="BL63" s="2839"/>
      <c r="BM63" s="2839"/>
      <c r="BN63" s="2839"/>
      <c r="BO63" s="2839"/>
      <c r="BP63" s="2841"/>
    </row>
    <row r="64" spans="1:68" s="768" customFormat="1" ht="47.25" customHeight="1" x14ac:dyDescent="0.2">
      <c r="A64" s="1252"/>
      <c r="D64" s="1257"/>
      <c r="F64" s="787"/>
      <c r="G64" s="2892"/>
      <c r="H64" s="2892"/>
      <c r="I64" s="2884"/>
      <c r="J64" s="2423"/>
      <c r="K64" s="2307"/>
      <c r="L64" s="2307"/>
      <c r="M64" s="2423"/>
      <c r="N64" s="2307"/>
      <c r="O64" s="2423"/>
      <c r="P64" s="2886"/>
      <c r="Q64" s="2889"/>
      <c r="R64" s="2423"/>
      <c r="S64" s="2903"/>
      <c r="T64" s="1259" t="s">
        <v>1128</v>
      </c>
      <c r="U64" s="1234">
        <v>5125211</v>
      </c>
      <c r="V64" s="1229">
        <f>4000000+1125211-213334</f>
        <v>4911877</v>
      </c>
      <c r="W64" s="1229"/>
      <c r="X64" s="1235">
        <v>88</v>
      </c>
      <c r="Y64" s="545" t="s">
        <v>4</v>
      </c>
      <c r="Z64" s="2843"/>
      <c r="AA64" s="2841"/>
      <c r="AB64" s="2841"/>
      <c r="AC64" s="2841"/>
      <c r="AD64" s="2841"/>
      <c r="AE64" s="2841"/>
      <c r="AF64" s="2841"/>
      <c r="AG64" s="2841"/>
      <c r="AH64" s="2841"/>
      <c r="AI64" s="2841"/>
      <c r="AJ64" s="2841"/>
      <c r="AK64" s="2841"/>
      <c r="AL64" s="2841"/>
      <c r="AM64" s="2841"/>
      <c r="AN64" s="2901"/>
      <c r="AO64" s="2901"/>
      <c r="AP64" s="2901"/>
      <c r="AQ64" s="2901"/>
      <c r="AR64" s="2901"/>
      <c r="AS64" s="2901"/>
      <c r="AT64" s="2841"/>
      <c r="AU64" s="2901"/>
      <c r="AV64" s="2841"/>
      <c r="AW64" s="2841"/>
      <c r="AX64" s="2841"/>
      <c r="AY64" s="2841"/>
      <c r="AZ64" s="2841"/>
      <c r="BA64" s="2841"/>
      <c r="BB64" s="2841"/>
      <c r="BC64" s="2841"/>
      <c r="BD64" s="2841"/>
      <c r="BE64" s="2918"/>
      <c r="BF64" s="2841"/>
      <c r="BG64" s="2916"/>
      <c r="BH64" s="2916"/>
      <c r="BI64" s="2847" t="e">
        <f t="shared" si="4"/>
        <v>#DIV/0!</v>
      </c>
      <c r="BJ64" s="2858"/>
      <c r="BK64" s="2860"/>
      <c r="BL64" s="2839"/>
      <c r="BM64" s="2839"/>
      <c r="BN64" s="2839"/>
      <c r="BO64" s="2839"/>
      <c r="BP64" s="2841"/>
    </row>
    <row r="65" spans="1:68" s="768" customFormat="1" ht="96" customHeight="1" x14ac:dyDescent="0.2">
      <c r="A65" s="1252"/>
      <c r="D65" s="1257"/>
      <c r="F65" s="787"/>
      <c r="G65" s="2893"/>
      <c r="H65" s="2893"/>
      <c r="I65" s="2895"/>
      <c r="J65" s="2424"/>
      <c r="K65" s="2467"/>
      <c r="L65" s="2467"/>
      <c r="M65" s="2423"/>
      <c r="N65" s="2307"/>
      <c r="O65" s="2423"/>
      <c r="P65" s="2887"/>
      <c r="Q65" s="2889"/>
      <c r="R65" s="2423"/>
      <c r="S65" s="2903"/>
      <c r="T65" s="609" t="s">
        <v>1129</v>
      </c>
      <c r="U65" s="1260">
        <v>2000000</v>
      </c>
      <c r="V65" s="1229"/>
      <c r="W65" s="1229"/>
      <c r="X65" s="1235">
        <v>88</v>
      </c>
      <c r="Y65" s="545" t="s">
        <v>4</v>
      </c>
      <c r="Z65" s="2843"/>
      <c r="AA65" s="2841"/>
      <c r="AB65" s="2841"/>
      <c r="AC65" s="2841"/>
      <c r="AD65" s="2841"/>
      <c r="AE65" s="2841"/>
      <c r="AF65" s="2841"/>
      <c r="AG65" s="2841"/>
      <c r="AH65" s="2841"/>
      <c r="AI65" s="2841"/>
      <c r="AJ65" s="2841"/>
      <c r="AK65" s="2841"/>
      <c r="AL65" s="2841"/>
      <c r="AM65" s="2841"/>
      <c r="AN65" s="2901"/>
      <c r="AO65" s="2901"/>
      <c r="AP65" s="2901"/>
      <c r="AQ65" s="2901"/>
      <c r="AR65" s="2901"/>
      <c r="AS65" s="2901"/>
      <c r="AT65" s="2841"/>
      <c r="AU65" s="2901"/>
      <c r="AV65" s="2841"/>
      <c r="AW65" s="2841"/>
      <c r="AX65" s="2841"/>
      <c r="AY65" s="2841"/>
      <c r="AZ65" s="2841"/>
      <c r="BA65" s="2841"/>
      <c r="BB65" s="2841"/>
      <c r="BC65" s="2841"/>
      <c r="BD65" s="2841"/>
      <c r="BE65" s="2918"/>
      <c r="BF65" s="2841"/>
      <c r="BG65" s="2916"/>
      <c r="BH65" s="2916"/>
      <c r="BI65" s="2847" t="e">
        <f t="shared" si="4"/>
        <v>#DIV/0!</v>
      </c>
      <c r="BJ65" s="2858"/>
      <c r="BK65" s="2860"/>
      <c r="BL65" s="2839"/>
      <c r="BM65" s="2839"/>
      <c r="BN65" s="2839"/>
      <c r="BO65" s="2839"/>
      <c r="BP65" s="2841"/>
    </row>
    <row r="66" spans="1:68" s="768" customFormat="1" ht="70.5" customHeight="1" x14ac:dyDescent="0.2">
      <c r="A66" s="1252"/>
      <c r="D66" s="1257"/>
      <c r="F66" s="787"/>
      <c r="G66" s="2891">
        <v>4101073</v>
      </c>
      <c r="H66" s="2891" t="s">
        <v>1130</v>
      </c>
      <c r="I66" s="2894" t="s">
        <v>1131</v>
      </c>
      <c r="J66" s="2422" t="s">
        <v>1132</v>
      </c>
      <c r="K66" s="2306">
        <v>20</v>
      </c>
      <c r="L66" s="2306">
        <v>0</v>
      </c>
      <c r="M66" s="2423"/>
      <c r="N66" s="2307"/>
      <c r="O66" s="2423"/>
      <c r="P66" s="2885">
        <f>(U66+U67+U68)/Q32</f>
        <v>0.12434699629241831</v>
      </c>
      <c r="Q66" s="2889"/>
      <c r="R66" s="2423"/>
      <c r="S66" s="2903"/>
      <c r="T66" s="609" t="s">
        <v>1128</v>
      </c>
      <c r="U66" s="1260">
        <v>9400000</v>
      </c>
      <c r="V66" s="1229">
        <v>9400000</v>
      </c>
      <c r="W66" s="1229">
        <v>9400000</v>
      </c>
      <c r="X66" s="1235">
        <v>20</v>
      </c>
      <c r="Y66" s="545" t="s">
        <v>4</v>
      </c>
      <c r="Z66" s="2843"/>
      <c r="AA66" s="2841"/>
      <c r="AB66" s="2841"/>
      <c r="AC66" s="2841"/>
      <c r="AD66" s="2841"/>
      <c r="AE66" s="2841"/>
      <c r="AF66" s="2841"/>
      <c r="AG66" s="2841"/>
      <c r="AH66" s="2841"/>
      <c r="AI66" s="2841"/>
      <c r="AJ66" s="2841"/>
      <c r="AK66" s="2841"/>
      <c r="AL66" s="2841"/>
      <c r="AM66" s="2841"/>
      <c r="AN66" s="2901"/>
      <c r="AO66" s="2901"/>
      <c r="AP66" s="2901"/>
      <c r="AQ66" s="2901"/>
      <c r="AR66" s="2901"/>
      <c r="AS66" s="2901"/>
      <c r="AT66" s="2841"/>
      <c r="AU66" s="2901"/>
      <c r="AV66" s="2841"/>
      <c r="AW66" s="2841"/>
      <c r="AX66" s="2841"/>
      <c r="AY66" s="2841"/>
      <c r="AZ66" s="2841"/>
      <c r="BA66" s="2841"/>
      <c r="BB66" s="2841"/>
      <c r="BC66" s="2841"/>
      <c r="BD66" s="2841"/>
      <c r="BE66" s="2918"/>
      <c r="BF66" s="2841"/>
      <c r="BG66" s="2916"/>
      <c r="BH66" s="2916"/>
      <c r="BI66" s="2847"/>
      <c r="BJ66" s="2858"/>
      <c r="BK66" s="2860"/>
      <c r="BL66" s="2839"/>
      <c r="BM66" s="2839"/>
      <c r="BN66" s="2839"/>
      <c r="BO66" s="2839"/>
      <c r="BP66" s="2841"/>
    </row>
    <row r="67" spans="1:68" s="768" customFormat="1" ht="46.5" customHeight="1" x14ac:dyDescent="0.2">
      <c r="A67" s="1252"/>
      <c r="D67" s="1257"/>
      <c r="F67" s="787"/>
      <c r="G67" s="2892"/>
      <c r="H67" s="2892"/>
      <c r="I67" s="2884"/>
      <c r="J67" s="2423"/>
      <c r="K67" s="2307"/>
      <c r="L67" s="2307"/>
      <c r="M67" s="2423"/>
      <c r="N67" s="2307"/>
      <c r="O67" s="2423"/>
      <c r="P67" s="2886"/>
      <c r="Q67" s="2889"/>
      <c r="R67" s="2423"/>
      <c r="S67" s="2903"/>
      <c r="T67" s="2919" t="s">
        <v>1113</v>
      </c>
      <c r="U67" s="1260">
        <v>27800000</v>
      </c>
      <c r="V67" s="1229"/>
      <c r="W67" s="1229"/>
      <c r="X67" s="1235">
        <v>88</v>
      </c>
      <c r="Y67" s="545" t="s">
        <v>4</v>
      </c>
      <c r="Z67" s="2843"/>
      <c r="AA67" s="2841"/>
      <c r="AB67" s="2841"/>
      <c r="AC67" s="2841"/>
      <c r="AD67" s="2841"/>
      <c r="AE67" s="2841"/>
      <c r="AF67" s="2841"/>
      <c r="AG67" s="2841"/>
      <c r="AH67" s="2841"/>
      <c r="AI67" s="2841"/>
      <c r="AJ67" s="2841"/>
      <c r="AK67" s="2841"/>
      <c r="AL67" s="2841"/>
      <c r="AM67" s="2841"/>
      <c r="AN67" s="2901"/>
      <c r="AO67" s="2901"/>
      <c r="AP67" s="2901"/>
      <c r="AQ67" s="2901"/>
      <c r="AR67" s="2901"/>
      <c r="AS67" s="2901"/>
      <c r="AT67" s="2841"/>
      <c r="AU67" s="2901"/>
      <c r="AV67" s="2841"/>
      <c r="AW67" s="2841"/>
      <c r="AX67" s="2841"/>
      <c r="AY67" s="2841"/>
      <c r="AZ67" s="2841"/>
      <c r="BA67" s="2841"/>
      <c r="BB67" s="2841"/>
      <c r="BC67" s="2841"/>
      <c r="BD67" s="2841"/>
      <c r="BE67" s="2918"/>
      <c r="BF67" s="2841"/>
      <c r="BG67" s="2916"/>
      <c r="BH67" s="2916"/>
      <c r="BI67" s="2847" t="e">
        <f t="shared" si="4"/>
        <v>#DIV/0!</v>
      </c>
      <c r="BJ67" s="2858"/>
      <c r="BK67" s="2860"/>
      <c r="BL67" s="2839"/>
      <c r="BM67" s="2839"/>
      <c r="BN67" s="2839"/>
      <c r="BO67" s="2839"/>
      <c r="BP67" s="2841"/>
    </row>
    <row r="68" spans="1:68" s="768" customFormat="1" ht="55.5" customHeight="1" x14ac:dyDescent="0.2">
      <c r="A68" s="1252"/>
      <c r="D68" s="1257"/>
      <c r="F68" s="787"/>
      <c r="G68" s="2893"/>
      <c r="H68" s="2893"/>
      <c r="I68" s="2895"/>
      <c r="J68" s="2424"/>
      <c r="K68" s="2467"/>
      <c r="L68" s="2467"/>
      <c r="M68" s="2423"/>
      <c r="N68" s="2307"/>
      <c r="O68" s="2423"/>
      <c r="P68" s="2887"/>
      <c r="Q68" s="2889"/>
      <c r="R68" s="2423"/>
      <c r="S68" s="2903"/>
      <c r="T68" s="2919"/>
      <c r="U68" s="1208">
        <v>27800000</v>
      </c>
      <c r="V68" s="1229"/>
      <c r="W68" s="1229"/>
      <c r="X68" s="1235">
        <v>20</v>
      </c>
      <c r="Y68" s="545" t="s">
        <v>7</v>
      </c>
      <c r="Z68" s="2843"/>
      <c r="AA68" s="2841"/>
      <c r="AB68" s="2841"/>
      <c r="AC68" s="2841"/>
      <c r="AD68" s="2841"/>
      <c r="AE68" s="2841"/>
      <c r="AF68" s="2841"/>
      <c r="AG68" s="2841"/>
      <c r="AH68" s="2841"/>
      <c r="AI68" s="2841"/>
      <c r="AJ68" s="2841"/>
      <c r="AK68" s="2841"/>
      <c r="AL68" s="2841"/>
      <c r="AM68" s="2841"/>
      <c r="AN68" s="2901"/>
      <c r="AO68" s="2901"/>
      <c r="AP68" s="2901"/>
      <c r="AQ68" s="2901"/>
      <c r="AR68" s="2901"/>
      <c r="AS68" s="2901"/>
      <c r="AT68" s="2841"/>
      <c r="AU68" s="2901"/>
      <c r="AV68" s="2841"/>
      <c r="AW68" s="2841"/>
      <c r="AX68" s="2841"/>
      <c r="AY68" s="2841"/>
      <c r="AZ68" s="2841"/>
      <c r="BA68" s="2841"/>
      <c r="BB68" s="2841"/>
      <c r="BC68" s="2841"/>
      <c r="BD68" s="2841"/>
      <c r="BE68" s="2918"/>
      <c r="BF68" s="2841"/>
      <c r="BG68" s="2916"/>
      <c r="BH68" s="2916"/>
      <c r="BI68" s="2847" t="e">
        <f t="shared" si="4"/>
        <v>#DIV/0!</v>
      </c>
      <c r="BJ68" s="2858"/>
      <c r="BK68" s="2860"/>
      <c r="BL68" s="2839"/>
      <c r="BM68" s="2839"/>
      <c r="BN68" s="2839"/>
      <c r="BO68" s="2839"/>
      <c r="BP68" s="2841"/>
    </row>
    <row r="69" spans="1:68" s="768" customFormat="1" ht="45.75" customHeight="1" x14ac:dyDescent="0.2">
      <c r="A69" s="1252"/>
      <c r="D69" s="1257"/>
      <c r="F69" s="787"/>
      <c r="G69" s="2891">
        <v>4101011</v>
      </c>
      <c r="H69" s="2891" t="s">
        <v>1133</v>
      </c>
      <c r="I69" s="2894" t="s">
        <v>1134</v>
      </c>
      <c r="J69" s="2422" t="s">
        <v>1135</v>
      </c>
      <c r="K69" s="2306">
        <v>2</v>
      </c>
      <c r="L69" s="2306">
        <v>1</v>
      </c>
      <c r="M69" s="2423"/>
      <c r="N69" s="2307"/>
      <c r="O69" s="2423"/>
      <c r="P69" s="2885">
        <f>SUM(U69:U77)/Q32</f>
        <v>0.1052166891705078</v>
      </c>
      <c r="Q69" s="2889"/>
      <c r="R69" s="2423"/>
      <c r="S69" s="2903"/>
      <c r="T69" s="2929" t="s">
        <v>1136</v>
      </c>
      <c r="U69" s="1212">
        <v>15000000</v>
      </c>
      <c r="V69" s="1229">
        <v>4733333</v>
      </c>
      <c r="W69" s="1229"/>
      <c r="X69" s="1235">
        <v>88</v>
      </c>
      <c r="Y69" s="545" t="s">
        <v>4</v>
      </c>
      <c r="Z69" s="2843"/>
      <c r="AA69" s="2841"/>
      <c r="AB69" s="2841"/>
      <c r="AC69" s="2841"/>
      <c r="AD69" s="2841"/>
      <c r="AE69" s="2841"/>
      <c r="AF69" s="2841"/>
      <c r="AG69" s="2841"/>
      <c r="AH69" s="2841"/>
      <c r="AI69" s="2841"/>
      <c r="AJ69" s="2841"/>
      <c r="AK69" s="2841"/>
      <c r="AL69" s="2841"/>
      <c r="AM69" s="2841"/>
      <c r="AN69" s="2901"/>
      <c r="AO69" s="2901"/>
      <c r="AP69" s="2901"/>
      <c r="AQ69" s="2901"/>
      <c r="AR69" s="2901"/>
      <c r="AS69" s="2901"/>
      <c r="AT69" s="2841"/>
      <c r="AU69" s="2901"/>
      <c r="AV69" s="2841"/>
      <c r="AW69" s="2841"/>
      <c r="AX69" s="2841"/>
      <c r="AY69" s="2841"/>
      <c r="AZ69" s="2841"/>
      <c r="BA69" s="2841"/>
      <c r="BB69" s="2841"/>
      <c r="BC69" s="2841"/>
      <c r="BD69" s="2841"/>
      <c r="BE69" s="2918"/>
      <c r="BF69" s="2841"/>
      <c r="BG69" s="2916"/>
      <c r="BH69" s="2916"/>
      <c r="BI69" s="2847"/>
      <c r="BJ69" s="2858"/>
      <c r="BK69" s="2860"/>
      <c r="BL69" s="2839"/>
      <c r="BM69" s="2839"/>
      <c r="BN69" s="2839"/>
      <c r="BO69" s="2839"/>
      <c r="BP69" s="2841"/>
    </row>
    <row r="70" spans="1:68" s="768" customFormat="1" ht="44.25" customHeight="1" x14ac:dyDescent="0.2">
      <c r="A70" s="1252"/>
      <c r="D70" s="1257"/>
      <c r="F70" s="787"/>
      <c r="G70" s="2892"/>
      <c r="H70" s="2892"/>
      <c r="I70" s="2884"/>
      <c r="J70" s="2423"/>
      <c r="K70" s="2307"/>
      <c r="L70" s="2307"/>
      <c r="M70" s="2423"/>
      <c r="N70" s="2307"/>
      <c r="O70" s="2423"/>
      <c r="P70" s="2886"/>
      <c r="Q70" s="2889"/>
      <c r="R70" s="2423"/>
      <c r="S70" s="2903"/>
      <c r="T70" s="2930"/>
      <c r="U70" s="1212">
        <v>15000000</v>
      </c>
      <c r="V70" s="1229"/>
      <c r="W70" s="1229"/>
      <c r="X70" s="1235">
        <v>20</v>
      </c>
      <c r="Y70" s="545" t="s">
        <v>7</v>
      </c>
      <c r="Z70" s="2843"/>
      <c r="AA70" s="2841"/>
      <c r="AB70" s="2841"/>
      <c r="AC70" s="2841"/>
      <c r="AD70" s="2841"/>
      <c r="AE70" s="2841"/>
      <c r="AF70" s="2841"/>
      <c r="AG70" s="2841"/>
      <c r="AH70" s="2841"/>
      <c r="AI70" s="2841"/>
      <c r="AJ70" s="2841"/>
      <c r="AK70" s="2841"/>
      <c r="AL70" s="2841"/>
      <c r="AM70" s="2841"/>
      <c r="AN70" s="2901"/>
      <c r="AO70" s="2901"/>
      <c r="AP70" s="2901"/>
      <c r="AQ70" s="2901"/>
      <c r="AR70" s="2901"/>
      <c r="AS70" s="2901"/>
      <c r="AT70" s="2841"/>
      <c r="AU70" s="2901"/>
      <c r="AV70" s="2841"/>
      <c r="AW70" s="2841"/>
      <c r="AX70" s="2841"/>
      <c r="AY70" s="2841"/>
      <c r="AZ70" s="2841"/>
      <c r="BA70" s="2841"/>
      <c r="BB70" s="2841"/>
      <c r="BC70" s="2841"/>
      <c r="BD70" s="2841"/>
      <c r="BE70" s="2918"/>
      <c r="BF70" s="2841"/>
      <c r="BG70" s="2916"/>
      <c r="BH70" s="2916"/>
      <c r="BI70" s="2847" t="e">
        <f t="shared" si="4"/>
        <v>#DIV/0!</v>
      </c>
      <c r="BJ70" s="2858"/>
      <c r="BK70" s="2860"/>
      <c r="BL70" s="2839"/>
      <c r="BM70" s="2839"/>
      <c r="BN70" s="2839"/>
      <c r="BO70" s="2839"/>
      <c r="BP70" s="2841"/>
    </row>
    <row r="71" spans="1:68" s="768" customFormat="1" ht="66.75" customHeight="1" x14ac:dyDescent="0.2">
      <c r="A71" s="1252"/>
      <c r="D71" s="1257"/>
      <c r="F71" s="787"/>
      <c r="G71" s="2892"/>
      <c r="H71" s="2892"/>
      <c r="I71" s="2884"/>
      <c r="J71" s="2423"/>
      <c r="K71" s="2307"/>
      <c r="L71" s="2307"/>
      <c r="M71" s="2423"/>
      <c r="N71" s="2307"/>
      <c r="O71" s="2423"/>
      <c r="P71" s="2886"/>
      <c r="Q71" s="2889"/>
      <c r="R71" s="2423"/>
      <c r="S71" s="2903"/>
      <c r="T71" s="598" t="s">
        <v>1121</v>
      </c>
      <c r="U71" s="1212">
        <v>425000</v>
      </c>
      <c r="V71" s="1229">
        <v>425000</v>
      </c>
      <c r="W71" s="1229">
        <v>425000</v>
      </c>
      <c r="X71" s="1210">
        <v>20</v>
      </c>
      <c r="Y71" s="534" t="s">
        <v>7</v>
      </c>
      <c r="Z71" s="2843"/>
      <c r="AA71" s="2841"/>
      <c r="AB71" s="2841"/>
      <c r="AC71" s="2841"/>
      <c r="AD71" s="2841"/>
      <c r="AE71" s="2841"/>
      <c r="AF71" s="2841"/>
      <c r="AG71" s="2841"/>
      <c r="AH71" s="2841"/>
      <c r="AI71" s="2841"/>
      <c r="AJ71" s="2841"/>
      <c r="AK71" s="2841"/>
      <c r="AL71" s="2841"/>
      <c r="AM71" s="2841"/>
      <c r="AN71" s="2901"/>
      <c r="AO71" s="2901"/>
      <c r="AP71" s="2901"/>
      <c r="AQ71" s="2901"/>
      <c r="AR71" s="2901"/>
      <c r="AS71" s="2901"/>
      <c r="AT71" s="2841"/>
      <c r="AU71" s="2901"/>
      <c r="AV71" s="2841"/>
      <c r="AW71" s="2841"/>
      <c r="AX71" s="2841"/>
      <c r="AY71" s="2841"/>
      <c r="AZ71" s="2841"/>
      <c r="BA71" s="2841"/>
      <c r="BB71" s="2841"/>
      <c r="BC71" s="2841"/>
      <c r="BD71" s="2841"/>
      <c r="BE71" s="2918"/>
      <c r="BF71" s="2841"/>
      <c r="BG71" s="2916"/>
      <c r="BH71" s="2916"/>
      <c r="BI71" s="2847" t="e">
        <f t="shared" si="4"/>
        <v>#DIV/0!</v>
      </c>
      <c r="BJ71" s="2858"/>
      <c r="BK71" s="2860"/>
      <c r="BL71" s="2839"/>
      <c r="BM71" s="2839"/>
      <c r="BN71" s="2839"/>
      <c r="BO71" s="2839"/>
      <c r="BP71" s="2841"/>
    </row>
    <row r="72" spans="1:68" s="768" customFormat="1" ht="66.75" customHeight="1" x14ac:dyDescent="0.2">
      <c r="A72" s="1252"/>
      <c r="D72" s="1257"/>
      <c r="F72" s="787"/>
      <c r="G72" s="2892"/>
      <c r="H72" s="2892"/>
      <c r="I72" s="2884"/>
      <c r="J72" s="2423"/>
      <c r="K72" s="2307"/>
      <c r="L72" s="2307"/>
      <c r="M72" s="2423"/>
      <c r="N72" s="2307"/>
      <c r="O72" s="2423"/>
      <c r="P72" s="2886"/>
      <c r="Q72" s="2889"/>
      <c r="R72" s="2423"/>
      <c r="S72" s="2903"/>
      <c r="T72" s="597" t="s">
        <v>1114</v>
      </c>
      <c r="U72" s="1212">
        <v>5000000</v>
      </c>
      <c r="V72" s="1229">
        <v>5000000</v>
      </c>
      <c r="W72" s="1229">
        <v>5000000</v>
      </c>
      <c r="X72" s="1210">
        <v>20</v>
      </c>
      <c r="Y72" s="534" t="s">
        <v>7</v>
      </c>
      <c r="Z72" s="2843"/>
      <c r="AA72" s="2841"/>
      <c r="AB72" s="2841"/>
      <c r="AC72" s="2841"/>
      <c r="AD72" s="2841"/>
      <c r="AE72" s="2841"/>
      <c r="AF72" s="2841"/>
      <c r="AG72" s="2841"/>
      <c r="AH72" s="2841"/>
      <c r="AI72" s="2841"/>
      <c r="AJ72" s="2841"/>
      <c r="AK72" s="2841"/>
      <c r="AL72" s="2841"/>
      <c r="AM72" s="2841"/>
      <c r="AN72" s="2901"/>
      <c r="AO72" s="2901"/>
      <c r="AP72" s="2901"/>
      <c r="AQ72" s="2901"/>
      <c r="AR72" s="2901"/>
      <c r="AS72" s="2901"/>
      <c r="AT72" s="2841"/>
      <c r="AU72" s="2901"/>
      <c r="AV72" s="2841"/>
      <c r="AW72" s="2841"/>
      <c r="AX72" s="2841"/>
      <c r="AY72" s="2841"/>
      <c r="AZ72" s="2841"/>
      <c r="BA72" s="2841"/>
      <c r="BB72" s="2841"/>
      <c r="BC72" s="2841"/>
      <c r="BD72" s="2841"/>
      <c r="BE72" s="2918"/>
      <c r="BF72" s="2841"/>
      <c r="BG72" s="2916"/>
      <c r="BH72" s="2916"/>
      <c r="BI72" s="2847"/>
      <c r="BJ72" s="2858"/>
      <c r="BK72" s="2860"/>
      <c r="BL72" s="2839"/>
      <c r="BM72" s="2839"/>
      <c r="BN72" s="2839"/>
      <c r="BO72" s="2839"/>
      <c r="BP72" s="2841"/>
    </row>
    <row r="73" spans="1:68" s="768" customFormat="1" ht="43.5" customHeight="1" x14ac:dyDescent="0.2">
      <c r="A73" s="1252"/>
      <c r="D73" s="1257"/>
      <c r="F73" s="787"/>
      <c r="G73" s="2892"/>
      <c r="H73" s="2892"/>
      <c r="I73" s="2884"/>
      <c r="J73" s="2423"/>
      <c r="K73" s="2307"/>
      <c r="L73" s="2307"/>
      <c r="M73" s="2423"/>
      <c r="N73" s="2307"/>
      <c r="O73" s="2423"/>
      <c r="P73" s="2886"/>
      <c r="Q73" s="2889"/>
      <c r="R73" s="2423"/>
      <c r="S73" s="2906"/>
      <c r="T73" s="2463" t="s">
        <v>1137</v>
      </c>
      <c r="U73" s="1208"/>
      <c r="V73" s="1229"/>
      <c r="W73" s="1229"/>
      <c r="X73" s="1210">
        <v>20</v>
      </c>
      <c r="Y73" s="534" t="s">
        <v>7</v>
      </c>
      <c r="Z73" s="2843"/>
      <c r="AA73" s="2841"/>
      <c r="AB73" s="2841"/>
      <c r="AC73" s="2841"/>
      <c r="AD73" s="2841"/>
      <c r="AE73" s="2841"/>
      <c r="AF73" s="2841"/>
      <c r="AG73" s="2841"/>
      <c r="AH73" s="2841"/>
      <c r="AI73" s="2841"/>
      <c r="AJ73" s="2841"/>
      <c r="AK73" s="2841"/>
      <c r="AL73" s="2841"/>
      <c r="AM73" s="2841"/>
      <c r="AN73" s="2901"/>
      <c r="AO73" s="2901"/>
      <c r="AP73" s="2901"/>
      <c r="AQ73" s="2901"/>
      <c r="AR73" s="2901"/>
      <c r="AS73" s="2901"/>
      <c r="AT73" s="2841"/>
      <c r="AU73" s="2901"/>
      <c r="AV73" s="2841"/>
      <c r="AW73" s="2841"/>
      <c r="AX73" s="2841"/>
      <c r="AY73" s="2841"/>
      <c r="AZ73" s="2841"/>
      <c r="BA73" s="2841"/>
      <c r="BB73" s="2841"/>
      <c r="BC73" s="2841"/>
      <c r="BD73" s="2841"/>
      <c r="BE73" s="2918"/>
      <c r="BF73" s="2841"/>
      <c r="BG73" s="2916"/>
      <c r="BH73" s="2916"/>
      <c r="BI73" s="2847" t="e">
        <f t="shared" si="4"/>
        <v>#DIV/0!</v>
      </c>
      <c r="BJ73" s="2858"/>
      <c r="BK73" s="2860"/>
      <c r="BL73" s="2839"/>
      <c r="BM73" s="2839"/>
      <c r="BN73" s="2839"/>
      <c r="BO73" s="2839"/>
      <c r="BP73" s="2841"/>
    </row>
    <row r="74" spans="1:68" s="768" customFormat="1" ht="51" customHeight="1" x14ac:dyDescent="0.2">
      <c r="A74" s="1252"/>
      <c r="D74" s="1257"/>
      <c r="F74" s="787"/>
      <c r="G74" s="2892"/>
      <c r="H74" s="2892"/>
      <c r="I74" s="2884"/>
      <c r="J74" s="2423"/>
      <c r="K74" s="2307"/>
      <c r="L74" s="2307"/>
      <c r="M74" s="2423"/>
      <c r="N74" s="2307"/>
      <c r="O74" s="2423"/>
      <c r="P74" s="2886"/>
      <c r="Q74" s="2889"/>
      <c r="R74" s="2423"/>
      <c r="S74" s="2906"/>
      <c r="T74" s="2463"/>
      <c r="U74" s="1208">
        <v>5575000</v>
      </c>
      <c r="V74" s="1229">
        <v>2000000</v>
      </c>
      <c r="W74" s="1229"/>
      <c r="X74" s="1210">
        <v>88</v>
      </c>
      <c r="Y74" s="534" t="s">
        <v>4</v>
      </c>
      <c r="Z74" s="2843"/>
      <c r="AA74" s="2841"/>
      <c r="AB74" s="2841"/>
      <c r="AC74" s="2841"/>
      <c r="AD74" s="2841"/>
      <c r="AE74" s="2841"/>
      <c r="AF74" s="2841"/>
      <c r="AG74" s="2841"/>
      <c r="AH74" s="2841"/>
      <c r="AI74" s="2841"/>
      <c r="AJ74" s="2841"/>
      <c r="AK74" s="2841"/>
      <c r="AL74" s="2841"/>
      <c r="AM74" s="2841"/>
      <c r="AN74" s="2901"/>
      <c r="AO74" s="2901"/>
      <c r="AP74" s="2901"/>
      <c r="AQ74" s="2901"/>
      <c r="AR74" s="2901"/>
      <c r="AS74" s="2901"/>
      <c r="AT74" s="2841"/>
      <c r="AU74" s="2901"/>
      <c r="AV74" s="2841"/>
      <c r="AW74" s="2841"/>
      <c r="AX74" s="2841"/>
      <c r="AY74" s="2841"/>
      <c r="AZ74" s="2841"/>
      <c r="BA74" s="2841"/>
      <c r="BB74" s="2841"/>
      <c r="BC74" s="2841"/>
      <c r="BD74" s="2841"/>
      <c r="BE74" s="2918"/>
      <c r="BF74" s="2841"/>
      <c r="BG74" s="2916"/>
      <c r="BH74" s="2916"/>
      <c r="BI74" s="2847"/>
      <c r="BJ74" s="2858"/>
      <c r="BK74" s="2860"/>
      <c r="BL74" s="2839"/>
      <c r="BM74" s="2839"/>
      <c r="BN74" s="2839"/>
      <c r="BO74" s="2839"/>
      <c r="BP74" s="2841"/>
    </row>
    <row r="75" spans="1:68" s="768" customFormat="1" ht="46.5" customHeight="1" x14ac:dyDescent="0.2">
      <c r="A75" s="1252"/>
      <c r="D75" s="1257"/>
      <c r="F75" s="787"/>
      <c r="G75" s="2892"/>
      <c r="H75" s="2892"/>
      <c r="I75" s="2884"/>
      <c r="J75" s="2423"/>
      <c r="K75" s="2307"/>
      <c r="L75" s="2307"/>
      <c r="M75" s="2423"/>
      <c r="N75" s="2307"/>
      <c r="O75" s="2423"/>
      <c r="P75" s="2886"/>
      <c r="Q75" s="2889"/>
      <c r="R75" s="2423"/>
      <c r="S75" s="2903"/>
      <c r="T75" s="597" t="s">
        <v>1120</v>
      </c>
      <c r="U75" s="1212"/>
      <c r="V75" s="1229"/>
      <c r="W75" s="1229"/>
      <c r="X75" s="1210"/>
      <c r="Y75" s="534"/>
      <c r="Z75" s="2843"/>
      <c r="AA75" s="2841"/>
      <c r="AB75" s="2841"/>
      <c r="AC75" s="2841"/>
      <c r="AD75" s="2841"/>
      <c r="AE75" s="2841"/>
      <c r="AF75" s="2841"/>
      <c r="AG75" s="2841"/>
      <c r="AH75" s="2841"/>
      <c r="AI75" s="2841"/>
      <c r="AJ75" s="2841"/>
      <c r="AK75" s="2841"/>
      <c r="AL75" s="2841"/>
      <c r="AM75" s="2841"/>
      <c r="AN75" s="2901"/>
      <c r="AO75" s="2901"/>
      <c r="AP75" s="2901"/>
      <c r="AQ75" s="2901"/>
      <c r="AR75" s="2901"/>
      <c r="AS75" s="2901"/>
      <c r="AT75" s="2841"/>
      <c r="AU75" s="2901"/>
      <c r="AV75" s="2841"/>
      <c r="AW75" s="2841"/>
      <c r="AX75" s="2841"/>
      <c r="AY75" s="2841"/>
      <c r="AZ75" s="2841"/>
      <c r="BA75" s="2841"/>
      <c r="BB75" s="2841"/>
      <c r="BC75" s="2841"/>
      <c r="BD75" s="2841"/>
      <c r="BE75" s="2918"/>
      <c r="BF75" s="2841"/>
      <c r="BG75" s="2916"/>
      <c r="BH75" s="2916"/>
      <c r="BI75" s="2847" t="e">
        <f t="shared" si="4"/>
        <v>#DIV/0!</v>
      </c>
      <c r="BJ75" s="2858"/>
      <c r="BK75" s="2860"/>
      <c r="BL75" s="2839"/>
      <c r="BM75" s="2839"/>
      <c r="BN75" s="2839"/>
      <c r="BO75" s="2839"/>
      <c r="BP75" s="2841"/>
    </row>
    <row r="76" spans="1:68" s="768" customFormat="1" ht="45" customHeight="1" x14ac:dyDescent="0.2">
      <c r="A76" s="1252"/>
      <c r="D76" s="1257"/>
      <c r="F76" s="787"/>
      <c r="G76" s="2892"/>
      <c r="H76" s="2892"/>
      <c r="I76" s="2884"/>
      <c r="J76" s="2423"/>
      <c r="K76" s="2307"/>
      <c r="L76" s="2307"/>
      <c r="M76" s="2423"/>
      <c r="N76" s="2307"/>
      <c r="O76" s="2423"/>
      <c r="P76" s="2886"/>
      <c r="Q76" s="2889"/>
      <c r="R76" s="2423"/>
      <c r="S76" s="2906"/>
      <c r="T76" s="2413" t="s">
        <v>1138</v>
      </c>
      <c r="U76" s="1208">
        <v>7000000</v>
      </c>
      <c r="V76" s="1229"/>
      <c r="W76" s="1229"/>
      <c r="X76" s="1210">
        <v>20</v>
      </c>
      <c r="Y76" s="534" t="s">
        <v>7</v>
      </c>
      <c r="Z76" s="2843"/>
      <c r="AA76" s="2841"/>
      <c r="AB76" s="2841"/>
      <c r="AC76" s="2841"/>
      <c r="AD76" s="2841"/>
      <c r="AE76" s="2841"/>
      <c r="AF76" s="2841"/>
      <c r="AG76" s="2841"/>
      <c r="AH76" s="2841"/>
      <c r="AI76" s="2841"/>
      <c r="AJ76" s="2841"/>
      <c r="AK76" s="2841"/>
      <c r="AL76" s="2841"/>
      <c r="AM76" s="2841"/>
      <c r="AN76" s="2901"/>
      <c r="AO76" s="2901"/>
      <c r="AP76" s="2901"/>
      <c r="AQ76" s="2901"/>
      <c r="AR76" s="2901"/>
      <c r="AS76" s="2901"/>
      <c r="AT76" s="2841"/>
      <c r="AU76" s="2901"/>
      <c r="AV76" s="2841"/>
      <c r="AW76" s="2841"/>
      <c r="AX76" s="2841"/>
      <c r="AY76" s="2841"/>
      <c r="AZ76" s="2841"/>
      <c r="BA76" s="2841"/>
      <c r="BB76" s="2841"/>
      <c r="BC76" s="2841"/>
      <c r="BD76" s="2841"/>
      <c r="BE76" s="2918"/>
      <c r="BF76" s="2841"/>
      <c r="BG76" s="2916"/>
      <c r="BH76" s="2916"/>
      <c r="BI76" s="2847"/>
      <c r="BJ76" s="2858"/>
      <c r="BK76" s="2860"/>
      <c r="BL76" s="2839"/>
      <c r="BM76" s="2839"/>
      <c r="BN76" s="2839"/>
      <c r="BO76" s="2839"/>
      <c r="BP76" s="2841"/>
    </row>
    <row r="77" spans="1:68" s="768" customFormat="1" ht="48.75" customHeight="1" x14ac:dyDescent="0.2">
      <c r="A77" s="1252"/>
      <c r="C77" s="787"/>
      <c r="D77" s="1261"/>
      <c r="F77" s="787"/>
      <c r="G77" s="2892"/>
      <c r="H77" s="2892"/>
      <c r="I77" s="2884"/>
      <c r="J77" s="2423"/>
      <c r="K77" s="2307"/>
      <c r="L77" s="2307"/>
      <c r="M77" s="2423"/>
      <c r="N77" s="2307"/>
      <c r="O77" s="2423"/>
      <c r="P77" s="2886"/>
      <c r="Q77" s="2889"/>
      <c r="R77" s="2423"/>
      <c r="S77" s="2906"/>
      <c r="T77" s="2413"/>
      <c r="U77" s="1208">
        <v>7000000</v>
      </c>
      <c r="V77" s="1239"/>
      <c r="W77" s="1239"/>
      <c r="X77" s="1210">
        <v>88</v>
      </c>
      <c r="Y77" s="534" t="s">
        <v>4</v>
      </c>
      <c r="Z77" s="2843"/>
      <c r="AA77" s="2841"/>
      <c r="AB77" s="2841"/>
      <c r="AC77" s="2841"/>
      <c r="AD77" s="2841"/>
      <c r="AE77" s="2841"/>
      <c r="AF77" s="2841"/>
      <c r="AG77" s="2841"/>
      <c r="AH77" s="2841"/>
      <c r="AI77" s="2841"/>
      <c r="AJ77" s="2841"/>
      <c r="AK77" s="2841"/>
      <c r="AL77" s="2841"/>
      <c r="AM77" s="2841"/>
      <c r="AN77" s="2901"/>
      <c r="AO77" s="2901"/>
      <c r="AP77" s="2901"/>
      <c r="AQ77" s="2901"/>
      <c r="AR77" s="2901"/>
      <c r="AS77" s="2901"/>
      <c r="AT77" s="2841"/>
      <c r="AU77" s="2901"/>
      <c r="AV77" s="2841"/>
      <c r="AW77" s="2841"/>
      <c r="AX77" s="2841"/>
      <c r="AY77" s="2841"/>
      <c r="AZ77" s="2841"/>
      <c r="BA77" s="2841"/>
      <c r="BB77" s="2841"/>
      <c r="BC77" s="2841"/>
      <c r="BD77" s="2841"/>
      <c r="BE77" s="2918"/>
      <c r="BF77" s="2841"/>
      <c r="BG77" s="2916"/>
      <c r="BH77" s="2916"/>
      <c r="BI77" s="2847" t="e">
        <f t="shared" si="4"/>
        <v>#DIV/0!</v>
      </c>
      <c r="BJ77" s="2858"/>
      <c r="BK77" s="2860"/>
      <c r="BL77" s="2839"/>
      <c r="BM77" s="2839"/>
      <c r="BN77" s="2839"/>
      <c r="BO77" s="2839"/>
      <c r="BP77" s="2841"/>
    </row>
    <row r="78" spans="1:68" s="1173" customFormat="1" ht="27" customHeight="1" x14ac:dyDescent="0.2">
      <c r="A78" s="2931"/>
      <c r="B78" s="2931"/>
      <c r="C78" s="2932"/>
      <c r="D78" s="1262">
        <v>37</v>
      </c>
      <c r="E78" s="1263" t="s">
        <v>1139</v>
      </c>
      <c r="F78" s="744"/>
      <c r="G78" s="745"/>
      <c r="H78" s="745"/>
      <c r="I78" s="744"/>
      <c r="J78" s="744"/>
      <c r="K78" s="746"/>
      <c r="L78" s="746"/>
      <c r="M78" s="744"/>
      <c r="N78" s="746"/>
      <c r="O78" s="744"/>
      <c r="P78" s="993"/>
      <c r="Q78" s="1264"/>
      <c r="R78" s="744"/>
      <c r="S78" s="744"/>
      <c r="T78" s="1265"/>
      <c r="U78" s="1266"/>
      <c r="V78" s="1221"/>
      <c r="W78" s="1221"/>
      <c r="X78" s="1203"/>
      <c r="Y78" s="112"/>
      <c r="Z78" s="746"/>
      <c r="AA78" s="746"/>
      <c r="AB78" s="746"/>
      <c r="AC78" s="746"/>
      <c r="AD78" s="746"/>
      <c r="AE78" s="746"/>
      <c r="AF78" s="746"/>
      <c r="AG78" s="746"/>
      <c r="AH78" s="746"/>
      <c r="AI78" s="746"/>
      <c r="AJ78" s="746"/>
      <c r="AK78" s="746"/>
      <c r="AL78" s="746"/>
      <c r="AM78" s="746"/>
      <c r="AN78" s="746"/>
      <c r="AO78" s="746"/>
      <c r="AP78" s="746"/>
      <c r="AQ78" s="746"/>
      <c r="AR78" s="746"/>
      <c r="AS78" s="746"/>
      <c r="AT78" s="746"/>
      <c r="AU78" s="746"/>
      <c r="AV78" s="746"/>
      <c r="AW78" s="746"/>
      <c r="AX78" s="746"/>
      <c r="AY78" s="746"/>
      <c r="AZ78" s="746"/>
      <c r="BA78" s="746"/>
      <c r="BB78" s="746"/>
      <c r="BC78" s="746"/>
      <c r="BD78" s="746"/>
      <c r="BE78" s="746"/>
      <c r="BF78" s="746"/>
      <c r="BG78" s="746"/>
      <c r="BH78" s="746"/>
      <c r="BI78" s="746"/>
      <c r="BJ78" s="746"/>
      <c r="BK78" s="746"/>
      <c r="BL78" s="1247"/>
      <c r="BM78" s="1247"/>
      <c r="BN78" s="1247"/>
      <c r="BO78" s="1247"/>
      <c r="BP78" s="1248"/>
    </row>
    <row r="79" spans="1:68" s="1173" customFormat="1" ht="96" customHeight="1" x14ac:dyDescent="0.2">
      <c r="A79" s="2931"/>
      <c r="B79" s="2931"/>
      <c r="C79" s="2932"/>
      <c r="D79" s="2819"/>
      <c r="E79" s="2823"/>
      <c r="F79" s="2879"/>
      <c r="G79" s="2340" t="s">
        <v>1140</v>
      </c>
      <c r="H79" s="2342" t="s">
        <v>1141</v>
      </c>
      <c r="I79" s="2492" t="s">
        <v>1142</v>
      </c>
      <c r="J79" s="2492" t="s">
        <v>1143</v>
      </c>
      <c r="K79" s="2342">
        <v>50</v>
      </c>
      <c r="L79" s="2761">
        <v>40</v>
      </c>
      <c r="M79" s="2492" t="s">
        <v>1144</v>
      </c>
      <c r="N79" s="2342" t="s">
        <v>1145</v>
      </c>
      <c r="O79" s="2492" t="s">
        <v>1146</v>
      </c>
      <c r="P79" s="2923">
        <f>SUM(U79:U81)/Q79</f>
        <v>1</v>
      </c>
      <c r="Q79" s="2925">
        <f>SUM(U79:U81)</f>
        <v>15738667</v>
      </c>
      <c r="R79" s="2492" t="s">
        <v>1147</v>
      </c>
      <c r="S79" s="2927" t="s">
        <v>1148</v>
      </c>
      <c r="T79" s="1267" t="s">
        <v>1149</v>
      </c>
      <c r="U79" s="1212">
        <v>3347000</v>
      </c>
      <c r="V79" s="1249">
        <f>1238667</f>
        <v>1238667</v>
      </c>
      <c r="W79" s="1268"/>
      <c r="X79" s="1210">
        <v>88</v>
      </c>
      <c r="Y79" s="534" t="s">
        <v>4</v>
      </c>
      <c r="Z79" s="2580">
        <v>1018</v>
      </c>
      <c r="AA79" s="2580">
        <v>51</v>
      </c>
      <c r="AB79" s="2580">
        <v>982</v>
      </c>
      <c r="AC79" s="2580">
        <v>62</v>
      </c>
      <c r="AD79" s="2580">
        <v>466</v>
      </c>
      <c r="AE79" s="2580">
        <v>0</v>
      </c>
      <c r="AF79" s="2580">
        <v>152</v>
      </c>
      <c r="AG79" s="2580">
        <v>0</v>
      </c>
      <c r="AH79" s="2580">
        <v>1063</v>
      </c>
      <c r="AI79" s="2580">
        <v>0</v>
      </c>
      <c r="AJ79" s="2580">
        <v>319</v>
      </c>
      <c r="AK79" s="2580">
        <v>0</v>
      </c>
      <c r="AL79" s="2580">
        <v>0</v>
      </c>
      <c r="AM79" s="2580">
        <v>0</v>
      </c>
      <c r="AN79" s="2580">
        <v>0</v>
      </c>
      <c r="AO79" s="2580">
        <v>0</v>
      </c>
      <c r="AP79" s="2580">
        <v>0</v>
      </c>
      <c r="AQ79" s="2580">
        <v>0</v>
      </c>
      <c r="AR79" s="2580">
        <v>0</v>
      </c>
      <c r="AS79" s="2580">
        <v>0</v>
      </c>
      <c r="AT79" s="2580">
        <v>0</v>
      </c>
      <c r="AU79" s="2580">
        <v>0</v>
      </c>
      <c r="AV79" s="2580">
        <v>0</v>
      </c>
      <c r="AW79" s="2580">
        <v>0</v>
      </c>
      <c r="AX79" s="2580">
        <v>0</v>
      </c>
      <c r="AY79" s="2580">
        <v>0</v>
      </c>
      <c r="AZ79" s="2580">
        <v>0</v>
      </c>
      <c r="BA79" s="2580">
        <v>0</v>
      </c>
      <c r="BB79" s="2580">
        <v>0</v>
      </c>
      <c r="BC79" s="2580">
        <v>0</v>
      </c>
      <c r="BD79" s="2580">
        <f>+Z79+AB79</f>
        <v>2000</v>
      </c>
      <c r="BE79" s="2935">
        <v>111</v>
      </c>
      <c r="BF79" s="2843">
        <v>1</v>
      </c>
      <c r="BG79" s="2916">
        <f>SUM(V79)</f>
        <v>1238667</v>
      </c>
      <c r="BH79" s="2916">
        <f>SUM(W79:W81)</f>
        <v>0</v>
      </c>
      <c r="BI79" s="2847">
        <f t="shared" ref="BI79" si="5">BH79/BG79</f>
        <v>0</v>
      </c>
      <c r="BJ79" s="2858">
        <v>88</v>
      </c>
      <c r="BK79" s="2602" t="s">
        <v>1105</v>
      </c>
      <c r="BL79" s="2934">
        <v>44077</v>
      </c>
      <c r="BM79" s="2934">
        <v>44186</v>
      </c>
      <c r="BN79" s="2934">
        <v>44195</v>
      </c>
      <c r="BO79" s="2934"/>
      <c r="BP79" s="2843" t="s">
        <v>1058</v>
      </c>
    </row>
    <row r="80" spans="1:68" s="1173" customFormat="1" ht="63" customHeight="1" x14ac:dyDescent="0.2">
      <c r="A80" s="2931"/>
      <c r="B80" s="2931"/>
      <c r="C80" s="2932"/>
      <c r="D80" s="2820"/>
      <c r="E80" s="2823"/>
      <c r="F80" s="2879"/>
      <c r="G80" s="2341"/>
      <c r="H80" s="2343"/>
      <c r="I80" s="2413"/>
      <c r="J80" s="2413"/>
      <c r="K80" s="2343"/>
      <c r="L80" s="2761"/>
      <c r="M80" s="2413"/>
      <c r="N80" s="2343"/>
      <c r="O80" s="2413"/>
      <c r="P80" s="2854"/>
      <c r="Q80" s="2833"/>
      <c r="R80" s="2413"/>
      <c r="S80" s="2849"/>
      <c r="T80" s="1269" t="s">
        <v>1150</v>
      </c>
      <c r="U80" s="1212">
        <v>8391667</v>
      </c>
      <c r="V80" s="1270"/>
      <c r="W80" s="1270"/>
      <c r="X80" s="1210">
        <v>88</v>
      </c>
      <c r="Y80" s="534" t="s">
        <v>4</v>
      </c>
      <c r="Z80" s="2580"/>
      <c r="AA80" s="2580"/>
      <c r="AB80" s="2580"/>
      <c r="AC80" s="2580"/>
      <c r="AD80" s="2580"/>
      <c r="AE80" s="2580"/>
      <c r="AF80" s="2580"/>
      <c r="AG80" s="2580"/>
      <c r="AH80" s="2580"/>
      <c r="AI80" s="2580"/>
      <c r="AJ80" s="2580"/>
      <c r="AK80" s="2580"/>
      <c r="AL80" s="2580"/>
      <c r="AM80" s="2580"/>
      <c r="AN80" s="2580"/>
      <c r="AO80" s="2580"/>
      <c r="AP80" s="2580"/>
      <c r="AQ80" s="2580"/>
      <c r="AR80" s="2580"/>
      <c r="AS80" s="2580"/>
      <c r="AT80" s="2580"/>
      <c r="AU80" s="2580"/>
      <c r="AV80" s="2580"/>
      <c r="AW80" s="2580"/>
      <c r="AX80" s="2580"/>
      <c r="AY80" s="2580"/>
      <c r="AZ80" s="2580"/>
      <c r="BA80" s="2580"/>
      <c r="BB80" s="2580"/>
      <c r="BC80" s="2580"/>
      <c r="BD80" s="2580"/>
      <c r="BE80" s="2935"/>
      <c r="BF80" s="2843"/>
      <c r="BG80" s="2916"/>
      <c r="BH80" s="2916"/>
      <c r="BI80" s="2847"/>
      <c r="BJ80" s="2858"/>
      <c r="BK80" s="2602"/>
      <c r="BL80" s="2934"/>
      <c r="BM80" s="2934"/>
      <c r="BN80" s="2934"/>
      <c r="BO80" s="2934"/>
      <c r="BP80" s="2843"/>
    </row>
    <row r="81" spans="1:68" s="1173" customFormat="1" ht="70.5" customHeight="1" x14ac:dyDescent="0.2">
      <c r="A81" s="2931"/>
      <c r="B81" s="2931"/>
      <c r="C81" s="2932"/>
      <c r="D81" s="2821"/>
      <c r="E81" s="2823"/>
      <c r="F81" s="2879"/>
      <c r="G81" s="2933"/>
      <c r="H81" s="2491"/>
      <c r="I81" s="2493"/>
      <c r="J81" s="2493"/>
      <c r="K81" s="2491"/>
      <c r="L81" s="2761"/>
      <c r="M81" s="2493"/>
      <c r="N81" s="2491"/>
      <c r="O81" s="2493"/>
      <c r="P81" s="2924"/>
      <c r="Q81" s="2926"/>
      <c r="R81" s="2493"/>
      <c r="S81" s="2928"/>
      <c r="T81" s="582" t="s">
        <v>1151</v>
      </c>
      <c r="U81" s="1271">
        <v>4000000</v>
      </c>
      <c r="V81" s="1272"/>
      <c r="W81" s="1272"/>
      <c r="X81" s="1273">
        <v>88</v>
      </c>
      <c r="Y81" s="522" t="s">
        <v>4</v>
      </c>
      <c r="Z81" s="2580"/>
      <c r="AA81" s="2580"/>
      <c r="AB81" s="2580"/>
      <c r="AC81" s="2580"/>
      <c r="AD81" s="2580"/>
      <c r="AE81" s="2580"/>
      <c r="AF81" s="2580"/>
      <c r="AG81" s="2580"/>
      <c r="AH81" s="2580"/>
      <c r="AI81" s="2580"/>
      <c r="AJ81" s="2580"/>
      <c r="AK81" s="2580"/>
      <c r="AL81" s="2580"/>
      <c r="AM81" s="2580"/>
      <c r="AN81" s="2580"/>
      <c r="AO81" s="2580"/>
      <c r="AP81" s="2580"/>
      <c r="AQ81" s="2580"/>
      <c r="AR81" s="2580"/>
      <c r="AS81" s="2580"/>
      <c r="AT81" s="2580"/>
      <c r="AU81" s="2580"/>
      <c r="AV81" s="2580"/>
      <c r="AW81" s="2580"/>
      <c r="AX81" s="2580"/>
      <c r="AY81" s="2580"/>
      <c r="AZ81" s="2580"/>
      <c r="BA81" s="2580"/>
      <c r="BB81" s="2580"/>
      <c r="BC81" s="2580"/>
      <c r="BD81" s="2580"/>
      <c r="BE81" s="2935"/>
      <c r="BF81" s="2843"/>
      <c r="BG81" s="2916"/>
      <c r="BH81" s="2916"/>
      <c r="BI81" s="2847" t="e">
        <f t="shared" ref="BI81" si="6">BH81/BG81</f>
        <v>#DIV/0!</v>
      </c>
      <c r="BJ81" s="2858"/>
      <c r="BK81" s="2602"/>
      <c r="BL81" s="2934"/>
      <c r="BM81" s="2934"/>
      <c r="BN81" s="2934"/>
      <c r="BO81" s="2934"/>
      <c r="BP81" s="2843"/>
    </row>
    <row r="82" spans="1:68" s="1173" customFormat="1" ht="27" customHeight="1" x14ac:dyDescent="0.2">
      <c r="A82" s="1225"/>
      <c r="B82" s="1225"/>
      <c r="C82" s="1226"/>
      <c r="D82" s="1200">
        <v>41</v>
      </c>
      <c r="E82" s="1274" t="s">
        <v>1152</v>
      </c>
      <c r="F82" s="46"/>
      <c r="G82" s="745"/>
      <c r="H82" s="745"/>
      <c r="I82" s="744"/>
      <c r="J82" s="744"/>
      <c r="K82" s="746"/>
      <c r="L82" s="746"/>
      <c r="M82" s="744"/>
      <c r="N82" s="746"/>
      <c r="O82" s="744"/>
      <c r="P82" s="993"/>
      <c r="Q82" s="1264"/>
      <c r="R82" s="744"/>
      <c r="S82" s="744"/>
      <c r="T82" s="1265"/>
      <c r="U82" s="1275"/>
      <c r="V82" s="1276"/>
      <c r="W82" s="1276"/>
      <c r="X82" s="1277"/>
      <c r="Y82" s="744"/>
      <c r="Z82" s="746"/>
      <c r="AA82" s="746"/>
      <c r="AB82" s="746"/>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46"/>
      <c r="AY82" s="746"/>
      <c r="AZ82" s="746"/>
      <c r="BA82" s="746"/>
      <c r="BB82" s="746"/>
      <c r="BC82" s="746"/>
      <c r="BD82" s="746"/>
      <c r="BE82" s="746"/>
      <c r="BF82" s="746"/>
      <c r="BG82" s="746"/>
      <c r="BH82" s="746"/>
      <c r="BI82" s="746"/>
      <c r="BJ82" s="746"/>
      <c r="BK82" s="746"/>
      <c r="BL82" s="1247"/>
      <c r="BM82" s="1247"/>
      <c r="BN82" s="1247"/>
      <c r="BO82" s="1247"/>
      <c r="BP82" s="1248"/>
    </row>
    <row r="83" spans="1:68" s="1173" customFormat="1" ht="60" customHeight="1" x14ac:dyDescent="0.2">
      <c r="A83" s="1278"/>
      <c r="B83" s="1225"/>
      <c r="C83" s="1225"/>
      <c r="D83" s="1214"/>
      <c r="E83" s="1215"/>
      <c r="F83" s="1216"/>
      <c r="G83" s="2340" t="s">
        <v>1140</v>
      </c>
      <c r="H83" s="2342" t="s">
        <v>1153</v>
      </c>
      <c r="I83" s="2492" t="s">
        <v>1154</v>
      </c>
      <c r="J83" s="2492" t="s">
        <v>1155</v>
      </c>
      <c r="K83" s="2342">
        <v>5</v>
      </c>
      <c r="L83" s="2761">
        <v>4</v>
      </c>
      <c r="M83" s="2492" t="s">
        <v>1156</v>
      </c>
      <c r="N83" s="2342" t="s">
        <v>1069</v>
      </c>
      <c r="O83" s="2492" t="s">
        <v>1070</v>
      </c>
      <c r="P83" s="2923">
        <f>SUM(U83:U97)/Q83</f>
        <v>1</v>
      </c>
      <c r="Q83" s="2936">
        <f>SUM(U83:U97)</f>
        <v>2192073558.0100002</v>
      </c>
      <c r="R83" s="2492" t="s">
        <v>1081</v>
      </c>
      <c r="S83" s="2927" t="s">
        <v>1072</v>
      </c>
      <c r="T83" s="570" t="s">
        <v>1157</v>
      </c>
      <c r="U83" s="1279">
        <f>14000000+500000000</f>
        <v>514000000</v>
      </c>
      <c r="V83" s="1249">
        <f>14000000</f>
        <v>14000000</v>
      </c>
      <c r="W83" s="1249">
        <v>7800000</v>
      </c>
      <c r="X83" s="1280">
        <v>42</v>
      </c>
      <c r="Y83" s="523" t="s">
        <v>1158</v>
      </c>
      <c r="Z83" s="2852">
        <v>295972</v>
      </c>
      <c r="AA83" s="2863">
        <v>2000</v>
      </c>
      <c r="AB83" s="2852">
        <v>285580</v>
      </c>
      <c r="AC83" s="2863">
        <v>1800</v>
      </c>
      <c r="AD83" s="2852">
        <v>135545</v>
      </c>
      <c r="AE83" s="2863"/>
      <c r="AF83" s="2852">
        <v>44254</v>
      </c>
      <c r="AG83" s="2863"/>
      <c r="AH83" s="2852">
        <v>309146</v>
      </c>
      <c r="AI83" s="2863"/>
      <c r="AJ83" s="2852">
        <v>92607</v>
      </c>
      <c r="AK83" s="2863"/>
      <c r="AL83" s="2852">
        <v>2145</v>
      </c>
      <c r="AM83" s="2863"/>
      <c r="AN83" s="2852">
        <v>12718</v>
      </c>
      <c r="AO83" s="2863"/>
      <c r="AP83" s="2852">
        <v>26</v>
      </c>
      <c r="AQ83" s="2863"/>
      <c r="AR83" s="2852">
        <v>12</v>
      </c>
      <c r="AS83" s="2863"/>
      <c r="AT83" s="2852">
        <v>0</v>
      </c>
      <c r="AU83" s="2863"/>
      <c r="AV83" s="2852">
        <v>0</v>
      </c>
      <c r="AW83" s="2863"/>
      <c r="AX83" s="2852"/>
      <c r="AY83" s="2863"/>
      <c r="AZ83" s="2852"/>
      <c r="BA83" s="2863"/>
      <c r="BB83" s="2852"/>
      <c r="BC83" s="2863"/>
      <c r="BD83" s="2863">
        <f>Z83+AB83</f>
        <v>581552</v>
      </c>
      <c r="BE83" s="2852">
        <f>AA83+AC83</f>
        <v>3800</v>
      </c>
      <c r="BF83" s="2941">
        <v>3</v>
      </c>
      <c r="BG83" s="2845">
        <f>SUM(V83:V97)</f>
        <v>118600000</v>
      </c>
      <c r="BH83" s="2845">
        <f>SUM(W83:W97)</f>
        <v>12400000</v>
      </c>
      <c r="BI83" s="2847">
        <f t="shared" ref="BI83:BI95" si="7">BH83/BG83</f>
        <v>0.1045531197301855</v>
      </c>
      <c r="BJ83" s="2858" t="s">
        <v>1159</v>
      </c>
      <c r="BK83" s="2945" t="s">
        <v>1160</v>
      </c>
      <c r="BL83" s="2934">
        <v>43899</v>
      </c>
      <c r="BM83" s="2934">
        <v>44186</v>
      </c>
      <c r="BN83" s="2937">
        <v>44195</v>
      </c>
      <c r="BO83" s="2934"/>
      <c r="BP83" s="2843" t="s">
        <v>1058</v>
      </c>
    </row>
    <row r="84" spans="1:68" s="1173" customFormat="1" ht="63.75" customHeight="1" x14ac:dyDescent="0.2">
      <c r="A84" s="1278"/>
      <c r="B84" s="1225"/>
      <c r="C84" s="1225"/>
      <c r="D84" s="1224"/>
      <c r="E84" s="1225"/>
      <c r="F84" s="1226"/>
      <c r="G84" s="2341"/>
      <c r="H84" s="2343"/>
      <c r="I84" s="2413"/>
      <c r="J84" s="2413"/>
      <c r="K84" s="2343"/>
      <c r="L84" s="2761"/>
      <c r="M84" s="2413"/>
      <c r="N84" s="2343"/>
      <c r="O84" s="2413"/>
      <c r="P84" s="2854"/>
      <c r="Q84" s="2833"/>
      <c r="R84" s="2413"/>
      <c r="S84" s="2849"/>
      <c r="T84" s="537" t="s">
        <v>1161</v>
      </c>
      <c r="U84" s="1212">
        <v>150000000</v>
      </c>
      <c r="V84" s="1229"/>
      <c r="W84" s="1229"/>
      <c r="X84" s="1210">
        <v>92</v>
      </c>
      <c r="Y84" s="534" t="s">
        <v>1162</v>
      </c>
      <c r="Z84" s="2850"/>
      <c r="AA84" s="2863"/>
      <c r="AB84" s="2850"/>
      <c r="AC84" s="2863"/>
      <c r="AD84" s="2850"/>
      <c r="AE84" s="2863"/>
      <c r="AF84" s="2850"/>
      <c r="AG84" s="2863"/>
      <c r="AH84" s="2850"/>
      <c r="AI84" s="2863"/>
      <c r="AJ84" s="2850"/>
      <c r="AK84" s="2863"/>
      <c r="AL84" s="2850"/>
      <c r="AM84" s="2863"/>
      <c r="AN84" s="2850"/>
      <c r="AO84" s="2863"/>
      <c r="AP84" s="2850"/>
      <c r="AQ84" s="2863"/>
      <c r="AR84" s="2850"/>
      <c r="AS84" s="2863"/>
      <c r="AT84" s="2850"/>
      <c r="AU84" s="2863"/>
      <c r="AV84" s="2850"/>
      <c r="AW84" s="2863"/>
      <c r="AX84" s="2850"/>
      <c r="AY84" s="2863"/>
      <c r="AZ84" s="2850"/>
      <c r="BA84" s="2863"/>
      <c r="BB84" s="2850"/>
      <c r="BC84" s="2863"/>
      <c r="BD84" s="2863"/>
      <c r="BE84" s="2850"/>
      <c r="BF84" s="2941"/>
      <c r="BG84" s="2845"/>
      <c r="BH84" s="2845"/>
      <c r="BI84" s="2847"/>
      <c r="BJ84" s="2858"/>
      <c r="BK84" s="2946"/>
      <c r="BL84" s="2934"/>
      <c r="BM84" s="2934"/>
      <c r="BN84" s="2938"/>
      <c r="BO84" s="2934"/>
      <c r="BP84" s="2843"/>
    </row>
    <row r="85" spans="1:68" s="1173" customFormat="1" ht="51" customHeight="1" x14ac:dyDescent="0.2">
      <c r="A85" s="1278"/>
      <c r="B85" s="1225"/>
      <c r="C85" s="1225"/>
      <c r="D85" s="1224"/>
      <c r="E85" s="1225"/>
      <c r="F85" s="1226"/>
      <c r="G85" s="2341"/>
      <c r="H85" s="2343"/>
      <c r="I85" s="2413"/>
      <c r="J85" s="2413"/>
      <c r="K85" s="2343"/>
      <c r="L85" s="2761"/>
      <c r="M85" s="2413"/>
      <c r="N85" s="2343"/>
      <c r="O85" s="2413"/>
      <c r="P85" s="2854"/>
      <c r="Q85" s="2833"/>
      <c r="R85" s="2413"/>
      <c r="S85" s="2849"/>
      <c r="T85" s="537" t="s">
        <v>1163</v>
      </c>
      <c r="U85" s="1212">
        <v>100000000</v>
      </c>
      <c r="V85" s="1229">
        <v>100000000</v>
      </c>
      <c r="W85" s="1229"/>
      <c r="X85" s="1210">
        <v>42</v>
      </c>
      <c r="Y85" s="534" t="s">
        <v>1158</v>
      </c>
      <c r="Z85" s="2850"/>
      <c r="AA85" s="2863"/>
      <c r="AB85" s="2850"/>
      <c r="AC85" s="2863"/>
      <c r="AD85" s="2850"/>
      <c r="AE85" s="2863"/>
      <c r="AF85" s="2850"/>
      <c r="AG85" s="2863"/>
      <c r="AH85" s="2850"/>
      <c r="AI85" s="2863"/>
      <c r="AJ85" s="2850"/>
      <c r="AK85" s="2863"/>
      <c r="AL85" s="2850"/>
      <c r="AM85" s="2863"/>
      <c r="AN85" s="2850"/>
      <c r="AO85" s="2863"/>
      <c r="AP85" s="2850"/>
      <c r="AQ85" s="2863"/>
      <c r="AR85" s="2850"/>
      <c r="AS85" s="2863"/>
      <c r="AT85" s="2850"/>
      <c r="AU85" s="2863"/>
      <c r="AV85" s="2850"/>
      <c r="AW85" s="2863"/>
      <c r="AX85" s="2850"/>
      <c r="AY85" s="2863"/>
      <c r="AZ85" s="2850"/>
      <c r="BA85" s="2863"/>
      <c r="BB85" s="2850"/>
      <c r="BC85" s="2863"/>
      <c r="BD85" s="2863"/>
      <c r="BE85" s="2850"/>
      <c r="BF85" s="2941"/>
      <c r="BG85" s="2845"/>
      <c r="BH85" s="2845"/>
      <c r="BI85" s="2847" t="e">
        <f t="shared" ref="BI85:BI97" si="8">BH85/BG85</f>
        <v>#DIV/0!</v>
      </c>
      <c r="BJ85" s="2858"/>
      <c r="BK85" s="2946"/>
      <c r="BL85" s="2934"/>
      <c r="BM85" s="2934"/>
      <c r="BN85" s="2938"/>
      <c r="BO85" s="2934"/>
      <c r="BP85" s="2843"/>
    </row>
    <row r="86" spans="1:68" s="1173" customFormat="1" ht="80.25" customHeight="1" x14ac:dyDescent="0.2">
      <c r="A86" s="1278"/>
      <c r="B86" s="1225"/>
      <c r="C86" s="1225"/>
      <c r="D86" s="1224"/>
      <c r="E86" s="1225"/>
      <c r="F86" s="1226"/>
      <c r="G86" s="2341"/>
      <c r="H86" s="2343"/>
      <c r="I86" s="2413"/>
      <c r="J86" s="2413"/>
      <c r="K86" s="2343"/>
      <c r="L86" s="2761"/>
      <c r="M86" s="2413"/>
      <c r="N86" s="2343"/>
      <c r="O86" s="2413"/>
      <c r="P86" s="2854"/>
      <c r="Q86" s="2833"/>
      <c r="R86" s="2413"/>
      <c r="S86" s="2849"/>
      <c r="T86" s="537" t="s">
        <v>1164</v>
      </c>
      <c r="U86" s="1212">
        <f>2000000+119840000</f>
        <v>121840000</v>
      </c>
      <c r="V86" s="1229">
        <v>2000000</v>
      </c>
      <c r="W86" s="1229">
        <v>2000000</v>
      </c>
      <c r="X86" s="1210">
        <v>42</v>
      </c>
      <c r="Y86" s="534" t="s">
        <v>1158</v>
      </c>
      <c r="Z86" s="2850"/>
      <c r="AA86" s="2863"/>
      <c r="AB86" s="2850"/>
      <c r="AC86" s="2863"/>
      <c r="AD86" s="2850"/>
      <c r="AE86" s="2863"/>
      <c r="AF86" s="2850"/>
      <c r="AG86" s="2863"/>
      <c r="AH86" s="2850"/>
      <c r="AI86" s="2863"/>
      <c r="AJ86" s="2850"/>
      <c r="AK86" s="2863"/>
      <c r="AL86" s="2850"/>
      <c r="AM86" s="2863"/>
      <c r="AN86" s="2850"/>
      <c r="AO86" s="2863"/>
      <c r="AP86" s="2850"/>
      <c r="AQ86" s="2863"/>
      <c r="AR86" s="2850"/>
      <c r="AS86" s="2863"/>
      <c r="AT86" s="2850"/>
      <c r="AU86" s="2863"/>
      <c r="AV86" s="2850"/>
      <c r="AW86" s="2863"/>
      <c r="AX86" s="2850"/>
      <c r="AY86" s="2863"/>
      <c r="AZ86" s="2850"/>
      <c r="BA86" s="2863"/>
      <c r="BB86" s="2850"/>
      <c r="BC86" s="2863"/>
      <c r="BD86" s="2863"/>
      <c r="BE86" s="2850"/>
      <c r="BF86" s="2941"/>
      <c r="BG86" s="2845"/>
      <c r="BH86" s="2845"/>
      <c r="BI86" s="2847" t="e">
        <f t="shared" si="7"/>
        <v>#DIV/0!</v>
      </c>
      <c r="BJ86" s="2858"/>
      <c r="BK86" s="2946"/>
      <c r="BL86" s="2934"/>
      <c r="BM86" s="2934"/>
      <c r="BN86" s="2938"/>
      <c r="BO86" s="2934"/>
      <c r="BP86" s="2843"/>
    </row>
    <row r="87" spans="1:68" s="1173" customFormat="1" ht="80.25" customHeight="1" x14ac:dyDescent="0.2">
      <c r="A87" s="1278"/>
      <c r="B87" s="1225"/>
      <c r="C87" s="1225"/>
      <c r="D87" s="1224"/>
      <c r="E87" s="1225"/>
      <c r="F87" s="1226"/>
      <c r="G87" s="2341"/>
      <c r="H87" s="2343"/>
      <c r="I87" s="2413"/>
      <c r="J87" s="2413"/>
      <c r="K87" s="2343"/>
      <c r="L87" s="2761"/>
      <c r="M87" s="2413"/>
      <c r="N87" s="2343"/>
      <c r="O87" s="2413"/>
      <c r="P87" s="2854"/>
      <c r="Q87" s="2833"/>
      <c r="R87" s="2413"/>
      <c r="S87" s="2849"/>
      <c r="T87" s="537" t="s">
        <v>1165</v>
      </c>
      <c r="U87" s="1212">
        <f>2600000+10000000</f>
        <v>12600000</v>
      </c>
      <c r="V87" s="1229">
        <v>2600000</v>
      </c>
      <c r="W87" s="1229">
        <v>2600000</v>
      </c>
      <c r="X87" s="1210">
        <v>42</v>
      </c>
      <c r="Y87" s="534" t="s">
        <v>1158</v>
      </c>
      <c r="Z87" s="2850"/>
      <c r="AA87" s="2863"/>
      <c r="AB87" s="2850"/>
      <c r="AC87" s="2863"/>
      <c r="AD87" s="2850"/>
      <c r="AE87" s="2863"/>
      <c r="AF87" s="2850"/>
      <c r="AG87" s="2863"/>
      <c r="AH87" s="2850"/>
      <c r="AI87" s="2863"/>
      <c r="AJ87" s="2850"/>
      <c r="AK87" s="2863"/>
      <c r="AL87" s="2850"/>
      <c r="AM87" s="2863"/>
      <c r="AN87" s="2850"/>
      <c r="AO87" s="2863"/>
      <c r="AP87" s="2850"/>
      <c r="AQ87" s="2863"/>
      <c r="AR87" s="2850"/>
      <c r="AS87" s="2863"/>
      <c r="AT87" s="2850"/>
      <c r="AU87" s="2863"/>
      <c r="AV87" s="2850"/>
      <c r="AW87" s="2863"/>
      <c r="AX87" s="2850"/>
      <c r="AY87" s="2863"/>
      <c r="AZ87" s="2850"/>
      <c r="BA87" s="2863"/>
      <c r="BB87" s="2850"/>
      <c r="BC87" s="2863"/>
      <c r="BD87" s="2863"/>
      <c r="BE87" s="2850"/>
      <c r="BF87" s="2941"/>
      <c r="BG87" s="2845"/>
      <c r="BH87" s="2845"/>
      <c r="BI87" s="2847"/>
      <c r="BJ87" s="2858"/>
      <c r="BK87" s="2946"/>
      <c r="BL87" s="2934"/>
      <c r="BM87" s="2934"/>
      <c r="BN87" s="2938"/>
      <c r="BO87" s="2934"/>
      <c r="BP87" s="2843"/>
    </row>
    <row r="88" spans="1:68" s="1173" customFormat="1" ht="80.25" customHeight="1" x14ac:dyDescent="0.2">
      <c r="A88" s="1278"/>
      <c r="B88" s="1225"/>
      <c r="C88" s="1225"/>
      <c r="D88" s="1224"/>
      <c r="E88" s="1225"/>
      <c r="F88" s="1226"/>
      <c r="G88" s="2341"/>
      <c r="H88" s="2343"/>
      <c r="I88" s="2413"/>
      <c r="J88" s="2413"/>
      <c r="K88" s="2343"/>
      <c r="L88" s="2761"/>
      <c r="M88" s="2413"/>
      <c r="N88" s="2343"/>
      <c r="O88" s="2413"/>
      <c r="P88" s="2854"/>
      <c r="Q88" s="2833"/>
      <c r="R88" s="2413"/>
      <c r="S88" s="2849"/>
      <c r="T88" s="537" t="s">
        <v>1166</v>
      </c>
      <c r="U88" s="1212">
        <v>50000000</v>
      </c>
      <c r="V88" s="1229"/>
      <c r="W88" s="1229"/>
      <c r="X88" s="1210">
        <v>42</v>
      </c>
      <c r="Y88" s="534" t="s">
        <v>1158</v>
      </c>
      <c r="Z88" s="2850"/>
      <c r="AA88" s="2863"/>
      <c r="AB88" s="2850"/>
      <c r="AC88" s="2863"/>
      <c r="AD88" s="2850"/>
      <c r="AE88" s="2863"/>
      <c r="AF88" s="2850"/>
      <c r="AG88" s="2863"/>
      <c r="AH88" s="2850"/>
      <c r="AI88" s="2863"/>
      <c r="AJ88" s="2850"/>
      <c r="AK88" s="2863"/>
      <c r="AL88" s="2850"/>
      <c r="AM88" s="2863"/>
      <c r="AN88" s="2850"/>
      <c r="AO88" s="2863"/>
      <c r="AP88" s="2850"/>
      <c r="AQ88" s="2863"/>
      <c r="AR88" s="2850"/>
      <c r="AS88" s="2863"/>
      <c r="AT88" s="2850"/>
      <c r="AU88" s="2863"/>
      <c r="AV88" s="2850"/>
      <c r="AW88" s="2863"/>
      <c r="AX88" s="2850"/>
      <c r="AY88" s="2863"/>
      <c r="AZ88" s="2850"/>
      <c r="BA88" s="2863"/>
      <c r="BB88" s="2850"/>
      <c r="BC88" s="2863"/>
      <c r="BD88" s="2863"/>
      <c r="BE88" s="2850"/>
      <c r="BF88" s="2941"/>
      <c r="BG88" s="2845"/>
      <c r="BH88" s="2845"/>
      <c r="BI88" s="2847" t="e">
        <f t="shared" si="8"/>
        <v>#DIV/0!</v>
      </c>
      <c r="BJ88" s="2858"/>
      <c r="BK88" s="2946"/>
      <c r="BL88" s="2934"/>
      <c r="BM88" s="2934"/>
      <c r="BN88" s="2938"/>
      <c r="BO88" s="2934"/>
      <c r="BP88" s="2843"/>
    </row>
    <row r="89" spans="1:68" s="1173" customFormat="1" ht="51" customHeight="1" x14ac:dyDescent="0.2">
      <c r="A89" s="1278"/>
      <c r="B89" s="1225"/>
      <c r="C89" s="1225"/>
      <c r="D89" s="1224"/>
      <c r="E89" s="1225"/>
      <c r="F89" s="1226"/>
      <c r="G89" s="2341"/>
      <c r="H89" s="2343"/>
      <c r="I89" s="2413"/>
      <c r="J89" s="2413"/>
      <c r="K89" s="2343"/>
      <c r="L89" s="2761"/>
      <c r="M89" s="2413"/>
      <c r="N89" s="2343"/>
      <c r="O89" s="2413"/>
      <c r="P89" s="2854"/>
      <c r="Q89" s="2833"/>
      <c r="R89" s="2413"/>
      <c r="S89" s="2849"/>
      <c r="T89" s="537" t="s">
        <v>1167</v>
      </c>
      <c r="U89" s="1212">
        <v>40000000</v>
      </c>
      <c r="V89" s="1229"/>
      <c r="W89" s="1229"/>
      <c r="X89" s="1210">
        <v>42</v>
      </c>
      <c r="Y89" s="534" t="s">
        <v>1158</v>
      </c>
      <c r="Z89" s="2850"/>
      <c r="AA89" s="2863"/>
      <c r="AB89" s="2850"/>
      <c r="AC89" s="2863"/>
      <c r="AD89" s="2850"/>
      <c r="AE89" s="2863"/>
      <c r="AF89" s="2850"/>
      <c r="AG89" s="2863"/>
      <c r="AH89" s="2850"/>
      <c r="AI89" s="2863"/>
      <c r="AJ89" s="2850"/>
      <c r="AK89" s="2863"/>
      <c r="AL89" s="2850"/>
      <c r="AM89" s="2863"/>
      <c r="AN89" s="2850"/>
      <c r="AO89" s="2863"/>
      <c r="AP89" s="2850"/>
      <c r="AQ89" s="2863"/>
      <c r="AR89" s="2850"/>
      <c r="AS89" s="2863"/>
      <c r="AT89" s="2850"/>
      <c r="AU89" s="2863"/>
      <c r="AV89" s="2850"/>
      <c r="AW89" s="2863"/>
      <c r="AX89" s="2850"/>
      <c r="AY89" s="2863"/>
      <c r="AZ89" s="2850"/>
      <c r="BA89" s="2863"/>
      <c r="BB89" s="2850"/>
      <c r="BC89" s="2863"/>
      <c r="BD89" s="2863"/>
      <c r="BE89" s="2850"/>
      <c r="BF89" s="2941"/>
      <c r="BG89" s="2845"/>
      <c r="BH89" s="2845"/>
      <c r="BI89" s="2847" t="e">
        <f t="shared" si="7"/>
        <v>#DIV/0!</v>
      </c>
      <c r="BJ89" s="2858"/>
      <c r="BK89" s="2946"/>
      <c r="BL89" s="2934"/>
      <c r="BM89" s="2934"/>
      <c r="BN89" s="2938"/>
      <c r="BO89" s="2934"/>
      <c r="BP89" s="2843"/>
    </row>
    <row r="90" spans="1:68" s="1173" customFormat="1" ht="51" customHeight="1" x14ac:dyDescent="0.2">
      <c r="A90" s="1278"/>
      <c r="B90" s="1225"/>
      <c r="C90" s="1225"/>
      <c r="D90" s="1224"/>
      <c r="E90" s="1225"/>
      <c r="F90" s="1226"/>
      <c r="G90" s="2341"/>
      <c r="H90" s="2343"/>
      <c r="I90" s="2413"/>
      <c r="J90" s="2413"/>
      <c r="K90" s="2343"/>
      <c r="L90" s="2761"/>
      <c r="M90" s="2413"/>
      <c r="N90" s="2343"/>
      <c r="O90" s="2413"/>
      <c r="P90" s="2854"/>
      <c r="Q90" s="2833"/>
      <c r="R90" s="2413"/>
      <c r="S90" s="2849"/>
      <c r="T90" s="2512" t="s">
        <v>1168</v>
      </c>
      <c r="U90" s="1212">
        <v>328073558.00999999</v>
      </c>
      <c r="V90" s="1229"/>
      <c r="W90" s="1229"/>
      <c r="X90" s="1210">
        <v>92</v>
      </c>
      <c r="Y90" s="534" t="s">
        <v>1162</v>
      </c>
      <c r="Z90" s="2850"/>
      <c r="AA90" s="2863"/>
      <c r="AB90" s="2850"/>
      <c r="AC90" s="2863"/>
      <c r="AD90" s="2850"/>
      <c r="AE90" s="2863"/>
      <c r="AF90" s="2850"/>
      <c r="AG90" s="2863"/>
      <c r="AH90" s="2850"/>
      <c r="AI90" s="2863"/>
      <c r="AJ90" s="2850"/>
      <c r="AK90" s="2863"/>
      <c r="AL90" s="2850"/>
      <c r="AM90" s="2863"/>
      <c r="AN90" s="2850"/>
      <c r="AO90" s="2863"/>
      <c r="AP90" s="2850"/>
      <c r="AQ90" s="2863"/>
      <c r="AR90" s="2850"/>
      <c r="AS90" s="2863"/>
      <c r="AT90" s="2850"/>
      <c r="AU90" s="2863"/>
      <c r="AV90" s="2850"/>
      <c r="AW90" s="2863"/>
      <c r="AX90" s="2850"/>
      <c r="AY90" s="2863"/>
      <c r="AZ90" s="2850"/>
      <c r="BA90" s="2863"/>
      <c r="BB90" s="2850"/>
      <c r="BC90" s="2863"/>
      <c r="BD90" s="2863"/>
      <c r="BE90" s="2850"/>
      <c r="BF90" s="2941"/>
      <c r="BG90" s="2845"/>
      <c r="BH90" s="2845"/>
      <c r="BI90" s="2847"/>
      <c r="BJ90" s="2858"/>
      <c r="BK90" s="2946"/>
      <c r="BL90" s="2934"/>
      <c r="BM90" s="2934"/>
      <c r="BN90" s="2938"/>
      <c r="BO90" s="2934"/>
      <c r="BP90" s="2843"/>
    </row>
    <row r="91" spans="1:68" s="1173" customFormat="1" ht="51" customHeight="1" x14ac:dyDescent="0.2">
      <c r="A91" s="1278"/>
      <c r="B91" s="1225"/>
      <c r="C91" s="1225"/>
      <c r="D91" s="1224"/>
      <c r="E91" s="1225"/>
      <c r="F91" s="1226"/>
      <c r="G91" s="2341"/>
      <c r="H91" s="2343"/>
      <c r="I91" s="2413"/>
      <c r="J91" s="2413"/>
      <c r="K91" s="2343"/>
      <c r="L91" s="2761"/>
      <c r="M91" s="2413"/>
      <c r="N91" s="2343"/>
      <c r="O91" s="2413"/>
      <c r="P91" s="2854"/>
      <c r="Q91" s="2833"/>
      <c r="R91" s="2413"/>
      <c r="S91" s="2849"/>
      <c r="T91" s="2512"/>
      <c r="U91" s="1212">
        <v>65160000</v>
      </c>
      <c r="V91" s="1229"/>
      <c r="W91" s="1229"/>
      <c r="X91" s="1210">
        <v>42</v>
      </c>
      <c r="Y91" s="534" t="s">
        <v>1158</v>
      </c>
      <c r="Z91" s="2850"/>
      <c r="AA91" s="2863"/>
      <c r="AB91" s="2850"/>
      <c r="AC91" s="2863"/>
      <c r="AD91" s="2850"/>
      <c r="AE91" s="2863"/>
      <c r="AF91" s="2850"/>
      <c r="AG91" s="2863"/>
      <c r="AH91" s="2850"/>
      <c r="AI91" s="2863"/>
      <c r="AJ91" s="2850"/>
      <c r="AK91" s="2863"/>
      <c r="AL91" s="2850"/>
      <c r="AM91" s="2863"/>
      <c r="AN91" s="2850"/>
      <c r="AO91" s="2863"/>
      <c r="AP91" s="2850"/>
      <c r="AQ91" s="2863"/>
      <c r="AR91" s="2850"/>
      <c r="AS91" s="2863"/>
      <c r="AT91" s="2850"/>
      <c r="AU91" s="2863"/>
      <c r="AV91" s="2850"/>
      <c r="AW91" s="2863"/>
      <c r="AX91" s="2850"/>
      <c r="AY91" s="2863"/>
      <c r="AZ91" s="2850"/>
      <c r="BA91" s="2863"/>
      <c r="BB91" s="2850"/>
      <c r="BC91" s="2863"/>
      <c r="BD91" s="2863"/>
      <c r="BE91" s="2850"/>
      <c r="BF91" s="2941"/>
      <c r="BG91" s="2845"/>
      <c r="BH91" s="2845"/>
      <c r="BI91" s="2847" t="e">
        <f t="shared" si="8"/>
        <v>#DIV/0!</v>
      </c>
      <c r="BJ91" s="2858"/>
      <c r="BK91" s="2946"/>
      <c r="BL91" s="2934"/>
      <c r="BM91" s="2934"/>
      <c r="BN91" s="2938"/>
      <c r="BO91" s="2934"/>
      <c r="BP91" s="2843"/>
    </row>
    <row r="92" spans="1:68" s="1173" customFormat="1" ht="51" customHeight="1" x14ac:dyDescent="0.2">
      <c r="A92" s="1278"/>
      <c r="B92" s="1225"/>
      <c r="C92" s="1225"/>
      <c r="D92" s="1224"/>
      <c r="E92" s="1225"/>
      <c r="F92" s="1226"/>
      <c r="G92" s="2341"/>
      <c r="H92" s="2343"/>
      <c r="I92" s="2413"/>
      <c r="J92" s="2413"/>
      <c r="K92" s="2343"/>
      <c r="L92" s="2761"/>
      <c r="M92" s="2413"/>
      <c r="N92" s="2343"/>
      <c r="O92" s="2413"/>
      <c r="P92" s="2854"/>
      <c r="Q92" s="2833"/>
      <c r="R92" s="2413"/>
      <c r="S92" s="2849"/>
      <c r="T92" s="2512" t="s">
        <v>1169</v>
      </c>
      <c r="U92" s="1212">
        <v>95000000</v>
      </c>
      <c r="V92" s="1229"/>
      <c r="W92" s="1229"/>
      <c r="X92" s="1210">
        <v>42</v>
      </c>
      <c r="Y92" s="534" t="s">
        <v>1158</v>
      </c>
      <c r="Z92" s="2850"/>
      <c r="AA92" s="2863"/>
      <c r="AB92" s="2850"/>
      <c r="AC92" s="2863"/>
      <c r="AD92" s="2850"/>
      <c r="AE92" s="2863"/>
      <c r="AF92" s="2850"/>
      <c r="AG92" s="2863"/>
      <c r="AH92" s="2850"/>
      <c r="AI92" s="2863"/>
      <c r="AJ92" s="2850"/>
      <c r="AK92" s="2863"/>
      <c r="AL92" s="2850"/>
      <c r="AM92" s="2863"/>
      <c r="AN92" s="2850"/>
      <c r="AO92" s="2863"/>
      <c r="AP92" s="2850"/>
      <c r="AQ92" s="2863"/>
      <c r="AR92" s="2850"/>
      <c r="AS92" s="2863"/>
      <c r="AT92" s="2850"/>
      <c r="AU92" s="2863"/>
      <c r="AV92" s="2850"/>
      <c r="AW92" s="2863"/>
      <c r="AX92" s="2850"/>
      <c r="AY92" s="2863"/>
      <c r="AZ92" s="2850"/>
      <c r="BA92" s="2863"/>
      <c r="BB92" s="2850"/>
      <c r="BC92" s="2863"/>
      <c r="BD92" s="2863"/>
      <c r="BE92" s="2850"/>
      <c r="BF92" s="2941"/>
      <c r="BG92" s="2845"/>
      <c r="BH92" s="2845"/>
      <c r="BI92" s="2847" t="e">
        <f t="shared" si="7"/>
        <v>#DIV/0!</v>
      </c>
      <c r="BJ92" s="2858"/>
      <c r="BK92" s="2946"/>
      <c r="BL92" s="2934"/>
      <c r="BM92" s="2934"/>
      <c r="BN92" s="2938"/>
      <c r="BO92" s="2934"/>
      <c r="BP92" s="2843"/>
    </row>
    <row r="93" spans="1:68" s="1173" customFormat="1" ht="51" customHeight="1" x14ac:dyDescent="0.2">
      <c r="A93" s="1278"/>
      <c r="B93" s="1225"/>
      <c r="C93" s="1225"/>
      <c r="D93" s="1224"/>
      <c r="E93" s="1225"/>
      <c r="F93" s="1226"/>
      <c r="G93" s="2341"/>
      <c r="H93" s="2343"/>
      <c r="I93" s="2413"/>
      <c r="J93" s="2413"/>
      <c r="K93" s="2343"/>
      <c r="L93" s="2761"/>
      <c r="M93" s="2413"/>
      <c r="N93" s="2343"/>
      <c r="O93" s="2413"/>
      <c r="P93" s="2854"/>
      <c r="Q93" s="2833"/>
      <c r="R93" s="2413"/>
      <c r="S93" s="2849"/>
      <c r="T93" s="2512"/>
      <c r="U93" s="1212">
        <v>80000000</v>
      </c>
      <c r="V93" s="1229"/>
      <c r="W93" s="1229"/>
      <c r="X93" s="1210">
        <v>92</v>
      </c>
      <c r="Y93" s="534" t="s">
        <v>1162</v>
      </c>
      <c r="Z93" s="2850"/>
      <c r="AA93" s="2863"/>
      <c r="AB93" s="2850"/>
      <c r="AC93" s="2863"/>
      <c r="AD93" s="2850"/>
      <c r="AE93" s="2863"/>
      <c r="AF93" s="2850"/>
      <c r="AG93" s="2863"/>
      <c r="AH93" s="2850"/>
      <c r="AI93" s="2863"/>
      <c r="AJ93" s="2850"/>
      <c r="AK93" s="2863"/>
      <c r="AL93" s="2850"/>
      <c r="AM93" s="2863"/>
      <c r="AN93" s="2850"/>
      <c r="AO93" s="2863"/>
      <c r="AP93" s="2850"/>
      <c r="AQ93" s="2863"/>
      <c r="AR93" s="2850"/>
      <c r="AS93" s="2863"/>
      <c r="AT93" s="2850"/>
      <c r="AU93" s="2863"/>
      <c r="AV93" s="2850"/>
      <c r="AW93" s="2863"/>
      <c r="AX93" s="2850"/>
      <c r="AY93" s="2863"/>
      <c r="AZ93" s="2850"/>
      <c r="BA93" s="2863"/>
      <c r="BB93" s="2850"/>
      <c r="BC93" s="2863"/>
      <c r="BD93" s="2863"/>
      <c r="BE93" s="2850"/>
      <c r="BF93" s="2941"/>
      <c r="BG93" s="2845"/>
      <c r="BH93" s="2845"/>
      <c r="BI93" s="2847"/>
      <c r="BJ93" s="2858"/>
      <c r="BK93" s="2946"/>
      <c r="BL93" s="2934"/>
      <c r="BM93" s="2934"/>
      <c r="BN93" s="2938"/>
      <c r="BO93" s="2934"/>
      <c r="BP93" s="2843"/>
    </row>
    <row r="94" spans="1:68" s="1173" customFormat="1" ht="100.5" customHeight="1" x14ac:dyDescent="0.2">
      <c r="A94" s="1278"/>
      <c r="B94" s="1225"/>
      <c r="C94" s="1225"/>
      <c r="D94" s="1224"/>
      <c r="E94" s="1225"/>
      <c r="F94" s="1226"/>
      <c r="G94" s="2341"/>
      <c r="H94" s="2343"/>
      <c r="I94" s="2413"/>
      <c r="J94" s="2413"/>
      <c r="K94" s="2343"/>
      <c r="L94" s="2761"/>
      <c r="M94" s="2413"/>
      <c r="N94" s="2343"/>
      <c r="O94" s="2413"/>
      <c r="P94" s="2854"/>
      <c r="Q94" s="2833"/>
      <c r="R94" s="2413"/>
      <c r="S94" s="2849"/>
      <c r="T94" s="537" t="s">
        <v>1170</v>
      </c>
      <c r="U94" s="1212">
        <v>5400000</v>
      </c>
      <c r="V94" s="1229"/>
      <c r="W94" s="1229"/>
      <c r="X94" s="1210">
        <v>42</v>
      </c>
      <c r="Y94" s="534" t="s">
        <v>1158</v>
      </c>
      <c r="Z94" s="2850"/>
      <c r="AA94" s="2863"/>
      <c r="AB94" s="2850"/>
      <c r="AC94" s="2863"/>
      <c r="AD94" s="2850"/>
      <c r="AE94" s="2863"/>
      <c r="AF94" s="2850"/>
      <c r="AG94" s="2863"/>
      <c r="AH94" s="2850"/>
      <c r="AI94" s="2863"/>
      <c r="AJ94" s="2850"/>
      <c r="AK94" s="2863"/>
      <c r="AL94" s="2850"/>
      <c r="AM94" s="2863"/>
      <c r="AN94" s="2850"/>
      <c r="AO94" s="2863"/>
      <c r="AP94" s="2850"/>
      <c r="AQ94" s="2863"/>
      <c r="AR94" s="2850"/>
      <c r="AS94" s="2863"/>
      <c r="AT94" s="2850"/>
      <c r="AU94" s="2863"/>
      <c r="AV94" s="2850"/>
      <c r="AW94" s="2863"/>
      <c r="AX94" s="2850"/>
      <c r="AY94" s="2863"/>
      <c r="AZ94" s="2850"/>
      <c r="BA94" s="2863"/>
      <c r="BB94" s="2850"/>
      <c r="BC94" s="2863"/>
      <c r="BD94" s="2863"/>
      <c r="BE94" s="2850"/>
      <c r="BF94" s="2941"/>
      <c r="BG94" s="2845"/>
      <c r="BH94" s="2845"/>
      <c r="BI94" s="2847" t="e">
        <f t="shared" si="8"/>
        <v>#DIV/0!</v>
      </c>
      <c r="BJ94" s="2858"/>
      <c r="BK94" s="2946"/>
      <c r="BL94" s="2934"/>
      <c r="BM94" s="2934"/>
      <c r="BN94" s="2938"/>
      <c r="BO94" s="2934"/>
      <c r="BP94" s="2843"/>
    </row>
    <row r="95" spans="1:68" s="1173" customFormat="1" ht="104.25" customHeight="1" x14ac:dyDescent="0.2">
      <c r="A95" s="1278"/>
      <c r="B95" s="1225"/>
      <c r="C95" s="1225"/>
      <c r="D95" s="1224"/>
      <c r="E95" s="1225"/>
      <c r="F95" s="1226"/>
      <c r="G95" s="2341"/>
      <c r="H95" s="2343"/>
      <c r="I95" s="2413"/>
      <c r="J95" s="2413"/>
      <c r="K95" s="2343"/>
      <c r="L95" s="2761"/>
      <c r="M95" s="2413"/>
      <c r="N95" s="2343"/>
      <c r="O95" s="2413"/>
      <c r="P95" s="2854"/>
      <c r="Q95" s="2833"/>
      <c r="R95" s="2413"/>
      <c r="S95" s="2849"/>
      <c r="T95" s="537" t="s">
        <v>1171</v>
      </c>
      <c r="U95" s="1212">
        <v>140000000</v>
      </c>
      <c r="V95" s="1229"/>
      <c r="W95" s="1229"/>
      <c r="X95" s="1210">
        <v>42</v>
      </c>
      <c r="Y95" s="534" t="s">
        <v>1158</v>
      </c>
      <c r="Z95" s="2850"/>
      <c r="AA95" s="2863"/>
      <c r="AB95" s="2850"/>
      <c r="AC95" s="2863"/>
      <c r="AD95" s="2850"/>
      <c r="AE95" s="2863"/>
      <c r="AF95" s="2850"/>
      <c r="AG95" s="2863"/>
      <c r="AH95" s="2850"/>
      <c r="AI95" s="2863"/>
      <c r="AJ95" s="2850"/>
      <c r="AK95" s="2863"/>
      <c r="AL95" s="2850"/>
      <c r="AM95" s="2863"/>
      <c r="AN95" s="2850"/>
      <c r="AO95" s="2863"/>
      <c r="AP95" s="2850"/>
      <c r="AQ95" s="2863"/>
      <c r="AR95" s="2850"/>
      <c r="AS95" s="2863"/>
      <c r="AT95" s="2850"/>
      <c r="AU95" s="2863"/>
      <c r="AV95" s="2850"/>
      <c r="AW95" s="2863"/>
      <c r="AX95" s="2850"/>
      <c r="AY95" s="2863"/>
      <c r="AZ95" s="2850"/>
      <c r="BA95" s="2863"/>
      <c r="BB95" s="2850"/>
      <c r="BC95" s="2863"/>
      <c r="BD95" s="2863"/>
      <c r="BE95" s="2850"/>
      <c r="BF95" s="2941"/>
      <c r="BG95" s="2845"/>
      <c r="BH95" s="2845"/>
      <c r="BI95" s="2847" t="e">
        <f t="shared" si="7"/>
        <v>#DIV/0!</v>
      </c>
      <c r="BJ95" s="2858"/>
      <c r="BK95" s="2946"/>
      <c r="BL95" s="2934"/>
      <c r="BM95" s="2934"/>
      <c r="BN95" s="2938"/>
      <c r="BO95" s="2934"/>
      <c r="BP95" s="2843"/>
    </row>
    <row r="96" spans="1:68" s="1173" customFormat="1" ht="51" customHeight="1" x14ac:dyDescent="0.2">
      <c r="A96" s="1278"/>
      <c r="B96" s="1225"/>
      <c r="C96" s="1225"/>
      <c r="D96" s="1224"/>
      <c r="E96" s="1225"/>
      <c r="F96" s="1226"/>
      <c r="G96" s="2341"/>
      <c r="H96" s="2343"/>
      <c r="I96" s="2413"/>
      <c r="J96" s="2413"/>
      <c r="K96" s="2343"/>
      <c r="L96" s="2761"/>
      <c r="M96" s="2413"/>
      <c r="N96" s="2343"/>
      <c r="O96" s="2413"/>
      <c r="P96" s="2854"/>
      <c r="Q96" s="2833"/>
      <c r="R96" s="2413"/>
      <c r="S96" s="2849"/>
      <c r="T96" s="2512" t="s">
        <v>1157</v>
      </c>
      <c r="U96" s="1212">
        <v>50000000</v>
      </c>
      <c r="V96" s="1229"/>
      <c r="W96" s="1229"/>
      <c r="X96" s="1210">
        <v>92</v>
      </c>
      <c r="Y96" s="534" t="s">
        <v>1162</v>
      </c>
      <c r="Z96" s="2850"/>
      <c r="AA96" s="2863"/>
      <c r="AB96" s="2850"/>
      <c r="AC96" s="2863"/>
      <c r="AD96" s="2850"/>
      <c r="AE96" s="2863"/>
      <c r="AF96" s="2850"/>
      <c r="AG96" s="2863"/>
      <c r="AH96" s="2850"/>
      <c r="AI96" s="2863"/>
      <c r="AJ96" s="2850"/>
      <c r="AK96" s="2863"/>
      <c r="AL96" s="2850"/>
      <c r="AM96" s="2863"/>
      <c r="AN96" s="2850"/>
      <c r="AO96" s="2863"/>
      <c r="AP96" s="2850"/>
      <c r="AQ96" s="2863"/>
      <c r="AR96" s="2850"/>
      <c r="AS96" s="2863"/>
      <c r="AT96" s="2850"/>
      <c r="AU96" s="2863"/>
      <c r="AV96" s="2850"/>
      <c r="AW96" s="2863"/>
      <c r="AX96" s="2850"/>
      <c r="AY96" s="2863"/>
      <c r="AZ96" s="2850"/>
      <c r="BA96" s="2863"/>
      <c r="BB96" s="2850"/>
      <c r="BC96" s="2863"/>
      <c r="BD96" s="2863"/>
      <c r="BE96" s="2850"/>
      <c r="BF96" s="2941"/>
      <c r="BG96" s="2845"/>
      <c r="BH96" s="2845"/>
      <c r="BI96" s="2847"/>
      <c r="BJ96" s="2858"/>
      <c r="BK96" s="2946"/>
      <c r="BL96" s="2934"/>
      <c r="BM96" s="2934"/>
      <c r="BN96" s="2938"/>
      <c r="BO96" s="2934"/>
      <c r="BP96" s="2843"/>
    </row>
    <row r="97" spans="1:68" s="1173" customFormat="1" ht="51" customHeight="1" x14ac:dyDescent="0.2">
      <c r="A97" s="1278"/>
      <c r="B97" s="1225"/>
      <c r="C97" s="1225"/>
      <c r="D97" s="1224"/>
      <c r="E97" s="1225"/>
      <c r="F97" s="1226"/>
      <c r="G97" s="2933"/>
      <c r="H97" s="2491"/>
      <c r="I97" s="2493"/>
      <c r="J97" s="2493"/>
      <c r="K97" s="2491"/>
      <c r="L97" s="2342"/>
      <c r="M97" s="2493"/>
      <c r="N97" s="2491"/>
      <c r="O97" s="2493"/>
      <c r="P97" s="2924"/>
      <c r="Q97" s="2926"/>
      <c r="R97" s="2493"/>
      <c r="S97" s="2928"/>
      <c r="T97" s="2641"/>
      <c r="U97" s="1271">
        <v>440000000</v>
      </c>
      <c r="V97" s="1239"/>
      <c r="W97" s="1239"/>
      <c r="X97" s="1273">
        <v>42</v>
      </c>
      <c r="Y97" s="522" t="s">
        <v>1158</v>
      </c>
      <c r="Z97" s="2851"/>
      <c r="AA97" s="2852"/>
      <c r="AB97" s="2851"/>
      <c r="AC97" s="2852"/>
      <c r="AD97" s="2851"/>
      <c r="AE97" s="2852"/>
      <c r="AF97" s="2851"/>
      <c r="AG97" s="2852"/>
      <c r="AH97" s="2851"/>
      <c r="AI97" s="2852"/>
      <c r="AJ97" s="2851"/>
      <c r="AK97" s="2852"/>
      <c r="AL97" s="2851"/>
      <c r="AM97" s="2852"/>
      <c r="AN97" s="2851"/>
      <c r="AO97" s="2852"/>
      <c r="AP97" s="2851"/>
      <c r="AQ97" s="2852"/>
      <c r="AR97" s="2851"/>
      <c r="AS97" s="2852"/>
      <c r="AT97" s="2851"/>
      <c r="AU97" s="2852"/>
      <c r="AV97" s="2851"/>
      <c r="AW97" s="2852"/>
      <c r="AX97" s="2851"/>
      <c r="AY97" s="2852"/>
      <c r="AZ97" s="2851"/>
      <c r="BA97" s="2852"/>
      <c r="BB97" s="2851"/>
      <c r="BC97" s="2852"/>
      <c r="BD97" s="2852"/>
      <c r="BE97" s="2851"/>
      <c r="BF97" s="2941"/>
      <c r="BG97" s="2942"/>
      <c r="BH97" s="2942"/>
      <c r="BI97" s="2943" t="e">
        <f t="shared" si="8"/>
        <v>#DIV/0!</v>
      </c>
      <c r="BJ97" s="2944"/>
      <c r="BK97" s="2947"/>
      <c r="BL97" s="2937"/>
      <c r="BM97" s="2937"/>
      <c r="BN97" s="2939"/>
      <c r="BO97" s="2937"/>
      <c r="BP97" s="2940"/>
    </row>
    <row r="98" spans="1:68" s="768" customFormat="1" ht="36" customHeight="1" x14ac:dyDescent="0.2">
      <c r="A98" s="1278"/>
      <c r="B98" s="1225"/>
      <c r="C98" s="1225"/>
      <c r="D98" s="1224"/>
      <c r="E98" s="1225"/>
      <c r="F98" s="1226"/>
      <c r="G98" s="2341">
        <v>4501024</v>
      </c>
      <c r="H98" s="2343" t="s">
        <v>1172</v>
      </c>
      <c r="I98" s="2413" t="s">
        <v>1173</v>
      </c>
      <c r="J98" s="2413" t="s">
        <v>1174</v>
      </c>
      <c r="K98" s="2343">
        <v>10</v>
      </c>
      <c r="L98" s="2491">
        <v>7</v>
      </c>
      <c r="M98" s="2413" t="s">
        <v>1175</v>
      </c>
      <c r="N98" s="2343" t="s">
        <v>1145</v>
      </c>
      <c r="O98" s="2413" t="s">
        <v>1146</v>
      </c>
      <c r="P98" s="2854">
        <f>SUM(U98:U109)/Q98</f>
        <v>1</v>
      </c>
      <c r="Q98" s="2832">
        <f>SUM(U98:U109)</f>
        <v>94000000</v>
      </c>
      <c r="R98" s="2413" t="s">
        <v>1147</v>
      </c>
      <c r="S98" s="2413" t="s">
        <v>1148</v>
      </c>
      <c r="T98" s="1281" t="s">
        <v>1176</v>
      </c>
      <c r="U98" s="1282">
        <v>1000000</v>
      </c>
      <c r="V98" s="1229"/>
      <c r="W98" s="1239"/>
      <c r="X98" s="546">
        <v>88</v>
      </c>
      <c r="Y98" s="603" t="s">
        <v>4</v>
      </c>
      <c r="Z98" s="2590">
        <v>1018</v>
      </c>
      <c r="AA98" s="2579"/>
      <c r="AB98" s="2590">
        <v>982</v>
      </c>
      <c r="AC98" s="2579"/>
      <c r="AD98" s="2590">
        <v>466</v>
      </c>
      <c r="AE98" s="2579"/>
      <c r="AF98" s="2590">
        <v>152</v>
      </c>
      <c r="AG98" s="2579"/>
      <c r="AH98" s="2590">
        <v>1063</v>
      </c>
      <c r="AI98" s="2579"/>
      <c r="AJ98" s="2590">
        <v>319</v>
      </c>
      <c r="AK98" s="2579"/>
      <c r="AL98" s="2590">
        <v>0</v>
      </c>
      <c r="AM98" s="2579"/>
      <c r="AN98" s="2590">
        <v>0</v>
      </c>
      <c r="AO98" s="2579"/>
      <c r="AP98" s="2590">
        <v>0</v>
      </c>
      <c r="AQ98" s="2579"/>
      <c r="AR98" s="2590">
        <v>0</v>
      </c>
      <c r="AS98" s="2579"/>
      <c r="AT98" s="2590">
        <v>0</v>
      </c>
      <c r="AU98" s="2579"/>
      <c r="AV98" s="2590">
        <v>0</v>
      </c>
      <c r="AW98" s="2579"/>
      <c r="AX98" s="2590">
        <v>0</v>
      </c>
      <c r="AY98" s="2579"/>
      <c r="AZ98" s="2590">
        <v>0</v>
      </c>
      <c r="BA98" s="2579"/>
      <c r="BB98" s="2590">
        <v>0</v>
      </c>
      <c r="BC98" s="2579"/>
      <c r="BD98" s="2960"/>
      <c r="BE98" s="2962">
        <f>+Z98+AB98</f>
        <v>2000</v>
      </c>
      <c r="BF98" s="2963">
        <v>7</v>
      </c>
      <c r="BG98" s="2844">
        <f>SUM(V98:V109)</f>
        <v>35472371</v>
      </c>
      <c r="BH98" s="2844">
        <f>SUM(W98:W109)</f>
        <v>19392334</v>
      </c>
      <c r="BI98" s="2846">
        <f>BH98/BG98</f>
        <v>0.54668840715496581</v>
      </c>
      <c r="BJ98" s="2954" t="s">
        <v>161</v>
      </c>
      <c r="BK98" s="2836" t="s">
        <v>1105</v>
      </c>
      <c r="BL98" s="2958">
        <v>44077</v>
      </c>
      <c r="BM98" s="2939">
        <v>44186</v>
      </c>
      <c r="BN98" s="2938">
        <v>44195</v>
      </c>
      <c r="BO98" s="1283"/>
      <c r="BP98" s="2865" t="s">
        <v>1058</v>
      </c>
    </row>
    <row r="99" spans="1:68" s="768" customFormat="1" ht="41.25" customHeight="1" x14ac:dyDescent="0.2">
      <c r="A99" s="1278"/>
      <c r="B99" s="1225"/>
      <c r="C99" s="1225"/>
      <c r="D99" s="1224"/>
      <c r="E99" s="1225"/>
      <c r="F99" s="1226"/>
      <c r="G99" s="2341"/>
      <c r="H99" s="2343"/>
      <c r="I99" s="2413"/>
      <c r="J99" s="2413"/>
      <c r="K99" s="2343"/>
      <c r="L99" s="2761"/>
      <c r="M99" s="2413"/>
      <c r="N99" s="2343"/>
      <c r="O99" s="2413"/>
      <c r="P99" s="2854"/>
      <c r="Q99" s="2833"/>
      <c r="R99" s="2413"/>
      <c r="S99" s="2413"/>
      <c r="T99" s="1281" t="s">
        <v>1177</v>
      </c>
      <c r="U99" s="1284">
        <v>1000000</v>
      </c>
      <c r="V99" s="1229"/>
      <c r="W99" s="1239"/>
      <c r="X99" s="529">
        <v>88</v>
      </c>
      <c r="Y99" s="603" t="s">
        <v>4</v>
      </c>
      <c r="Z99" s="2590"/>
      <c r="AA99" s="2580"/>
      <c r="AB99" s="2590"/>
      <c r="AC99" s="2580"/>
      <c r="AD99" s="2590"/>
      <c r="AE99" s="2580"/>
      <c r="AF99" s="2590"/>
      <c r="AG99" s="2580"/>
      <c r="AH99" s="2590"/>
      <c r="AI99" s="2580"/>
      <c r="AJ99" s="2590"/>
      <c r="AK99" s="2580"/>
      <c r="AL99" s="2590"/>
      <c r="AM99" s="2580"/>
      <c r="AN99" s="2590"/>
      <c r="AO99" s="2580"/>
      <c r="AP99" s="2590"/>
      <c r="AQ99" s="2580"/>
      <c r="AR99" s="2590"/>
      <c r="AS99" s="2580"/>
      <c r="AT99" s="2590"/>
      <c r="AU99" s="2580"/>
      <c r="AV99" s="2590"/>
      <c r="AW99" s="2580"/>
      <c r="AX99" s="2590"/>
      <c r="AY99" s="2580"/>
      <c r="AZ99" s="2590"/>
      <c r="BA99" s="2580"/>
      <c r="BB99" s="2590"/>
      <c r="BC99" s="2580"/>
      <c r="BD99" s="2935"/>
      <c r="BE99" s="2962"/>
      <c r="BF99" s="2963"/>
      <c r="BG99" s="2845"/>
      <c r="BH99" s="2845"/>
      <c r="BI99" s="2847"/>
      <c r="BJ99" s="2955"/>
      <c r="BK99" s="2837"/>
      <c r="BL99" s="2958"/>
      <c r="BM99" s="2934"/>
      <c r="BN99" s="2938"/>
      <c r="BO99" s="1285"/>
      <c r="BP99" s="2843"/>
    </row>
    <row r="100" spans="1:68" s="768" customFormat="1" ht="35.25" customHeight="1" x14ac:dyDescent="0.2">
      <c r="A100" s="1278"/>
      <c r="B100" s="1225"/>
      <c r="C100" s="1225"/>
      <c r="D100" s="1224"/>
      <c r="E100" s="1225"/>
      <c r="F100" s="1226"/>
      <c r="G100" s="2341"/>
      <c r="H100" s="2343"/>
      <c r="I100" s="2413"/>
      <c r="J100" s="2413"/>
      <c r="K100" s="2343"/>
      <c r="L100" s="2761"/>
      <c r="M100" s="2413"/>
      <c r="N100" s="2343"/>
      <c r="O100" s="2413"/>
      <c r="P100" s="2854"/>
      <c r="Q100" s="2833"/>
      <c r="R100" s="2413"/>
      <c r="S100" s="2512"/>
      <c r="T100" s="2949" t="s">
        <v>1178</v>
      </c>
      <c r="U100" s="1286">
        <v>8000000</v>
      </c>
      <c r="V100" s="1229">
        <f>1733325</f>
        <v>1733325</v>
      </c>
      <c r="W100" s="1239"/>
      <c r="X100" s="529">
        <v>88</v>
      </c>
      <c r="Y100" s="603" t="s">
        <v>4</v>
      </c>
      <c r="Z100" s="2590"/>
      <c r="AA100" s="2580"/>
      <c r="AB100" s="2590"/>
      <c r="AC100" s="2580"/>
      <c r="AD100" s="2590"/>
      <c r="AE100" s="2580"/>
      <c r="AF100" s="2590"/>
      <c r="AG100" s="2580"/>
      <c r="AH100" s="2590"/>
      <c r="AI100" s="2580"/>
      <c r="AJ100" s="2590"/>
      <c r="AK100" s="2580"/>
      <c r="AL100" s="2590"/>
      <c r="AM100" s="2580"/>
      <c r="AN100" s="2590"/>
      <c r="AO100" s="2580"/>
      <c r="AP100" s="2590"/>
      <c r="AQ100" s="2580"/>
      <c r="AR100" s="2590"/>
      <c r="AS100" s="2580"/>
      <c r="AT100" s="2590"/>
      <c r="AU100" s="2580"/>
      <c r="AV100" s="2590"/>
      <c r="AW100" s="2580"/>
      <c r="AX100" s="2590"/>
      <c r="AY100" s="2580"/>
      <c r="AZ100" s="2590"/>
      <c r="BA100" s="2580"/>
      <c r="BB100" s="2590"/>
      <c r="BC100" s="2580"/>
      <c r="BD100" s="2935"/>
      <c r="BE100" s="2962"/>
      <c r="BF100" s="2963"/>
      <c r="BG100" s="2845"/>
      <c r="BH100" s="2845"/>
      <c r="BI100" s="2847" t="e">
        <f t="shared" ref="BI100:BI109" si="9">BH100/BG100</f>
        <v>#DIV/0!</v>
      </c>
      <c r="BJ100" s="2955"/>
      <c r="BK100" s="2837"/>
      <c r="BL100" s="2958"/>
      <c r="BM100" s="2934"/>
      <c r="BN100" s="2938"/>
      <c r="BO100" s="1285"/>
      <c r="BP100" s="2843"/>
    </row>
    <row r="101" spans="1:68" s="768" customFormat="1" ht="36" customHeight="1" x14ac:dyDescent="0.2">
      <c r="A101" s="1278"/>
      <c r="B101" s="1225"/>
      <c r="C101" s="1225"/>
      <c r="D101" s="1224"/>
      <c r="E101" s="1225"/>
      <c r="F101" s="1226"/>
      <c r="G101" s="2341"/>
      <c r="H101" s="2343"/>
      <c r="I101" s="2413"/>
      <c r="J101" s="2413"/>
      <c r="K101" s="2343"/>
      <c r="L101" s="2761"/>
      <c r="M101" s="2413"/>
      <c r="N101" s="2343"/>
      <c r="O101" s="2413"/>
      <c r="P101" s="2854"/>
      <c r="Q101" s="2833"/>
      <c r="R101" s="2413"/>
      <c r="S101" s="2512"/>
      <c r="T101" s="2949"/>
      <c r="U101" s="1286">
        <f>6686667+12000000</f>
        <v>18686667</v>
      </c>
      <c r="V101" s="1229">
        <v>6686667</v>
      </c>
      <c r="W101" s="1239">
        <v>6686667</v>
      </c>
      <c r="X101" s="529">
        <v>20</v>
      </c>
      <c r="Y101" s="603" t="s">
        <v>7</v>
      </c>
      <c r="Z101" s="2590"/>
      <c r="AA101" s="2580"/>
      <c r="AB101" s="2590"/>
      <c r="AC101" s="2580"/>
      <c r="AD101" s="2590"/>
      <c r="AE101" s="2580"/>
      <c r="AF101" s="2590"/>
      <c r="AG101" s="2580"/>
      <c r="AH101" s="2590"/>
      <c r="AI101" s="2580"/>
      <c r="AJ101" s="2590"/>
      <c r="AK101" s="2580"/>
      <c r="AL101" s="2590"/>
      <c r="AM101" s="2580"/>
      <c r="AN101" s="2590"/>
      <c r="AO101" s="2580"/>
      <c r="AP101" s="2590"/>
      <c r="AQ101" s="2580"/>
      <c r="AR101" s="2590"/>
      <c r="AS101" s="2580"/>
      <c r="AT101" s="2590"/>
      <c r="AU101" s="2580"/>
      <c r="AV101" s="2590"/>
      <c r="AW101" s="2580"/>
      <c r="AX101" s="2590"/>
      <c r="AY101" s="2580"/>
      <c r="AZ101" s="2590"/>
      <c r="BA101" s="2580"/>
      <c r="BB101" s="2590"/>
      <c r="BC101" s="2580"/>
      <c r="BD101" s="2935"/>
      <c r="BE101" s="2962"/>
      <c r="BF101" s="2963"/>
      <c r="BG101" s="2845"/>
      <c r="BH101" s="2845"/>
      <c r="BI101" s="2847" t="e">
        <f t="shared" si="9"/>
        <v>#DIV/0!</v>
      </c>
      <c r="BJ101" s="2955"/>
      <c r="BK101" s="2837"/>
      <c r="BL101" s="2958"/>
      <c r="BM101" s="2934"/>
      <c r="BN101" s="2938"/>
      <c r="BO101" s="1285"/>
      <c r="BP101" s="2843"/>
    </row>
    <row r="102" spans="1:68" s="768" customFormat="1" ht="61.5" customHeight="1" x14ac:dyDescent="0.2">
      <c r="A102" s="1278"/>
      <c r="B102" s="1225"/>
      <c r="C102" s="1225"/>
      <c r="D102" s="1224"/>
      <c r="E102" s="1225"/>
      <c r="F102" s="1226"/>
      <c r="G102" s="2341"/>
      <c r="H102" s="2343"/>
      <c r="I102" s="2413"/>
      <c r="J102" s="2413"/>
      <c r="K102" s="2343"/>
      <c r="L102" s="2761"/>
      <c r="M102" s="2413"/>
      <c r="N102" s="2343"/>
      <c r="O102" s="2413"/>
      <c r="P102" s="2854"/>
      <c r="Q102" s="2833"/>
      <c r="R102" s="2413"/>
      <c r="S102" s="2413"/>
      <c r="T102" s="1287" t="s">
        <v>1179</v>
      </c>
      <c r="U102" s="1284">
        <v>6000000</v>
      </c>
      <c r="V102" s="1229">
        <f>2000030</f>
        <v>2000030</v>
      </c>
      <c r="W102" s="1239"/>
      <c r="X102" s="529">
        <v>88</v>
      </c>
      <c r="Y102" s="603" t="s">
        <v>4</v>
      </c>
      <c r="Z102" s="2590"/>
      <c r="AA102" s="2580"/>
      <c r="AB102" s="2590"/>
      <c r="AC102" s="2580"/>
      <c r="AD102" s="2590"/>
      <c r="AE102" s="2580"/>
      <c r="AF102" s="2590"/>
      <c r="AG102" s="2580"/>
      <c r="AH102" s="2590"/>
      <c r="AI102" s="2580"/>
      <c r="AJ102" s="2590"/>
      <c r="AK102" s="2580"/>
      <c r="AL102" s="2590"/>
      <c r="AM102" s="2580"/>
      <c r="AN102" s="2590"/>
      <c r="AO102" s="2580"/>
      <c r="AP102" s="2590"/>
      <c r="AQ102" s="2580"/>
      <c r="AR102" s="2590"/>
      <c r="AS102" s="2580"/>
      <c r="AT102" s="2590"/>
      <c r="AU102" s="2580"/>
      <c r="AV102" s="2590"/>
      <c r="AW102" s="2580"/>
      <c r="AX102" s="2590"/>
      <c r="AY102" s="2580"/>
      <c r="AZ102" s="2590"/>
      <c r="BA102" s="2580"/>
      <c r="BB102" s="2590"/>
      <c r="BC102" s="2580"/>
      <c r="BD102" s="2935"/>
      <c r="BE102" s="2962"/>
      <c r="BF102" s="2963"/>
      <c r="BG102" s="2845"/>
      <c r="BH102" s="2845"/>
      <c r="BI102" s="2847"/>
      <c r="BJ102" s="2955"/>
      <c r="BK102" s="2837"/>
      <c r="BL102" s="2958"/>
      <c r="BM102" s="2934"/>
      <c r="BN102" s="2938"/>
      <c r="BO102" s="1285"/>
      <c r="BP102" s="2843"/>
    </row>
    <row r="103" spans="1:68" s="768" customFormat="1" ht="29.25" customHeight="1" x14ac:dyDescent="0.2">
      <c r="A103" s="1278"/>
      <c r="B103" s="1225"/>
      <c r="C103" s="1225"/>
      <c r="D103" s="1224"/>
      <c r="E103" s="1225"/>
      <c r="F103" s="1226"/>
      <c r="G103" s="2341"/>
      <c r="H103" s="2343"/>
      <c r="I103" s="2413"/>
      <c r="J103" s="2413"/>
      <c r="K103" s="2343"/>
      <c r="L103" s="2761"/>
      <c r="M103" s="2413"/>
      <c r="N103" s="2343"/>
      <c r="O103" s="2413"/>
      <c r="P103" s="2854"/>
      <c r="Q103" s="2833"/>
      <c r="R103" s="2413"/>
      <c r="S103" s="2413"/>
      <c r="T103" s="2950" t="s">
        <v>1180</v>
      </c>
      <c r="U103" s="1284">
        <v>6608333</v>
      </c>
      <c r="V103" s="1229">
        <v>2359961</v>
      </c>
      <c r="W103" s="1239"/>
      <c r="X103" s="529">
        <v>88</v>
      </c>
      <c r="Y103" s="603" t="s">
        <v>4</v>
      </c>
      <c r="Z103" s="2590"/>
      <c r="AA103" s="2580"/>
      <c r="AB103" s="2590"/>
      <c r="AC103" s="2580"/>
      <c r="AD103" s="2590"/>
      <c r="AE103" s="2580"/>
      <c r="AF103" s="2590"/>
      <c r="AG103" s="2580"/>
      <c r="AH103" s="2590"/>
      <c r="AI103" s="2580"/>
      <c r="AJ103" s="2590"/>
      <c r="AK103" s="2580"/>
      <c r="AL103" s="2590"/>
      <c r="AM103" s="2580"/>
      <c r="AN103" s="2590"/>
      <c r="AO103" s="2580"/>
      <c r="AP103" s="2590"/>
      <c r="AQ103" s="2580"/>
      <c r="AR103" s="2590"/>
      <c r="AS103" s="2580"/>
      <c r="AT103" s="2590"/>
      <c r="AU103" s="2580"/>
      <c r="AV103" s="2590"/>
      <c r="AW103" s="2580"/>
      <c r="AX103" s="2590"/>
      <c r="AY103" s="2580"/>
      <c r="AZ103" s="2590"/>
      <c r="BA103" s="2580"/>
      <c r="BB103" s="2590"/>
      <c r="BC103" s="2580"/>
      <c r="BD103" s="2935"/>
      <c r="BE103" s="2962"/>
      <c r="BF103" s="2963"/>
      <c r="BG103" s="2845"/>
      <c r="BH103" s="2845"/>
      <c r="BI103" s="2847" t="e">
        <f t="shared" si="9"/>
        <v>#DIV/0!</v>
      </c>
      <c r="BJ103" s="2955"/>
      <c r="BK103" s="2837"/>
      <c r="BL103" s="2958"/>
      <c r="BM103" s="2934"/>
      <c r="BN103" s="2938"/>
      <c r="BO103" s="1285"/>
      <c r="BP103" s="2843"/>
    </row>
    <row r="104" spans="1:68" s="768" customFormat="1" ht="36" customHeight="1" x14ac:dyDescent="0.2">
      <c r="A104" s="1278"/>
      <c r="B104" s="1225"/>
      <c r="C104" s="1225"/>
      <c r="D104" s="1224"/>
      <c r="E104" s="1225"/>
      <c r="F104" s="1226"/>
      <c r="G104" s="2341"/>
      <c r="H104" s="2343"/>
      <c r="I104" s="2413"/>
      <c r="J104" s="2413"/>
      <c r="K104" s="2343"/>
      <c r="L104" s="2761"/>
      <c r="M104" s="2413"/>
      <c r="N104" s="2343"/>
      <c r="O104" s="2413"/>
      <c r="P104" s="2854"/>
      <c r="Q104" s="2833"/>
      <c r="R104" s="2413"/>
      <c r="S104" s="2413"/>
      <c r="T104" s="2951"/>
      <c r="U104" s="1284">
        <f>5997334+15391667</f>
        <v>21389001</v>
      </c>
      <c r="V104" s="1229">
        <v>5997334</v>
      </c>
      <c r="W104" s="1288">
        <v>5997334</v>
      </c>
      <c r="X104" s="529">
        <v>20</v>
      </c>
      <c r="Y104" s="603" t="s">
        <v>7</v>
      </c>
      <c r="Z104" s="2590"/>
      <c r="AA104" s="2580"/>
      <c r="AB104" s="2590"/>
      <c r="AC104" s="2580"/>
      <c r="AD104" s="2590"/>
      <c r="AE104" s="2580"/>
      <c r="AF104" s="2590"/>
      <c r="AG104" s="2580"/>
      <c r="AH104" s="2590"/>
      <c r="AI104" s="2580"/>
      <c r="AJ104" s="2590"/>
      <c r="AK104" s="2580"/>
      <c r="AL104" s="2590"/>
      <c r="AM104" s="2580"/>
      <c r="AN104" s="2590"/>
      <c r="AO104" s="2580"/>
      <c r="AP104" s="2590"/>
      <c r="AQ104" s="2580"/>
      <c r="AR104" s="2590"/>
      <c r="AS104" s="2580"/>
      <c r="AT104" s="2590"/>
      <c r="AU104" s="2580"/>
      <c r="AV104" s="2590"/>
      <c r="AW104" s="2580"/>
      <c r="AX104" s="2590"/>
      <c r="AY104" s="2580"/>
      <c r="AZ104" s="2590"/>
      <c r="BA104" s="2580"/>
      <c r="BB104" s="2590"/>
      <c r="BC104" s="2580"/>
      <c r="BD104" s="2935"/>
      <c r="BE104" s="2962"/>
      <c r="BF104" s="2963"/>
      <c r="BG104" s="2845"/>
      <c r="BH104" s="2845"/>
      <c r="BI104" s="2847" t="e">
        <f t="shared" si="9"/>
        <v>#DIV/0!</v>
      </c>
      <c r="BJ104" s="2955"/>
      <c r="BK104" s="2837"/>
      <c r="BL104" s="2958"/>
      <c r="BM104" s="2934"/>
      <c r="BN104" s="2938"/>
      <c r="BO104" s="1285"/>
      <c r="BP104" s="2843"/>
    </row>
    <row r="105" spans="1:68" s="768" customFormat="1" ht="40.5" customHeight="1" x14ac:dyDescent="0.2">
      <c r="A105" s="1278"/>
      <c r="B105" s="1225"/>
      <c r="C105" s="1225"/>
      <c r="D105" s="1224"/>
      <c r="E105" s="1225"/>
      <c r="F105" s="1226"/>
      <c r="G105" s="2341"/>
      <c r="H105" s="2343"/>
      <c r="I105" s="2413"/>
      <c r="J105" s="2413"/>
      <c r="K105" s="2343"/>
      <c r="L105" s="2761"/>
      <c r="M105" s="2413"/>
      <c r="N105" s="2343"/>
      <c r="O105" s="2413"/>
      <c r="P105" s="2854"/>
      <c r="Q105" s="2833"/>
      <c r="R105" s="2413"/>
      <c r="S105" s="2413"/>
      <c r="T105" s="2952" t="s">
        <v>1181</v>
      </c>
      <c r="U105" s="1284">
        <v>8891667</v>
      </c>
      <c r="V105" s="1229">
        <v>6986721</v>
      </c>
      <c r="W105" s="1288"/>
      <c r="X105" s="529">
        <v>88</v>
      </c>
      <c r="Y105" s="603" t="s">
        <v>4</v>
      </c>
      <c r="Z105" s="2590"/>
      <c r="AA105" s="2580"/>
      <c r="AB105" s="2590"/>
      <c r="AC105" s="2580"/>
      <c r="AD105" s="2590"/>
      <c r="AE105" s="2580"/>
      <c r="AF105" s="2590"/>
      <c r="AG105" s="2580"/>
      <c r="AH105" s="2590"/>
      <c r="AI105" s="2580"/>
      <c r="AJ105" s="2590"/>
      <c r="AK105" s="2580"/>
      <c r="AL105" s="2590"/>
      <c r="AM105" s="2580"/>
      <c r="AN105" s="2590"/>
      <c r="AO105" s="2580"/>
      <c r="AP105" s="2590"/>
      <c r="AQ105" s="2580"/>
      <c r="AR105" s="2590"/>
      <c r="AS105" s="2580"/>
      <c r="AT105" s="2590"/>
      <c r="AU105" s="2580"/>
      <c r="AV105" s="2590"/>
      <c r="AW105" s="2580"/>
      <c r="AX105" s="2590"/>
      <c r="AY105" s="2580"/>
      <c r="AZ105" s="2590"/>
      <c r="BA105" s="2580"/>
      <c r="BB105" s="2590"/>
      <c r="BC105" s="2580"/>
      <c r="BD105" s="2935"/>
      <c r="BE105" s="2962"/>
      <c r="BF105" s="2963"/>
      <c r="BG105" s="2845"/>
      <c r="BH105" s="2845"/>
      <c r="BI105" s="2847"/>
      <c r="BJ105" s="2955"/>
      <c r="BK105" s="2837"/>
      <c r="BL105" s="2958"/>
      <c r="BM105" s="2934"/>
      <c r="BN105" s="2938"/>
      <c r="BO105" s="1285"/>
      <c r="BP105" s="2843"/>
    </row>
    <row r="106" spans="1:68" s="768" customFormat="1" ht="43.5" customHeight="1" x14ac:dyDescent="0.2">
      <c r="A106" s="1278"/>
      <c r="B106" s="1225"/>
      <c r="C106" s="1225"/>
      <c r="D106" s="1224"/>
      <c r="E106" s="1225"/>
      <c r="F106" s="1226"/>
      <c r="G106" s="2341"/>
      <c r="H106" s="2343"/>
      <c r="I106" s="2413"/>
      <c r="J106" s="2413"/>
      <c r="K106" s="2343"/>
      <c r="L106" s="2761"/>
      <c r="M106" s="2413"/>
      <c r="N106" s="2343"/>
      <c r="O106" s="2413"/>
      <c r="P106" s="2854"/>
      <c r="Q106" s="2833"/>
      <c r="R106" s="2413"/>
      <c r="S106" s="2413"/>
      <c r="T106" s="2953"/>
      <c r="U106" s="1284">
        <v>3600000</v>
      </c>
      <c r="V106" s="1229">
        <v>3600000</v>
      </c>
      <c r="W106" s="1288">
        <v>3600000</v>
      </c>
      <c r="X106" s="529">
        <v>20</v>
      </c>
      <c r="Y106" s="603" t="s">
        <v>7</v>
      </c>
      <c r="Z106" s="2590"/>
      <c r="AA106" s="2580"/>
      <c r="AB106" s="2590"/>
      <c r="AC106" s="2580"/>
      <c r="AD106" s="2590"/>
      <c r="AE106" s="2580"/>
      <c r="AF106" s="2590"/>
      <c r="AG106" s="2580"/>
      <c r="AH106" s="2590"/>
      <c r="AI106" s="2580"/>
      <c r="AJ106" s="2590"/>
      <c r="AK106" s="2580"/>
      <c r="AL106" s="2590"/>
      <c r="AM106" s="2580"/>
      <c r="AN106" s="2590"/>
      <c r="AO106" s="2580"/>
      <c r="AP106" s="2590"/>
      <c r="AQ106" s="2580"/>
      <c r="AR106" s="2590"/>
      <c r="AS106" s="2580"/>
      <c r="AT106" s="2590"/>
      <c r="AU106" s="2580"/>
      <c r="AV106" s="2590"/>
      <c r="AW106" s="2580"/>
      <c r="AX106" s="2590"/>
      <c r="AY106" s="2580"/>
      <c r="AZ106" s="2590"/>
      <c r="BA106" s="2580"/>
      <c r="BB106" s="2590"/>
      <c r="BC106" s="2580"/>
      <c r="BD106" s="2935"/>
      <c r="BE106" s="2962"/>
      <c r="BF106" s="2963"/>
      <c r="BG106" s="2845"/>
      <c r="BH106" s="2845"/>
      <c r="BI106" s="2847" t="e">
        <f t="shared" si="9"/>
        <v>#DIV/0!</v>
      </c>
      <c r="BJ106" s="2955"/>
      <c r="BK106" s="2837"/>
      <c r="BL106" s="2958"/>
      <c r="BM106" s="2934"/>
      <c r="BN106" s="2938"/>
      <c r="BO106" s="1285"/>
      <c r="BP106" s="2843"/>
    </row>
    <row r="107" spans="1:68" s="768" customFormat="1" ht="31.5" customHeight="1" x14ac:dyDescent="0.2">
      <c r="A107" s="1278"/>
      <c r="B107" s="1225"/>
      <c r="C107" s="1225"/>
      <c r="D107" s="1224"/>
      <c r="E107" s="1225"/>
      <c r="F107" s="1226"/>
      <c r="G107" s="2341"/>
      <c r="H107" s="2343"/>
      <c r="I107" s="2413"/>
      <c r="J107" s="2413"/>
      <c r="K107" s="2343"/>
      <c r="L107" s="2761"/>
      <c r="M107" s="2413"/>
      <c r="N107" s="2343"/>
      <c r="O107" s="2413"/>
      <c r="P107" s="2854"/>
      <c r="Q107" s="2833"/>
      <c r="R107" s="2413"/>
      <c r="S107" s="2413"/>
      <c r="T107" s="2950" t="s">
        <v>1182</v>
      </c>
      <c r="U107" s="1284">
        <v>5000000</v>
      </c>
      <c r="V107" s="1229">
        <v>3000000</v>
      </c>
      <c r="W107" s="1288"/>
      <c r="X107" s="529">
        <v>88</v>
      </c>
      <c r="Y107" s="603" t="s">
        <v>4</v>
      </c>
      <c r="Z107" s="2590"/>
      <c r="AA107" s="2580"/>
      <c r="AB107" s="2590"/>
      <c r="AC107" s="2580"/>
      <c r="AD107" s="2590"/>
      <c r="AE107" s="2580"/>
      <c r="AF107" s="2590"/>
      <c r="AG107" s="2580"/>
      <c r="AH107" s="2590"/>
      <c r="AI107" s="2580"/>
      <c r="AJ107" s="2590"/>
      <c r="AK107" s="2580"/>
      <c r="AL107" s="2590"/>
      <c r="AM107" s="2580"/>
      <c r="AN107" s="2590"/>
      <c r="AO107" s="2580"/>
      <c r="AP107" s="2590"/>
      <c r="AQ107" s="2580"/>
      <c r="AR107" s="2590"/>
      <c r="AS107" s="2580"/>
      <c r="AT107" s="2590"/>
      <c r="AU107" s="2580"/>
      <c r="AV107" s="2590"/>
      <c r="AW107" s="2580"/>
      <c r="AX107" s="2590"/>
      <c r="AY107" s="2580"/>
      <c r="AZ107" s="2590"/>
      <c r="BA107" s="2580"/>
      <c r="BB107" s="2590"/>
      <c r="BC107" s="2580"/>
      <c r="BD107" s="2935"/>
      <c r="BE107" s="2962"/>
      <c r="BF107" s="2963"/>
      <c r="BG107" s="2845"/>
      <c r="BH107" s="2845"/>
      <c r="BI107" s="2847" t="e">
        <f t="shared" si="9"/>
        <v>#DIV/0!</v>
      </c>
      <c r="BJ107" s="2955"/>
      <c r="BK107" s="2837"/>
      <c r="BL107" s="2958"/>
      <c r="BM107" s="2934"/>
      <c r="BN107" s="2938"/>
      <c r="BO107" s="1285"/>
      <c r="BP107" s="2843"/>
    </row>
    <row r="108" spans="1:68" s="768" customFormat="1" ht="36.75" customHeight="1" x14ac:dyDescent="0.2">
      <c r="A108" s="1278"/>
      <c r="B108" s="1225"/>
      <c r="C108" s="1225"/>
      <c r="D108" s="1224"/>
      <c r="E108" s="1225"/>
      <c r="F108" s="1226"/>
      <c r="G108" s="2341"/>
      <c r="H108" s="2343"/>
      <c r="I108" s="2413"/>
      <c r="J108" s="2413"/>
      <c r="K108" s="2343"/>
      <c r="L108" s="2761"/>
      <c r="M108" s="2413"/>
      <c r="N108" s="2343"/>
      <c r="O108" s="2413"/>
      <c r="P108" s="2854"/>
      <c r="Q108" s="2833"/>
      <c r="R108" s="2413"/>
      <c r="S108" s="2413"/>
      <c r="T108" s="2951"/>
      <c r="U108" s="1284">
        <f>3108333+7715999</f>
        <v>10824332</v>
      </c>
      <c r="V108" s="1229">
        <v>3108333</v>
      </c>
      <c r="W108" s="1288">
        <v>3108333</v>
      </c>
      <c r="X108" s="529">
        <v>20</v>
      </c>
      <c r="Y108" s="603" t="s">
        <v>7</v>
      </c>
      <c r="Z108" s="2590"/>
      <c r="AA108" s="2580"/>
      <c r="AB108" s="2590"/>
      <c r="AC108" s="2580"/>
      <c r="AD108" s="2590"/>
      <c r="AE108" s="2580"/>
      <c r="AF108" s="2590"/>
      <c r="AG108" s="2580"/>
      <c r="AH108" s="2590"/>
      <c r="AI108" s="2580"/>
      <c r="AJ108" s="2590"/>
      <c r="AK108" s="2580"/>
      <c r="AL108" s="2590"/>
      <c r="AM108" s="2580"/>
      <c r="AN108" s="2590"/>
      <c r="AO108" s="2580"/>
      <c r="AP108" s="2590"/>
      <c r="AQ108" s="2580"/>
      <c r="AR108" s="2590"/>
      <c r="AS108" s="2580"/>
      <c r="AT108" s="2590"/>
      <c r="AU108" s="2580"/>
      <c r="AV108" s="2590"/>
      <c r="AW108" s="2580"/>
      <c r="AX108" s="2590"/>
      <c r="AY108" s="2580"/>
      <c r="AZ108" s="2590"/>
      <c r="BA108" s="2580"/>
      <c r="BB108" s="2590"/>
      <c r="BC108" s="2580"/>
      <c r="BD108" s="2935"/>
      <c r="BE108" s="2962"/>
      <c r="BF108" s="2963"/>
      <c r="BG108" s="2845"/>
      <c r="BH108" s="2845"/>
      <c r="BI108" s="2847"/>
      <c r="BJ108" s="2955"/>
      <c r="BK108" s="2837"/>
      <c r="BL108" s="2958"/>
      <c r="BM108" s="2934"/>
      <c r="BN108" s="2938"/>
      <c r="BO108" s="1285"/>
      <c r="BP108" s="2843"/>
    </row>
    <row r="109" spans="1:68" s="768" customFormat="1" ht="53.25" customHeight="1" x14ac:dyDescent="0.2">
      <c r="A109" s="1278"/>
      <c r="B109" s="1225"/>
      <c r="C109" s="1225"/>
      <c r="D109" s="1224"/>
      <c r="E109" s="1225"/>
      <c r="F109" s="1226"/>
      <c r="G109" s="2341"/>
      <c r="H109" s="2343"/>
      <c r="I109" s="2413"/>
      <c r="J109" s="2413"/>
      <c r="K109" s="2343"/>
      <c r="L109" s="2342"/>
      <c r="M109" s="2413"/>
      <c r="N109" s="2343"/>
      <c r="O109" s="2413"/>
      <c r="P109" s="2854"/>
      <c r="Q109" s="2833"/>
      <c r="R109" s="2413"/>
      <c r="S109" s="2413"/>
      <c r="T109" s="1287" t="s">
        <v>1183</v>
      </c>
      <c r="U109" s="1284">
        <v>3000000</v>
      </c>
      <c r="V109" s="1229"/>
      <c r="W109" s="1289"/>
      <c r="X109" s="529">
        <v>88</v>
      </c>
      <c r="Y109" s="603" t="s">
        <v>4</v>
      </c>
      <c r="Z109" s="2590"/>
      <c r="AA109" s="2581"/>
      <c r="AB109" s="2590"/>
      <c r="AC109" s="2581"/>
      <c r="AD109" s="2590"/>
      <c r="AE109" s="2581"/>
      <c r="AF109" s="2590"/>
      <c r="AG109" s="2581"/>
      <c r="AH109" s="2590"/>
      <c r="AI109" s="2581"/>
      <c r="AJ109" s="2590"/>
      <c r="AK109" s="2581"/>
      <c r="AL109" s="2590"/>
      <c r="AM109" s="2581"/>
      <c r="AN109" s="2590"/>
      <c r="AO109" s="2581"/>
      <c r="AP109" s="2590"/>
      <c r="AQ109" s="2581"/>
      <c r="AR109" s="2590"/>
      <c r="AS109" s="2581"/>
      <c r="AT109" s="2590"/>
      <c r="AU109" s="2581"/>
      <c r="AV109" s="2590"/>
      <c r="AW109" s="2581"/>
      <c r="AX109" s="2590"/>
      <c r="AY109" s="2581"/>
      <c r="AZ109" s="2590"/>
      <c r="BA109" s="2581"/>
      <c r="BB109" s="2590"/>
      <c r="BC109" s="2581"/>
      <c r="BD109" s="2961"/>
      <c r="BE109" s="2962"/>
      <c r="BF109" s="2963"/>
      <c r="BG109" s="2942"/>
      <c r="BH109" s="2942"/>
      <c r="BI109" s="2943" t="e">
        <f t="shared" si="9"/>
        <v>#DIV/0!</v>
      </c>
      <c r="BJ109" s="2956"/>
      <c r="BK109" s="2957"/>
      <c r="BL109" s="2958"/>
      <c r="BM109" s="2959"/>
      <c r="BN109" s="2938"/>
      <c r="BO109" s="1285"/>
      <c r="BP109" s="2948"/>
    </row>
    <row r="110" spans="1:68" s="768" customFormat="1" ht="65.25" customHeight="1" x14ac:dyDescent="0.2">
      <c r="A110" s="1278"/>
      <c r="B110" s="1225"/>
      <c r="C110" s="1225"/>
      <c r="D110" s="1224"/>
      <c r="E110" s="1225"/>
      <c r="F110" s="1226"/>
      <c r="G110" s="2340">
        <v>4501001</v>
      </c>
      <c r="H110" s="2342" t="s">
        <v>1184</v>
      </c>
      <c r="I110" s="2492" t="s">
        <v>1185</v>
      </c>
      <c r="J110" s="2492" t="s">
        <v>1186</v>
      </c>
      <c r="K110" s="2342">
        <v>12</v>
      </c>
      <c r="L110" s="2491">
        <v>8</v>
      </c>
      <c r="M110" s="2492" t="s">
        <v>1187</v>
      </c>
      <c r="N110" s="2342" t="s">
        <v>1188</v>
      </c>
      <c r="O110" s="2492" t="s">
        <v>1189</v>
      </c>
      <c r="P110" s="2923">
        <f>SUM(U110:U113)/Q110</f>
        <v>1</v>
      </c>
      <c r="Q110" s="2936">
        <f>SUM(U110:U113)</f>
        <v>75000000</v>
      </c>
      <c r="R110" s="2492" t="s">
        <v>1190</v>
      </c>
      <c r="S110" s="2492" t="s">
        <v>1191</v>
      </c>
      <c r="T110" s="1290" t="s">
        <v>1192</v>
      </c>
      <c r="U110" s="1279">
        <v>11500000</v>
      </c>
      <c r="V110" s="1268">
        <f>6500000-280000</f>
        <v>6220000</v>
      </c>
      <c r="W110" s="1268"/>
      <c r="X110" s="1280">
        <v>88</v>
      </c>
      <c r="Y110" s="1291" t="s">
        <v>4</v>
      </c>
      <c r="Z110" s="2702">
        <v>4835</v>
      </c>
      <c r="AA110" s="2701">
        <v>350</v>
      </c>
      <c r="AB110" s="2702">
        <v>4665</v>
      </c>
      <c r="AC110" s="2701">
        <v>395</v>
      </c>
      <c r="AD110" s="2702">
        <v>2214</v>
      </c>
      <c r="AE110" s="2701">
        <v>40</v>
      </c>
      <c r="AF110" s="2702">
        <v>723</v>
      </c>
      <c r="AG110" s="2701">
        <v>50</v>
      </c>
      <c r="AH110" s="2702">
        <v>5050</v>
      </c>
      <c r="AI110" s="2701">
        <v>250</v>
      </c>
      <c r="AJ110" s="2702">
        <v>1513</v>
      </c>
      <c r="AK110" s="2701">
        <v>40</v>
      </c>
      <c r="AL110" s="2581">
        <v>0</v>
      </c>
      <c r="AM110" s="2579"/>
      <c r="AN110" s="2581">
        <v>0</v>
      </c>
      <c r="AO110" s="2579"/>
      <c r="AP110" s="2581">
        <v>0</v>
      </c>
      <c r="AQ110" s="2579"/>
      <c r="AR110" s="2581">
        <v>0</v>
      </c>
      <c r="AS110" s="2579"/>
      <c r="AT110" s="2581">
        <v>0</v>
      </c>
      <c r="AU110" s="2579"/>
      <c r="AV110" s="2581">
        <v>0</v>
      </c>
      <c r="AW110" s="2579"/>
      <c r="AX110" s="2581">
        <v>0</v>
      </c>
      <c r="AY110" s="2579"/>
      <c r="AZ110" s="2581">
        <v>0</v>
      </c>
      <c r="BA110" s="2579"/>
      <c r="BB110" s="2581">
        <v>0</v>
      </c>
      <c r="BC110" s="2579"/>
      <c r="BD110" s="2579">
        <f>Z110+AB110</f>
        <v>9500</v>
      </c>
      <c r="BE110" s="2976">
        <f>AA110+AC110+AE110+AG110+AI110+AK110+AN110</f>
        <v>1125</v>
      </c>
      <c r="BF110" s="2842">
        <v>5</v>
      </c>
      <c r="BG110" s="2844">
        <f>SUM(V110:V113)</f>
        <v>34630000</v>
      </c>
      <c r="BH110" s="2844">
        <f>SUM(W110:W113)</f>
        <v>0</v>
      </c>
      <c r="BI110" s="2846">
        <f>+BH110/BG110</f>
        <v>0</v>
      </c>
      <c r="BJ110" s="2871">
        <v>88</v>
      </c>
      <c r="BK110" s="2975" t="s">
        <v>1160</v>
      </c>
      <c r="BL110" s="2937">
        <v>44061</v>
      </c>
      <c r="BM110" s="2964">
        <v>44186</v>
      </c>
      <c r="BN110" s="2937">
        <v>44195</v>
      </c>
      <c r="BO110" s="2964"/>
      <c r="BP110" s="2842" t="s">
        <v>1058</v>
      </c>
    </row>
    <row r="111" spans="1:68" s="768" customFormat="1" ht="65.25" customHeight="1" x14ac:dyDescent="0.2">
      <c r="A111" s="1278"/>
      <c r="B111" s="1225"/>
      <c r="C111" s="1225"/>
      <c r="D111" s="1224"/>
      <c r="E111" s="1225"/>
      <c r="F111" s="1226"/>
      <c r="G111" s="2341"/>
      <c r="H111" s="2343"/>
      <c r="I111" s="2413"/>
      <c r="J111" s="2413"/>
      <c r="K111" s="2343"/>
      <c r="L111" s="2761"/>
      <c r="M111" s="2413"/>
      <c r="N111" s="2343"/>
      <c r="O111" s="2413"/>
      <c r="P111" s="2854"/>
      <c r="Q111" s="2833"/>
      <c r="R111" s="2413"/>
      <c r="S111" s="2413"/>
      <c r="T111" s="1228" t="s">
        <v>1193</v>
      </c>
      <c r="U111" s="1212">
        <v>6000000</v>
      </c>
      <c r="V111" s="1270">
        <v>410000</v>
      </c>
      <c r="W111" s="1270"/>
      <c r="X111" s="1210">
        <v>88</v>
      </c>
      <c r="Y111" s="534" t="s">
        <v>4</v>
      </c>
      <c r="Z111" s="2634"/>
      <c r="AA111" s="2636"/>
      <c r="AB111" s="2634"/>
      <c r="AC111" s="2636"/>
      <c r="AD111" s="2634"/>
      <c r="AE111" s="2636"/>
      <c r="AF111" s="2634"/>
      <c r="AG111" s="2636"/>
      <c r="AH111" s="2634"/>
      <c r="AI111" s="2636"/>
      <c r="AJ111" s="2634"/>
      <c r="AK111" s="2636"/>
      <c r="AL111" s="2590"/>
      <c r="AM111" s="2580"/>
      <c r="AN111" s="2590"/>
      <c r="AO111" s="2580"/>
      <c r="AP111" s="2590"/>
      <c r="AQ111" s="2580"/>
      <c r="AR111" s="2590"/>
      <c r="AS111" s="2580"/>
      <c r="AT111" s="2590"/>
      <c r="AU111" s="2580"/>
      <c r="AV111" s="2590"/>
      <c r="AW111" s="2580"/>
      <c r="AX111" s="2590"/>
      <c r="AY111" s="2580"/>
      <c r="AZ111" s="2590"/>
      <c r="BA111" s="2580"/>
      <c r="BB111" s="2590"/>
      <c r="BC111" s="2580"/>
      <c r="BD111" s="2580"/>
      <c r="BE111" s="2634"/>
      <c r="BF111" s="2843"/>
      <c r="BG111" s="2845"/>
      <c r="BH111" s="2845"/>
      <c r="BI111" s="2847"/>
      <c r="BJ111" s="2858"/>
      <c r="BK111" s="2602"/>
      <c r="BL111" s="2938"/>
      <c r="BM111" s="2934"/>
      <c r="BN111" s="2938"/>
      <c r="BO111" s="2934"/>
      <c r="BP111" s="2843"/>
    </row>
    <row r="112" spans="1:68" s="768" customFormat="1" ht="65.25" customHeight="1" x14ac:dyDescent="0.2">
      <c r="A112" s="1278"/>
      <c r="B112" s="1225"/>
      <c r="C112" s="1225"/>
      <c r="D112" s="1224"/>
      <c r="E112" s="1225"/>
      <c r="F112" s="1226"/>
      <c r="G112" s="2341"/>
      <c r="H112" s="2343"/>
      <c r="I112" s="2413"/>
      <c r="J112" s="2413"/>
      <c r="K112" s="2343"/>
      <c r="L112" s="2761"/>
      <c r="M112" s="2413"/>
      <c r="N112" s="2343"/>
      <c r="O112" s="2413"/>
      <c r="P112" s="2854"/>
      <c r="Q112" s="2833"/>
      <c r="R112" s="2413"/>
      <c r="S112" s="2413"/>
      <c r="T112" s="1228" t="s">
        <v>1194</v>
      </c>
      <c r="U112" s="1212">
        <v>40000000</v>
      </c>
      <c r="V112" s="1270">
        <v>28000000</v>
      </c>
      <c r="W112" s="1270"/>
      <c r="X112" s="1210">
        <v>88</v>
      </c>
      <c r="Y112" s="534" t="s">
        <v>4</v>
      </c>
      <c r="Z112" s="2634"/>
      <c r="AA112" s="2636"/>
      <c r="AB112" s="2634"/>
      <c r="AC112" s="2636"/>
      <c r="AD112" s="2634"/>
      <c r="AE112" s="2636"/>
      <c r="AF112" s="2634"/>
      <c r="AG112" s="2636"/>
      <c r="AH112" s="2634"/>
      <c r="AI112" s="2636"/>
      <c r="AJ112" s="2634"/>
      <c r="AK112" s="2636"/>
      <c r="AL112" s="2590"/>
      <c r="AM112" s="2580"/>
      <c r="AN112" s="2590"/>
      <c r="AO112" s="2580"/>
      <c r="AP112" s="2590"/>
      <c r="AQ112" s="2580"/>
      <c r="AR112" s="2590"/>
      <c r="AS112" s="2580"/>
      <c r="AT112" s="2590"/>
      <c r="AU112" s="2580"/>
      <c r="AV112" s="2590"/>
      <c r="AW112" s="2580"/>
      <c r="AX112" s="2590"/>
      <c r="AY112" s="2580"/>
      <c r="AZ112" s="2590"/>
      <c r="BA112" s="2580"/>
      <c r="BB112" s="2590"/>
      <c r="BC112" s="2580"/>
      <c r="BD112" s="2580"/>
      <c r="BE112" s="2634"/>
      <c r="BF112" s="2843"/>
      <c r="BG112" s="2845"/>
      <c r="BH112" s="2845"/>
      <c r="BI112" s="2847"/>
      <c r="BJ112" s="2858"/>
      <c r="BK112" s="2602"/>
      <c r="BL112" s="2938"/>
      <c r="BM112" s="2934"/>
      <c r="BN112" s="2938"/>
      <c r="BO112" s="2934"/>
      <c r="BP112" s="2843"/>
    </row>
    <row r="113" spans="1:85" s="768" customFormat="1" ht="65.25" customHeight="1" x14ac:dyDescent="0.2">
      <c r="A113" s="1292"/>
      <c r="B113" s="1293"/>
      <c r="C113" s="1293"/>
      <c r="D113" s="1236"/>
      <c r="E113" s="1237"/>
      <c r="F113" s="1294"/>
      <c r="G113" s="2341"/>
      <c r="H113" s="2343"/>
      <c r="I113" s="2413"/>
      <c r="J113" s="2413"/>
      <c r="K113" s="2343"/>
      <c r="L113" s="2342"/>
      <c r="M113" s="2413"/>
      <c r="N113" s="2343"/>
      <c r="O113" s="2413"/>
      <c r="P113" s="2854"/>
      <c r="Q113" s="2833"/>
      <c r="R113" s="2413"/>
      <c r="S113" s="2413"/>
      <c r="T113" s="1228" t="s">
        <v>1195</v>
      </c>
      <c r="U113" s="1212">
        <v>17500000</v>
      </c>
      <c r="V113" s="1270"/>
      <c r="W113" s="1270"/>
      <c r="X113" s="1210">
        <v>88</v>
      </c>
      <c r="Y113" s="534" t="s">
        <v>4</v>
      </c>
      <c r="Z113" s="2634"/>
      <c r="AA113" s="2702"/>
      <c r="AB113" s="2634"/>
      <c r="AC113" s="2702"/>
      <c r="AD113" s="2634"/>
      <c r="AE113" s="2702"/>
      <c r="AF113" s="2634"/>
      <c r="AG113" s="2702"/>
      <c r="AH113" s="2634"/>
      <c r="AI113" s="2702"/>
      <c r="AJ113" s="2634"/>
      <c r="AK113" s="2702"/>
      <c r="AL113" s="2590"/>
      <c r="AM113" s="2581"/>
      <c r="AN113" s="2590"/>
      <c r="AO113" s="2581"/>
      <c r="AP113" s="2590"/>
      <c r="AQ113" s="2581"/>
      <c r="AR113" s="2590"/>
      <c r="AS113" s="2581"/>
      <c r="AT113" s="2590"/>
      <c r="AU113" s="2581"/>
      <c r="AV113" s="2590"/>
      <c r="AW113" s="2581"/>
      <c r="AX113" s="2590"/>
      <c r="AY113" s="2581"/>
      <c r="AZ113" s="2590"/>
      <c r="BA113" s="2581"/>
      <c r="BB113" s="2590"/>
      <c r="BC113" s="2581"/>
      <c r="BD113" s="2581"/>
      <c r="BE113" s="2634"/>
      <c r="BF113" s="2940"/>
      <c r="BG113" s="2942"/>
      <c r="BH113" s="2942"/>
      <c r="BI113" s="2943"/>
      <c r="BJ113" s="2974"/>
      <c r="BK113" s="2603"/>
      <c r="BL113" s="2938"/>
      <c r="BM113" s="2937"/>
      <c r="BN113" s="2938"/>
      <c r="BO113" s="2937"/>
      <c r="BP113" s="2940"/>
    </row>
    <row r="114" spans="1:85" s="768" customFormat="1" ht="21.75" customHeight="1" x14ac:dyDescent="0.2">
      <c r="A114" s="1295">
        <v>3</v>
      </c>
      <c r="B114" s="979" t="s">
        <v>486</v>
      </c>
      <c r="C114" s="980"/>
      <c r="D114" s="981"/>
      <c r="E114" s="1296"/>
      <c r="F114" s="1296"/>
      <c r="G114" s="1152"/>
      <c r="H114" s="1152"/>
      <c r="I114" s="981"/>
      <c r="J114" s="981"/>
      <c r="K114" s="1296"/>
      <c r="L114" s="1296"/>
      <c r="M114" s="981"/>
      <c r="N114" s="1152"/>
      <c r="O114" s="981"/>
      <c r="P114" s="1297"/>
      <c r="Q114" s="1298"/>
      <c r="R114" s="981"/>
      <c r="S114" s="981"/>
      <c r="T114" s="1299"/>
      <c r="U114" s="1300"/>
      <c r="V114" s="1301"/>
      <c r="W114" s="1302"/>
      <c r="X114" s="1190"/>
      <c r="Y114" s="981"/>
      <c r="Z114" s="1152"/>
      <c r="AA114" s="1152"/>
      <c r="AB114" s="1152"/>
      <c r="AC114" s="1152"/>
      <c r="AD114" s="1152"/>
      <c r="AE114" s="1152"/>
      <c r="AF114" s="1152"/>
      <c r="AG114" s="1152"/>
      <c r="AH114" s="1152"/>
      <c r="AI114" s="1152"/>
      <c r="AJ114" s="1152"/>
      <c r="AK114" s="1152"/>
      <c r="AL114" s="1152"/>
      <c r="AM114" s="1152"/>
      <c r="AN114" s="1152"/>
      <c r="AO114" s="1152"/>
      <c r="AP114" s="1152"/>
      <c r="AQ114" s="1152"/>
      <c r="AR114" s="1152"/>
      <c r="AS114" s="1152"/>
      <c r="AT114" s="1152"/>
      <c r="AU114" s="1152"/>
      <c r="AV114" s="1152"/>
      <c r="AW114" s="1152"/>
      <c r="AX114" s="1152"/>
      <c r="AY114" s="1152"/>
      <c r="AZ114" s="1152"/>
      <c r="BA114" s="1152"/>
      <c r="BB114" s="1152"/>
      <c r="BC114" s="1152"/>
      <c r="BD114" s="1152"/>
      <c r="BE114" s="1152"/>
      <c r="BF114" s="1152"/>
      <c r="BG114" s="1152"/>
      <c r="BH114" s="1152"/>
      <c r="BI114" s="1152"/>
      <c r="BJ114" s="1152"/>
      <c r="BK114" s="1152"/>
      <c r="BL114" s="1303"/>
      <c r="BM114" s="1303"/>
      <c r="BN114" s="1303"/>
      <c r="BO114" s="1303"/>
      <c r="BP114" s="1304"/>
      <c r="BQ114" s="1173"/>
      <c r="BR114" s="1173"/>
      <c r="BS114" s="1173"/>
      <c r="BT114" s="1173"/>
      <c r="BU114" s="1173"/>
      <c r="BV114" s="1173"/>
      <c r="BW114" s="1173"/>
      <c r="BX114" s="1173"/>
      <c r="BY114" s="1173"/>
      <c r="BZ114" s="1173"/>
      <c r="CA114" s="1173"/>
      <c r="CB114" s="1173"/>
      <c r="CC114" s="1173"/>
      <c r="CD114" s="1173"/>
      <c r="CE114" s="1173"/>
      <c r="CF114" s="1173"/>
      <c r="CG114" s="1173"/>
    </row>
    <row r="115" spans="1:85" s="1173" customFormat="1" ht="27" customHeight="1" x14ac:dyDescent="0.2">
      <c r="A115" s="1193"/>
      <c r="B115" s="1194"/>
      <c r="C115" s="1195"/>
      <c r="D115" s="1217">
        <v>23</v>
      </c>
      <c r="E115" s="1218" t="s">
        <v>560</v>
      </c>
      <c r="F115" s="744"/>
      <c r="G115" s="745"/>
      <c r="H115" s="745"/>
      <c r="I115" s="744"/>
      <c r="J115" s="1085"/>
      <c r="K115" s="1305"/>
      <c r="L115" s="1305"/>
      <c r="M115" s="1085"/>
      <c r="N115" s="1082"/>
      <c r="O115" s="1085"/>
      <c r="P115" s="1242"/>
      <c r="Q115" s="1243"/>
      <c r="R115" s="1085"/>
      <c r="S115" s="1085"/>
      <c r="T115" s="1244"/>
      <c r="U115" s="1220"/>
      <c r="V115" s="1221"/>
      <c r="W115" s="1221"/>
      <c r="X115" s="1203"/>
      <c r="Y115" s="112"/>
      <c r="Z115" s="1082"/>
      <c r="AA115" s="1082"/>
      <c r="AB115" s="1082"/>
      <c r="AC115" s="1082"/>
      <c r="AD115" s="1082"/>
      <c r="AE115" s="1082"/>
      <c r="AF115" s="1082"/>
      <c r="AG115" s="1082"/>
      <c r="AH115" s="1082"/>
      <c r="AI115" s="1082"/>
      <c r="AJ115" s="1082"/>
      <c r="AK115" s="1082"/>
      <c r="AL115" s="1082"/>
      <c r="AM115" s="1082"/>
      <c r="AN115" s="1082"/>
      <c r="AO115" s="1082"/>
      <c r="AP115" s="1082"/>
      <c r="AQ115" s="1082"/>
      <c r="AR115" s="1082"/>
      <c r="AS115" s="1082"/>
      <c r="AT115" s="1082"/>
      <c r="AU115" s="1082"/>
      <c r="AV115" s="1082"/>
      <c r="AW115" s="1082"/>
      <c r="AX115" s="1082"/>
      <c r="AY115" s="1082"/>
      <c r="AZ115" s="1082"/>
      <c r="BA115" s="1082"/>
      <c r="BB115" s="1082"/>
      <c r="BC115" s="1082"/>
      <c r="BD115" s="1082"/>
      <c r="BE115" s="1082"/>
      <c r="BF115" s="1082"/>
      <c r="BG115" s="1082"/>
      <c r="BH115" s="1082"/>
      <c r="BI115" s="1082"/>
      <c r="BJ115" s="1082"/>
      <c r="BK115" s="1082"/>
      <c r="BL115" s="1306"/>
      <c r="BM115" s="1306"/>
      <c r="BN115" s="1306"/>
      <c r="BO115" s="1306"/>
      <c r="BP115" s="1241"/>
    </row>
    <row r="116" spans="1:85" s="768" customFormat="1" ht="94.5" customHeight="1" x14ac:dyDescent="0.2">
      <c r="A116" s="786"/>
      <c r="C116" s="787"/>
      <c r="D116" s="2965"/>
      <c r="E116" s="2965"/>
      <c r="F116" s="2966"/>
      <c r="G116" s="546">
        <v>3205002</v>
      </c>
      <c r="H116" s="546" t="s">
        <v>1196</v>
      </c>
      <c r="I116" s="547" t="s">
        <v>1197</v>
      </c>
      <c r="J116" s="609" t="s">
        <v>1198</v>
      </c>
      <c r="K116" s="546">
        <v>1</v>
      </c>
      <c r="L116" s="546">
        <v>1</v>
      </c>
      <c r="M116" s="2894" t="s">
        <v>1199</v>
      </c>
      <c r="N116" s="2566" t="s">
        <v>1086</v>
      </c>
      <c r="O116" s="2894" t="s">
        <v>1087</v>
      </c>
      <c r="P116" s="1307">
        <f>SUM(U116)/Q116</f>
        <v>0.87173326151524666</v>
      </c>
      <c r="Q116" s="2970">
        <f>SUM(U116:U117)</f>
        <v>37702666</v>
      </c>
      <c r="R116" s="2894" t="s">
        <v>1088</v>
      </c>
      <c r="S116" s="2972" t="s">
        <v>1089</v>
      </c>
      <c r="T116" s="1308" t="s">
        <v>1200</v>
      </c>
      <c r="U116" s="1234">
        <f>12866668+20000000</f>
        <v>32866668</v>
      </c>
      <c r="V116" s="1229">
        <f>7866668+9333333</f>
        <v>17200001</v>
      </c>
      <c r="W116" s="1229"/>
      <c r="X116" s="1235">
        <v>88</v>
      </c>
      <c r="Y116" s="545" t="s">
        <v>4</v>
      </c>
      <c r="Z116" s="2979">
        <v>5089</v>
      </c>
      <c r="AA116" s="2977">
        <v>3812</v>
      </c>
      <c r="AB116" s="2977">
        <v>4911</v>
      </c>
      <c r="AC116" s="2977">
        <v>3788</v>
      </c>
      <c r="AD116" s="2977">
        <v>2331</v>
      </c>
      <c r="AE116" s="2977">
        <v>1463</v>
      </c>
      <c r="AF116" s="2977">
        <v>761</v>
      </c>
      <c r="AG116" s="2977">
        <v>515</v>
      </c>
      <c r="AH116" s="2977">
        <v>5316</v>
      </c>
      <c r="AI116" s="2977">
        <v>3411</v>
      </c>
      <c r="AJ116" s="2977">
        <v>1592</v>
      </c>
      <c r="AK116" s="2977">
        <v>2211</v>
      </c>
      <c r="AL116" s="2977">
        <v>0</v>
      </c>
      <c r="AM116" s="2977"/>
      <c r="AN116" s="2977">
        <v>0</v>
      </c>
      <c r="AO116" s="2977"/>
      <c r="AP116" s="2977">
        <v>0</v>
      </c>
      <c r="AQ116" s="1309"/>
      <c r="AR116" s="2977">
        <v>0</v>
      </c>
      <c r="AS116" s="1309"/>
      <c r="AT116" s="2977">
        <v>0</v>
      </c>
      <c r="AU116" s="1309"/>
      <c r="AV116" s="2977">
        <v>0</v>
      </c>
      <c r="AW116" s="1309"/>
      <c r="AX116" s="2977">
        <v>0</v>
      </c>
      <c r="AY116" s="1309"/>
      <c r="AZ116" s="2977">
        <v>0</v>
      </c>
      <c r="BA116" s="1309"/>
      <c r="BB116" s="2977">
        <v>0</v>
      </c>
      <c r="BC116" s="1309"/>
      <c r="BD116" s="2977">
        <f>+Z116+AB116</f>
        <v>10000</v>
      </c>
      <c r="BE116" s="2977">
        <f>AA116+AC116+AE116+AG116+AI116+AK116+AM116+AO116+AS116</f>
        <v>15200</v>
      </c>
      <c r="BF116" s="2977">
        <v>2</v>
      </c>
      <c r="BG116" s="2844">
        <f>SUM(V116:V117)</f>
        <v>20533333</v>
      </c>
      <c r="BH116" s="2844">
        <f>SUM(W116:W117)</f>
        <v>0</v>
      </c>
      <c r="BI116" s="2846">
        <f>+BH116/BG116</f>
        <v>0</v>
      </c>
      <c r="BJ116" s="2857">
        <v>88</v>
      </c>
      <c r="BK116" s="2981" t="s">
        <v>1091</v>
      </c>
      <c r="BL116" s="2838">
        <v>44076</v>
      </c>
      <c r="BM116" s="2838">
        <v>44186</v>
      </c>
      <c r="BN116" s="2838">
        <v>44195</v>
      </c>
      <c r="BO116" s="2838"/>
      <c r="BP116" s="2422" t="s">
        <v>1058</v>
      </c>
    </row>
    <row r="117" spans="1:85" s="768" customFormat="1" ht="98.25" customHeight="1" x14ac:dyDescent="0.2">
      <c r="A117" s="786"/>
      <c r="C117" s="787"/>
      <c r="D117" s="2967"/>
      <c r="E117" s="2967"/>
      <c r="F117" s="2968"/>
      <c r="G117" s="546">
        <v>3205021</v>
      </c>
      <c r="H117" s="546" t="s">
        <v>995</v>
      </c>
      <c r="I117" s="547" t="s">
        <v>996</v>
      </c>
      <c r="J117" s="609" t="s">
        <v>997</v>
      </c>
      <c r="K117" s="546">
        <v>1</v>
      </c>
      <c r="L117" s="529">
        <v>0</v>
      </c>
      <c r="M117" s="2895"/>
      <c r="N117" s="2969"/>
      <c r="O117" s="2895"/>
      <c r="P117" s="1307">
        <f>SUM(U117)/Q116</f>
        <v>0.12826673848475331</v>
      </c>
      <c r="Q117" s="2971"/>
      <c r="R117" s="2895"/>
      <c r="S117" s="2973"/>
      <c r="T117" s="1308" t="s">
        <v>1201</v>
      </c>
      <c r="U117" s="1234">
        <v>4835998</v>
      </c>
      <c r="V117" s="1229">
        <f>4326665-993333</f>
        <v>3333332</v>
      </c>
      <c r="W117" s="1229"/>
      <c r="X117" s="1235">
        <v>88</v>
      </c>
      <c r="Y117" s="545" t="s">
        <v>4</v>
      </c>
      <c r="Z117" s="2980"/>
      <c r="AA117" s="2978"/>
      <c r="AB117" s="2978"/>
      <c r="AC117" s="2978"/>
      <c r="AD117" s="2978"/>
      <c r="AE117" s="2978"/>
      <c r="AF117" s="2978"/>
      <c r="AG117" s="2978"/>
      <c r="AH117" s="2978"/>
      <c r="AI117" s="2978"/>
      <c r="AJ117" s="2978"/>
      <c r="AK117" s="2978"/>
      <c r="AL117" s="2978"/>
      <c r="AM117" s="2978"/>
      <c r="AN117" s="2978"/>
      <c r="AO117" s="2978"/>
      <c r="AP117" s="2978"/>
      <c r="AQ117" s="1310"/>
      <c r="AR117" s="2978"/>
      <c r="AS117" s="1310"/>
      <c r="AT117" s="2978"/>
      <c r="AU117" s="1310"/>
      <c r="AV117" s="2978"/>
      <c r="AW117" s="1310"/>
      <c r="AX117" s="2978"/>
      <c r="AY117" s="1310"/>
      <c r="AZ117" s="2978"/>
      <c r="BA117" s="1310"/>
      <c r="BB117" s="2978"/>
      <c r="BC117" s="1311"/>
      <c r="BD117" s="2984"/>
      <c r="BE117" s="2978"/>
      <c r="BF117" s="2978"/>
      <c r="BG117" s="2942"/>
      <c r="BH117" s="2942"/>
      <c r="BI117" s="2943"/>
      <c r="BJ117" s="2974"/>
      <c r="BK117" s="2982"/>
      <c r="BL117" s="2839"/>
      <c r="BM117" s="2983"/>
      <c r="BN117" s="2839"/>
      <c r="BO117" s="2983"/>
      <c r="BP117" s="2423"/>
    </row>
    <row r="118" spans="1:85" s="1173" customFormat="1" ht="27" customHeight="1" x14ac:dyDescent="0.2">
      <c r="A118" s="1312"/>
      <c r="B118" s="1313"/>
      <c r="C118" s="1314"/>
      <c r="D118" s="960">
        <v>43</v>
      </c>
      <c r="E118" s="989" t="s">
        <v>1202</v>
      </c>
      <c r="F118" s="46"/>
      <c r="G118" s="47"/>
      <c r="H118" s="47"/>
      <c r="I118" s="46"/>
      <c r="J118" s="112"/>
      <c r="K118" s="1197"/>
      <c r="L118" s="743"/>
      <c r="M118" s="1085"/>
      <c r="N118" s="1082"/>
      <c r="O118" s="1085"/>
      <c r="P118" s="1315"/>
      <c r="Q118" s="1199"/>
      <c r="R118" s="112"/>
      <c r="S118" s="1085"/>
      <c r="T118" s="1244"/>
      <c r="U118" s="1220"/>
      <c r="V118" s="1221"/>
      <c r="W118" s="1221"/>
      <c r="X118" s="1203"/>
      <c r="Y118" s="112"/>
      <c r="Z118" s="1082"/>
      <c r="AA118" s="1082"/>
      <c r="AB118" s="1082"/>
      <c r="AC118" s="1082"/>
      <c r="AD118" s="1082"/>
      <c r="AE118" s="1082"/>
      <c r="AF118" s="1082"/>
      <c r="AG118" s="1082"/>
      <c r="AH118" s="1082"/>
      <c r="AI118" s="1082"/>
      <c r="AJ118" s="1082"/>
      <c r="AK118" s="1082"/>
      <c r="AL118" s="1082"/>
      <c r="AM118" s="1082"/>
      <c r="AN118" s="1082"/>
      <c r="AO118" s="1082"/>
      <c r="AP118" s="1082"/>
      <c r="AQ118" s="1082"/>
      <c r="AR118" s="1082"/>
      <c r="AS118" s="1082"/>
      <c r="AT118" s="1082"/>
      <c r="AU118" s="1082"/>
      <c r="AV118" s="1082"/>
      <c r="AW118" s="1082"/>
      <c r="AX118" s="1082"/>
      <c r="AY118" s="1082"/>
      <c r="AZ118" s="1082"/>
      <c r="BA118" s="1082"/>
      <c r="BB118" s="1082"/>
      <c r="BC118" s="746"/>
      <c r="BD118" s="746"/>
      <c r="BE118" s="746"/>
      <c r="BF118" s="746"/>
      <c r="BG118" s="746"/>
      <c r="BH118" s="746"/>
      <c r="BI118" s="746"/>
      <c r="BJ118" s="746"/>
      <c r="BK118" s="746"/>
      <c r="BL118" s="1247"/>
      <c r="BM118" s="1247"/>
      <c r="BN118" s="1247"/>
      <c r="BO118" s="1247"/>
      <c r="BP118" s="1248"/>
    </row>
    <row r="119" spans="1:85" s="768" customFormat="1" ht="39" customHeight="1" x14ac:dyDescent="0.2">
      <c r="A119" s="786"/>
      <c r="C119" s="787"/>
      <c r="D119" s="762"/>
      <c r="E119" s="762"/>
      <c r="F119" s="762"/>
      <c r="G119" s="2343">
        <v>4503002</v>
      </c>
      <c r="H119" s="2343" t="s">
        <v>1203</v>
      </c>
      <c r="I119" s="2413" t="s">
        <v>1204</v>
      </c>
      <c r="J119" s="2413" t="s">
        <v>619</v>
      </c>
      <c r="K119" s="2451">
        <v>1000</v>
      </c>
      <c r="L119" s="2306">
        <v>270</v>
      </c>
      <c r="M119" s="2991" t="s">
        <v>1205</v>
      </c>
      <c r="N119" s="2306" t="s">
        <v>1086</v>
      </c>
      <c r="O119" s="2929" t="s">
        <v>1206</v>
      </c>
      <c r="P119" s="2924">
        <f>SUM(U119:U123)/Q119</f>
        <v>0.12631012585745621</v>
      </c>
      <c r="Q119" s="2833">
        <f>SUM(U119:U139)</f>
        <v>325579598</v>
      </c>
      <c r="R119" s="2413" t="s">
        <v>1088</v>
      </c>
      <c r="S119" s="2985" t="s">
        <v>1089</v>
      </c>
      <c r="T119" s="2910" t="s">
        <v>1207</v>
      </c>
      <c r="U119" s="1234">
        <f>4390667+20000000</f>
        <v>24390667</v>
      </c>
      <c r="V119" s="1229">
        <v>11250673</v>
      </c>
      <c r="W119" s="1270"/>
      <c r="X119" s="1235">
        <v>88</v>
      </c>
      <c r="Y119" s="436" t="s">
        <v>4</v>
      </c>
      <c r="Z119" s="2988">
        <v>5089</v>
      </c>
      <c r="AA119" s="2977">
        <v>412</v>
      </c>
      <c r="AB119" s="2988">
        <v>4911</v>
      </c>
      <c r="AC119" s="2977">
        <v>383</v>
      </c>
      <c r="AD119" s="2988">
        <v>2331</v>
      </c>
      <c r="AE119" s="2977">
        <v>0</v>
      </c>
      <c r="AF119" s="2988">
        <v>761</v>
      </c>
      <c r="AG119" s="2988">
        <v>0</v>
      </c>
      <c r="AH119" s="2988">
        <v>5316</v>
      </c>
      <c r="AI119" s="2988">
        <v>631</v>
      </c>
      <c r="AJ119" s="2988">
        <v>1592</v>
      </c>
      <c r="AK119" s="2988">
        <v>164</v>
      </c>
      <c r="AL119" s="2988">
        <v>0</v>
      </c>
      <c r="AM119" s="2988">
        <v>0</v>
      </c>
      <c r="AN119" s="2988">
        <v>0</v>
      </c>
      <c r="AO119" s="2988">
        <v>0</v>
      </c>
      <c r="AP119" s="2988">
        <v>0</v>
      </c>
      <c r="AQ119" s="2988">
        <v>0</v>
      </c>
      <c r="AR119" s="2988">
        <v>0</v>
      </c>
      <c r="AS119" s="2988">
        <v>0</v>
      </c>
      <c r="AT119" s="2988">
        <v>0</v>
      </c>
      <c r="AU119" s="2988">
        <v>0</v>
      </c>
      <c r="AV119" s="2988">
        <v>0</v>
      </c>
      <c r="AW119" s="2988">
        <v>0</v>
      </c>
      <c r="AX119" s="2988">
        <v>0</v>
      </c>
      <c r="AY119" s="2988">
        <v>0</v>
      </c>
      <c r="AZ119" s="2988">
        <v>0</v>
      </c>
      <c r="BA119" s="2988">
        <v>0</v>
      </c>
      <c r="BB119" s="2988">
        <v>0</v>
      </c>
      <c r="BC119" s="2988">
        <v>0</v>
      </c>
      <c r="BD119" s="2988">
        <f>+Z119+AB119</f>
        <v>10000</v>
      </c>
      <c r="BE119" s="2988">
        <f>AA119+AC119+AE119+AG119+AI119+AK119+AM119+AO119</f>
        <v>1590</v>
      </c>
      <c r="BF119" s="2988">
        <v>2</v>
      </c>
      <c r="BG119" s="2844">
        <f>SUM(V119:V123)</f>
        <v>14984006</v>
      </c>
      <c r="BH119" s="2844">
        <f>SUM(W119:W123)</f>
        <v>0</v>
      </c>
      <c r="BI119" s="2846">
        <f>+BH119/BG119</f>
        <v>0</v>
      </c>
      <c r="BJ119" s="2996" t="s">
        <v>161</v>
      </c>
      <c r="BK119" s="2977" t="s">
        <v>1091</v>
      </c>
      <c r="BL119" s="2838">
        <v>44057</v>
      </c>
      <c r="BM119" s="2838">
        <v>44186</v>
      </c>
      <c r="BN119" s="2838">
        <v>44195</v>
      </c>
      <c r="BO119" s="2838"/>
      <c r="BP119" s="2306" t="s">
        <v>1058</v>
      </c>
    </row>
    <row r="120" spans="1:85" s="768" customFormat="1" ht="42" customHeight="1" x14ac:dyDescent="0.2">
      <c r="A120" s="786"/>
      <c r="C120" s="787"/>
      <c r="G120" s="2343"/>
      <c r="H120" s="2343"/>
      <c r="I120" s="2413"/>
      <c r="J120" s="2413"/>
      <c r="K120" s="2451"/>
      <c r="L120" s="2307"/>
      <c r="M120" s="2992"/>
      <c r="N120" s="2307"/>
      <c r="O120" s="2993"/>
      <c r="P120" s="2994"/>
      <c r="Q120" s="2833"/>
      <c r="R120" s="2413"/>
      <c r="S120" s="2986"/>
      <c r="T120" s="2911"/>
      <c r="U120" s="1234">
        <v>3733333</v>
      </c>
      <c r="V120" s="1229">
        <v>3733333</v>
      </c>
      <c r="W120" s="1229"/>
      <c r="X120" s="1235">
        <v>20</v>
      </c>
      <c r="Y120" s="436" t="s">
        <v>7</v>
      </c>
      <c r="Z120" s="2988"/>
      <c r="AA120" s="2984"/>
      <c r="AB120" s="2988"/>
      <c r="AC120" s="2984"/>
      <c r="AD120" s="2988"/>
      <c r="AE120" s="2984"/>
      <c r="AF120" s="2988"/>
      <c r="AG120" s="2988"/>
      <c r="AH120" s="2988"/>
      <c r="AI120" s="2988"/>
      <c r="AJ120" s="2988"/>
      <c r="AK120" s="2988"/>
      <c r="AL120" s="2988"/>
      <c r="AM120" s="2988"/>
      <c r="AN120" s="2988"/>
      <c r="AO120" s="2988"/>
      <c r="AP120" s="2988"/>
      <c r="AQ120" s="2988"/>
      <c r="AR120" s="2988"/>
      <c r="AS120" s="2988"/>
      <c r="AT120" s="2988"/>
      <c r="AU120" s="2988"/>
      <c r="AV120" s="2988"/>
      <c r="AW120" s="2988"/>
      <c r="AX120" s="2988"/>
      <c r="AY120" s="2988"/>
      <c r="AZ120" s="2988"/>
      <c r="BA120" s="2988"/>
      <c r="BB120" s="2988"/>
      <c r="BC120" s="2988"/>
      <c r="BD120" s="2988"/>
      <c r="BE120" s="2988"/>
      <c r="BF120" s="2988"/>
      <c r="BG120" s="2845"/>
      <c r="BH120" s="2845"/>
      <c r="BI120" s="2847"/>
      <c r="BJ120" s="2997"/>
      <c r="BK120" s="2984"/>
      <c r="BL120" s="2839"/>
      <c r="BM120" s="2839"/>
      <c r="BN120" s="2839"/>
      <c r="BO120" s="2839"/>
      <c r="BP120" s="2307"/>
    </row>
    <row r="121" spans="1:85" s="768" customFormat="1" ht="54" customHeight="1" x14ac:dyDescent="0.2">
      <c r="A121" s="786"/>
      <c r="C121" s="787"/>
      <c r="G121" s="2343"/>
      <c r="H121" s="2343"/>
      <c r="I121" s="2413"/>
      <c r="J121" s="2413"/>
      <c r="K121" s="2451"/>
      <c r="L121" s="2307"/>
      <c r="M121" s="2992"/>
      <c r="N121" s="2307"/>
      <c r="O121" s="2993"/>
      <c r="P121" s="2994"/>
      <c r="Q121" s="2833"/>
      <c r="R121" s="2413"/>
      <c r="S121" s="2986"/>
      <c r="T121" s="1316" t="s">
        <v>1208</v>
      </c>
      <c r="U121" s="1234">
        <f>0+13000000</f>
        <v>13000000</v>
      </c>
      <c r="V121" s="1229"/>
      <c r="W121" s="1229"/>
      <c r="X121" s="1235">
        <v>88</v>
      </c>
      <c r="Y121" s="436" t="s">
        <v>4</v>
      </c>
      <c r="Z121" s="2988"/>
      <c r="AA121" s="2984"/>
      <c r="AB121" s="2988"/>
      <c r="AC121" s="2984"/>
      <c r="AD121" s="2988"/>
      <c r="AE121" s="2984"/>
      <c r="AF121" s="2988"/>
      <c r="AG121" s="2988"/>
      <c r="AH121" s="2988"/>
      <c r="AI121" s="2988"/>
      <c r="AJ121" s="2988"/>
      <c r="AK121" s="2988"/>
      <c r="AL121" s="2988"/>
      <c r="AM121" s="2988"/>
      <c r="AN121" s="2988"/>
      <c r="AO121" s="2988"/>
      <c r="AP121" s="2988"/>
      <c r="AQ121" s="2988"/>
      <c r="AR121" s="2988"/>
      <c r="AS121" s="2988"/>
      <c r="AT121" s="2988"/>
      <c r="AU121" s="2988"/>
      <c r="AV121" s="2988"/>
      <c r="AW121" s="2988"/>
      <c r="AX121" s="2988"/>
      <c r="AY121" s="2988"/>
      <c r="AZ121" s="2988"/>
      <c r="BA121" s="2988"/>
      <c r="BB121" s="2988"/>
      <c r="BC121" s="2988"/>
      <c r="BD121" s="2988"/>
      <c r="BE121" s="2988"/>
      <c r="BF121" s="2988"/>
      <c r="BG121" s="2845"/>
      <c r="BH121" s="2845"/>
      <c r="BI121" s="2847"/>
      <c r="BJ121" s="2997"/>
      <c r="BK121" s="2984"/>
      <c r="BL121" s="2839"/>
      <c r="BM121" s="2839"/>
      <c r="BN121" s="2839"/>
      <c r="BO121" s="2839"/>
      <c r="BP121" s="2307"/>
    </row>
    <row r="122" spans="1:85" s="768" customFormat="1" ht="50.25" customHeight="1" x14ac:dyDescent="0.2">
      <c r="A122" s="786"/>
      <c r="C122" s="787"/>
      <c r="G122" s="2343"/>
      <c r="H122" s="2343"/>
      <c r="I122" s="2413"/>
      <c r="J122" s="2413"/>
      <c r="K122" s="2451"/>
      <c r="L122" s="2307"/>
      <c r="M122" s="2992"/>
      <c r="N122" s="2307"/>
      <c r="O122" s="2993"/>
      <c r="P122" s="2994"/>
      <c r="Q122" s="2833"/>
      <c r="R122" s="2413"/>
      <c r="S122" s="2986"/>
      <c r="T122" s="1316" t="s">
        <v>1209</v>
      </c>
      <c r="U122" s="1238">
        <v>0</v>
      </c>
      <c r="V122" s="1229"/>
      <c r="W122" s="1229"/>
      <c r="X122" s="1235"/>
      <c r="Y122" s="436"/>
      <c r="Z122" s="2988"/>
      <c r="AA122" s="2984"/>
      <c r="AB122" s="2988"/>
      <c r="AC122" s="2984"/>
      <c r="AD122" s="2988"/>
      <c r="AE122" s="2984"/>
      <c r="AF122" s="2988"/>
      <c r="AG122" s="2988"/>
      <c r="AH122" s="2988"/>
      <c r="AI122" s="2988"/>
      <c r="AJ122" s="2988"/>
      <c r="AK122" s="2988"/>
      <c r="AL122" s="2988"/>
      <c r="AM122" s="2988"/>
      <c r="AN122" s="2988"/>
      <c r="AO122" s="2988"/>
      <c r="AP122" s="2988"/>
      <c r="AQ122" s="2988"/>
      <c r="AR122" s="2988"/>
      <c r="AS122" s="2988"/>
      <c r="AT122" s="2988"/>
      <c r="AU122" s="2988"/>
      <c r="AV122" s="2988"/>
      <c r="AW122" s="2988"/>
      <c r="AX122" s="2988"/>
      <c r="AY122" s="2988"/>
      <c r="AZ122" s="2988"/>
      <c r="BA122" s="2988"/>
      <c r="BB122" s="2988"/>
      <c r="BC122" s="2988"/>
      <c r="BD122" s="2988"/>
      <c r="BE122" s="2988"/>
      <c r="BF122" s="2988"/>
      <c r="BG122" s="2845"/>
      <c r="BH122" s="2845"/>
      <c r="BI122" s="2847"/>
      <c r="BJ122" s="2997"/>
      <c r="BK122" s="2984"/>
      <c r="BL122" s="2839"/>
      <c r="BM122" s="2839"/>
      <c r="BN122" s="2839"/>
      <c r="BO122" s="2839"/>
      <c r="BP122" s="2307"/>
    </row>
    <row r="123" spans="1:85" s="768" customFormat="1" ht="54.75" customHeight="1" x14ac:dyDescent="0.2">
      <c r="A123" s="786"/>
      <c r="C123" s="787"/>
      <c r="G123" s="2343"/>
      <c r="H123" s="2343"/>
      <c r="I123" s="2413"/>
      <c r="J123" s="2413"/>
      <c r="K123" s="2451"/>
      <c r="L123" s="2467"/>
      <c r="M123" s="2992"/>
      <c r="N123" s="2307"/>
      <c r="O123" s="2993"/>
      <c r="P123" s="2923"/>
      <c r="Q123" s="2833"/>
      <c r="R123" s="2413"/>
      <c r="S123" s="2986"/>
      <c r="T123" s="1316" t="s">
        <v>1210</v>
      </c>
      <c r="U123" s="1238"/>
      <c r="V123" s="1229"/>
      <c r="W123" s="1229"/>
      <c r="X123" s="1235"/>
      <c r="Y123" s="436"/>
      <c r="Z123" s="2988"/>
      <c r="AA123" s="2978"/>
      <c r="AB123" s="2988"/>
      <c r="AC123" s="2978"/>
      <c r="AD123" s="2988"/>
      <c r="AE123" s="2978"/>
      <c r="AF123" s="2988"/>
      <c r="AG123" s="2988"/>
      <c r="AH123" s="2988"/>
      <c r="AI123" s="2988"/>
      <c r="AJ123" s="2988"/>
      <c r="AK123" s="2988"/>
      <c r="AL123" s="2988"/>
      <c r="AM123" s="2988"/>
      <c r="AN123" s="2988"/>
      <c r="AO123" s="2988"/>
      <c r="AP123" s="2988"/>
      <c r="AQ123" s="2988"/>
      <c r="AR123" s="2988"/>
      <c r="AS123" s="2988"/>
      <c r="AT123" s="2988"/>
      <c r="AU123" s="2988"/>
      <c r="AV123" s="2988"/>
      <c r="AW123" s="2988"/>
      <c r="AX123" s="2988"/>
      <c r="AY123" s="2988"/>
      <c r="AZ123" s="2988"/>
      <c r="BA123" s="2988"/>
      <c r="BB123" s="2988"/>
      <c r="BC123" s="2988"/>
      <c r="BD123" s="2988"/>
      <c r="BE123" s="2988"/>
      <c r="BF123" s="2988"/>
      <c r="BG123" s="2942"/>
      <c r="BH123" s="2942"/>
      <c r="BI123" s="2943"/>
      <c r="BJ123" s="2998"/>
      <c r="BK123" s="2978"/>
      <c r="BL123" s="2983"/>
      <c r="BM123" s="2983"/>
      <c r="BN123" s="2983"/>
      <c r="BO123" s="2983"/>
      <c r="BP123" s="2467"/>
    </row>
    <row r="124" spans="1:85" s="768" customFormat="1" ht="36.75" customHeight="1" x14ac:dyDescent="0.2">
      <c r="A124" s="786"/>
      <c r="C124" s="787"/>
      <c r="F124" s="787"/>
      <c r="G124" s="2307">
        <v>4503003</v>
      </c>
      <c r="H124" s="2307" t="s">
        <v>1211</v>
      </c>
      <c r="I124" s="2423" t="s">
        <v>1212</v>
      </c>
      <c r="J124" s="2423" t="s">
        <v>1213</v>
      </c>
      <c r="K124" s="2307">
        <v>12</v>
      </c>
      <c r="L124" s="2306">
        <v>12</v>
      </c>
      <c r="M124" s="2884"/>
      <c r="N124" s="2307"/>
      <c r="O124" s="2993"/>
      <c r="P124" s="2854">
        <f>SUM(U124:U139)/Q119</f>
        <v>0.87368987414254373</v>
      </c>
      <c r="Q124" s="2833"/>
      <c r="R124" s="2413"/>
      <c r="S124" s="2986"/>
      <c r="T124" s="1317" t="s">
        <v>1214</v>
      </c>
      <c r="U124" s="1212">
        <v>10692402</v>
      </c>
      <c r="V124" s="1270">
        <v>10692402</v>
      </c>
      <c r="W124" s="1229">
        <v>10692402</v>
      </c>
      <c r="X124" s="1235">
        <v>20</v>
      </c>
      <c r="Y124" s="545" t="s">
        <v>7</v>
      </c>
      <c r="Z124" s="2862">
        <v>5089</v>
      </c>
      <c r="AA124" s="2988">
        <f>134+28</f>
        <v>162</v>
      </c>
      <c r="AB124" s="2984">
        <v>4911</v>
      </c>
      <c r="AC124" s="2988">
        <f>141+86</f>
        <v>227</v>
      </c>
      <c r="AD124" s="2984">
        <v>2331</v>
      </c>
      <c r="AE124" s="2978">
        <v>21</v>
      </c>
      <c r="AF124" s="2984">
        <v>761</v>
      </c>
      <c r="AG124" s="2984">
        <v>36</v>
      </c>
      <c r="AH124" s="2988">
        <v>5316</v>
      </c>
      <c r="AI124" s="2988">
        <f>149+114</f>
        <v>263</v>
      </c>
      <c r="AJ124" s="2988">
        <v>1592</v>
      </c>
      <c r="AK124" s="2988">
        <v>69</v>
      </c>
      <c r="AL124" s="2988">
        <v>0</v>
      </c>
      <c r="AM124" s="2988"/>
      <c r="AN124" s="2988">
        <v>0</v>
      </c>
      <c r="AO124" s="2988"/>
      <c r="AP124" s="2988">
        <v>0</v>
      </c>
      <c r="AQ124" s="2988"/>
      <c r="AR124" s="2988">
        <v>0</v>
      </c>
      <c r="AS124" s="2988"/>
      <c r="AT124" s="2988">
        <v>0</v>
      </c>
      <c r="AU124" s="2988"/>
      <c r="AV124" s="2988">
        <v>0</v>
      </c>
      <c r="AW124" s="2988"/>
      <c r="AX124" s="2988">
        <v>0</v>
      </c>
      <c r="AY124" s="2988"/>
      <c r="AZ124" s="2988">
        <v>0</v>
      </c>
      <c r="BA124" s="2988"/>
      <c r="BB124" s="2978">
        <v>0</v>
      </c>
      <c r="BC124" s="2978"/>
      <c r="BD124" s="2984">
        <f>+Z124+AB124</f>
        <v>10000</v>
      </c>
      <c r="BE124" s="2977">
        <f>+AA124+AC124</f>
        <v>389</v>
      </c>
      <c r="BF124" s="2977">
        <v>10</v>
      </c>
      <c r="BG124" s="2844">
        <f>+V124+V125+V126+V127+V128+V129+V130+V131+V132+V133+V134+V135+V136+V137+V138+V139</f>
        <v>140953729</v>
      </c>
      <c r="BH124" s="2844">
        <f>+W124+W125+W126+W127+W128+W129+W130+W131+W132+W133+W134+W135+W136+W137+W138+W139</f>
        <v>85591197</v>
      </c>
      <c r="BI124" s="2846">
        <f>+BH124/BG124</f>
        <v>0.60722903613284329</v>
      </c>
      <c r="BJ124" s="2871" t="s">
        <v>1215</v>
      </c>
      <c r="BK124" s="2861" t="s">
        <v>1091</v>
      </c>
      <c r="BL124" s="2838">
        <v>44057</v>
      </c>
      <c r="BM124" s="2838">
        <v>44186</v>
      </c>
      <c r="BN124" s="2838">
        <v>44195</v>
      </c>
      <c r="BO124" s="2838"/>
      <c r="BP124" s="2306" t="s">
        <v>1058</v>
      </c>
    </row>
    <row r="125" spans="1:85" s="768" customFormat="1" ht="40.5" customHeight="1" x14ac:dyDescent="0.2">
      <c r="A125" s="786"/>
      <c r="C125" s="787"/>
      <c r="F125" s="787"/>
      <c r="G125" s="2307"/>
      <c r="H125" s="2307"/>
      <c r="I125" s="2423"/>
      <c r="J125" s="2423"/>
      <c r="K125" s="2307"/>
      <c r="L125" s="2307"/>
      <c r="M125" s="2884"/>
      <c r="N125" s="2307"/>
      <c r="O125" s="2993"/>
      <c r="P125" s="2854"/>
      <c r="Q125" s="2833"/>
      <c r="R125" s="2413"/>
      <c r="S125" s="2986"/>
      <c r="T125" s="1316" t="s">
        <v>1201</v>
      </c>
      <c r="U125" s="1212">
        <f>5235999</f>
        <v>5235999</v>
      </c>
      <c r="V125" s="1270">
        <f>5235999</f>
        <v>5235999</v>
      </c>
      <c r="W125" s="1229">
        <v>5235999</v>
      </c>
      <c r="X125" s="1235">
        <v>20</v>
      </c>
      <c r="Y125" s="545" t="s">
        <v>7</v>
      </c>
      <c r="Z125" s="2862"/>
      <c r="AA125" s="2988"/>
      <c r="AB125" s="2984"/>
      <c r="AC125" s="2988"/>
      <c r="AD125" s="2984"/>
      <c r="AE125" s="2988"/>
      <c r="AF125" s="2984"/>
      <c r="AG125" s="2984"/>
      <c r="AH125" s="2988"/>
      <c r="AI125" s="2988"/>
      <c r="AJ125" s="2988"/>
      <c r="AK125" s="2988"/>
      <c r="AL125" s="2988"/>
      <c r="AM125" s="2988"/>
      <c r="AN125" s="2988"/>
      <c r="AO125" s="2988"/>
      <c r="AP125" s="2988"/>
      <c r="AQ125" s="2988"/>
      <c r="AR125" s="2988"/>
      <c r="AS125" s="2988"/>
      <c r="AT125" s="2988"/>
      <c r="AU125" s="2988"/>
      <c r="AV125" s="2988"/>
      <c r="AW125" s="2988"/>
      <c r="AX125" s="2988"/>
      <c r="AY125" s="2988"/>
      <c r="AZ125" s="2988"/>
      <c r="BA125" s="2988"/>
      <c r="BB125" s="2988"/>
      <c r="BC125" s="2988"/>
      <c r="BD125" s="2984"/>
      <c r="BE125" s="2984"/>
      <c r="BF125" s="2984"/>
      <c r="BG125" s="2845"/>
      <c r="BH125" s="2845"/>
      <c r="BI125" s="2847"/>
      <c r="BJ125" s="2858"/>
      <c r="BK125" s="2862"/>
      <c r="BL125" s="2839"/>
      <c r="BM125" s="2839"/>
      <c r="BN125" s="2839"/>
      <c r="BO125" s="2839"/>
      <c r="BP125" s="2307"/>
    </row>
    <row r="126" spans="1:85" s="768" customFormat="1" ht="48" customHeight="1" x14ac:dyDescent="0.2">
      <c r="A126" s="786"/>
      <c r="C126" s="787"/>
      <c r="F126" s="787"/>
      <c r="G126" s="2307"/>
      <c r="H126" s="2307"/>
      <c r="I126" s="2423"/>
      <c r="J126" s="2423"/>
      <c r="K126" s="2307"/>
      <c r="L126" s="2307"/>
      <c r="M126" s="2884"/>
      <c r="N126" s="2307"/>
      <c r="O126" s="2993"/>
      <c r="P126" s="2854"/>
      <c r="Q126" s="2833"/>
      <c r="R126" s="2413"/>
      <c r="S126" s="2986"/>
      <c r="T126" s="1316" t="s">
        <v>1200</v>
      </c>
      <c r="U126" s="1212">
        <f>7466667</f>
        <v>7466667</v>
      </c>
      <c r="V126" s="1270">
        <f>7466667</f>
        <v>7466667</v>
      </c>
      <c r="W126" s="1229">
        <v>7466667</v>
      </c>
      <c r="X126" s="1235">
        <v>20</v>
      </c>
      <c r="Y126" s="545" t="s">
        <v>7</v>
      </c>
      <c r="Z126" s="2862"/>
      <c r="AA126" s="2988"/>
      <c r="AB126" s="2984"/>
      <c r="AC126" s="2988"/>
      <c r="AD126" s="2984"/>
      <c r="AE126" s="2988"/>
      <c r="AF126" s="2984"/>
      <c r="AG126" s="2984"/>
      <c r="AH126" s="2988"/>
      <c r="AI126" s="2988"/>
      <c r="AJ126" s="2988"/>
      <c r="AK126" s="2988"/>
      <c r="AL126" s="2988"/>
      <c r="AM126" s="2988"/>
      <c r="AN126" s="2988"/>
      <c r="AO126" s="2988"/>
      <c r="AP126" s="2988"/>
      <c r="AQ126" s="2988"/>
      <c r="AR126" s="2988"/>
      <c r="AS126" s="2988"/>
      <c r="AT126" s="2988"/>
      <c r="AU126" s="2988"/>
      <c r="AV126" s="2988"/>
      <c r="AW126" s="2988"/>
      <c r="AX126" s="2988"/>
      <c r="AY126" s="2988"/>
      <c r="AZ126" s="2988"/>
      <c r="BA126" s="2988"/>
      <c r="BB126" s="2988"/>
      <c r="BC126" s="2988"/>
      <c r="BD126" s="2984"/>
      <c r="BE126" s="2984"/>
      <c r="BF126" s="2984"/>
      <c r="BG126" s="2845"/>
      <c r="BH126" s="2845"/>
      <c r="BI126" s="2847"/>
      <c r="BJ126" s="2858"/>
      <c r="BK126" s="2862"/>
      <c r="BL126" s="2839"/>
      <c r="BM126" s="2839"/>
      <c r="BN126" s="2839"/>
      <c r="BO126" s="2839"/>
      <c r="BP126" s="2307"/>
    </row>
    <row r="127" spans="1:85" s="768" customFormat="1" ht="57.75" customHeight="1" x14ac:dyDescent="0.2">
      <c r="A127" s="786"/>
      <c r="C127" s="787"/>
      <c r="F127" s="787"/>
      <c r="G127" s="2307"/>
      <c r="H127" s="2307"/>
      <c r="I127" s="2423"/>
      <c r="J127" s="2423"/>
      <c r="K127" s="2307"/>
      <c r="L127" s="2307"/>
      <c r="M127" s="2884"/>
      <c r="N127" s="2307"/>
      <c r="O127" s="2993"/>
      <c r="P127" s="2854"/>
      <c r="Q127" s="2833"/>
      <c r="R127" s="2413"/>
      <c r="S127" s="2986"/>
      <c r="T127" s="1316" t="s">
        <v>1216</v>
      </c>
      <c r="U127" s="1212">
        <f>0+49000000</f>
        <v>49000000</v>
      </c>
      <c r="V127" s="1270">
        <f>3000000-600000</f>
        <v>2400000</v>
      </c>
      <c r="W127" s="1229"/>
      <c r="X127" s="1235">
        <v>88</v>
      </c>
      <c r="Y127" s="545" t="s">
        <v>4</v>
      </c>
      <c r="Z127" s="2862"/>
      <c r="AA127" s="2988"/>
      <c r="AB127" s="2984"/>
      <c r="AC127" s="2988"/>
      <c r="AD127" s="2984"/>
      <c r="AE127" s="2988"/>
      <c r="AF127" s="2984"/>
      <c r="AG127" s="2984"/>
      <c r="AH127" s="2988"/>
      <c r="AI127" s="2988"/>
      <c r="AJ127" s="2988"/>
      <c r="AK127" s="2988"/>
      <c r="AL127" s="2988"/>
      <c r="AM127" s="2988"/>
      <c r="AN127" s="2988"/>
      <c r="AO127" s="2988"/>
      <c r="AP127" s="2988"/>
      <c r="AQ127" s="2988"/>
      <c r="AR127" s="2988"/>
      <c r="AS127" s="2988"/>
      <c r="AT127" s="2988"/>
      <c r="AU127" s="2988"/>
      <c r="AV127" s="2988"/>
      <c r="AW127" s="2988"/>
      <c r="AX127" s="2988"/>
      <c r="AY127" s="2988"/>
      <c r="AZ127" s="2988"/>
      <c r="BA127" s="2988"/>
      <c r="BB127" s="2988"/>
      <c r="BC127" s="2988"/>
      <c r="BD127" s="2984"/>
      <c r="BE127" s="2984"/>
      <c r="BF127" s="2984"/>
      <c r="BG127" s="2845"/>
      <c r="BH127" s="2845"/>
      <c r="BI127" s="2847"/>
      <c r="BJ127" s="2858"/>
      <c r="BK127" s="2862"/>
      <c r="BL127" s="2839"/>
      <c r="BM127" s="2839"/>
      <c r="BN127" s="2839"/>
      <c r="BO127" s="2839"/>
      <c r="BP127" s="2307"/>
    </row>
    <row r="128" spans="1:85" s="768" customFormat="1" ht="48" customHeight="1" x14ac:dyDescent="0.2">
      <c r="A128" s="786"/>
      <c r="C128" s="787"/>
      <c r="F128" s="787"/>
      <c r="G128" s="2307"/>
      <c r="H128" s="2307"/>
      <c r="I128" s="2423"/>
      <c r="J128" s="2423"/>
      <c r="K128" s="2307"/>
      <c r="L128" s="2307"/>
      <c r="M128" s="2884"/>
      <c r="N128" s="2307"/>
      <c r="O128" s="2993"/>
      <c r="P128" s="2854"/>
      <c r="Q128" s="2833"/>
      <c r="R128" s="2413"/>
      <c r="S128" s="2986"/>
      <c r="T128" s="1316" t="s">
        <v>1217</v>
      </c>
      <c r="U128" s="1212">
        <f>7000000+16200000</f>
        <v>23200000</v>
      </c>
      <c r="V128" s="1270">
        <v>13300000</v>
      </c>
      <c r="W128" s="1270">
        <v>2800000</v>
      </c>
      <c r="X128" s="1235">
        <v>88</v>
      </c>
      <c r="Y128" s="545" t="s">
        <v>4</v>
      </c>
      <c r="Z128" s="2862"/>
      <c r="AA128" s="2988"/>
      <c r="AB128" s="2984"/>
      <c r="AC128" s="2988"/>
      <c r="AD128" s="2984"/>
      <c r="AE128" s="2988"/>
      <c r="AF128" s="2984"/>
      <c r="AG128" s="2984"/>
      <c r="AH128" s="2988"/>
      <c r="AI128" s="2988"/>
      <c r="AJ128" s="2988"/>
      <c r="AK128" s="2988"/>
      <c r="AL128" s="2988"/>
      <c r="AM128" s="2988"/>
      <c r="AN128" s="2988"/>
      <c r="AO128" s="2988"/>
      <c r="AP128" s="2988"/>
      <c r="AQ128" s="2988"/>
      <c r="AR128" s="2988"/>
      <c r="AS128" s="2988"/>
      <c r="AT128" s="2988"/>
      <c r="AU128" s="2988"/>
      <c r="AV128" s="2988"/>
      <c r="AW128" s="2988"/>
      <c r="AX128" s="2988"/>
      <c r="AY128" s="2988"/>
      <c r="AZ128" s="2988"/>
      <c r="BA128" s="2988"/>
      <c r="BB128" s="2988"/>
      <c r="BC128" s="2988"/>
      <c r="BD128" s="2984"/>
      <c r="BE128" s="2984"/>
      <c r="BF128" s="2984"/>
      <c r="BG128" s="2845"/>
      <c r="BH128" s="2845"/>
      <c r="BI128" s="2847"/>
      <c r="BJ128" s="2858"/>
      <c r="BK128" s="2862"/>
      <c r="BL128" s="2839"/>
      <c r="BM128" s="2839"/>
      <c r="BN128" s="2839"/>
      <c r="BO128" s="2839"/>
      <c r="BP128" s="2307"/>
    </row>
    <row r="129" spans="1:85" s="768" customFormat="1" ht="51" customHeight="1" x14ac:dyDescent="0.2">
      <c r="A129" s="786"/>
      <c r="C129" s="787"/>
      <c r="F129" s="787"/>
      <c r="G129" s="2307"/>
      <c r="H129" s="2307"/>
      <c r="I129" s="2423"/>
      <c r="J129" s="2423"/>
      <c r="K129" s="2307"/>
      <c r="L129" s="2307"/>
      <c r="M129" s="2884"/>
      <c r="N129" s="2307"/>
      <c r="O129" s="2993"/>
      <c r="P129" s="2854"/>
      <c r="Q129" s="2833"/>
      <c r="R129" s="2413"/>
      <c r="S129" s="2986"/>
      <c r="T129" s="1316" t="s">
        <v>1218</v>
      </c>
      <c r="U129" s="1212">
        <f>82264+2000000</f>
        <v>2082264</v>
      </c>
      <c r="V129" s="1270"/>
      <c r="W129" s="1229"/>
      <c r="X129" s="1235">
        <v>88</v>
      </c>
      <c r="Y129" s="545" t="s">
        <v>4</v>
      </c>
      <c r="Z129" s="2862"/>
      <c r="AA129" s="2988"/>
      <c r="AB129" s="2984"/>
      <c r="AC129" s="2988"/>
      <c r="AD129" s="2984"/>
      <c r="AE129" s="2988"/>
      <c r="AF129" s="2984"/>
      <c r="AG129" s="2984"/>
      <c r="AH129" s="2988"/>
      <c r="AI129" s="2988"/>
      <c r="AJ129" s="2988"/>
      <c r="AK129" s="2988"/>
      <c r="AL129" s="2988"/>
      <c r="AM129" s="2988"/>
      <c r="AN129" s="2988"/>
      <c r="AO129" s="2988"/>
      <c r="AP129" s="2988"/>
      <c r="AQ129" s="2988"/>
      <c r="AR129" s="2988"/>
      <c r="AS129" s="2988"/>
      <c r="AT129" s="2988"/>
      <c r="AU129" s="2988"/>
      <c r="AV129" s="2988"/>
      <c r="AW129" s="2988"/>
      <c r="AX129" s="2988"/>
      <c r="AY129" s="2988"/>
      <c r="AZ129" s="2988"/>
      <c r="BA129" s="2988"/>
      <c r="BB129" s="2988"/>
      <c r="BC129" s="2988"/>
      <c r="BD129" s="2984"/>
      <c r="BE129" s="2984"/>
      <c r="BF129" s="2984"/>
      <c r="BG129" s="2845"/>
      <c r="BH129" s="2845"/>
      <c r="BI129" s="2847"/>
      <c r="BJ129" s="2858"/>
      <c r="BK129" s="2862"/>
      <c r="BL129" s="2839"/>
      <c r="BM129" s="2839"/>
      <c r="BN129" s="2839"/>
      <c r="BO129" s="2839"/>
      <c r="BP129" s="2307"/>
    </row>
    <row r="130" spans="1:85" s="768" customFormat="1" ht="43.5" customHeight="1" x14ac:dyDescent="0.2">
      <c r="A130" s="786"/>
      <c r="C130" s="787"/>
      <c r="F130" s="787"/>
      <c r="G130" s="2307"/>
      <c r="H130" s="2307"/>
      <c r="I130" s="2423"/>
      <c r="J130" s="2423"/>
      <c r="K130" s="2307"/>
      <c r="L130" s="2307"/>
      <c r="M130" s="2884"/>
      <c r="N130" s="2307"/>
      <c r="O130" s="2993"/>
      <c r="P130" s="2854"/>
      <c r="Q130" s="2833"/>
      <c r="R130" s="2413"/>
      <c r="S130" s="2986"/>
      <c r="T130" s="2910" t="s">
        <v>1219</v>
      </c>
      <c r="U130" s="1212">
        <v>12792000</v>
      </c>
      <c r="V130" s="1270">
        <v>12792000</v>
      </c>
      <c r="W130" s="1229">
        <v>7629461</v>
      </c>
      <c r="X130" s="1235">
        <v>20</v>
      </c>
      <c r="Y130" s="545" t="s">
        <v>7</v>
      </c>
      <c r="Z130" s="2862"/>
      <c r="AA130" s="2988"/>
      <c r="AB130" s="2984"/>
      <c r="AC130" s="2988"/>
      <c r="AD130" s="2984"/>
      <c r="AE130" s="2988"/>
      <c r="AF130" s="2984"/>
      <c r="AG130" s="2984"/>
      <c r="AH130" s="2988"/>
      <c r="AI130" s="2988"/>
      <c r="AJ130" s="2988"/>
      <c r="AK130" s="2988"/>
      <c r="AL130" s="2988"/>
      <c r="AM130" s="2988"/>
      <c r="AN130" s="2988"/>
      <c r="AO130" s="2988"/>
      <c r="AP130" s="2988"/>
      <c r="AQ130" s="2988"/>
      <c r="AR130" s="2988"/>
      <c r="AS130" s="2988"/>
      <c r="AT130" s="2988"/>
      <c r="AU130" s="2988"/>
      <c r="AV130" s="2988"/>
      <c r="AW130" s="2988"/>
      <c r="AX130" s="2988"/>
      <c r="AY130" s="2988"/>
      <c r="AZ130" s="2988"/>
      <c r="BA130" s="2988"/>
      <c r="BB130" s="2988"/>
      <c r="BC130" s="2988"/>
      <c r="BD130" s="2984"/>
      <c r="BE130" s="2984"/>
      <c r="BF130" s="2984"/>
      <c r="BG130" s="2845"/>
      <c r="BH130" s="2845"/>
      <c r="BI130" s="2847"/>
      <c r="BJ130" s="2858"/>
      <c r="BK130" s="2862"/>
      <c r="BL130" s="2839"/>
      <c r="BM130" s="2839"/>
      <c r="BN130" s="2839"/>
      <c r="BO130" s="2839"/>
      <c r="BP130" s="2307"/>
    </row>
    <row r="131" spans="1:85" s="768" customFormat="1" ht="43.5" customHeight="1" x14ac:dyDescent="0.2">
      <c r="A131" s="786"/>
      <c r="C131" s="787"/>
      <c r="F131" s="787"/>
      <c r="G131" s="2307"/>
      <c r="H131" s="2307"/>
      <c r="I131" s="2423"/>
      <c r="J131" s="2423"/>
      <c r="K131" s="2307"/>
      <c r="L131" s="2307"/>
      <c r="M131" s="2884"/>
      <c r="N131" s="2307"/>
      <c r="O131" s="2993"/>
      <c r="P131" s="2854"/>
      <c r="Q131" s="2833"/>
      <c r="R131" s="2413"/>
      <c r="S131" s="2986"/>
      <c r="T131" s="2911"/>
      <c r="U131" s="1212">
        <f>0+16800000</f>
        <v>16800000</v>
      </c>
      <c r="V131" s="1270">
        <f>2833333</f>
        <v>2833333</v>
      </c>
      <c r="W131" s="1229"/>
      <c r="X131" s="1235">
        <v>88</v>
      </c>
      <c r="Y131" s="545" t="s">
        <v>4</v>
      </c>
      <c r="Z131" s="2862"/>
      <c r="AA131" s="2988"/>
      <c r="AB131" s="2984"/>
      <c r="AC131" s="2988"/>
      <c r="AD131" s="2984"/>
      <c r="AE131" s="2988"/>
      <c r="AF131" s="2984"/>
      <c r="AG131" s="2984"/>
      <c r="AH131" s="2988"/>
      <c r="AI131" s="2988"/>
      <c r="AJ131" s="2988"/>
      <c r="AK131" s="2988"/>
      <c r="AL131" s="2988"/>
      <c r="AM131" s="2988"/>
      <c r="AN131" s="2988"/>
      <c r="AO131" s="2988"/>
      <c r="AP131" s="2988"/>
      <c r="AQ131" s="2988"/>
      <c r="AR131" s="2988"/>
      <c r="AS131" s="2988"/>
      <c r="AT131" s="2988"/>
      <c r="AU131" s="2988"/>
      <c r="AV131" s="2988"/>
      <c r="AW131" s="2988"/>
      <c r="AX131" s="2988"/>
      <c r="AY131" s="2988"/>
      <c r="AZ131" s="2988"/>
      <c r="BA131" s="2988"/>
      <c r="BB131" s="2988"/>
      <c r="BC131" s="2988"/>
      <c r="BD131" s="2984"/>
      <c r="BE131" s="2984"/>
      <c r="BF131" s="2984"/>
      <c r="BG131" s="2845"/>
      <c r="BH131" s="2845"/>
      <c r="BI131" s="2847"/>
      <c r="BJ131" s="2858"/>
      <c r="BK131" s="2862"/>
      <c r="BL131" s="2839"/>
      <c r="BM131" s="2839"/>
      <c r="BN131" s="2839"/>
      <c r="BO131" s="2839"/>
      <c r="BP131" s="2307"/>
    </row>
    <row r="132" spans="1:85" s="768" customFormat="1" ht="43.5" customHeight="1" x14ac:dyDescent="0.2">
      <c r="A132" s="786"/>
      <c r="C132" s="787"/>
      <c r="F132" s="787"/>
      <c r="G132" s="2307"/>
      <c r="H132" s="2307"/>
      <c r="I132" s="2423"/>
      <c r="J132" s="2423"/>
      <c r="K132" s="2307"/>
      <c r="L132" s="2307"/>
      <c r="M132" s="2884"/>
      <c r="N132" s="2307"/>
      <c r="O132" s="2993"/>
      <c r="P132" s="2854"/>
      <c r="Q132" s="2833"/>
      <c r="R132" s="2413"/>
      <c r="S132" s="2986"/>
      <c r="T132" s="2910" t="s">
        <v>1220</v>
      </c>
      <c r="U132" s="1212">
        <v>10833333</v>
      </c>
      <c r="V132" s="1270">
        <v>10833333</v>
      </c>
      <c r="W132" s="1229">
        <v>10833333</v>
      </c>
      <c r="X132" s="1235">
        <v>20</v>
      </c>
      <c r="Y132" s="545" t="s">
        <v>7</v>
      </c>
      <c r="Z132" s="2862"/>
      <c r="AA132" s="2988"/>
      <c r="AB132" s="2984"/>
      <c r="AC132" s="2988"/>
      <c r="AD132" s="2984"/>
      <c r="AE132" s="2988"/>
      <c r="AF132" s="2984"/>
      <c r="AG132" s="2984"/>
      <c r="AH132" s="2988"/>
      <c r="AI132" s="2988"/>
      <c r="AJ132" s="2988"/>
      <c r="AK132" s="2988"/>
      <c r="AL132" s="2988"/>
      <c r="AM132" s="2988"/>
      <c r="AN132" s="2988"/>
      <c r="AO132" s="2988"/>
      <c r="AP132" s="2988"/>
      <c r="AQ132" s="2988"/>
      <c r="AR132" s="2988"/>
      <c r="AS132" s="2988"/>
      <c r="AT132" s="2988"/>
      <c r="AU132" s="2988"/>
      <c r="AV132" s="2988"/>
      <c r="AW132" s="2988"/>
      <c r="AX132" s="2988"/>
      <c r="AY132" s="2988"/>
      <c r="AZ132" s="2988"/>
      <c r="BA132" s="2988"/>
      <c r="BB132" s="2988"/>
      <c r="BC132" s="2988"/>
      <c r="BD132" s="2984"/>
      <c r="BE132" s="2984"/>
      <c r="BF132" s="2984"/>
      <c r="BG132" s="2845"/>
      <c r="BH132" s="2845"/>
      <c r="BI132" s="2847"/>
      <c r="BJ132" s="2858"/>
      <c r="BK132" s="2862"/>
      <c r="BL132" s="2839"/>
      <c r="BM132" s="2839"/>
      <c r="BN132" s="2839"/>
      <c r="BO132" s="2839"/>
      <c r="BP132" s="2307"/>
    </row>
    <row r="133" spans="1:85" s="768" customFormat="1" ht="43.5" customHeight="1" x14ac:dyDescent="0.2">
      <c r="A133" s="786"/>
      <c r="C133" s="787"/>
      <c r="F133" s="787"/>
      <c r="G133" s="2307"/>
      <c r="H133" s="2307"/>
      <c r="I133" s="2423"/>
      <c r="J133" s="2423"/>
      <c r="K133" s="2307"/>
      <c r="L133" s="2307"/>
      <c r="M133" s="2884"/>
      <c r="N133" s="2307"/>
      <c r="O133" s="2993"/>
      <c r="P133" s="2854"/>
      <c r="Q133" s="2833"/>
      <c r="R133" s="2413"/>
      <c r="S133" s="2986"/>
      <c r="T133" s="2911"/>
      <c r="U133" s="1212">
        <f>0+20400000</f>
        <v>20400000</v>
      </c>
      <c r="V133" s="1270">
        <v>19666666</v>
      </c>
      <c r="W133" s="1229"/>
      <c r="X133" s="1235">
        <v>88</v>
      </c>
      <c r="Y133" s="545" t="s">
        <v>4</v>
      </c>
      <c r="Z133" s="2862"/>
      <c r="AA133" s="2988"/>
      <c r="AB133" s="2984"/>
      <c r="AC133" s="2988"/>
      <c r="AD133" s="2984"/>
      <c r="AE133" s="2988"/>
      <c r="AF133" s="2984"/>
      <c r="AG133" s="2984"/>
      <c r="AH133" s="2988"/>
      <c r="AI133" s="2988"/>
      <c r="AJ133" s="2988"/>
      <c r="AK133" s="2988"/>
      <c r="AL133" s="2988"/>
      <c r="AM133" s="2988"/>
      <c r="AN133" s="2988"/>
      <c r="AO133" s="2988"/>
      <c r="AP133" s="2988"/>
      <c r="AQ133" s="2988"/>
      <c r="AR133" s="2988"/>
      <c r="AS133" s="2988"/>
      <c r="AT133" s="2988"/>
      <c r="AU133" s="2988"/>
      <c r="AV133" s="2988"/>
      <c r="AW133" s="2988"/>
      <c r="AX133" s="2988"/>
      <c r="AY133" s="2988"/>
      <c r="AZ133" s="2988"/>
      <c r="BA133" s="2988"/>
      <c r="BB133" s="2988"/>
      <c r="BC133" s="2988"/>
      <c r="BD133" s="2984"/>
      <c r="BE133" s="2984"/>
      <c r="BF133" s="2984"/>
      <c r="BG133" s="2845"/>
      <c r="BH133" s="2845"/>
      <c r="BI133" s="2847"/>
      <c r="BJ133" s="2858"/>
      <c r="BK133" s="2862"/>
      <c r="BL133" s="2839"/>
      <c r="BM133" s="2839"/>
      <c r="BN133" s="2839"/>
      <c r="BO133" s="2839"/>
      <c r="BP133" s="2307"/>
    </row>
    <row r="134" spans="1:85" s="768" customFormat="1" ht="37.5" customHeight="1" x14ac:dyDescent="0.2">
      <c r="A134" s="786"/>
      <c r="C134" s="787"/>
      <c r="F134" s="787"/>
      <c r="G134" s="2307"/>
      <c r="H134" s="2307"/>
      <c r="I134" s="2423"/>
      <c r="J134" s="2423"/>
      <c r="K134" s="2307"/>
      <c r="L134" s="2307"/>
      <c r="M134" s="2884"/>
      <c r="N134" s="2307"/>
      <c r="O134" s="2993"/>
      <c r="P134" s="2854"/>
      <c r="Q134" s="2833"/>
      <c r="R134" s="2413"/>
      <c r="S134" s="2986"/>
      <c r="T134" s="2910" t="s">
        <v>1221</v>
      </c>
      <c r="U134" s="1212">
        <v>37733335</v>
      </c>
      <c r="V134" s="1270">
        <v>37733335</v>
      </c>
      <c r="W134" s="1229">
        <v>37733335</v>
      </c>
      <c r="X134" s="1235">
        <v>20</v>
      </c>
      <c r="Y134" s="545" t="s">
        <v>7</v>
      </c>
      <c r="Z134" s="2862"/>
      <c r="AA134" s="2988"/>
      <c r="AB134" s="2984"/>
      <c r="AC134" s="2988"/>
      <c r="AD134" s="2984"/>
      <c r="AE134" s="2988"/>
      <c r="AF134" s="2984"/>
      <c r="AG134" s="2984"/>
      <c r="AH134" s="2988"/>
      <c r="AI134" s="2988"/>
      <c r="AJ134" s="2988"/>
      <c r="AK134" s="2988"/>
      <c r="AL134" s="2988"/>
      <c r="AM134" s="2988"/>
      <c r="AN134" s="2988"/>
      <c r="AO134" s="2988"/>
      <c r="AP134" s="2988"/>
      <c r="AQ134" s="2988"/>
      <c r="AR134" s="2988"/>
      <c r="AS134" s="2988"/>
      <c r="AT134" s="2988"/>
      <c r="AU134" s="2988"/>
      <c r="AV134" s="2988"/>
      <c r="AW134" s="2988"/>
      <c r="AX134" s="2988"/>
      <c r="AY134" s="2988"/>
      <c r="AZ134" s="2988"/>
      <c r="BA134" s="2988"/>
      <c r="BB134" s="2988"/>
      <c r="BC134" s="2988"/>
      <c r="BD134" s="2984"/>
      <c r="BE134" s="2984"/>
      <c r="BF134" s="2984"/>
      <c r="BG134" s="2845"/>
      <c r="BH134" s="2845"/>
      <c r="BI134" s="2847"/>
      <c r="BJ134" s="2858"/>
      <c r="BK134" s="2862"/>
      <c r="BL134" s="2839"/>
      <c r="BM134" s="2839"/>
      <c r="BN134" s="2839"/>
      <c r="BO134" s="2839"/>
      <c r="BP134" s="2307"/>
    </row>
    <row r="135" spans="1:85" s="768" customFormat="1" ht="38.25" customHeight="1" x14ac:dyDescent="0.2">
      <c r="A135" s="786"/>
      <c r="C135" s="787"/>
      <c r="F135" s="787"/>
      <c r="G135" s="2307"/>
      <c r="H135" s="2307"/>
      <c r="I135" s="2423"/>
      <c r="J135" s="2423"/>
      <c r="K135" s="2307"/>
      <c r="L135" s="2307"/>
      <c r="M135" s="2884"/>
      <c r="N135" s="2307"/>
      <c r="O135" s="2993"/>
      <c r="P135" s="2854"/>
      <c r="Q135" s="2833"/>
      <c r="R135" s="2413"/>
      <c r="S135" s="2986"/>
      <c r="T135" s="2911"/>
      <c r="U135" s="1212">
        <f>15040000+1979598</f>
        <v>17019598</v>
      </c>
      <c r="V135" s="1270">
        <f>14826660-426666</f>
        <v>14399994</v>
      </c>
      <c r="W135" s="1229">
        <v>3200000</v>
      </c>
      <c r="X135" s="1235">
        <v>88</v>
      </c>
      <c r="Y135" s="545" t="s">
        <v>4</v>
      </c>
      <c r="Z135" s="2862"/>
      <c r="AA135" s="2988"/>
      <c r="AB135" s="2984"/>
      <c r="AC135" s="2988"/>
      <c r="AD135" s="2984"/>
      <c r="AE135" s="2988"/>
      <c r="AF135" s="2984"/>
      <c r="AG135" s="2984"/>
      <c r="AH135" s="2988"/>
      <c r="AI135" s="2988"/>
      <c r="AJ135" s="2988"/>
      <c r="AK135" s="2988"/>
      <c r="AL135" s="2988"/>
      <c r="AM135" s="2988"/>
      <c r="AN135" s="2988"/>
      <c r="AO135" s="2988"/>
      <c r="AP135" s="2988"/>
      <c r="AQ135" s="2988"/>
      <c r="AR135" s="2988"/>
      <c r="AS135" s="2988"/>
      <c r="AT135" s="2988"/>
      <c r="AU135" s="2988"/>
      <c r="AV135" s="2988"/>
      <c r="AW135" s="2988"/>
      <c r="AX135" s="2988"/>
      <c r="AY135" s="2988"/>
      <c r="AZ135" s="2988"/>
      <c r="BA135" s="2988"/>
      <c r="BB135" s="2988"/>
      <c r="BC135" s="2988"/>
      <c r="BD135" s="2984"/>
      <c r="BE135" s="2984"/>
      <c r="BF135" s="2984"/>
      <c r="BG135" s="2845"/>
      <c r="BH135" s="2845"/>
      <c r="BI135" s="2847"/>
      <c r="BJ135" s="2858"/>
      <c r="BK135" s="2862"/>
      <c r="BL135" s="2839"/>
      <c r="BM135" s="2839"/>
      <c r="BN135" s="2839"/>
      <c r="BO135" s="2839"/>
      <c r="BP135" s="2307"/>
    </row>
    <row r="136" spans="1:85" s="768" customFormat="1" ht="33.75" customHeight="1" x14ac:dyDescent="0.2">
      <c r="A136" s="786"/>
      <c r="C136" s="787"/>
      <c r="F136" s="787"/>
      <c r="G136" s="2307"/>
      <c r="H136" s="2307"/>
      <c r="I136" s="2423"/>
      <c r="J136" s="2423"/>
      <c r="K136" s="2307"/>
      <c r="L136" s="2307"/>
      <c r="M136" s="2884"/>
      <c r="N136" s="2307"/>
      <c r="O136" s="2993"/>
      <c r="P136" s="2854"/>
      <c r="Q136" s="2833"/>
      <c r="R136" s="2413"/>
      <c r="S136" s="2986"/>
      <c r="T136" s="1316" t="s">
        <v>1222</v>
      </c>
      <c r="U136" s="1212">
        <f>0+27200000</f>
        <v>27200000</v>
      </c>
      <c r="V136" s="1270"/>
      <c r="W136" s="1229"/>
      <c r="X136" s="1235">
        <v>88</v>
      </c>
      <c r="Y136" s="545" t="s">
        <v>4</v>
      </c>
      <c r="Z136" s="2862"/>
      <c r="AA136" s="2988"/>
      <c r="AB136" s="2984"/>
      <c r="AC136" s="2988"/>
      <c r="AD136" s="2984"/>
      <c r="AE136" s="2988"/>
      <c r="AF136" s="2984"/>
      <c r="AG136" s="2984"/>
      <c r="AH136" s="2988"/>
      <c r="AI136" s="2988"/>
      <c r="AJ136" s="2988"/>
      <c r="AK136" s="2988"/>
      <c r="AL136" s="2988"/>
      <c r="AM136" s="2988"/>
      <c r="AN136" s="2988"/>
      <c r="AO136" s="2988"/>
      <c r="AP136" s="2988"/>
      <c r="AQ136" s="2988"/>
      <c r="AR136" s="2988"/>
      <c r="AS136" s="2988"/>
      <c r="AT136" s="2988"/>
      <c r="AU136" s="2988"/>
      <c r="AV136" s="2988"/>
      <c r="AW136" s="2988"/>
      <c r="AX136" s="2988"/>
      <c r="AY136" s="2988"/>
      <c r="AZ136" s="2988"/>
      <c r="BA136" s="2988"/>
      <c r="BB136" s="2988"/>
      <c r="BC136" s="2988"/>
      <c r="BD136" s="2984"/>
      <c r="BE136" s="2984"/>
      <c r="BF136" s="2984"/>
      <c r="BG136" s="2845"/>
      <c r="BH136" s="2845"/>
      <c r="BI136" s="2847"/>
      <c r="BJ136" s="2858"/>
      <c r="BK136" s="2862"/>
      <c r="BL136" s="2839"/>
      <c r="BM136" s="2839"/>
      <c r="BN136" s="2839"/>
      <c r="BO136" s="2839"/>
      <c r="BP136" s="2307"/>
    </row>
    <row r="137" spans="1:85" s="768" customFormat="1" ht="33.75" customHeight="1" x14ac:dyDescent="0.2">
      <c r="A137" s="786"/>
      <c r="C137" s="787"/>
      <c r="F137" s="787"/>
      <c r="G137" s="2307"/>
      <c r="H137" s="2307"/>
      <c r="I137" s="2423"/>
      <c r="J137" s="2423"/>
      <c r="K137" s="2307"/>
      <c r="L137" s="2307"/>
      <c r="M137" s="2884"/>
      <c r="N137" s="2307"/>
      <c r="O137" s="2993"/>
      <c r="P137" s="2854"/>
      <c r="Q137" s="2833"/>
      <c r="R137" s="2413"/>
      <c r="S137" s="2986"/>
      <c r="T137" s="1316" t="s">
        <v>1163</v>
      </c>
      <c r="U137" s="1212">
        <f>0+10000000</f>
        <v>10000000</v>
      </c>
      <c r="V137" s="1270"/>
      <c r="W137" s="1229"/>
      <c r="X137" s="1235">
        <v>88</v>
      </c>
      <c r="Y137" s="545" t="s">
        <v>4</v>
      </c>
      <c r="Z137" s="2862"/>
      <c r="AA137" s="2988"/>
      <c r="AB137" s="2984"/>
      <c r="AC137" s="2988"/>
      <c r="AD137" s="2984"/>
      <c r="AE137" s="2988"/>
      <c r="AF137" s="2984"/>
      <c r="AG137" s="2984"/>
      <c r="AH137" s="2988"/>
      <c r="AI137" s="2988"/>
      <c r="AJ137" s="2988"/>
      <c r="AK137" s="2988"/>
      <c r="AL137" s="2988"/>
      <c r="AM137" s="2988"/>
      <c r="AN137" s="2988"/>
      <c r="AO137" s="2988"/>
      <c r="AP137" s="2988"/>
      <c r="AQ137" s="2988"/>
      <c r="AR137" s="2988"/>
      <c r="AS137" s="2988"/>
      <c r="AT137" s="2988"/>
      <c r="AU137" s="2988"/>
      <c r="AV137" s="2988"/>
      <c r="AW137" s="2988"/>
      <c r="AX137" s="2988"/>
      <c r="AY137" s="2988"/>
      <c r="AZ137" s="2988"/>
      <c r="BA137" s="2988"/>
      <c r="BB137" s="2988"/>
      <c r="BC137" s="2988"/>
      <c r="BD137" s="2984"/>
      <c r="BE137" s="2984"/>
      <c r="BF137" s="2984"/>
      <c r="BG137" s="2845"/>
      <c r="BH137" s="2845"/>
      <c r="BI137" s="2847"/>
      <c r="BJ137" s="2858"/>
      <c r="BK137" s="2862"/>
      <c r="BL137" s="2839"/>
      <c r="BM137" s="2839"/>
      <c r="BN137" s="2839"/>
      <c r="BO137" s="2839"/>
      <c r="BP137" s="2307"/>
    </row>
    <row r="138" spans="1:85" s="768" customFormat="1" ht="51" customHeight="1" x14ac:dyDescent="0.2">
      <c r="A138" s="786"/>
      <c r="C138" s="787"/>
      <c r="F138" s="787"/>
      <c r="G138" s="2307"/>
      <c r="H138" s="2307"/>
      <c r="I138" s="2423"/>
      <c r="J138" s="2423"/>
      <c r="K138" s="2307"/>
      <c r="L138" s="2307"/>
      <c r="M138" s="2884"/>
      <c r="N138" s="2307"/>
      <c r="O138" s="2993"/>
      <c r="P138" s="2854"/>
      <c r="Q138" s="2833"/>
      <c r="R138" s="2413"/>
      <c r="S138" s="2986"/>
      <c r="T138" s="1316" t="s">
        <v>1223</v>
      </c>
      <c r="U138" s="1212">
        <f>0+24000000</f>
        <v>24000000</v>
      </c>
      <c r="V138" s="1270">
        <v>3600000</v>
      </c>
      <c r="W138" s="1229"/>
      <c r="X138" s="1235">
        <v>88</v>
      </c>
      <c r="Y138" s="545" t="s">
        <v>4</v>
      </c>
      <c r="Z138" s="2862"/>
      <c r="AA138" s="2988"/>
      <c r="AB138" s="2984"/>
      <c r="AC138" s="2988"/>
      <c r="AD138" s="2984"/>
      <c r="AE138" s="2988"/>
      <c r="AF138" s="2984"/>
      <c r="AG138" s="2984"/>
      <c r="AH138" s="2988"/>
      <c r="AI138" s="2988"/>
      <c r="AJ138" s="2988"/>
      <c r="AK138" s="2988"/>
      <c r="AL138" s="2988"/>
      <c r="AM138" s="2988"/>
      <c r="AN138" s="2988"/>
      <c r="AO138" s="2988"/>
      <c r="AP138" s="2988"/>
      <c r="AQ138" s="2988"/>
      <c r="AR138" s="2988"/>
      <c r="AS138" s="2988"/>
      <c r="AT138" s="2988"/>
      <c r="AU138" s="2988"/>
      <c r="AV138" s="2988"/>
      <c r="AW138" s="2988"/>
      <c r="AX138" s="2988"/>
      <c r="AY138" s="2988"/>
      <c r="AZ138" s="2988"/>
      <c r="BA138" s="2988"/>
      <c r="BB138" s="2988"/>
      <c r="BC138" s="2988"/>
      <c r="BD138" s="2984"/>
      <c r="BE138" s="2984"/>
      <c r="BF138" s="2984"/>
      <c r="BG138" s="2845"/>
      <c r="BH138" s="2845"/>
      <c r="BI138" s="2847"/>
      <c r="BJ138" s="2858"/>
      <c r="BK138" s="2862"/>
      <c r="BL138" s="2839"/>
      <c r="BM138" s="2839"/>
      <c r="BN138" s="2839"/>
      <c r="BO138" s="2839"/>
      <c r="BP138" s="2307"/>
    </row>
    <row r="139" spans="1:85" s="768" customFormat="1" ht="54.75" customHeight="1" x14ac:dyDescent="0.2">
      <c r="A139" s="786"/>
      <c r="C139" s="787"/>
      <c r="F139" s="787"/>
      <c r="G139" s="2467"/>
      <c r="H139" s="2467"/>
      <c r="I139" s="2424"/>
      <c r="J139" s="2424"/>
      <c r="K139" s="2467"/>
      <c r="L139" s="2995"/>
      <c r="M139" s="2895"/>
      <c r="N139" s="2467"/>
      <c r="O139" s="2930"/>
      <c r="P139" s="2854"/>
      <c r="Q139" s="2833"/>
      <c r="R139" s="2413"/>
      <c r="S139" s="2987"/>
      <c r="T139" s="1316" t="s">
        <v>1224</v>
      </c>
      <c r="U139" s="1212">
        <f>0+10000000</f>
        <v>10000000</v>
      </c>
      <c r="V139" s="1270"/>
      <c r="W139" s="1229"/>
      <c r="X139" s="1235">
        <v>88</v>
      </c>
      <c r="Y139" s="545" t="s">
        <v>4</v>
      </c>
      <c r="Z139" s="2989"/>
      <c r="AA139" s="2988"/>
      <c r="AB139" s="2990"/>
      <c r="AC139" s="2988"/>
      <c r="AD139" s="2990"/>
      <c r="AE139" s="2988"/>
      <c r="AF139" s="2990"/>
      <c r="AG139" s="2978"/>
      <c r="AH139" s="2988"/>
      <c r="AI139" s="2988"/>
      <c r="AJ139" s="2988"/>
      <c r="AK139" s="2988"/>
      <c r="AL139" s="2988"/>
      <c r="AM139" s="2988"/>
      <c r="AN139" s="2988"/>
      <c r="AO139" s="2988"/>
      <c r="AP139" s="2988"/>
      <c r="AQ139" s="2988"/>
      <c r="AR139" s="2988"/>
      <c r="AS139" s="2988"/>
      <c r="AT139" s="2988"/>
      <c r="AU139" s="2988"/>
      <c r="AV139" s="2988"/>
      <c r="AW139" s="2988"/>
      <c r="AX139" s="2988"/>
      <c r="AY139" s="2988"/>
      <c r="AZ139" s="2988"/>
      <c r="BA139" s="2988"/>
      <c r="BB139" s="2988"/>
      <c r="BC139" s="2988"/>
      <c r="BD139" s="2990"/>
      <c r="BE139" s="2978"/>
      <c r="BF139" s="2978"/>
      <c r="BG139" s="2942"/>
      <c r="BH139" s="2942"/>
      <c r="BI139" s="2943"/>
      <c r="BJ139" s="2974"/>
      <c r="BK139" s="2862"/>
      <c r="BL139" s="2839"/>
      <c r="BM139" s="2839"/>
      <c r="BN139" s="2839"/>
      <c r="BO139" s="2839"/>
      <c r="BP139" s="2307"/>
    </row>
    <row r="140" spans="1:85" s="768" customFormat="1" ht="43.5" customHeight="1" x14ac:dyDescent="0.2">
      <c r="A140" s="786"/>
      <c r="C140" s="787"/>
      <c r="F140" s="787"/>
      <c r="G140" s="2343">
        <v>4503004</v>
      </c>
      <c r="H140" s="2343" t="s">
        <v>1225</v>
      </c>
      <c r="I140" s="2413" t="s">
        <v>1226</v>
      </c>
      <c r="J140" s="2413" t="s">
        <v>1227</v>
      </c>
      <c r="K140" s="2343">
        <v>1</v>
      </c>
      <c r="L140" s="2491">
        <v>0</v>
      </c>
      <c r="M140" s="2413" t="s">
        <v>1228</v>
      </c>
      <c r="N140" s="2343" t="s">
        <v>1229</v>
      </c>
      <c r="O140" s="2413" t="s">
        <v>1230</v>
      </c>
      <c r="P140" s="2854">
        <f>SUM(U140:U142)/Q140</f>
        <v>1</v>
      </c>
      <c r="Q140" s="2832">
        <f>SUM(U140:U142)</f>
        <v>73229610.299999997</v>
      </c>
      <c r="R140" s="2413" t="s">
        <v>1231</v>
      </c>
      <c r="S140" s="2413" t="s">
        <v>1232</v>
      </c>
      <c r="T140" s="3002" t="s">
        <v>1233</v>
      </c>
      <c r="U140" s="1212">
        <f>5000000+5000000</f>
        <v>10000000</v>
      </c>
      <c r="V140" s="1270">
        <f>7000000-333334</f>
        <v>6666666</v>
      </c>
      <c r="W140" s="1270"/>
      <c r="X140" s="1210">
        <v>88</v>
      </c>
      <c r="Y140" s="534" t="s">
        <v>4</v>
      </c>
      <c r="Z140" s="2590">
        <v>763</v>
      </c>
      <c r="AA140" s="2999">
        <v>196</v>
      </c>
      <c r="AB140" s="2590">
        <v>737</v>
      </c>
      <c r="AC140" s="2999">
        <v>175</v>
      </c>
      <c r="AD140" s="2590">
        <v>350</v>
      </c>
      <c r="AE140" s="2999">
        <v>78</v>
      </c>
      <c r="AF140" s="2590">
        <v>114</v>
      </c>
      <c r="AG140" s="2999">
        <v>36</v>
      </c>
      <c r="AH140" s="2581">
        <v>797</v>
      </c>
      <c r="AI140" s="2580">
        <v>211</v>
      </c>
      <c r="AJ140" s="2581">
        <v>239</v>
      </c>
      <c r="AK140" s="2580">
        <v>46</v>
      </c>
      <c r="AL140" s="2581">
        <v>0</v>
      </c>
      <c r="AM140" s="2999"/>
      <c r="AN140" s="2590">
        <v>0</v>
      </c>
      <c r="AO140" s="2999"/>
      <c r="AP140" s="2590">
        <v>0</v>
      </c>
      <c r="AQ140" s="2999"/>
      <c r="AR140" s="2590">
        <v>0</v>
      </c>
      <c r="AS140" s="2999"/>
      <c r="AT140" s="2590">
        <v>0</v>
      </c>
      <c r="AU140" s="2999"/>
      <c r="AV140" s="2590">
        <v>0</v>
      </c>
      <c r="AW140" s="2999"/>
      <c r="AX140" s="2590">
        <v>0</v>
      </c>
      <c r="AY140" s="2999"/>
      <c r="AZ140" s="2590">
        <v>0</v>
      </c>
      <c r="BA140" s="2999"/>
      <c r="BB140" s="2590">
        <v>0</v>
      </c>
      <c r="BC140" s="2999"/>
      <c r="BD140" s="2590">
        <f>+Z140+AB140</f>
        <v>1500</v>
      </c>
      <c r="BE140" s="2999">
        <f>+AA140+AC140</f>
        <v>371</v>
      </c>
      <c r="BF140" s="3003">
        <v>2</v>
      </c>
      <c r="BG140" s="2844">
        <f>SUM(V140:V142)</f>
        <v>11666666</v>
      </c>
      <c r="BH140" s="2844">
        <f>SUM(W140:W142)</f>
        <v>5000000</v>
      </c>
      <c r="BI140" s="2846">
        <f>+BH140/BG140</f>
        <v>0.4285714530612259</v>
      </c>
      <c r="BJ140" s="2857" t="s">
        <v>161</v>
      </c>
      <c r="BK140" s="2862"/>
      <c r="BL140" s="2839"/>
      <c r="BM140" s="2839"/>
      <c r="BN140" s="2839"/>
      <c r="BO140" s="2839"/>
      <c r="BP140" s="2307"/>
    </row>
    <row r="141" spans="1:85" s="768" customFormat="1" ht="40.5" customHeight="1" x14ac:dyDescent="0.2">
      <c r="A141" s="786"/>
      <c r="C141" s="787"/>
      <c r="G141" s="2343"/>
      <c r="H141" s="2343"/>
      <c r="I141" s="2413"/>
      <c r="J141" s="2413"/>
      <c r="K141" s="2343"/>
      <c r="L141" s="2761"/>
      <c r="M141" s="2413"/>
      <c r="N141" s="2343"/>
      <c r="O141" s="2413"/>
      <c r="P141" s="2854"/>
      <c r="Q141" s="2833"/>
      <c r="R141" s="2413"/>
      <c r="S141" s="2413"/>
      <c r="T141" s="2856"/>
      <c r="U141" s="1212">
        <v>5000000</v>
      </c>
      <c r="V141" s="1270">
        <v>5000000</v>
      </c>
      <c r="W141" s="1270">
        <v>5000000</v>
      </c>
      <c r="X141" s="1210">
        <v>20</v>
      </c>
      <c r="Y141" s="534" t="s">
        <v>7</v>
      </c>
      <c r="Z141" s="2590"/>
      <c r="AA141" s="2580"/>
      <c r="AB141" s="2590"/>
      <c r="AC141" s="2580"/>
      <c r="AD141" s="2590"/>
      <c r="AE141" s="2580"/>
      <c r="AF141" s="2590"/>
      <c r="AG141" s="2580"/>
      <c r="AH141" s="2590"/>
      <c r="AI141" s="2580"/>
      <c r="AJ141" s="2590"/>
      <c r="AK141" s="2580"/>
      <c r="AL141" s="2590"/>
      <c r="AM141" s="2580"/>
      <c r="AN141" s="2590"/>
      <c r="AO141" s="2580"/>
      <c r="AP141" s="2590"/>
      <c r="AQ141" s="2580"/>
      <c r="AR141" s="2590"/>
      <c r="AS141" s="2580"/>
      <c r="AT141" s="2590"/>
      <c r="AU141" s="2580"/>
      <c r="AV141" s="2590"/>
      <c r="AW141" s="2580"/>
      <c r="AX141" s="2590"/>
      <c r="AY141" s="2580"/>
      <c r="AZ141" s="2590"/>
      <c r="BA141" s="2580"/>
      <c r="BB141" s="2590"/>
      <c r="BC141" s="2580"/>
      <c r="BD141" s="2590"/>
      <c r="BE141" s="2580"/>
      <c r="BF141" s="3004"/>
      <c r="BG141" s="2845"/>
      <c r="BH141" s="2845"/>
      <c r="BI141" s="2847"/>
      <c r="BJ141" s="2858"/>
      <c r="BK141" s="2862"/>
      <c r="BL141" s="2839"/>
      <c r="BM141" s="2839"/>
      <c r="BN141" s="2839"/>
      <c r="BO141" s="2839"/>
      <c r="BP141" s="2307"/>
    </row>
    <row r="142" spans="1:85" s="768" customFormat="1" ht="72.75" customHeight="1" x14ac:dyDescent="0.2">
      <c r="A142" s="1318"/>
      <c r="B142" s="815"/>
      <c r="C142" s="816"/>
      <c r="G142" s="2343"/>
      <c r="H142" s="2343"/>
      <c r="I142" s="2413"/>
      <c r="J142" s="2413"/>
      <c r="K142" s="2343"/>
      <c r="L142" s="2762"/>
      <c r="M142" s="2413"/>
      <c r="N142" s="2343"/>
      <c r="O142" s="2413"/>
      <c r="P142" s="2854"/>
      <c r="Q142" s="2833"/>
      <c r="R142" s="2413"/>
      <c r="S142" s="2413"/>
      <c r="T142" s="1228" t="s">
        <v>1234</v>
      </c>
      <c r="U142" s="1212">
        <f>3229610.3+55000000</f>
        <v>58229610.299999997</v>
      </c>
      <c r="V142" s="1270"/>
      <c r="W142" s="1270"/>
      <c r="X142" s="1210">
        <v>88</v>
      </c>
      <c r="Y142" s="534" t="s">
        <v>4</v>
      </c>
      <c r="Z142" s="2590"/>
      <c r="AA142" s="3000"/>
      <c r="AB142" s="2590"/>
      <c r="AC142" s="3000"/>
      <c r="AD142" s="2590"/>
      <c r="AE142" s="3000"/>
      <c r="AF142" s="2590"/>
      <c r="AG142" s="3000"/>
      <c r="AH142" s="2590"/>
      <c r="AI142" s="3000"/>
      <c r="AJ142" s="2590"/>
      <c r="AK142" s="3000"/>
      <c r="AL142" s="2590"/>
      <c r="AM142" s="3000"/>
      <c r="AN142" s="2590"/>
      <c r="AO142" s="3000"/>
      <c r="AP142" s="2590"/>
      <c r="AQ142" s="3000"/>
      <c r="AR142" s="2590"/>
      <c r="AS142" s="3000"/>
      <c r="AT142" s="2590"/>
      <c r="AU142" s="3000"/>
      <c r="AV142" s="2590"/>
      <c r="AW142" s="3000"/>
      <c r="AX142" s="2590"/>
      <c r="AY142" s="3000"/>
      <c r="AZ142" s="2590"/>
      <c r="BA142" s="3000"/>
      <c r="BB142" s="2590"/>
      <c r="BC142" s="3000"/>
      <c r="BD142" s="2590"/>
      <c r="BE142" s="3000"/>
      <c r="BF142" s="3005"/>
      <c r="BG142" s="2942"/>
      <c r="BH142" s="2942"/>
      <c r="BI142" s="2943"/>
      <c r="BJ142" s="2944"/>
      <c r="BK142" s="3001"/>
      <c r="BL142" s="2983"/>
      <c r="BM142" s="2983"/>
      <c r="BN142" s="2983"/>
      <c r="BO142" s="2983"/>
      <c r="BP142" s="2467"/>
    </row>
    <row r="143" spans="1:85" s="768" customFormat="1" ht="27" customHeight="1" x14ac:dyDescent="0.2">
      <c r="A143" s="286">
        <v>4</v>
      </c>
      <c r="B143" s="1319" t="s">
        <v>812</v>
      </c>
      <c r="C143" s="31"/>
      <c r="D143" s="29"/>
      <c r="E143" s="30"/>
      <c r="F143" s="30"/>
      <c r="G143" s="31"/>
      <c r="H143" s="31"/>
      <c r="I143" s="29"/>
      <c r="J143" s="29"/>
      <c r="K143" s="30"/>
      <c r="L143" s="30"/>
      <c r="M143" s="29"/>
      <c r="N143" s="31"/>
      <c r="O143" s="29"/>
      <c r="P143" s="1320"/>
      <c r="Q143" s="1186"/>
      <c r="R143" s="29"/>
      <c r="S143" s="29"/>
      <c r="T143" s="1187"/>
      <c r="U143" s="1300"/>
      <c r="V143" s="1301"/>
      <c r="W143" s="1302"/>
      <c r="X143" s="1321"/>
      <c r="Y143" s="29"/>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1322"/>
      <c r="BQ143" s="1173"/>
      <c r="BR143" s="1173"/>
      <c r="BS143" s="1173"/>
      <c r="BT143" s="1173"/>
      <c r="BU143" s="1173"/>
      <c r="BV143" s="1173"/>
      <c r="BW143" s="1173"/>
      <c r="BX143" s="1173"/>
      <c r="BY143" s="1173"/>
      <c r="BZ143" s="1173"/>
      <c r="CA143" s="1173"/>
      <c r="CB143" s="1173"/>
      <c r="CC143" s="1173"/>
      <c r="CD143" s="1173"/>
      <c r="CE143" s="1173"/>
      <c r="CF143" s="1173"/>
      <c r="CG143" s="1173"/>
    </row>
    <row r="144" spans="1:85" s="1173" customFormat="1" ht="27" customHeight="1" x14ac:dyDescent="0.2">
      <c r="A144" s="1193"/>
      <c r="B144" s="1194"/>
      <c r="C144" s="1195"/>
      <c r="D144" s="960">
        <v>42</v>
      </c>
      <c r="E144" s="829" t="s">
        <v>328</v>
      </c>
      <c r="F144" s="46"/>
      <c r="G144" s="745"/>
      <c r="H144" s="745"/>
      <c r="I144" s="744"/>
      <c r="J144" s="744"/>
      <c r="K144" s="746"/>
      <c r="L144" s="746"/>
      <c r="M144" s="744"/>
      <c r="N144" s="1082"/>
      <c r="O144" s="1085"/>
      <c r="P144" s="1242"/>
      <c r="Q144" s="1243"/>
      <c r="R144" s="1085"/>
      <c r="S144" s="1085"/>
      <c r="T144" s="1244"/>
      <c r="U144" s="1220"/>
      <c r="V144" s="1221"/>
      <c r="W144" s="1221"/>
      <c r="X144" s="1203"/>
      <c r="Y144" s="112"/>
      <c r="Z144" s="1082"/>
      <c r="AA144" s="1082"/>
      <c r="AB144" s="1082"/>
      <c r="AC144" s="1082"/>
      <c r="AD144" s="1082"/>
      <c r="AE144" s="1082"/>
      <c r="AF144" s="1082"/>
      <c r="AG144" s="1082"/>
      <c r="AH144" s="1082"/>
      <c r="AI144" s="1082"/>
      <c r="AJ144" s="1082"/>
      <c r="AK144" s="1082"/>
      <c r="AL144" s="1082"/>
      <c r="AM144" s="1082"/>
      <c r="AN144" s="1082"/>
      <c r="AO144" s="1082"/>
      <c r="AP144" s="1082"/>
      <c r="AQ144" s="1082"/>
      <c r="AR144" s="1082"/>
      <c r="AS144" s="1082"/>
      <c r="AT144" s="1082"/>
      <c r="AU144" s="1082"/>
      <c r="AV144" s="1082"/>
      <c r="AW144" s="1082"/>
      <c r="AX144" s="1082"/>
      <c r="AY144" s="1082"/>
      <c r="AZ144" s="1082"/>
      <c r="BA144" s="1082"/>
      <c r="BB144" s="1082"/>
      <c r="BC144" s="1082"/>
      <c r="BD144" s="1082"/>
      <c r="BE144" s="1082"/>
      <c r="BF144" s="1082"/>
      <c r="BG144" s="1082"/>
      <c r="BH144" s="1082"/>
      <c r="BI144" s="1082"/>
      <c r="BJ144" s="1082"/>
      <c r="BK144" s="1082"/>
      <c r="BL144" s="1082"/>
      <c r="BM144" s="1082"/>
      <c r="BN144" s="1082"/>
      <c r="BO144" s="1082"/>
      <c r="BP144" s="1323"/>
    </row>
    <row r="145" spans="1:68" s="768" customFormat="1" ht="50.25" customHeight="1" x14ac:dyDescent="0.2">
      <c r="A145" s="786"/>
      <c r="C145" s="787"/>
      <c r="D145" s="762"/>
      <c r="E145" s="762"/>
      <c r="F145" s="1324"/>
      <c r="G145" s="2666">
        <v>4502001</v>
      </c>
      <c r="H145" s="2666" t="s">
        <v>1235</v>
      </c>
      <c r="I145" s="2422" t="s">
        <v>1236</v>
      </c>
      <c r="J145" s="2422" t="s">
        <v>1237</v>
      </c>
      <c r="K145" s="2306">
        <v>3</v>
      </c>
      <c r="L145" s="2306">
        <v>2</v>
      </c>
      <c r="M145" s="2422" t="s">
        <v>1238</v>
      </c>
      <c r="N145" s="2306" t="s">
        <v>1188</v>
      </c>
      <c r="O145" s="2422" t="s">
        <v>1189</v>
      </c>
      <c r="P145" s="2885">
        <f>SUM(U145:U155)/Q145</f>
        <v>0.6438408217988385</v>
      </c>
      <c r="Q145" s="2888">
        <f>SUM(U145:U160)</f>
        <v>98270667</v>
      </c>
      <c r="R145" s="2422" t="s">
        <v>1190</v>
      </c>
      <c r="S145" s="2422" t="s">
        <v>1191</v>
      </c>
      <c r="T145" s="2910" t="s">
        <v>1239</v>
      </c>
      <c r="U145" s="1212">
        <v>4000000</v>
      </c>
      <c r="V145" s="1229">
        <f>450000+200000+450000+933333-373333</f>
        <v>1660000</v>
      </c>
      <c r="W145" s="1270"/>
      <c r="X145" s="1210">
        <v>88</v>
      </c>
      <c r="Y145" s="534" t="s">
        <v>4</v>
      </c>
      <c r="Z145" s="3010">
        <v>4835</v>
      </c>
      <c r="AA145" s="2666">
        <v>350</v>
      </c>
      <c r="AB145" s="2666">
        <v>4665</v>
      </c>
      <c r="AC145" s="2666">
        <v>395</v>
      </c>
      <c r="AD145" s="2666">
        <v>2214</v>
      </c>
      <c r="AE145" s="2666">
        <v>40</v>
      </c>
      <c r="AF145" s="2666">
        <v>723</v>
      </c>
      <c r="AG145" s="2666">
        <v>50</v>
      </c>
      <c r="AH145" s="2666">
        <v>5050</v>
      </c>
      <c r="AI145" s="2666">
        <v>250</v>
      </c>
      <c r="AJ145" s="2666">
        <v>1513</v>
      </c>
      <c r="AK145" s="2666">
        <v>40</v>
      </c>
      <c r="AL145" s="2840">
        <v>0</v>
      </c>
      <c r="AM145" s="2840"/>
      <c r="AN145" s="2840">
        <v>0</v>
      </c>
      <c r="AO145" s="2840"/>
      <c r="AP145" s="2840">
        <v>0</v>
      </c>
      <c r="AQ145" s="2840"/>
      <c r="AR145" s="2840">
        <v>0</v>
      </c>
      <c r="AS145" s="2840"/>
      <c r="AT145" s="2840">
        <v>0</v>
      </c>
      <c r="AU145" s="2840"/>
      <c r="AV145" s="2840">
        <v>0</v>
      </c>
      <c r="AW145" s="2840"/>
      <c r="AX145" s="2840">
        <v>0</v>
      </c>
      <c r="AY145" s="2840"/>
      <c r="AZ145" s="2840">
        <v>0</v>
      </c>
      <c r="BA145" s="2840"/>
      <c r="BB145" s="2840">
        <v>0</v>
      </c>
      <c r="BC145" s="2840"/>
      <c r="BD145" s="2917">
        <f>Z145+AB145</f>
        <v>9500</v>
      </c>
      <c r="BE145" s="3028">
        <f>AA145+AC145+AE145+AG145+AI145+AK145+AM145</f>
        <v>1125</v>
      </c>
      <c r="BF145" s="2665">
        <v>6</v>
      </c>
      <c r="BG145" s="3013">
        <f>SUM(V145:V160)</f>
        <v>51584001</v>
      </c>
      <c r="BH145" s="3013">
        <f>SUM(W145:W160)</f>
        <v>26970667</v>
      </c>
      <c r="BI145" s="3016">
        <f>+BH145/BG145</f>
        <v>0.52284945869165911</v>
      </c>
      <c r="BJ145" s="2857" t="s">
        <v>161</v>
      </c>
      <c r="BK145" s="3019" t="s">
        <v>1160</v>
      </c>
      <c r="BL145" s="2838">
        <v>44061</v>
      </c>
      <c r="BM145" s="2838">
        <v>44186</v>
      </c>
      <c r="BN145" s="2838">
        <v>44195</v>
      </c>
      <c r="BO145" s="2838"/>
      <c r="BP145" s="2422" t="s">
        <v>1058</v>
      </c>
    </row>
    <row r="146" spans="1:68" s="768" customFormat="1" ht="50.25" customHeight="1" x14ac:dyDescent="0.2">
      <c r="A146" s="786"/>
      <c r="C146" s="787"/>
      <c r="F146" s="787"/>
      <c r="G146" s="2667"/>
      <c r="H146" s="2667"/>
      <c r="I146" s="2423"/>
      <c r="J146" s="2423"/>
      <c r="K146" s="2307"/>
      <c r="L146" s="2307"/>
      <c r="M146" s="2423"/>
      <c r="N146" s="2307"/>
      <c r="O146" s="2423"/>
      <c r="P146" s="2886"/>
      <c r="Q146" s="3023"/>
      <c r="R146" s="2423"/>
      <c r="S146" s="2423"/>
      <c r="T146" s="2911"/>
      <c r="U146" s="1212">
        <v>17540001</v>
      </c>
      <c r="V146" s="1229">
        <v>17540001</v>
      </c>
      <c r="W146" s="1270">
        <v>15570000</v>
      </c>
      <c r="X146" s="1210">
        <v>20</v>
      </c>
      <c r="Y146" s="534" t="s">
        <v>1240</v>
      </c>
      <c r="Z146" s="3011"/>
      <c r="AA146" s="2667"/>
      <c r="AB146" s="2667"/>
      <c r="AC146" s="2667"/>
      <c r="AD146" s="2667"/>
      <c r="AE146" s="2667"/>
      <c r="AF146" s="2667"/>
      <c r="AG146" s="2667"/>
      <c r="AH146" s="2667"/>
      <c r="AI146" s="2667"/>
      <c r="AJ146" s="2667"/>
      <c r="AK146" s="2667"/>
      <c r="AL146" s="2841"/>
      <c r="AM146" s="2841"/>
      <c r="AN146" s="2841"/>
      <c r="AO146" s="2841"/>
      <c r="AP146" s="2841"/>
      <c r="AQ146" s="2841"/>
      <c r="AR146" s="2841"/>
      <c r="AS146" s="2841"/>
      <c r="AT146" s="2841"/>
      <c r="AU146" s="2841"/>
      <c r="AV146" s="2841"/>
      <c r="AW146" s="2841"/>
      <c r="AX146" s="2841"/>
      <c r="AY146" s="2841"/>
      <c r="AZ146" s="2841"/>
      <c r="BA146" s="2841"/>
      <c r="BB146" s="2841"/>
      <c r="BC146" s="2841"/>
      <c r="BD146" s="2918"/>
      <c r="BE146" s="2667"/>
      <c r="BF146" s="2665"/>
      <c r="BG146" s="3014"/>
      <c r="BH146" s="3014"/>
      <c r="BI146" s="3017"/>
      <c r="BJ146" s="2858"/>
      <c r="BK146" s="3020"/>
      <c r="BL146" s="2839"/>
      <c r="BM146" s="2839"/>
      <c r="BN146" s="2839"/>
      <c r="BO146" s="2839"/>
      <c r="BP146" s="2423"/>
    </row>
    <row r="147" spans="1:68" s="768" customFormat="1" ht="50.25" customHeight="1" x14ac:dyDescent="0.2">
      <c r="A147" s="786"/>
      <c r="C147" s="787"/>
      <c r="F147" s="787"/>
      <c r="G147" s="2667"/>
      <c r="H147" s="2667"/>
      <c r="I147" s="2423"/>
      <c r="J147" s="2423"/>
      <c r="K147" s="2307"/>
      <c r="L147" s="2307"/>
      <c r="M147" s="2423"/>
      <c r="N147" s="2307"/>
      <c r="O147" s="2423"/>
      <c r="P147" s="2886"/>
      <c r="Q147" s="2889"/>
      <c r="R147" s="2423"/>
      <c r="S147" s="2423"/>
      <c r="T147" s="1253" t="s">
        <v>1241</v>
      </c>
      <c r="U147" s="1212">
        <v>800000</v>
      </c>
      <c r="V147" s="1229"/>
      <c r="W147" s="1270"/>
      <c r="X147" s="1210">
        <v>88</v>
      </c>
      <c r="Y147" s="534" t="s">
        <v>4</v>
      </c>
      <c r="Z147" s="3011"/>
      <c r="AA147" s="2667"/>
      <c r="AB147" s="2667"/>
      <c r="AC147" s="2667"/>
      <c r="AD147" s="2667"/>
      <c r="AE147" s="2667"/>
      <c r="AF147" s="2667"/>
      <c r="AG147" s="2667"/>
      <c r="AH147" s="2667"/>
      <c r="AI147" s="2667"/>
      <c r="AJ147" s="2667"/>
      <c r="AK147" s="2667"/>
      <c r="AL147" s="2841"/>
      <c r="AM147" s="2841"/>
      <c r="AN147" s="2841"/>
      <c r="AO147" s="2841"/>
      <c r="AP147" s="2841"/>
      <c r="AQ147" s="2841"/>
      <c r="AR147" s="2841"/>
      <c r="AS147" s="2841"/>
      <c r="AT147" s="2841"/>
      <c r="AU147" s="2841"/>
      <c r="AV147" s="2841"/>
      <c r="AW147" s="2841"/>
      <c r="AX147" s="2841"/>
      <c r="AY147" s="2841"/>
      <c r="AZ147" s="2841"/>
      <c r="BA147" s="2841"/>
      <c r="BB147" s="2841"/>
      <c r="BC147" s="2841"/>
      <c r="BD147" s="2918"/>
      <c r="BE147" s="2667"/>
      <c r="BF147" s="2665"/>
      <c r="BG147" s="3014"/>
      <c r="BH147" s="3014"/>
      <c r="BI147" s="3017"/>
      <c r="BJ147" s="2858"/>
      <c r="BK147" s="3020"/>
      <c r="BL147" s="2839"/>
      <c r="BM147" s="2839"/>
      <c r="BN147" s="2839"/>
      <c r="BO147" s="2839"/>
      <c r="BP147" s="2423"/>
    </row>
    <row r="148" spans="1:68" s="768" customFormat="1" ht="50.25" customHeight="1" x14ac:dyDescent="0.2">
      <c r="A148" s="786"/>
      <c r="C148" s="787"/>
      <c r="F148" s="787"/>
      <c r="G148" s="2667"/>
      <c r="H148" s="2667"/>
      <c r="I148" s="2423"/>
      <c r="J148" s="2423"/>
      <c r="K148" s="2307"/>
      <c r="L148" s="2307"/>
      <c r="M148" s="2423"/>
      <c r="N148" s="2307"/>
      <c r="O148" s="2423"/>
      <c r="P148" s="2886"/>
      <c r="Q148" s="2889"/>
      <c r="R148" s="2423"/>
      <c r="S148" s="2423"/>
      <c r="T148" s="1253" t="s">
        <v>1242</v>
      </c>
      <c r="U148" s="1325">
        <v>0</v>
      </c>
      <c r="V148" s="1229"/>
      <c r="W148" s="1270"/>
      <c r="X148" s="1210"/>
      <c r="Y148" s="534"/>
      <c r="Z148" s="3011"/>
      <c r="AA148" s="2667"/>
      <c r="AB148" s="2667"/>
      <c r="AC148" s="2667"/>
      <c r="AD148" s="2667"/>
      <c r="AE148" s="2667"/>
      <c r="AF148" s="2667"/>
      <c r="AG148" s="2667"/>
      <c r="AH148" s="2667"/>
      <c r="AI148" s="2667"/>
      <c r="AJ148" s="2667"/>
      <c r="AK148" s="2667"/>
      <c r="AL148" s="2841"/>
      <c r="AM148" s="2841"/>
      <c r="AN148" s="2841"/>
      <c r="AO148" s="2841"/>
      <c r="AP148" s="2841"/>
      <c r="AQ148" s="2841"/>
      <c r="AR148" s="2841"/>
      <c r="AS148" s="2841"/>
      <c r="AT148" s="2841"/>
      <c r="AU148" s="2841"/>
      <c r="AV148" s="2841"/>
      <c r="AW148" s="2841"/>
      <c r="AX148" s="2841"/>
      <c r="AY148" s="2841"/>
      <c r="AZ148" s="2841"/>
      <c r="BA148" s="2841"/>
      <c r="BB148" s="2841"/>
      <c r="BC148" s="2841"/>
      <c r="BD148" s="2918"/>
      <c r="BE148" s="2667"/>
      <c r="BF148" s="2665"/>
      <c r="BG148" s="3014"/>
      <c r="BH148" s="3014"/>
      <c r="BI148" s="3017"/>
      <c r="BJ148" s="2858"/>
      <c r="BK148" s="3020"/>
      <c r="BL148" s="2839"/>
      <c r="BM148" s="2839"/>
      <c r="BN148" s="2839"/>
      <c r="BO148" s="2839"/>
      <c r="BP148" s="2423"/>
    </row>
    <row r="149" spans="1:68" s="768" customFormat="1" ht="50.25" customHeight="1" x14ac:dyDescent="0.2">
      <c r="A149" s="786"/>
      <c r="C149" s="787"/>
      <c r="F149" s="787"/>
      <c r="G149" s="2667"/>
      <c r="H149" s="2667"/>
      <c r="I149" s="2423"/>
      <c r="J149" s="2423"/>
      <c r="K149" s="2307"/>
      <c r="L149" s="2307"/>
      <c r="M149" s="2423"/>
      <c r="N149" s="2307"/>
      <c r="O149" s="2423"/>
      <c r="P149" s="2886"/>
      <c r="Q149" s="2889"/>
      <c r="R149" s="2423"/>
      <c r="S149" s="2423"/>
      <c r="T149" s="1253" t="s">
        <v>1243</v>
      </c>
      <c r="U149" s="1212">
        <v>200000</v>
      </c>
      <c r="V149" s="1229"/>
      <c r="W149" s="1270"/>
      <c r="X149" s="1210">
        <v>88</v>
      </c>
      <c r="Y149" s="534" t="s">
        <v>4</v>
      </c>
      <c r="Z149" s="3011"/>
      <c r="AA149" s="2667"/>
      <c r="AB149" s="2667"/>
      <c r="AC149" s="2667"/>
      <c r="AD149" s="2667"/>
      <c r="AE149" s="2667"/>
      <c r="AF149" s="2667"/>
      <c r="AG149" s="2667"/>
      <c r="AH149" s="2667"/>
      <c r="AI149" s="2667"/>
      <c r="AJ149" s="2667"/>
      <c r="AK149" s="2667"/>
      <c r="AL149" s="2841"/>
      <c r="AM149" s="2841"/>
      <c r="AN149" s="2841"/>
      <c r="AO149" s="2841"/>
      <c r="AP149" s="2841"/>
      <c r="AQ149" s="2841"/>
      <c r="AR149" s="2841"/>
      <c r="AS149" s="2841"/>
      <c r="AT149" s="2841"/>
      <c r="AU149" s="2841"/>
      <c r="AV149" s="2841"/>
      <c r="AW149" s="2841"/>
      <c r="AX149" s="2841"/>
      <c r="AY149" s="2841"/>
      <c r="AZ149" s="2841"/>
      <c r="BA149" s="2841"/>
      <c r="BB149" s="2841"/>
      <c r="BC149" s="2841"/>
      <c r="BD149" s="2918"/>
      <c r="BE149" s="2667"/>
      <c r="BF149" s="2665"/>
      <c r="BG149" s="3014"/>
      <c r="BH149" s="3014"/>
      <c r="BI149" s="3017"/>
      <c r="BJ149" s="2858"/>
      <c r="BK149" s="3020"/>
      <c r="BL149" s="2839"/>
      <c r="BM149" s="2839"/>
      <c r="BN149" s="2839"/>
      <c r="BO149" s="2839"/>
      <c r="BP149" s="2423"/>
    </row>
    <row r="150" spans="1:68" s="768" customFormat="1" ht="50.25" customHeight="1" x14ac:dyDescent="0.2">
      <c r="A150" s="786"/>
      <c r="C150" s="787"/>
      <c r="F150" s="787"/>
      <c r="G150" s="2667"/>
      <c r="H150" s="2667"/>
      <c r="I150" s="2423"/>
      <c r="J150" s="2423"/>
      <c r="K150" s="2307"/>
      <c r="L150" s="2307"/>
      <c r="M150" s="2423"/>
      <c r="N150" s="2307"/>
      <c r="O150" s="2423"/>
      <c r="P150" s="2886"/>
      <c r="Q150" s="2889"/>
      <c r="R150" s="2423"/>
      <c r="S150" s="2423"/>
      <c r="T150" s="1253" t="s">
        <v>1244</v>
      </c>
      <c r="U150" s="1325">
        <v>0</v>
      </c>
      <c r="V150" s="1229"/>
      <c r="W150" s="1270"/>
      <c r="X150" s="1210"/>
      <c r="Y150" s="534"/>
      <c r="Z150" s="3011"/>
      <c r="AA150" s="2667"/>
      <c r="AB150" s="2667"/>
      <c r="AC150" s="2667"/>
      <c r="AD150" s="2667"/>
      <c r="AE150" s="2667"/>
      <c r="AF150" s="2667"/>
      <c r="AG150" s="2667"/>
      <c r="AH150" s="2667"/>
      <c r="AI150" s="2667"/>
      <c r="AJ150" s="2667"/>
      <c r="AK150" s="2667"/>
      <c r="AL150" s="2841"/>
      <c r="AM150" s="2841"/>
      <c r="AN150" s="2841"/>
      <c r="AO150" s="2841"/>
      <c r="AP150" s="2841"/>
      <c r="AQ150" s="2841"/>
      <c r="AR150" s="2841"/>
      <c r="AS150" s="2841"/>
      <c r="AT150" s="2841"/>
      <c r="AU150" s="2841"/>
      <c r="AV150" s="2841"/>
      <c r="AW150" s="2841"/>
      <c r="AX150" s="2841"/>
      <c r="AY150" s="2841"/>
      <c r="AZ150" s="2841"/>
      <c r="BA150" s="2841"/>
      <c r="BB150" s="2841"/>
      <c r="BC150" s="2841"/>
      <c r="BD150" s="2918"/>
      <c r="BE150" s="2667"/>
      <c r="BF150" s="2665"/>
      <c r="BG150" s="3014"/>
      <c r="BH150" s="3014"/>
      <c r="BI150" s="3017"/>
      <c r="BJ150" s="2858"/>
      <c r="BK150" s="3020"/>
      <c r="BL150" s="2839"/>
      <c r="BM150" s="2839"/>
      <c r="BN150" s="2839"/>
      <c r="BO150" s="2839"/>
      <c r="BP150" s="2423"/>
    </row>
    <row r="151" spans="1:68" s="768" customFormat="1" ht="50.25" customHeight="1" x14ac:dyDescent="0.2">
      <c r="A151" s="786"/>
      <c r="C151" s="787"/>
      <c r="F151" s="787"/>
      <c r="G151" s="2667"/>
      <c r="H151" s="2667"/>
      <c r="I151" s="2423"/>
      <c r="J151" s="2423"/>
      <c r="K151" s="2307"/>
      <c r="L151" s="2307"/>
      <c r="M151" s="2423"/>
      <c r="N151" s="2307"/>
      <c r="O151" s="2423"/>
      <c r="P151" s="2886"/>
      <c r="Q151" s="2889"/>
      <c r="R151" s="2423"/>
      <c r="S151" s="2423"/>
      <c r="T151" s="1253" t="s">
        <v>1245</v>
      </c>
      <c r="U151" s="1325">
        <v>0</v>
      </c>
      <c r="V151" s="1229"/>
      <c r="W151" s="1270"/>
      <c r="X151" s="1210"/>
      <c r="Y151" s="534"/>
      <c r="Z151" s="3011"/>
      <c r="AA151" s="2667"/>
      <c r="AB151" s="2667"/>
      <c r="AC151" s="2667"/>
      <c r="AD151" s="2667"/>
      <c r="AE151" s="2667"/>
      <c r="AF151" s="2667"/>
      <c r="AG151" s="2667"/>
      <c r="AH151" s="2667"/>
      <c r="AI151" s="2667"/>
      <c r="AJ151" s="2667"/>
      <c r="AK151" s="2667"/>
      <c r="AL151" s="2841"/>
      <c r="AM151" s="2841"/>
      <c r="AN151" s="2841"/>
      <c r="AO151" s="2841"/>
      <c r="AP151" s="2841"/>
      <c r="AQ151" s="2841"/>
      <c r="AR151" s="2841"/>
      <c r="AS151" s="2841"/>
      <c r="AT151" s="2841"/>
      <c r="AU151" s="2841"/>
      <c r="AV151" s="2841"/>
      <c r="AW151" s="2841"/>
      <c r="AX151" s="2841"/>
      <c r="AY151" s="2841"/>
      <c r="AZ151" s="2841"/>
      <c r="BA151" s="2841"/>
      <c r="BB151" s="2841"/>
      <c r="BC151" s="2841"/>
      <c r="BD151" s="2918"/>
      <c r="BE151" s="2667"/>
      <c r="BF151" s="2665"/>
      <c r="BG151" s="3014"/>
      <c r="BH151" s="3014"/>
      <c r="BI151" s="3017"/>
      <c r="BJ151" s="2858"/>
      <c r="BK151" s="3020"/>
      <c r="BL151" s="2839"/>
      <c r="BM151" s="2839"/>
      <c r="BN151" s="2839"/>
      <c r="BO151" s="2839"/>
      <c r="BP151" s="2423"/>
    </row>
    <row r="152" spans="1:68" s="768" customFormat="1" ht="50.25" customHeight="1" x14ac:dyDescent="0.2">
      <c r="A152" s="786"/>
      <c r="C152" s="787"/>
      <c r="F152" s="787"/>
      <c r="G152" s="2667"/>
      <c r="H152" s="2667"/>
      <c r="I152" s="2423"/>
      <c r="J152" s="2423"/>
      <c r="K152" s="2307"/>
      <c r="L152" s="2307"/>
      <c r="M152" s="2423"/>
      <c r="N152" s="2307"/>
      <c r="O152" s="2423"/>
      <c r="P152" s="2886"/>
      <c r="Q152" s="2889"/>
      <c r="R152" s="2423"/>
      <c r="S152" s="2423"/>
      <c r="T152" s="1253" t="s">
        <v>1246</v>
      </c>
      <c r="U152" s="1212">
        <v>3730666</v>
      </c>
      <c r="V152" s="1229">
        <v>3730666</v>
      </c>
      <c r="W152" s="1229">
        <v>3730000</v>
      </c>
      <c r="X152" s="1210">
        <v>20</v>
      </c>
      <c r="Y152" s="534" t="s">
        <v>1240</v>
      </c>
      <c r="Z152" s="3011"/>
      <c r="AA152" s="2667"/>
      <c r="AB152" s="2667"/>
      <c r="AC152" s="2667"/>
      <c r="AD152" s="2667"/>
      <c r="AE152" s="2667"/>
      <c r="AF152" s="2667"/>
      <c r="AG152" s="2667"/>
      <c r="AH152" s="2667"/>
      <c r="AI152" s="2667"/>
      <c r="AJ152" s="2667"/>
      <c r="AK152" s="2667"/>
      <c r="AL152" s="2841"/>
      <c r="AM152" s="2841"/>
      <c r="AN152" s="2841"/>
      <c r="AO152" s="2841"/>
      <c r="AP152" s="2841"/>
      <c r="AQ152" s="2841"/>
      <c r="AR152" s="2841"/>
      <c r="AS152" s="2841"/>
      <c r="AT152" s="2841"/>
      <c r="AU152" s="2841"/>
      <c r="AV152" s="2841"/>
      <c r="AW152" s="2841"/>
      <c r="AX152" s="2841"/>
      <c r="AY152" s="2841"/>
      <c r="AZ152" s="2841"/>
      <c r="BA152" s="2841"/>
      <c r="BB152" s="2841"/>
      <c r="BC152" s="2841"/>
      <c r="BD152" s="2918"/>
      <c r="BE152" s="2667"/>
      <c r="BF152" s="2665"/>
      <c r="BG152" s="3014"/>
      <c r="BH152" s="3014"/>
      <c r="BI152" s="3017"/>
      <c r="BJ152" s="2858"/>
      <c r="BK152" s="3020"/>
      <c r="BL152" s="2839"/>
      <c r="BM152" s="2839"/>
      <c r="BN152" s="2839"/>
      <c r="BO152" s="2839"/>
      <c r="BP152" s="2423"/>
    </row>
    <row r="153" spans="1:68" s="768" customFormat="1" ht="50.25" customHeight="1" x14ac:dyDescent="0.2">
      <c r="A153" s="786"/>
      <c r="C153" s="787"/>
      <c r="F153" s="787"/>
      <c r="G153" s="2667"/>
      <c r="H153" s="2667"/>
      <c r="I153" s="2423"/>
      <c r="J153" s="2423"/>
      <c r="K153" s="2307"/>
      <c r="L153" s="2307"/>
      <c r="M153" s="2423"/>
      <c r="N153" s="2307"/>
      <c r="O153" s="2423"/>
      <c r="P153" s="2886"/>
      <c r="Q153" s="2889"/>
      <c r="R153" s="2423"/>
      <c r="S153" s="2423"/>
      <c r="T153" s="2910" t="s">
        <v>1247</v>
      </c>
      <c r="U153" s="1212">
        <f>0+35000000</f>
        <v>35000000</v>
      </c>
      <c r="V153" s="1229">
        <v>12000000</v>
      </c>
      <c r="W153" s="1229">
        <v>7400000</v>
      </c>
      <c r="X153" s="1210">
        <v>88</v>
      </c>
      <c r="Y153" s="534" t="s">
        <v>4</v>
      </c>
      <c r="Z153" s="3011"/>
      <c r="AA153" s="2667"/>
      <c r="AB153" s="2667"/>
      <c r="AC153" s="2667"/>
      <c r="AD153" s="2667"/>
      <c r="AE153" s="2667"/>
      <c r="AF153" s="2667"/>
      <c r="AG153" s="2667"/>
      <c r="AH153" s="2667"/>
      <c r="AI153" s="2667"/>
      <c r="AJ153" s="2667"/>
      <c r="AK153" s="2667"/>
      <c r="AL153" s="2841"/>
      <c r="AM153" s="2841"/>
      <c r="AN153" s="2841"/>
      <c r="AO153" s="2841"/>
      <c r="AP153" s="2841"/>
      <c r="AQ153" s="2841"/>
      <c r="AR153" s="2841"/>
      <c r="AS153" s="2841"/>
      <c r="AT153" s="2841"/>
      <c r="AU153" s="2841"/>
      <c r="AV153" s="2841"/>
      <c r="AW153" s="2841"/>
      <c r="AX153" s="2841"/>
      <c r="AY153" s="2841"/>
      <c r="AZ153" s="2841"/>
      <c r="BA153" s="2841"/>
      <c r="BB153" s="2841"/>
      <c r="BC153" s="2841"/>
      <c r="BD153" s="2918"/>
      <c r="BE153" s="2667"/>
      <c r="BF153" s="2665"/>
      <c r="BG153" s="3014"/>
      <c r="BH153" s="3014"/>
      <c r="BI153" s="3017"/>
      <c r="BJ153" s="2858"/>
      <c r="BK153" s="3020"/>
      <c r="BL153" s="2839"/>
      <c r="BM153" s="2839"/>
      <c r="BN153" s="2839"/>
      <c r="BO153" s="2839"/>
      <c r="BP153" s="2423"/>
    </row>
    <row r="154" spans="1:68" s="768" customFormat="1" ht="75.75" customHeight="1" x14ac:dyDescent="0.2">
      <c r="A154" s="786"/>
      <c r="C154" s="787"/>
      <c r="F154" s="787"/>
      <c r="G154" s="2667"/>
      <c r="H154" s="2667"/>
      <c r="I154" s="2423"/>
      <c r="J154" s="2423"/>
      <c r="K154" s="2307"/>
      <c r="L154" s="2307"/>
      <c r="M154" s="2423"/>
      <c r="N154" s="2307"/>
      <c r="O154" s="2423"/>
      <c r="P154" s="2886"/>
      <c r="Q154" s="2889"/>
      <c r="R154" s="2423"/>
      <c r="S154" s="2423"/>
      <c r="T154" s="2911"/>
      <c r="U154" s="1212">
        <v>2000000</v>
      </c>
      <c r="V154" s="1229">
        <v>2000000</v>
      </c>
      <c r="W154" s="1270">
        <v>270667</v>
      </c>
      <c r="X154" s="1210">
        <v>20</v>
      </c>
      <c r="Y154" s="534" t="s">
        <v>1240</v>
      </c>
      <c r="Z154" s="3011"/>
      <c r="AA154" s="2667"/>
      <c r="AB154" s="2667"/>
      <c r="AC154" s="2667"/>
      <c r="AD154" s="2667"/>
      <c r="AE154" s="2667"/>
      <c r="AF154" s="2667"/>
      <c r="AG154" s="2667"/>
      <c r="AH154" s="2667"/>
      <c r="AI154" s="2667"/>
      <c r="AJ154" s="2667"/>
      <c r="AK154" s="2667"/>
      <c r="AL154" s="2841"/>
      <c r="AM154" s="2841"/>
      <c r="AN154" s="2841"/>
      <c r="AO154" s="2841"/>
      <c r="AP154" s="2841"/>
      <c r="AQ154" s="2841"/>
      <c r="AR154" s="2841"/>
      <c r="AS154" s="2841"/>
      <c r="AT154" s="2841"/>
      <c r="AU154" s="2841"/>
      <c r="AV154" s="2841"/>
      <c r="AW154" s="2841"/>
      <c r="AX154" s="2841"/>
      <c r="AY154" s="2841"/>
      <c r="AZ154" s="2841"/>
      <c r="BA154" s="2841"/>
      <c r="BB154" s="2841"/>
      <c r="BC154" s="2841"/>
      <c r="BD154" s="2918"/>
      <c r="BE154" s="2667"/>
      <c r="BF154" s="2665"/>
      <c r="BG154" s="3014"/>
      <c r="BH154" s="3014"/>
      <c r="BI154" s="3017"/>
      <c r="BJ154" s="2858"/>
      <c r="BK154" s="3020"/>
      <c r="BL154" s="2839"/>
      <c r="BM154" s="2839"/>
      <c r="BN154" s="2839"/>
      <c r="BO154" s="2839"/>
      <c r="BP154" s="2423"/>
    </row>
    <row r="155" spans="1:68" s="768" customFormat="1" ht="78.75" customHeight="1" x14ac:dyDescent="0.2">
      <c r="A155" s="786"/>
      <c r="C155" s="787"/>
      <c r="F155" s="787"/>
      <c r="G155" s="2668"/>
      <c r="H155" s="2668"/>
      <c r="I155" s="2424"/>
      <c r="J155" s="2424"/>
      <c r="K155" s="2467"/>
      <c r="L155" s="2467"/>
      <c r="M155" s="2423"/>
      <c r="N155" s="2307"/>
      <c r="O155" s="2423"/>
      <c r="P155" s="2887"/>
      <c r="Q155" s="2889"/>
      <c r="R155" s="2423"/>
      <c r="S155" s="2423"/>
      <c r="T155" s="1253" t="s">
        <v>1248</v>
      </c>
      <c r="U155" s="1325">
        <v>0</v>
      </c>
      <c r="V155" s="1270"/>
      <c r="W155" s="1270"/>
      <c r="X155" s="1273"/>
      <c r="Y155" s="522"/>
      <c r="Z155" s="3011"/>
      <c r="AA155" s="2667"/>
      <c r="AB155" s="2667"/>
      <c r="AC155" s="2667"/>
      <c r="AD155" s="2667"/>
      <c r="AE155" s="2667"/>
      <c r="AF155" s="2667"/>
      <c r="AG155" s="2667"/>
      <c r="AH155" s="2667"/>
      <c r="AI155" s="2667"/>
      <c r="AJ155" s="2667"/>
      <c r="AK155" s="2667"/>
      <c r="AL155" s="2841"/>
      <c r="AM155" s="2841"/>
      <c r="AN155" s="2841"/>
      <c r="AO155" s="2841"/>
      <c r="AP155" s="2841"/>
      <c r="AQ155" s="2841"/>
      <c r="AR155" s="2841"/>
      <c r="AS155" s="2841"/>
      <c r="AT155" s="2841"/>
      <c r="AU155" s="2841"/>
      <c r="AV155" s="2841"/>
      <c r="AW155" s="2841"/>
      <c r="AX155" s="2841"/>
      <c r="AY155" s="2841"/>
      <c r="AZ155" s="2841"/>
      <c r="BA155" s="2841"/>
      <c r="BB155" s="2841"/>
      <c r="BC155" s="2841"/>
      <c r="BD155" s="2918"/>
      <c r="BE155" s="2667"/>
      <c r="BF155" s="2665"/>
      <c r="BG155" s="3014"/>
      <c r="BH155" s="3014"/>
      <c r="BI155" s="3017"/>
      <c r="BJ155" s="2858"/>
      <c r="BK155" s="3020"/>
      <c r="BL155" s="2839"/>
      <c r="BM155" s="2839"/>
      <c r="BN155" s="2839"/>
      <c r="BO155" s="2839"/>
      <c r="BP155" s="2423"/>
    </row>
    <row r="156" spans="1:68" s="768" customFormat="1" ht="50.25" customHeight="1" x14ac:dyDescent="0.2">
      <c r="A156" s="786"/>
      <c r="C156" s="787"/>
      <c r="F156" s="787"/>
      <c r="G156" s="2306" t="s">
        <v>1140</v>
      </c>
      <c r="H156" s="2306" t="s">
        <v>1249</v>
      </c>
      <c r="I156" s="2422" t="s">
        <v>1250</v>
      </c>
      <c r="J156" s="2422" t="s">
        <v>1251</v>
      </c>
      <c r="K156" s="2306">
        <v>1</v>
      </c>
      <c r="L156" s="2306">
        <v>0.3</v>
      </c>
      <c r="M156" s="2423"/>
      <c r="N156" s="2307"/>
      <c r="O156" s="2423"/>
      <c r="P156" s="3025">
        <f>SUM(U156:U160)/Q145</f>
        <v>0.3561591782011615</v>
      </c>
      <c r="Q156" s="2889"/>
      <c r="R156" s="2423"/>
      <c r="S156" s="2423"/>
      <c r="T156" s="1253" t="s">
        <v>1252</v>
      </c>
      <c r="U156" s="1212">
        <v>20000000</v>
      </c>
      <c r="V156" s="1229">
        <f>4293334+5460000-560000</f>
        <v>9193334</v>
      </c>
      <c r="W156" s="1229"/>
      <c r="X156" s="1210">
        <v>88</v>
      </c>
      <c r="Y156" s="534" t="s">
        <v>4</v>
      </c>
      <c r="Z156" s="3011"/>
      <c r="AA156" s="2667"/>
      <c r="AB156" s="2667"/>
      <c r="AC156" s="2667"/>
      <c r="AD156" s="2667"/>
      <c r="AE156" s="2667"/>
      <c r="AF156" s="2667"/>
      <c r="AG156" s="2667"/>
      <c r="AH156" s="2667"/>
      <c r="AI156" s="2667"/>
      <c r="AJ156" s="2667"/>
      <c r="AK156" s="2667"/>
      <c r="AL156" s="2841"/>
      <c r="AM156" s="2841"/>
      <c r="AN156" s="2841"/>
      <c r="AO156" s="2841"/>
      <c r="AP156" s="2841"/>
      <c r="AQ156" s="2841"/>
      <c r="AR156" s="2841"/>
      <c r="AS156" s="2841"/>
      <c r="AT156" s="2841"/>
      <c r="AU156" s="2841"/>
      <c r="AV156" s="2841"/>
      <c r="AW156" s="2841"/>
      <c r="AX156" s="2841"/>
      <c r="AY156" s="2841"/>
      <c r="AZ156" s="2841"/>
      <c r="BA156" s="2841"/>
      <c r="BB156" s="2841"/>
      <c r="BC156" s="2841"/>
      <c r="BD156" s="2918"/>
      <c r="BE156" s="2667"/>
      <c r="BF156" s="2665"/>
      <c r="BG156" s="3014"/>
      <c r="BH156" s="3014"/>
      <c r="BI156" s="3017"/>
      <c r="BJ156" s="2858"/>
      <c r="BK156" s="3020"/>
      <c r="BL156" s="2839"/>
      <c r="BM156" s="2839"/>
      <c r="BN156" s="2839"/>
      <c r="BO156" s="2839"/>
      <c r="BP156" s="2423"/>
    </row>
    <row r="157" spans="1:68" s="768" customFormat="1" ht="66.75" customHeight="1" x14ac:dyDescent="0.2">
      <c r="A157" s="786"/>
      <c r="C157" s="787"/>
      <c r="F157" s="787"/>
      <c r="G157" s="2307"/>
      <c r="H157" s="2307"/>
      <c r="I157" s="2423"/>
      <c r="J157" s="2423"/>
      <c r="K157" s="2307"/>
      <c r="L157" s="2307"/>
      <c r="M157" s="2423"/>
      <c r="N157" s="2307"/>
      <c r="O157" s="2423"/>
      <c r="P157" s="3026"/>
      <c r="Q157" s="2889"/>
      <c r="R157" s="2423"/>
      <c r="S157" s="2423"/>
      <c r="T157" s="1253" t="s">
        <v>1253</v>
      </c>
      <c r="U157" s="1212">
        <f>45000000-35000000</f>
        <v>10000000</v>
      </c>
      <c r="V157" s="1229">
        <f>5460000</f>
        <v>5460000</v>
      </c>
      <c r="W157" s="1229"/>
      <c r="X157" s="1210">
        <v>88</v>
      </c>
      <c r="Y157" s="534" t="s">
        <v>4</v>
      </c>
      <c r="Z157" s="3011"/>
      <c r="AA157" s="2667"/>
      <c r="AB157" s="2667"/>
      <c r="AC157" s="2667"/>
      <c r="AD157" s="2667"/>
      <c r="AE157" s="2667"/>
      <c r="AF157" s="2667"/>
      <c r="AG157" s="2667"/>
      <c r="AH157" s="2667"/>
      <c r="AI157" s="2667"/>
      <c r="AJ157" s="2667"/>
      <c r="AK157" s="2667"/>
      <c r="AL157" s="2841"/>
      <c r="AM157" s="2841"/>
      <c r="AN157" s="2841"/>
      <c r="AO157" s="2841"/>
      <c r="AP157" s="2841"/>
      <c r="AQ157" s="2841"/>
      <c r="AR157" s="2841"/>
      <c r="AS157" s="2841"/>
      <c r="AT157" s="2841"/>
      <c r="AU157" s="2841"/>
      <c r="AV157" s="2841"/>
      <c r="AW157" s="2841"/>
      <c r="AX157" s="2841"/>
      <c r="AY157" s="2841"/>
      <c r="AZ157" s="2841"/>
      <c r="BA157" s="2841"/>
      <c r="BB157" s="2841"/>
      <c r="BC157" s="2841"/>
      <c r="BD157" s="2918"/>
      <c r="BE157" s="2667"/>
      <c r="BF157" s="2665"/>
      <c r="BG157" s="3014"/>
      <c r="BH157" s="3014"/>
      <c r="BI157" s="3017"/>
      <c r="BJ157" s="2858"/>
      <c r="BK157" s="3020"/>
      <c r="BL157" s="2839"/>
      <c r="BM157" s="2839"/>
      <c r="BN157" s="2839"/>
      <c r="BO157" s="2839"/>
      <c r="BP157" s="2423"/>
    </row>
    <row r="158" spans="1:68" s="768" customFormat="1" ht="50.25" customHeight="1" x14ac:dyDescent="0.2">
      <c r="A158" s="786"/>
      <c r="C158" s="787"/>
      <c r="F158" s="787"/>
      <c r="G158" s="2307"/>
      <c r="H158" s="2307"/>
      <c r="I158" s="2423"/>
      <c r="J158" s="2423"/>
      <c r="K158" s="2307"/>
      <c r="L158" s="2307"/>
      <c r="M158" s="2423"/>
      <c r="N158" s="2307"/>
      <c r="O158" s="2423"/>
      <c r="P158" s="3026"/>
      <c r="Q158" s="2889"/>
      <c r="R158" s="2423"/>
      <c r="S158" s="2423"/>
      <c r="T158" s="1253" t="s">
        <v>1254</v>
      </c>
      <c r="U158" s="1212">
        <v>5000000</v>
      </c>
      <c r="V158" s="1229"/>
      <c r="W158" s="1270"/>
      <c r="X158" s="1210">
        <v>88</v>
      </c>
      <c r="Y158" s="534" t="s">
        <v>4</v>
      </c>
      <c r="Z158" s="3011"/>
      <c r="AA158" s="2667"/>
      <c r="AB158" s="2667"/>
      <c r="AC158" s="2667"/>
      <c r="AD158" s="2667"/>
      <c r="AE158" s="2667"/>
      <c r="AF158" s="2667"/>
      <c r="AG158" s="2667"/>
      <c r="AH158" s="2667"/>
      <c r="AI158" s="2667"/>
      <c r="AJ158" s="2667"/>
      <c r="AK158" s="2667"/>
      <c r="AL158" s="2841"/>
      <c r="AM158" s="2841"/>
      <c r="AN158" s="2841"/>
      <c r="AO158" s="2841"/>
      <c r="AP158" s="2841"/>
      <c r="AQ158" s="2841"/>
      <c r="AR158" s="2841"/>
      <c r="AS158" s="2841"/>
      <c r="AT158" s="2841"/>
      <c r="AU158" s="2841"/>
      <c r="AV158" s="2841"/>
      <c r="AW158" s="2841"/>
      <c r="AX158" s="2841"/>
      <c r="AY158" s="2841"/>
      <c r="AZ158" s="2841"/>
      <c r="BA158" s="2841"/>
      <c r="BB158" s="2841"/>
      <c r="BC158" s="2841"/>
      <c r="BD158" s="2918"/>
      <c r="BE158" s="2667"/>
      <c r="BF158" s="2665"/>
      <c r="BG158" s="3014"/>
      <c r="BH158" s="3014"/>
      <c r="BI158" s="3017"/>
      <c r="BJ158" s="2858"/>
      <c r="BK158" s="3020"/>
      <c r="BL158" s="2839"/>
      <c r="BM158" s="2839"/>
      <c r="BN158" s="2839"/>
      <c r="BO158" s="2839"/>
      <c r="BP158" s="2423"/>
    </row>
    <row r="159" spans="1:68" s="768" customFormat="1" ht="50.25" customHeight="1" x14ac:dyDescent="0.2">
      <c r="A159" s="786"/>
      <c r="C159" s="787"/>
      <c r="F159" s="787"/>
      <c r="G159" s="2307"/>
      <c r="H159" s="2307"/>
      <c r="I159" s="2423"/>
      <c r="J159" s="2423"/>
      <c r="K159" s="2307"/>
      <c r="L159" s="2307"/>
      <c r="M159" s="2423"/>
      <c r="N159" s="2307"/>
      <c r="O159" s="2423"/>
      <c r="P159" s="3026"/>
      <c r="Q159" s="2889"/>
      <c r="R159" s="2423"/>
      <c r="S159" s="2423"/>
      <c r="T159" s="1253" t="s">
        <v>1255</v>
      </c>
      <c r="U159" s="1325">
        <v>0</v>
      </c>
      <c r="V159" s="1229"/>
      <c r="W159" s="1270"/>
      <c r="X159" s="1210"/>
      <c r="Y159" s="534"/>
      <c r="Z159" s="3011"/>
      <c r="AA159" s="2667"/>
      <c r="AB159" s="2667"/>
      <c r="AC159" s="2667"/>
      <c r="AD159" s="2667"/>
      <c r="AE159" s="2667"/>
      <c r="AF159" s="2667"/>
      <c r="AG159" s="2667"/>
      <c r="AH159" s="2667"/>
      <c r="AI159" s="2667"/>
      <c r="AJ159" s="2667"/>
      <c r="AK159" s="2667"/>
      <c r="AL159" s="2841"/>
      <c r="AM159" s="2841"/>
      <c r="AN159" s="2841"/>
      <c r="AO159" s="2841"/>
      <c r="AP159" s="2841"/>
      <c r="AQ159" s="2841"/>
      <c r="AR159" s="2841"/>
      <c r="AS159" s="2841"/>
      <c r="AT159" s="2841"/>
      <c r="AU159" s="2841"/>
      <c r="AV159" s="2841"/>
      <c r="AW159" s="2841"/>
      <c r="AX159" s="2841"/>
      <c r="AY159" s="2841"/>
      <c r="AZ159" s="2841"/>
      <c r="BA159" s="2841"/>
      <c r="BB159" s="2841"/>
      <c r="BC159" s="2841"/>
      <c r="BD159" s="2918"/>
      <c r="BE159" s="2667"/>
      <c r="BF159" s="2665"/>
      <c r="BG159" s="3014"/>
      <c r="BH159" s="3014"/>
      <c r="BI159" s="3017"/>
      <c r="BJ159" s="2858"/>
      <c r="BK159" s="3020"/>
      <c r="BL159" s="2839"/>
      <c r="BM159" s="2839"/>
      <c r="BN159" s="2839"/>
      <c r="BO159" s="2839"/>
      <c r="BP159" s="2423"/>
    </row>
    <row r="160" spans="1:68" s="768" customFormat="1" ht="50.25" customHeight="1" x14ac:dyDescent="0.2">
      <c r="A160" s="786"/>
      <c r="C160" s="787"/>
      <c r="F160" s="787"/>
      <c r="G160" s="2467"/>
      <c r="H160" s="2307"/>
      <c r="I160" s="2424"/>
      <c r="J160" s="2424"/>
      <c r="K160" s="2995"/>
      <c r="L160" s="2995"/>
      <c r="M160" s="2423"/>
      <c r="N160" s="2467"/>
      <c r="O160" s="2424"/>
      <c r="P160" s="3027"/>
      <c r="Q160" s="3024"/>
      <c r="R160" s="2424"/>
      <c r="S160" s="2424"/>
      <c r="T160" s="1253" t="s">
        <v>1256</v>
      </c>
      <c r="U160" s="1325">
        <v>0</v>
      </c>
      <c r="V160" s="1229"/>
      <c r="W160" s="1270"/>
      <c r="X160" s="1326"/>
      <c r="Y160" s="534"/>
      <c r="Z160" s="3012"/>
      <c r="AA160" s="2668"/>
      <c r="AB160" s="2668"/>
      <c r="AC160" s="2668"/>
      <c r="AD160" s="2668"/>
      <c r="AE160" s="2668"/>
      <c r="AF160" s="2668"/>
      <c r="AG160" s="2668"/>
      <c r="AH160" s="2668"/>
      <c r="AI160" s="2668"/>
      <c r="AJ160" s="2668"/>
      <c r="AK160" s="2668"/>
      <c r="AL160" s="3006"/>
      <c r="AM160" s="3006"/>
      <c r="AN160" s="3006"/>
      <c r="AO160" s="3006"/>
      <c r="AP160" s="3006"/>
      <c r="AQ160" s="3006"/>
      <c r="AR160" s="3006"/>
      <c r="AS160" s="3006"/>
      <c r="AT160" s="3006"/>
      <c r="AU160" s="3006"/>
      <c r="AV160" s="3006"/>
      <c r="AW160" s="3006"/>
      <c r="AX160" s="3006"/>
      <c r="AY160" s="3006"/>
      <c r="AZ160" s="3006"/>
      <c r="BA160" s="3006"/>
      <c r="BB160" s="3006"/>
      <c r="BC160" s="3006"/>
      <c r="BD160" s="3022"/>
      <c r="BE160" s="2668"/>
      <c r="BF160" s="2665"/>
      <c r="BG160" s="3015"/>
      <c r="BH160" s="3015"/>
      <c r="BI160" s="3018"/>
      <c r="BJ160" s="2974"/>
      <c r="BK160" s="3021"/>
      <c r="BL160" s="2983"/>
      <c r="BM160" s="2983"/>
      <c r="BN160" s="2983"/>
      <c r="BO160" s="2983"/>
      <c r="BP160" s="2424"/>
    </row>
    <row r="161" spans="1:68" s="768" customFormat="1" ht="50.25" customHeight="1" x14ac:dyDescent="0.2">
      <c r="A161" s="786"/>
      <c r="C161" s="787"/>
      <c r="F161" s="787"/>
      <c r="G161" s="2460" t="s">
        <v>1140</v>
      </c>
      <c r="H161" s="2343" t="s">
        <v>1257</v>
      </c>
      <c r="I161" s="3007" t="s">
        <v>1258</v>
      </c>
      <c r="J161" s="2929" t="s">
        <v>1259</v>
      </c>
      <c r="K161" s="2451">
        <v>12</v>
      </c>
      <c r="L161" s="2491">
        <v>9</v>
      </c>
      <c r="M161" s="2413" t="s">
        <v>1260</v>
      </c>
      <c r="N161" s="2495" t="s">
        <v>1261</v>
      </c>
      <c r="O161" s="2422" t="s">
        <v>1262</v>
      </c>
      <c r="P161" s="3025">
        <f>SUM(U161:U166)/Q161</f>
        <v>0.66555183946488294</v>
      </c>
      <c r="Q161" s="3035">
        <f>SUM(U161:U167)</f>
        <v>29900000</v>
      </c>
      <c r="R161" s="2422" t="s">
        <v>1263</v>
      </c>
      <c r="S161" s="2929" t="s">
        <v>1264</v>
      </c>
      <c r="T161" s="3043" t="s">
        <v>1265</v>
      </c>
      <c r="U161" s="1212">
        <v>11900000</v>
      </c>
      <c r="V161" s="1229">
        <v>11900000</v>
      </c>
      <c r="W161" s="1229">
        <v>10400000</v>
      </c>
      <c r="X161" s="1280">
        <v>20</v>
      </c>
      <c r="Y161" s="523" t="s">
        <v>1240</v>
      </c>
      <c r="Z161" s="2306">
        <v>2290</v>
      </c>
      <c r="AA161" s="2306">
        <v>412</v>
      </c>
      <c r="AB161" s="2306">
        <v>2210</v>
      </c>
      <c r="AC161" s="2306">
        <v>300</v>
      </c>
      <c r="AD161" s="2306">
        <v>0</v>
      </c>
      <c r="AE161" s="2306"/>
      <c r="AF161" s="2306">
        <v>0</v>
      </c>
      <c r="AG161" s="2306"/>
      <c r="AH161" s="2306">
        <v>4500</v>
      </c>
      <c r="AI161" s="2306">
        <v>712</v>
      </c>
      <c r="AJ161" s="2306">
        <v>0</v>
      </c>
      <c r="AK161" s="2306"/>
      <c r="AL161" s="2306">
        <v>0</v>
      </c>
      <c r="AM161" s="2306"/>
      <c r="AN161" s="2306">
        <v>0</v>
      </c>
      <c r="AO161" s="2306"/>
      <c r="AP161" s="2306">
        <v>0</v>
      </c>
      <c r="AQ161" s="2306"/>
      <c r="AR161" s="2306">
        <v>0</v>
      </c>
      <c r="AS161" s="2306"/>
      <c r="AT161" s="2306">
        <v>0</v>
      </c>
      <c r="AU161" s="2306"/>
      <c r="AV161" s="2306">
        <v>0</v>
      </c>
      <c r="AW161" s="2306"/>
      <c r="AX161" s="2306">
        <v>0</v>
      </c>
      <c r="AY161" s="2306"/>
      <c r="AZ161" s="2306">
        <v>0</v>
      </c>
      <c r="BA161" s="2306"/>
      <c r="BB161" s="2306">
        <v>0</v>
      </c>
      <c r="BC161" s="2306"/>
      <c r="BD161" s="2306">
        <f>Z161+AB161</f>
        <v>4500</v>
      </c>
      <c r="BE161" s="2306">
        <f>AA161+AC161</f>
        <v>712</v>
      </c>
      <c r="BF161" s="2306">
        <v>4</v>
      </c>
      <c r="BG161" s="3013">
        <f>SUM(V161:V167)</f>
        <v>23146666</v>
      </c>
      <c r="BH161" s="3013">
        <f>SUM(W161:W167)</f>
        <v>10400000</v>
      </c>
      <c r="BI161" s="3031">
        <f>+BH161/BG161</f>
        <v>0.44930876870128944</v>
      </c>
      <c r="BJ161" s="2848" t="s">
        <v>161</v>
      </c>
      <c r="BK161" s="2422" t="s">
        <v>1160</v>
      </c>
      <c r="BL161" s="2838">
        <v>44061</v>
      </c>
      <c r="BM161" s="2838">
        <v>44186</v>
      </c>
      <c r="BN161" s="2838">
        <v>44195</v>
      </c>
      <c r="BO161" s="2838"/>
      <c r="BP161" s="2422" t="s">
        <v>1058</v>
      </c>
    </row>
    <row r="162" spans="1:68" s="768" customFormat="1" ht="32.25" customHeight="1" x14ac:dyDescent="0.2">
      <c r="A162" s="786"/>
      <c r="C162" s="787"/>
      <c r="F162" s="787"/>
      <c r="G162" s="2461"/>
      <c r="H162" s="2343"/>
      <c r="I162" s="3008"/>
      <c r="J162" s="2993"/>
      <c r="K162" s="2451"/>
      <c r="L162" s="2761"/>
      <c r="M162" s="2413"/>
      <c r="N162" s="2496"/>
      <c r="O162" s="2423"/>
      <c r="P162" s="3026"/>
      <c r="Q162" s="2889"/>
      <c r="R162" s="2423"/>
      <c r="S162" s="2993"/>
      <c r="T162" s="3043"/>
      <c r="U162" s="1212">
        <v>2000000</v>
      </c>
      <c r="V162" s="1229">
        <v>1260000</v>
      </c>
      <c r="W162" s="1229"/>
      <c r="X162" s="1210">
        <v>88</v>
      </c>
      <c r="Y162" s="534" t="s">
        <v>4</v>
      </c>
      <c r="Z162" s="2307"/>
      <c r="AA162" s="2307"/>
      <c r="AB162" s="2307"/>
      <c r="AC162" s="2307"/>
      <c r="AD162" s="2307"/>
      <c r="AE162" s="2307"/>
      <c r="AF162" s="2307"/>
      <c r="AG162" s="2307"/>
      <c r="AH162" s="2307"/>
      <c r="AI162" s="2307"/>
      <c r="AJ162" s="2307"/>
      <c r="AK162" s="2307"/>
      <c r="AL162" s="2307"/>
      <c r="AM162" s="2307"/>
      <c r="AN162" s="2307"/>
      <c r="AO162" s="2307"/>
      <c r="AP162" s="2307"/>
      <c r="AQ162" s="2307"/>
      <c r="AR162" s="2307"/>
      <c r="AS162" s="2307"/>
      <c r="AT162" s="2307"/>
      <c r="AU162" s="2307"/>
      <c r="AV162" s="2307"/>
      <c r="AW162" s="2307"/>
      <c r="AX162" s="2307"/>
      <c r="AY162" s="2307"/>
      <c r="AZ162" s="2307"/>
      <c r="BA162" s="2307"/>
      <c r="BB162" s="2307"/>
      <c r="BC162" s="2307"/>
      <c r="BD162" s="2307"/>
      <c r="BE162" s="2307"/>
      <c r="BF162" s="2307"/>
      <c r="BG162" s="3014"/>
      <c r="BH162" s="3014"/>
      <c r="BI162" s="3032"/>
      <c r="BJ162" s="2841"/>
      <c r="BK162" s="2423"/>
      <c r="BL162" s="2839"/>
      <c r="BM162" s="2839"/>
      <c r="BN162" s="2839"/>
      <c r="BO162" s="2839"/>
      <c r="BP162" s="2423"/>
    </row>
    <row r="163" spans="1:68" s="768" customFormat="1" ht="51.75" customHeight="1" x14ac:dyDescent="0.2">
      <c r="A163" s="786"/>
      <c r="C163" s="787"/>
      <c r="F163" s="787"/>
      <c r="G163" s="2461"/>
      <c r="H163" s="2343"/>
      <c r="I163" s="3008"/>
      <c r="J163" s="2993"/>
      <c r="K163" s="2451"/>
      <c r="L163" s="2761"/>
      <c r="M163" s="2413"/>
      <c r="N163" s="2496"/>
      <c r="O163" s="2423"/>
      <c r="P163" s="3026"/>
      <c r="Q163" s="2889"/>
      <c r="R163" s="2423"/>
      <c r="S163" s="2993"/>
      <c r="T163" s="1228" t="s">
        <v>1266</v>
      </c>
      <c r="U163" s="1212">
        <v>2000000</v>
      </c>
      <c r="V163" s="1229"/>
      <c r="W163" s="1229"/>
      <c r="X163" s="1210">
        <v>88</v>
      </c>
      <c r="Y163" s="534" t="s">
        <v>4</v>
      </c>
      <c r="Z163" s="2307"/>
      <c r="AA163" s="2307"/>
      <c r="AB163" s="2307"/>
      <c r="AC163" s="2307"/>
      <c r="AD163" s="2307"/>
      <c r="AE163" s="2307"/>
      <c r="AF163" s="2307"/>
      <c r="AG163" s="2307"/>
      <c r="AH163" s="2307"/>
      <c r="AI163" s="2307"/>
      <c r="AJ163" s="2307"/>
      <c r="AK163" s="2307"/>
      <c r="AL163" s="2307"/>
      <c r="AM163" s="2307"/>
      <c r="AN163" s="2307"/>
      <c r="AO163" s="2307"/>
      <c r="AP163" s="2307"/>
      <c r="AQ163" s="2307"/>
      <c r="AR163" s="2307"/>
      <c r="AS163" s="2307"/>
      <c r="AT163" s="2307"/>
      <c r="AU163" s="2307"/>
      <c r="AV163" s="2307"/>
      <c r="AW163" s="2307"/>
      <c r="AX163" s="2307"/>
      <c r="AY163" s="2307"/>
      <c r="AZ163" s="2307"/>
      <c r="BA163" s="2307"/>
      <c r="BB163" s="2307"/>
      <c r="BC163" s="2307"/>
      <c r="BD163" s="2307"/>
      <c r="BE163" s="2307"/>
      <c r="BF163" s="2307"/>
      <c r="BG163" s="3014"/>
      <c r="BH163" s="3014"/>
      <c r="BI163" s="3032"/>
      <c r="BJ163" s="2841"/>
      <c r="BK163" s="2423"/>
      <c r="BL163" s="2839"/>
      <c r="BM163" s="2839"/>
      <c r="BN163" s="2839"/>
      <c r="BO163" s="2839"/>
      <c r="BP163" s="2423"/>
    </row>
    <row r="164" spans="1:68" s="768" customFormat="1" ht="38.25" customHeight="1" x14ac:dyDescent="0.2">
      <c r="A164" s="786"/>
      <c r="C164" s="787"/>
      <c r="F164" s="787"/>
      <c r="G164" s="2461"/>
      <c r="H164" s="2343"/>
      <c r="I164" s="3008"/>
      <c r="J164" s="2993"/>
      <c r="K164" s="2451"/>
      <c r="L164" s="2761"/>
      <c r="M164" s="2413"/>
      <c r="N164" s="2496"/>
      <c r="O164" s="2423"/>
      <c r="P164" s="3026"/>
      <c r="Q164" s="2889"/>
      <c r="R164" s="2423"/>
      <c r="S164" s="2993"/>
      <c r="T164" s="1228" t="s">
        <v>1267</v>
      </c>
      <c r="U164" s="1212">
        <v>1000000</v>
      </c>
      <c r="V164" s="1229"/>
      <c r="W164" s="1229"/>
      <c r="X164" s="1210">
        <v>88</v>
      </c>
      <c r="Y164" s="534" t="s">
        <v>4</v>
      </c>
      <c r="Z164" s="2307"/>
      <c r="AA164" s="2307"/>
      <c r="AB164" s="2307"/>
      <c r="AC164" s="2307"/>
      <c r="AD164" s="2307"/>
      <c r="AE164" s="2307"/>
      <c r="AF164" s="2307"/>
      <c r="AG164" s="2307"/>
      <c r="AH164" s="2307"/>
      <c r="AI164" s="2307"/>
      <c r="AJ164" s="2307"/>
      <c r="AK164" s="2307"/>
      <c r="AL164" s="2307"/>
      <c r="AM164" s="2307"/>
      <c r="AN164" s="2307"/>
      <c r="AO164" s="2307"/>
      <c r="AP164" s="2307"/>
      <c r="AQ164" s="2307"/>
      <c r="AR164" s="2307"/>
      <c r="AS164" s="2307"/>
      <c r="AT164" s="2307"/>
      <c r="AU164" s="2307"/>
      <c r="AV164" s="2307"/>
      <c r="AW164" s="2307"/>
      <c r="AX164" s="2307"/>
      <c r="AY164" s="2307"/>
      <c r="AZ164" s="2307"/>
      <c r="BA164" s="2307"/>
      <c r="BB164" s="2307"/>
      <c r="BC164" s="2307"/>
      <c r="BD164" s="2307"/>
      <c r="BE164" s="2307"/>
      <c r="BF164" s="2307"/>
      <c r="BG164" s="3014"/>
      <c r="BH164" s="3014"/>
      <c r="BI164" s="3032"/>
      <c r="BJ164" s="2841"/>
      <c r="BK164" s="2423"/>
      <c r="BL164" s="2839"/>
      <c r="BM164" s="2839"/>
      <c r="BN164" s="2839"/>
      <c r="BO164" s="2839"/>
      <c r="BP164" s="2423"/>
    </row>
    <row r="165" spans="1:68" s="768" customFormat="1" ht="57.75" customHeight="1" x14ac:dyDescent="0.2">
      <c r="A165" s="786"/>
      <c r="C165" s="787"/>
      <c r="F165" s="787"/>
      <c r="G165" s="2461"/>
      <c r="H165" s="2343"/>
      <c r="I165" s="3008"/>
      <c r="J165" s="2993"/>
      <c r="K165" s="2451"/>
      <c r="L165" s="2761"/>
      <c r="M165" s="2413"/>
      <c r="N165" s="2496"/>
      <c r="O165" s="2423"/>
      <c r="P165" s="3026"/>
      <c r="Q165" s="2889"/>
      <c r="R165" s="2423"/>
      <c r="S165" s="2993"/>
      <c r="T165" s="1290" t="s">
        <v>1268</v>
      </c>
      <c r="U165" s="1212">
        <v>1000000</v>
      </c>
      <c r="V165" s="1229"/>
      <c r="W165" s="1229"/>
      <c r="X165" s="1210">
        <v>88</v>
      </c>
      <c r="Y165" s="534" t="s">
        <v>4</v>
      </c>
      <c r="Z165" s="2307"/>
      <c r="AA165" s="2307"/>
      <c r="AB165" s="2307"/>
      <c r="AC165" s="2307"/>
      <c r="AD165" s="2307"/>
      <c r="AE165" s="2307"/>
      <c r="AF165" s="2307"/>
      <c r="AG165" s="2307"/>
      <c r="AH165" s="2307"/>
      <c r="AI165" s="2307"/>
      <c r="AJ165" s="2307"/>
      <c r="AK165" s="2307"/>
      <c r="AL165" s="2307"/>
      <c r="AM165" s="2307"/>
      <c r="AN165" s="2307"/>
      <c r="AO165" s="2307"/>
      <c r="AP165" s="2307"/>
      <c r="AQ165" s="2307"/>
      <c r="AR165" s="2307"/>
      <c r="AS165" s="2307"/>
      <c r="AT165" s="2307"/>
      <c r="AU165" s="2307"/>
      <c r="AV165" s="2307"/>
      <c r="AW165" s="2307"/>
      <c r="AX165" s="2307"/>
      <c r="AY165" s="2307"/>
      <c r="AZ165" s="2307"/>
      <c r="BA165" s="2307"/>
      <c r="BB165" s="2307"/>
      <c r="BC165" s="2307"/>
      <c r="BD165" s="2307"/>
      <c r="BE165" s="2307"/>
      <c r="BF165" s="2307"/>
      <c r="BG165" s="3014"/>
      <c r="BH165" s="3014"/>
      <c r="BI165" s="3032"/>
      <c r="BJ165" s="2841"/>
      <c r="BK165" s="2423"/>
      <c r="BL165" s="2839"/>
      <c r="BM165" s="2839"/>
      <c r="BN165" s="2839"/>
      <c r="BO165" s="2839"/>
      <c r="BP165" s="2423"/>
    </row>
    <row r="166" spans="1:68" s="768" customFormat="1" ht="63.75" customHeight="1" x14ac:dyDescent="0.2">
      <c r="A166" s="786"/>
      <c r="C166" s="787"/>
      <c r="F166" s="787"/>
      <c r="G166" s="2462"/>
      <c r="H166" s="2343"/>
      <c r="I166" s="3009"/>
      <c r="J166" s="2930"/>
      <c r="K166" s="2451"/>
      <c r="L166" s="2342"/>
      <c r="M166" s="2413"/>
      <c r="N166" s="2496"/>
      <c r="O166" s="2423"/>
      <c r="P166" s="3027"/>
      <c r="Q166" s="2889"/>
      <c r="R166" s="2423"/>
      <c r="S166" s="2993"/>
      <c r="T166" s="1228" t="s">
        <v>1269</v>
      </c>
      <c r="U166" s="1212">
        <v>2000000</v>
      </c>
      <c r="V166" s="1270"/>
      <c r="W166" s="1270"/>
      <c r="X166" s="1210">
        <v>88</v>
      </c>
      <c r="Y166" s="534" t="s">
        <v>4</v>
      </c>
      <c r="Z166" s="2307"/>
      <c r="AA166" s="2307"/>
      <c r="AB166" s="2307"/>
      <c r="AC166" s="2307"/>
      <c r="AD166" s="2307"/>
      <c r="AE166" s="2307"/>
      <c r="AF166" s="2307"/>
      <c r="AG166" s="2307"/>
      <c r="AH166" s="2307"/>
      <c r="AI166" s="2307"/>
      <c r="AJ166" s="2307"/>
      <c r="AK166" s="2307"/>
      <c r="AL166" s="2307"/>
      <c r="AM166" s="2307"/>
      <c r="AN166" s="2307"/>
      <c r="AO166" s="2307"/>
      <c r="AP166" s="2307"/>
      <c r="AQ166" s="2307"/>
      <c r="AR166" s="2307"/>
      <c r="AS166" s="2307"/>
      <c r="AT166" s="2307"/>
      <c r="AU166" s="2307"/>
      <c r="AV166" s="2307"/>
      <c r="AW166" s="2307"/>
      <c r="AX166" s="2307"/>
      <c r="AY166" s="2307"/>
      <c r="AZ166" s="2307"/>
      <c r="BA166" s="2307"/>
      <c r="BB166" s="2307"/>
      <c r="BC166" s="2307"/>
      <c r="BD166" s="2307"/>
      <c r="BE166" s="2307"/>
      <c r="BF166" s="2307"/>
      <c r="BG166" s="3014"/>
      <c r="BH166" s="3014"/>
      <c r="BI166" s="3032"/>
      <c r="BJ166" s="2841"/>
      <c r="BK166" s="2423"/>
      <c r="BL166" s="2839"/>
      <c r="BM166" s="2839"/>
      <c r="BN166" s="2839"/>
      <c r="BO166" s="2839"/>
      <c r="BP166" s="2423"/>
    </row>
    <row r="167" spans="1:68" s="768" customFormat="1" ht="117.75" customHeight="1" x14ac:dyDescent="0.2">
      <c r="A167" s="786"/>
      <c r="C167" s="787"/>
      <c r="F167" s="787"/>
      <c r="G167" s="1049" t="s">
        <v>1140</v>
      </c>
      <c r="H167" s="541" t="s">
        <v>1270</v>
      </c>
      <c r="I167" s="530" t="s">
        <v>1271</v>
      </c>
      <c r="J167" s="596" t="s">
        <v>1272</v>
      </c>
      <c r="K167" s="533">
        <v>0.2</v>
      </c>
      <c r="L167" s="1327">
        <v>0.1</v>
      </c>
      <c r="M167" s="2413"/>
      <c r="N167" s="2497"/>
      <c r="O167" s="2424"/>
      <c r="P167" s="814">
        <f>(U167)/(Q161)</f>
        <v>0.33444816053511706</v>
      </c>
      <c r="Q167" s="3024"/>
      <c r="R167" s="2424"/>
      <c r="S167" s="2424"/>
      <c r="T167" s="1328" t="s">
        <v>1271</v>
      </c>
      <c r="U167" s="1212">
        <v>10000000</v>
      </c>
      <c r="V167" s="1270">
        <f>9986666</f>
        <v>9986666</v>
      </c>
      <c r="W167" s="1270"/>
      <c r="X167" s="1273">
        <v>88</v>
      </c>
      <c r="Y167" s="522" t="s">
        <v>4</v>
      </c>
      <c r="Z167" s="2307"/>
      <c r="AA167" s="2467"/>
      <c r="AB167" s="2467"/>
      <c r="AC167" s="2467"/>
      <c r="AD167" s="2467"/>
      <c r="AE167" s="2467"/>
      <c r="AF167" s="2467"/>
      <c r="AG167" s="2467"/>
      <c r="AH167" s="2467"/>
      <c r="AI167" s="2467"/>
      <c r="AJ167" s="2467"/>
      <c r="AK167" s="2467"/>
      <c r="AL167" s="2467"/>
      <c r="AM167" s="2467"/>
      <c r="AN167" s="2467"/>
      <c r="AO167" s="2467"/>
      <c r="AP167" s="2467"/>
      <c r="AQ167" s="2467"/>
      <c r="AR167" s="2467"/>
      <c r="AS167" s="2467"/>
      <c r="AT167" s="2467"/>
      <c r="AU167" s="2467"/>
      <c r="AV167" s="2467"/>
      <c r="AW167" s="2467"/>
      <c r="AX167" s="2467"/>
      <c r="AY167" s="2467"/>
      <c r="AZ167" s="2467"/>
      <c r="BA167" s="2467"/>
      <c r="BB167" s="2467"/>
      <c r="BC167" s="2467"/>
      <c r="BD167" s="2467"/>
      <c r="BE167" s="2467"/>
      <c r="BF167" s="2467"/>
      <c r="BG167" s="3015"/>
      <c r="BH167" s="3015"/>
      <c r="BI167" s="3033"/>
      <c r="BJ167" s="3034"/>
      <c r="BK167" s="2424"/>
      <c r="BL167" s="2983"/>
      <c r="BM167" s="2983"/>
      <c r="BN167" s="2983"/>
      <c r="BO167" s="2983"/>
      <c r="BP167" s="2424"/>
    </row>
    <row r="168" spans="1:68" s="768" customFormat="1" ht="45.75" customHeight="1" x14ac:dyDescent="0.2">
      <c r="A168" s="3029"/>
      <c r="B168" s="2921"/>
      <c r="C168" s="2922"/>
      <c r="D168" s="2920"/>
      <c r="E168" s="2921"/>
      <c r="F168" s="2922"/>
      <c r="G168" s="2891">
        <v>4502001</v>
      </c>
      <c r="H168" s="3044" t="s">
        <v>1235</v>
      </c>
      <c r="I168" s="2413" t="s">
        <v>1236</v>
      </c>
      <c r="J168" s="2413" t="s">
        <v>1237</v>
      </c>
      <c r="K168" s="2450">
        <v>3</v>
      </c>
      <c r="L168" s="2306">
        <v>2</v>
      </c>
      <c r="M168" s="3008" t="s">
        <v>1273</v>
      </c>
      <c r="N168" s="2306" t="s">
        <v>1274</v>
      </c>
      <c r="O168" s="2422" t="s">
        <v>1275</v>
      </c>
      <c r="P168" s="2885">
        <f>SUM(U168:U173)/Q168</f>
        <v>1</v>
      </c>
      <c r="Q168" s="3040">
        <f>SUM(U168:U173)</f>
        <v>22000000</v>
      </c>
      <c r="R168" s="2422" t="s">
        <v>1263</v>
      </c>
      <c r="S168" s="2422" t="s">
        <v>1276</v>
      </c>
      <c r="T168" s="3036" t="s">
        <v>1277</v>
      </c>
      <c r="U168" s="1212">
        <v>12000000</v>
      </c>
      <c r="V168" s="1229">
        <f>3750000+1770000+1440000+3750000-320000</f>
        <v>10390000</v>
      </c>
      <c r="W168" s="1329"/>
      <c r="X168" s="121">
        <v>88</v>
      </c>
      <c r="Y168" s="534" t="s">
        <v>4</v>
      </c>
      <c r="Z168" s="2491">
        <v>357</v>
      </c>
      <c r="AA168" s="2760">
        <v>87</v>
      </c>
      <c r="AB168" s="3038">
        <v>343</v>
      </c>
      <c r="AC168" s="2306">
        <v>59</v>
      </c>
      <c r="AD168" s="2306">
        <v>0</v>
      </c>
      <c r="AE168" s="2306"/>
      <c r="AF168" s="2306">
        <v>0</v>
      </c>
      <c r="AG168" s="2306"/>
      <c r="AH168" s="2306">
        <v>700</v>
      </c>
      <c r="AI168" s="2306"/>
      <c r="AJ168" s="2306">
        <v>0</v>
      </c>
      <c r="AK168" s="2306"/>
      <c r="AL168" s="2306">
        <v>0</v>
      </c>
      <c r="AM168" s="2306"/>
      <c r="AN168" s="2306">
        <v>0</v>
      </c>
      <c r="AO168" s="2306"/>
      <c r="AP168" s="2306">
        <v>0</v>
      </c>
      <c r="AQ168" s="2306"/>
      <c r="AR168" s="2306">
        <v>0</v>
      </c>
      <c r="AS168" s="2306"/>
      <c r="AT168" s="2306">
        <v>0</v>
      </c>
      <c r="AU168" s="2306"/>
      <c r="AV168" s="2306">
        <v>0</v>
      </c>
      <c r="AW168" s="2306"/>
      <c r="AX168" s="2306">
        <v>0</v>
      </c>
      <c r="AY168" s="2306"/>
      <c r="AZ168" s="2306">
        <v>0</v>
      </c>
      <c r="BA168" s="2306"/>
      <c r="BB168" s="2306">
        <v>0</v>
      </c>
      <c r="BC168" s="2306"/>
      <c r="BD168" s="2306">
        <f>Z168+AB168</f>
        <v>700</v>
      </c>
      <c r="BE168" s="2306">
        <f>AA168+AC168</f>
        <v>146</v>
      </c>
      <c r="BF168" s="2306">
        <v>3</v>
      </c>
      <c r="BG168" s="3013">
        <f>SUM(V168:V173)</f>
        <v>14390000</v>
      </c>
      <c r="BH168" s="3013">
        <f>SUM(W168:W173)</f>
        <v>4000000</v>
      </c>
      <c r="BI168" s="3048">
        <f>+BH168/BG168</f>
        <v>0.27797081306462823</v>
      </c>
      <c r="BJ168" s="2865" t="s">
        <v>161</v>
      </c>
      <c r="BK168" s="2422" t="s">
        <v>1160</v>
      </c>
      <c r="BL168" s="2838">
        <v>44061</v>
      </c>
      <c r="BM168" s="2838">
        <v>44186</v>
      </c>
      <c r="BN168" s="2838">
        <v>44195</v>
      </c>
      <c r="BO168" s="2838"/>
      <c r="BP168" s="2306" t="s">
        <v>1058</v>
      </c>
    </row>
    <row r="169" spans="1:68" s="768" customFormat="1" ht="45.75" customHeight="1" x14ac:dyDescent="0.2">
      <c r="A169" s="3029"/>
      <c r="B169" s="2921"/>
      <c r="C169" s="2922"/>
      <c r="D169" s="2920"/>
      <c r="E169" s="2921"/>
      <c r="F169" s="2922"/>
      <c r="G169" s="2892"/>
      <c r="H169" s="3045"/>
      <c r="I169" s="2413"/>
      <c r="J169" s="2413"/>
      <c r="K169" s="2450"/>
      <c r="L169" s="2307"/>
      <c r="M169" s="3008"/>
      <c r="N169" s="2307"/>
      <c r="O169" s="2423"/>
      <c r="P169" s="2886"/>
      <c r="Q169" s="3041"/>
      <c r="R169" s="2423"/>
      <c r="S169" s="2423"/>
      <c r="T169" s="3037"/>
      <c r="U169" s="1212">
        <v>4000000</v>
      </c>
      <c r="V169" s="1229">
        <v>4000000</v>
      </c>
      <c r="W169" s="1329">
        <v>4000000</v>
      </c>
      <c r="X169" s="121">
        <v>20</v>
      </c>
      <c r="Y169" s="534" t="s">
        <v>1278</v>
      </c>
      <c r="Z169" s="2761"/>
      <c r="AA169" s="2761"/>
      <c r="AB169" s="3039"/>
      <c r="AC169" s="2307"/>
      <c r="AD169" s="2307"/>
      <c r="AE169" s="2307"/>
      <c r="AF169" s="2307"/>
      <c r="AG169" s="2307"/>
      <c r="AH169" s="2307"/>
      <c r="AI169" s="2307"/>
      <c r="AJ169" s="2307"/>
      <c r="AK169" s="2307"/>
      <c r="AL169" s="2307"/>
      <c r="AM169" s="2307"/>
      <c r="AN169" s="2307"/>
      <c r="AO169" s="2307"/>
      <c r="AP169" s="2307"/>
      <c r="AQ169" s="2307"/>
      <c r="AR169" s="2307"/>
      <c r="AS169" s="2307"/>
      <c r="AT169" s="2307"/>
      <c r="AU169" s="2307"/>
      <c r="AV169" s="2307"/>
      <c r="AW169" s="2307"/>
      <c r="AX169" s="2307"/>
      <c r="AY169" s="2307"/>
      <c r="AZ169" s="2307"/>
      <c r="BA169" s="2307"/>
      <c r="BB169" s="2307"/>
      <c r="BC169" s="2307"/>
      <c r="BD169" s="2307"/>
      <c r="BE169" s="2307"/>
      <c r="BF169" s="2307"/>
      <c r="BG169" s="3014"/>
      <c r="BH169" s="3014"/>
      <c r="BI169" s="3049"/>
      <c r="BJ169" s="2843"/>
      <c r="BK169" s="2423"/>
      <c r="BL169" s="2839"/>
      <c r="BM169" s="2839"/>
      <c r="BN169" s="2839"/>
      <c r="BO169" s="2839"/>
      <c r="BP169" s="2307"/>
    </row>
    <row r="170" spans="1:68" s="768" customFormat="1" ht="45.75" customHeight="1" x14ac:dyDescent="0.2">
      <c r="A170" s="3029"/>
      <c r="B170" s="2921"/>
      <c r="C170" s="2922"/>
      <c r="D170" s="2920"/>
      <c r="E170" s="2921"/>
      <c r="F170" s="2922"/>
      <c r="G170" s="2892"/>
      <c r="H170" s="3045"/>
      <c r="I170" s="2413"/>
      <c r="J170" s="2413"/>
      <c r="K170" s="2451"/>
      <c r="L170" s="2307"/>
      <c r="M170" s="3008"/>
      <c r="N170" s="2307"/>
      <c r="O170" s="2423"/>
      <c r="P170" s="2886"/>
      <c r="Q170" s="3042"/>
      <c r="R170" s="2423"/>
      <c r="S170" s="2423"/>
      <c r="T170" s="791" t="s">
        <v>1279</v>
      </c>
      <c r="U170" s="1325">
        <v>0</v>
      </c>
      <c r="V170" s="1229"/>
      <c r="W170" s="1329"/>
      <c r="X170" s="121"/>
      <c r="Y170" s="534"/>
      <c r="Z170" s="2761"/>
      <c r="AA170" s="2761"/>
      <c r="AB170" s="3039"/>
      <c r="AC170" s="2307"/>
      <c r="AD170" s="2307"/>
      <c r="AE170" s="2307"/>
      <c r="AF170" s="2307"/>
      <c r="AG170" s="2307"/>
      <c r="AH170" s="2307"/>
      <c r="AI170" s="2307"/>
      <c r="AJ170" s="2307"/>
      <c r="AK170" s="2307"/>
      <c r="AL170" s="2307"/>
      <c r="AM170" s="2307"/>
      <c r="AN170" s="2307"/>
      <c r="AO170" s="2307"/>
      <c r="AP170" s="2307"/>
      <c r="AQ170" s="2307"/>
      <c r="AR170" s="2307"/>
      <c r="AS170" s="2307"/>
      <c r="AT170" s="2307"/>
      <c r="AU170" s="2307"/>
      <c r="AV170" s="2307"/>
      <c r="AW170" s="2307"/>
      <c r="AX170" s="2307"/>
      <c r="AY170" s="2307"/>
      <c r="AZ170" s="2307"/>
      <c r="BA170" s="2307"/>
      <c r="BB170" s="2307"/>
      <c r="BC170" s="2307"/>
      <c r="BD170" s="2307"/>
      <c r="BE170" s="2307"/>
      <c r="BF170" s="2307"/>
      <c r="BG170" s="3014"/>
      <c r="BH170" s="3014"/>
      <c r="BI170" s="3049"/>
      <c r="BJ170" s="2843"/>
      <c r="BK170" s="2423"/>
      <c r="BL170" s="2839"/>
      <c r="BM170" s="2839"/>
      <c r="BN170" s="2839"/>
      <c r="BO170" s="2839"/>
      <c r="BP170" s="2307"/>
    </row>
    <row r="171" spans="1:68" s="768" customFormat="1" ht="98.25" customHeight="1" x14ac:dyDescent="0.2">
      <c r="A171" s="3029"/>
      <c r="B171" s="2921"/>
      <c r="C171" s="2922"/>
      <c r="D171" s="2920"/>
      <c r="E171" s="2921"/>
      <c r="F171" s="2922"/>
      <c r="G171" s="2892"/>
      <c r="H171" s="3045"/>
      <c r="I171" s="2413"/>
      <c r="J171" s="2413"/>
      <c r="K171" s="2451"/>
      <c r="L171" s="2307"/>
      <c r="M171" s="3008"/>
      <c r="N171" s="2307"/>
      <c r="O171" s="2423"/>
      <c r="P171" s="2886"/>
      <c r="Q171" s="3042"/>
      <c r="R171" s="2423"/>
      <c r="S171" s="2423"/>
      <c r="T171" s="791" t="s">
        <v>1280</v>
      </c>
      <c r="U171" s="1212">
        <v>4000000</v>
      </c>
      <c r="V171" s="1229"/>
      <c r="W171" s="1329"/>
      <c r="X171" s="121">
        <v>88</v>
      </c>
      <c r="Y171" s="534" t="s">
        <v>4</v>
      </c>
      <c r="Z171" s="2761"/>
      <c r="AA171" s="2761"/>
      <c r="AB171" s="3039"/>
      <c r="AC171" s="2307"/>
      <c r="AD171" s="2307"/>
      <c r="AE171" s="2307"/>
      <c r="AF171" s="2307"/>
      <c r="AG171" s="2307"/>
      <c r="AH171" s="2307"/>
      <c r="AI171" s="2307"/>
      <c r="AJ171" s="2307"/>
      <c r="AK171" s="2307"/>
      <c r="AL171" s="2307"/>
      <c r="AM171" s="2307"/>
      <c r="AN171" s="2307"/>
      <c r="AO171" s="2307"/>
      <c r="AP171" s="2307"/>
      <c r="AQ171" s="2307"/>
      <c r="AR171" s="2307"/>
      <c r="AS171" s="2307"/>
      <c r="AT171" s="2307"/>
      <c r="AU171" s="2307"/>
      <c r="AV171" s="2307"/>
      <c r="AW171" s="2307"/>
      <c r="AX171" s="2307"/>
      <c r="AY171" s="2307"/>
      <c r="AZ171" s="2307"/>
      <c r="BA171" s="2307"/>
      <c r="BB171" s="2307"/>
      <c r="BC171" s="2307"/>
      <c r="BD171" s="2307"/>
      <c r="BE171" s="2307"/>
      <c r="BF171" s="2307"/>
      <c r="BG171" s="3014"/>
      <c r="BH171" s="3014"/>
      <c r="BI171" s="3049"/>
      <c r="BJ171" s="2843"/>
      <c r="BK171" s="2423"/>
      <c r="BL171" s="2839"/>
      <c r="BM171" s="2839"/>
      <c r="BN171" s="2839"/>
      <c r="BO171" s="2839"/>
      <c r="BP171" s="2307"/>
    </row>
    <row r="172" spans="1:68" s="768" customFormat="1" ht="83.25" customHeight="1" x14ac:dyDescent="0.2">
      <c r="A172" s="3029"/>
      <c r="B172" s="2921"/>
      <c r="C172" s="2922"/>
      <c r="D172" s="2920"/>
      <c r="E172" s="2921"/>
      <c r="F172" s="2922"/>
      <c r="G172" s="2892"/>
      <c r="H172" s="3045"/>
      <c r="I172" s="2413"/>
      <c r="J172" s="2413"/>
      <c r="K172" s="2451"/>
      <c r="L172" s="2307"/>
      <c r="M172" s="3008"/>
      <c r="N172" s="2307"/>
      <c r="O172" s="2423"/>
      <c r="P172" s="2886"/>
      <c r="Q172" s="3042"/>
      <c r="R172" s="2423"/>
      <c r="S172" s="2423"/>
      <c r="T172" s="791" t="s">
        <v>1281</v>
      </c>
      <c r="U172" s="1212">
        <v>2000000</v>
      </c>
      <c r="V172" s="1270"/>
      <c r="W172" s="1329"/>
      <c r="X172" s="121">
        <v>88</v>
      </c>
      <c r="Y172" s="534" t="s">
        <v>4</v>
      </c>
      <c r="Z172" s="2761"/>
      <c r="AA172" s="2761"/>
      <c r="AB172" s="3039"/>
      <c r="AC172" s="2307"/>
      <c r="AD172" s="2307"/>
      <c r="AE172" s="2307"/>
      <c r="AF172" s="2307"/>
      <c r="AG172" s="2307"/>
      <c r="AH172" s="2307"/>
      <c r="AI172" s="2307"/>
      <c r="AJ172" s="2307"/>
      <c r="AK172" s="2307"/>
      <c r="AL172" s="2307"/>
      <c r="AM172" s="2307"/>
      <c r="AN172" s="2307"/>
      <c r="AO172" s="2307"/>
      <c r="AP172" s="2307"/>
      <c r="AQ172" s="2307"/>
      <c r="AR172" s="2307"/>
      <c r="AS172" s="2307"/>
      <c r="AT172" s="2307"/>
      <c r="AU172" s="2307"/>
      <c r="AV172" s="2307"/>
      <c r="AW172" s="2307"/>
      <c r="AX172" s="2307"/>
      <c r="AY172" s="2307"/>
      <c r="AZ172" s="2307"/>
      <c r="BA172" s="2307"/>
      <c r="BB172" s="2307"/>
      <c r="BC172" s="2307"/>
      <c r="BD172" s="2307"/>
      <c r="BE172" s="2307"/>
      <c r="BF172" s="2307"/>
      <c r="BG172" s="3014"/>
      <c r="BH172" s="3014"/>
      <c r="BI172" s="3049"/>
      <c r="BJ172" s="2843"/>
      <c r="BK172" s="2423"/>
      <c r="BL172" s="2839"/>
      <c r="BM172" s="2839"/>
      <c r="BN172" s="2839"/>
      <c r="BO172" s="2839"/>
      <c r="BP172" s="2307"/>
    </row>
    <row r="173" spans="1:68" s="768" customFormat="1" ht="45.75" customHeight="1" x14ac:dyDescent="0.2">
      <c r="A173" s="3029"/>
      <c r="B173" s="2921"/>
      <c r="C173" s="2922"/>
      <c r="D173" s="3030"/>
      <c r="E173" s="2967"/>
      <c r="F173" s="2968"/>
      <c r="G173" s="2893"/>
      <c r="H173" s="3046"/>
      <c r="I173" s="2493"/>
      <c r="J173" s="2493"/>
      <c r="K173" s="3047"/>
      <c r="L173" s="2467"/>
      <c r="M173" s="3008"/>
      <c r="N173" s="2307"/>
      <c r="O173" s="2423"/>
      <c r="P173" s="2886"/>
      <c r="Q173" s="3042"/>
      <c r="R173" s="2423"/>
      <c r="S173" s="2423"/>
      <c r="T173" s="596" t="s">
        <v>1282</v>
      </c>
      <c r="U173" s="1330">
        <v>0</v>
      </c>
      <c r="V173" s="1272"/>
      <c r="W173" s="1331"/>
      <c r="X173" s="610"/>
      <c r="Y173" s="522"/>
      <c r="Z173" s="2761"/>
      <c r="AA173" s="2342"/>
      <c r="AB173" s="3039"/>
      <c r="AC173" s="2995"/>
      <c r="AD173" s="2307"/>
      <c r="AE173" s="2995"/>
      <c r="AF173" s="2307"/>
      <c r="AG173" s="2995"/>
      <c r="AH173" s="2307"/>
      <c r="AI173" s="2995"/>
      <c r="AJ173" s="2307"/>
      <c r="AK173" s="2995"/>
      <c r="AL173" s="2307"/>
      <c r="AM173" s="2995"/>
      <c r="AN173" s="2307"/>
      <c r="AO173" s="2467"/>
      <c r="AP173" s="2467"/>
      <c r="AQ173" s="2467"/>
      <c r="AR173" s="2467"/>
      <c r="AS173" s="2467"/>
      <c r="AT173" s="2467"/>
      <c r="AU173" s="2467"/>
      <c r="AV173" s="2467"/>
      <c r="AW173" s="2467"/>
      <c r="AX173" s="2467"/>
      <c r="AY173" s="2467"/>
      <c r="AZ173" s="2467"/>
      <c r="BA173" s="2467"/>
      <c r="BB173" s="2467"/>
      <c r="BC173" s="2467"/>
      <c r="BD173" s="2467"/>
      <c r="BE173" s="2467"/>
      <c r="BF173" s="2467"/>
      <c r="BG173" s="3015"/>
      <c r="BH173" s="3015"/>
      <c r="BI173" s="3050"/>
      <c r="BJ173" s="2948"/>
      <c r="BK173" s="2424"/>
      <c r="BL173" s="2983"/>
      <c r="BM173" s="2983"/>
      <c r="BN173" s="2983"/>
      <c r="BO173" s="2983"/>
      <c r="BP173" s="2467"/>
    </row>
    <row r="174" spans="1:68" s="768" customFormat="1" ht="31.5" customHeight="1" x14ac:dyDescent="0.2">
      <c r="A174" s="1318"/>
      <c r="B174" s="1332"/>
      <c r="C174" s="1333"/>
      <c r="D174" s="1334"/>
      <c r="E174" s="1334"/>
      <c r="F174" s="1335"/>
      <c r="G174" s="1336"/>
      <c r="H174" s="1337"/>
      <c r="I174" s="545"/>
      <c r="J174" s="545"/>
      <c r="K174" s="1338"/>
      <c r="L174" s="1339"/>
      <c r="M174" s="545"/>
      <c r="N174" s="1340"/>
      <c r="O174" s="545"/>
      <c r="P174" s="1341"/>
      <c r="Q174" s="1342">
        <f>SUM(Q12:Q173)</f>
        <v>3830220594.3100004</v>
      </c>
      <c r="R174" s="534"/>
      <c r="S174" s="534"/>
      <c r="T174" s="1269"/>
      <c r="U174" s="1343">
        <f>SUM(U10:U173)</f>
        <v>3830220594.3100004</v>
      </c>
      <c r="V174" s="1343">
        <f t="shared" ref="V174:W174" si="10">SUM(V10:V173)</f>
        <v>634043541</v>
      </c>
      <c r="W174" s="1343">
        <f t="shared" si="10"/>
        <v>227165658</v>
      </c>
      <c r="X174" s="1344"/>
      <c r="Y174" s="545"/>
      <c r="Z174" s="1345"/>
      <c r="AA174" s="1345"/>
      <c r="AB174" s="1345"/>
      <c r="AC174" s="1345"/>
      <c r="AD174" s="1345"/>
      <c r="AE174" s="1345"/>
      <c r="AF174" s="1345"/>
      <c r="AG174" s="1345"/>
      <c r="AH174" s="1345"/>
      <c r="AI174" s="1345"/>
      <c r="AJ174" s="1345"/>
      <c r="AK174" s="1345"/>
      <c r="AL174" s="1345"/>
      <c r="AM174" s="1345"/>
      <c r="AN174" s="1345"/>
      <c r="AO174" s="1346"/>
      <c r="AP174" s="1347"/>
      <c r="AQ174" s="1347"/>
      <c r="AR174" s="1336"/>
      <c r="AS174" s="1336"/>
      <c r="AT174" s="1336"/>
      <c r="AU174" s="1336"/>
      <c r="AV174" s="1336"/>
      <c r="AW174" s="1336"/>
      <c r="AX174" s="1336"/>
      <c r="AY174" s="1336"/>
      <c r="AZ174" s="1336"/>
      <c r="BA174" s="1336"/>
      <c r="BB174" s="1336"/>
      <c r="BC174" s="1336"/>
      <c r="BD174" s="1336"/>
      <c r="BE174" s="1336"/>
      <c r="BF174" s="1336"/>
      <c r="BG174" s="1343">
        <f>SUM(BG12:BG173)</f>
        <v>634043541</v>
      </c>
      <c r="BH174" s="1343">
        <f>SUM(BH12:BH173)</f>
        <v>227165658</v>
      </c>
      <c r="BI174" s="1336"/>
      <c r="BJ174" s="1336"/>
      <c r="BK174" s="1336"/>
      <c r="BL174" s="826"/>
      <c r="BM174" s="826"/>
      <c r="BN174" s="1348"/>
      <c r="BO174" s="1348"/>
      <c r="BP174" s="1349"/>
    </row>
    <row r="175" spans="1:68" s="768" customFormat="1" ht="27" customHeight="1" x14ac:dyDescent="0.2">
      <c r="A175" s="1252"/>
      <c r="G175" s="1255"/>
      <c r="H175" s="1255"/>
      <c r="I175" s="1350"/>
      <c r="J175" s="1350"/>
      <c r="K175" s="1173"/>
      <c r="L175" s="1173"/>
      <c r="M175" s="1350"/>
      <c r="N175" s="1351"/>
      <c r="O175" s="1350"/>
      <c r="P175" s="1352"/>
      <c r="Q175" s="1353"/>
      <c r="R175" s="1350"/>
      <c r="S175" s="1350"/>
      <c r="T175" s="1354"/>
      <c r="U175" s="1355"/>
      <c r="V175" s="1356"/>
      <c r="W175" s="1356"/>
      <c r="X175" s="1357"/>
      <c r="Y175" s="1350"/>
      <c r="Z175" s="1255"/>
      <c r="AA175" s="1255"/>
      <c r="AB175" s="1255"/>
      <c r="AC175" s="1255"/>
      <c r="AD175" s="1255"/>
      <c r="AE175" s="1255"/>
      <c r="AF175" s="1255"/>
      <c r="AG175" s="1255"/>
      <c r="AH175" s="1255"/>
      <c r="AI175" s="1255"/>
      <c r="AJ175" s="1255"/>
      <c r="AK175" s="1255"/>
      <c r="AL175" s="1255"/>
      <c r="AM175" s="1255"/>
      <c r="AN175" s="1255"/>
      <c r="AO175" s="1255"/>
      <c r="AP175" s="1255"/>
      <c r="AQ175" s="1255"/>
      <c r="AR175" s="1255"/>
      <c r="AS175" s="1255"/>
      <c r="AT175" s="1255"/>
      <c r="AU175" s="1255"/>
      <c r="AV175" s="1255"/>
      <c r="AW175" s="1255"/>
      <c r="AX175" s="1255"/>
      <c r="AY175" s="1255"/>
      <c r="AZ175" s="1255"/>
      <c r="BA175" s="1255"/>
      <c r="BB175" s="1255"/>
      <c r="BC175" s="1255"/>
      <c r="BD175" s="1255"/>
      <c r="BE175" s="1255"/>
      <c r="BF175" s="1255"/>
      <c r="BG175" s="1255"/>
      <c r="BH175" s="1255"/>
      <c r="BI175" s="1255"/>
      <c r="BJ175" s="1255"/>
      <c r="BK175" s="1255"/>
      <c r="BL175" s="1358"/>
      <c r="BM175" s="1358"/>
      <c r="BN175" s="1359"/>
      <c r="BO175" s="1359"/>
      <c r="BP175" s="1360"/>
    </row>
    <row r="176" spans="1:68" s="768" customFormat="1" ht="27" customHeight="1" x14ac:dyDescent="0.25">
      <c r="A176" s="1252"/>
      <c r="G176" s="1255"/>
      <c r="H176" s="1255"/>
      <c r="I176" s="1350"/>
      <c r="J176" s="1350"/>
      <c r="K176" s="1173"/>
      <c r="L176" s="1173"/>
      <c r="M176" s="1350"/>
      <c r="N176" s="1351"/>
      <c r="O176" s="571"/>
      <c r="P176" s="1361"/>
      <c r="Q176" s="1362"/>
      <c r="R176" s="571"/>
      <c r="S176" s="571"/>
      <c r="T176" s="817"/>
      <c r="U176" s="1355"/>
      <c r="V176" s="1355"/>
      <c r="W176" s="1355"/>
      <c r="X176" s="1355"/>
      <c r="Y176" s="1363"/>
      <c r="Z176" s="1255"/>
      <c r="AA176" s="1255"/>
      <c r="AB176" s="1255"/>
      <c r="AC176" s="1255"/>
      <c r="AD176" s="1255"/>
      <c r="AE176" s="1255"/>
      <c r="AF176" s="1255"/>
      <c r="AG176" s="1255"/>
      <c r="AH176" s="1255"/>
      <c r="AI176" s="1255"/>
      <c r="AJ176" s="1255"/>
      <c r="AK176" s="1255"/>
      <c r="AL176" s="1255"/>
      <c r="AM176" s="1255"/>
      <c r="AN176" s="1255"/>
      <c r="AO176" s="1255"/>
      <c r="AP176" s="1255"/>
      <c r="AQ176" s="1255"/>
      <c r="AR176" s="1255"/>
      <c r="AS176" s="1255"/>
      <c r="AT176" s="1255"/>
      <c r="AU176" s="1255"/>
      <c r="AV176" s="1255"/>
      <c r="AW176" s="1255"/>
      <c r="AX176" s="1255"/>
      <c r="AY176" s="1255"/>
      <c r="AZ176" s="1255"/>
      <c r="BA176" s="1255"/>
      <c r="BB176" s="1255"/>
      <c r="BC176" s="1255"/>
      <c r="BD176" s="1255"/>
      <c r="BE176" s="1255"/>
      <c r="BF176" s="1255"/>
      <c r="BG176" s="1255"/>
      <c r="BH176" s="1255"/>
      <c r="BI176" s="1255"/>
      <c r="BJ176" s="1255"/>
      <c r="BK176" s="1255"/>
      <c r="BL176" s="1358"/>
      <c r="BM176" s="1358"/>
      <c r="BN176" s="1359"/>
      <c r="BO176" s="1359"/>
      <c r="BP176" s="1360"/>
    </row>
    <row r="177" spans="1:68" s="768" customFormat="1" ht="27" customHeight="1" x14ac:dyDescent="0.2">
      <c r="A177" s="1252"/>
      <c r="G177" s="1255"/>
      <c r="H177" s="1255"/>
      <c r="I177" s="1350"/>
      <c r="J177" s="1350"/>
      <c r="K177" s="1173"/>
      <c r="L177" s="1173"/>
      <c r="M177" s="1350"/>
      <c r="N177" s="1351"/>
      <c r="O177" s="817"/>
      <c r="P177" s="1361"/>
      <c r="Q177" s="1364"/>
      <c r="R177" s="571"/>
      <c r="S177" s="571"/>
      <c r="T177" s="817"/>
      <c r="U177" s="1355"/>
      <c r="V177" s="1355"/>
      <c r="W177" s="1355"/>
      <c r="X177" s="1355"/>
      <c r="Y177" s="1350"/>
      <c r="Z177" s="1255"/>
      <c r="AA177" s="1255"/>
      <c r="AB177" s="1255"/>
      <c r="AC177" s="1255"/>
      <c r="AD177" s="1255"/>
      <c r="AE177" s="1255"/>
      <c r="AF177" s="1255"/>
      <c r="AG177" s="1255"/>
      <c r="AH177" s="1255"/>
      <c r="AI177" s="1255"/>
      <c r="AJ177" s="1255"/>
      <c r="AK177" s="1255"/>
      <c r="AL177" s="1255"/>
      <c r="AM177" s="1255"/>
      <c r="AN177" s="1255"/>
      <c r="AO177" s="1255"/>
      <c r="AP177" s="1255"/>
      <c r="AQ177" s="1255"/>
      <c r="AR177" s="1255"/>
      <c r="AS177" s="1255"/>
      <c r="AT177" s="1255"/>
      <c r="AU177" s="1255"/>
      <c r="AV177" s="1255"/>
      <c r="AW177" s="1255"/>
      <c r="AX177" s="1255"/>
      <c r="AY177" s="1255"/>
      <c r="AZ177" s="1255"/>
      <c r="BA177" s="1255"/>
      <c r="BB177" s="1255"/>
      <c r="BC177" s="1255"/>
      <c r="BD177" s="1255"/>
      <c r="BE177" s="1255"/>
      <c r="BF177" s="1255"/>
      <c r="BG177" s="1255"/>
      <c r="BH177" s="1255"/>
      <c r="BI177" s="1255"/>
      <c r="BJ177" s="1255"/>
      <c r="BK177" s="1255"/>
      <c r="BL177" s="1358"/>
      <c r="BM177" s="1358"/>
      <c r="BN177" s="1359"/>
      <c r="BO177" s="1359"/>
      <c r="BP177" s="1360"/>
    </row>
    <row r="178" spans="1:68" s="768" customFormat="1" ht="27" customHeight="1" x14ac:dyDescent="0.2">
      <c r="A178" s="1352"/>
      <c r="B178" s="1365"/>
      <c r="C178" s="1366"/>
      <c r="D178" s="815"/>
      <c r="E178" s="815"/>
      <c r="F178" s="815"/>
      <c r="G178" s="1367"/>
      <c r="H178" s="1255"/>
      <c r="I178" s="1350"/>
      <c r="J178" s="1350"/>
      <c r="K178" s="1173"/>
      <c r="L178" s="1173"/>
      <c r="M178" s="1350"/>
      <c r="N178" s="1351"/>
      <c r="O178" s="1350"/>
      <c r="P178" s="1352"/>
      <c r="Q178" s="1353"/>
      <c r="R178" s="1350"/>
      <c r="S178" s="1350"/>
      <c r="T178" s="1354"/>
      <c r="U178" s="1355"/>
      <c r="V178" s="1355"/>
      <c r="W178" s="1355"/>
      <c r="X178" s="1355"/>
      <c r="Y178" s="1350"/>
      <c r="Z178" s="1255"/>
      <c r="AA178" s="1255"/>
      <c r="AB178" s="1255"/>
      <c r="AC178" s="1255"/>
      <c r="AD178" s="1255"/>
      <c r="AE178" s="1255"/>
      <c r="AF178" s="1255"/>
      <c r="AG178" s="1255"/>
      <c r="AH178" s="1255"/>
      <c r="AI178" s="1255"/>
      <c r="AJ178" s="1255"/>
      <c r="AK178" s="1255"/>
      <c r="AL178" s="1255"/>
      <c r="AM178" s="1255"/>
      <c r="AN178" s="1255"/>
      <c r="AO178" s="1255"/>
      <c r="AP178" s="1255"/>
      <c r="AQ178" s="1255"/>
      <c r="AR178" s="1255"/>
      <c r="AS178" s="1255"/>
      <c r="AT178" s="1255"/>
      <c r="AU178" s="1255"/>
      <c r="AV178" s="1255"/>
      <c r="AW178" s="1255"/>
      <c r="AX178" s="1255"/>
      <c r="AY178" s="1255"/>
      <c r="AZ178" s="1255"/>
      <c r="BA178" s="1255"/>
      <c r="BB178" s="1255"/>
      <c r="BC178" s="1255"/>
      <c r="BD178" s="1255"/>
      <c r="BE178" s="1255"/>
      <c r="BF178" s="1255"/>
      <c r="BG178" s="1255"/>
      <c r="BH178" s="1255"/>
      <c r="BI178" s="1255"/>
      <c r="BJ178" s="1255"/>
      <c r="BK178" s="1255"/>
      <c r="BL178" s="1358"/>
      <c r="BM178" s="1358"/>
      <c r="BN178" s="1359"/>
      <c r="BO178" s="1359"/>
      <c r="BP178" s="1360"/>
    </row>
    <row r="179" spans="1:68" s="768" customFormat="1" ht="27" customHeight="1" x14ac:dyDescent="0.25">
      <c r="A179" s="1352"/>
      <c r="B179" s="1368" t="s">
        <v>1283</v>
      </c>
      <c r="C179" s="1369"/>
      <c r="G179" s="1255"/>
      <c r="H179" s="1255"/>
      <c r="I179" s="1350"/>
      <c r="J179" s="1350"/>
      <c r="K179" s="1173"/>
      <c r="L179" s="1173"/>
      <c r="M179" s="1350"/>
      <c r="N179" s="1351"/>
      <c r="O179" s="1350"/>
      <c r="P179" s="1352"/>
      <c r="Q179" s="1353"/>
      <c r="R179" s="1350"/>
      <c r="S179" s="1350"/>
      <c r="T179" s="1354"/>
      <c r="U179" s="1355"/>
      <c r="V179" s="1355"/>
      <c r="W179" s="1355"/>
      <c r="X179" s="1355"/>
      <c r="Y179" s="1350"/>
      <c r="Z179" s="1255"/>
      <c r="AA179" s="1255"/>
      <c r="AB179" s="1255"/>
      <c r="AC179" s="1255"/>
      <c r="AD179" s="1255"/>
      <c r="AE179" s="1255"/>
      <c r="AF179" s="1255"/>
      <c r="AG179" s="1255"/>
      <c r="AH179" s="1255"/>
      <c r="AI179" s="1255"/>
      <c r="AJ179" s="1255"/>
      <c r="AK179" s="1255"/>
      <c r="AL179" s="1255"/>
      <c r="AM179" s="1255"/>
      <c r="AN179" s="1255"/>
      <c r="AO179" s="1255"/>
      <c r="AP179" s="1255"/>
      <c r="AQ179" s="1255"/>
      <c r="AR179" s="1255"/>
      <c r="AS179" s="1255"/>
      <c r="AT179" s="1255"/>
      <c r="AU179" s="1255"/>
      <c r="AV179" s="1255"/>
      <c r="AW179" s="1255"/>
      <c r="AX179" s="1255"/>
      <c r="AY179" s="1255"/>
      <c r="AZ179" s="1255"/>
      <c r="BA179" s="1255"/>
      <c r="BB179" s="1255"/>
      <c r="BC179" s="1255"/>
      <c r="BD179" s="1255"/>
      <c r="BE179" s="1255"/>
      <c r="BF179" s="1255"/>
      <c r="BG179" s="1370"/>
      <c r="BH179" s="1370"/>
      <c r="BI179" s="1255"/>
      <c r="BJ179" s="1255"/>
      <c r="BK179" s="1255"/>
      <c r="BL179" s="1358"/>
      <c r="BM179" s="1358"/>
      <c r="BN179" s="1359"/>
      <c r="BO179" s="1359"/>
      <c r="BP179" s="1360"/>
    </row>
    <row r="180" spans="1:68" s="768" customFormat="1" ht="27" customHeight="1" x14ac:dyDescent="0.25">
      <c r="A180" s="1352"/>
      <c r="B180" s="1368" t="s">
        <v>1284</v>
      </c>
      <c r="C180" s="1369"/>
      <c r="G180" s="1255"/>
      <c r="H180" s="1255"/>
      <c r="I180" s="1350"/>
      <c r="J180" s="1350"/>
      <c r="K180" s="1173"/>
      <c r="L180" s="1173"/>
      <c r="M180" s="1350"/>
      <c r="N180" s="1351"/>
      <c r="O180" s="1350"/>
      <c r="P180" s="1352"/>
      <c r="Q180" s="1353"/>
      <c r="R180" s="1350"/>
      <c r="S180" s="1350"/>
      <c r="T180" s="1354"/>
      <c r="U180" s="1355"/>
      <c r="V180" s="1355"/>
      <c r="W180" s="1355"/>
      <c r="X180" s="1355"/>
      <c r="Y180" s="1350"/>
      <c r="Z180" s="1255"/>
      <c r="AA180" s="1255"/>
      <c r="AB180" s="1255"/>
      <c r="AC180" s="1255"/>
      <c r="AD180" s="1255"/>
      <c r="AE180" s="1255"/>
      <c r="AF180" s="1255"/>
      <c r="AG180" s="1255"/>
      <c r="AH180" s="1255"/>
      <c r="AI180" s="1255"/>
      <c r="AJ180" s="1255"/>
      <c r="AK180" s="1255"/>
      <c r="AL180" s="1255"/>
      <c r="AM180" s="1255"/>
      <c r="AN180" s="1255"/>
      <c r="AO180" s="1255"/>
      <c r="AP180" s="1255"/>
      <c r="AQ180" s="1255"/>
      <c r="AR180" s="1255"/>
      <c r="AS180" s="1255"/>
      <c r="AT180" s="1255"/>
      <c r="AU180" s="1255"/>
      <c r="AV180" s="1255"/>
      <c r="AW180" s="1255"/>
      <c r="AX180" s="1255"/>
      <c r="AY180" s="1255"/>
      <c r="AZ180" s="1255"/>
      <c r="BA180" s="1255"/>
      <c r="BB180" s="1255"/>
      <c r="BC180" s="1255"/>
      <c r="BD180" s="1255"/>
      <c r="BE180" s="1255"/>
      <c r="BF180" s="1255"/>
      <c r="BG180" s="1255"/>
      <c r="BH180" s="1255"/>
      <c r="BI180" s="1255"/>
      <c r="BJ180" s="1255"/>
      <c r="BK180" s="1255"/>
      <c r="BL180" s="1358"/>
      <c r="BM180" s="1358"/>
      <c r="BN180" s="1359"/>
      <c r="BO180" s="1359"/>
      <c r="BP180" s="1360"/>
    </row>
    <row r="181" spans="1:68" s="768" customFormat="1" ht="27" customHeight="1" x14ac:dyDescent="0.2">
      <c r="A181" s="1352"/>
      <c r="B181" s="1371"/>
      <c r="C181" s="1369"/>
      <c r="G181" s="1255"/>
      <c r="H181" s="1255"/>
      <c r="I181" s="1350"/>
      <c r="J181" s="1350"/>
      <c r="K181" s="1173"/>
      <c r="L181" s="1173"/>
      <c r="M181" s="1350"/>
      <c r="N181" s="1351"/>
      <c r="O181" s="1350"/>
      <c r="P181" s="1352"/>
      <c r="Q181" s="1353"/>
      <c r="R181" s="1350"/>
      <c r="S181" s="1350"/>
      <c r="T181" s="1354"/>
      <c r="U181" s="1364"/>
      <c r="V181" s="1364"/>
      <c r="W181" s="1364"/>
      <c r="X181" s="1357"/>
      <c r="Y181" s="1350"/>
      <c r="Z181" s="1255"/>
      <c r="AA181" s="1255"/>
      <c r="AB181" s="1255"/>
      <c r="AC181" s="1255"/>
      <c r="AD181" s="1255"/>
      <c r="AE181" s="1255"/>
      <c r="AF181" s="1255"/>
      <c r="AG181" s="1255"/>
      <c r="AH181" s="1255"/>
      <c r="AI181" s="1255"/>
      <c r="AJ181" s="1255"/>
      <c r="AK181" s="1255"/>
      <c r="AL181" s="1255"/>
      <c r="AM181" s="1255"/>
      <c r="AN181" s="1255"/>
      <c r="AO181" s="1255"/>
      <c r="AP181" s="1255"/>
      <c r="AQ181" s="1255"/>
      <c r="AR181" s="1255"/>
      <c r="AS181" s="1255"/>
      <c r="AT181" s="1255"/>
      <c r="AU181" s="1255"/>
      <c r="AV181" s="1255"/>
      <c r="AW181" s="1255"/>
      <c r="AX181" s="1255"/>
      <c r="AY181" s="1255"/>
      <c r="AZ181" s="1255"/>
      <c r="BA181" s="1255"/>
      <c r="BB181" s="1255"/>
      <c r="BC181" s="1255"/>
      <c r="BD181" s="1255"/>
      <c r="BE181" s="1255"/>
      <c r="BF181" s="1255"/>
      <c r="BG181" s="1370"/>
      <c r="BH181" s="1370"/>
      <c r="BI181" s="1255"/>
      <c r="BJ181" s="1255"/>
      <c r="BK181" s="1255"/>
      <c r="BL181" s="1358"/>
      <c r="BM181" s="1358"/>
      <c r="BN181" s="1359"/>
      <c r="BO181" s="1359"/>
      <c r="BP181" s="1360"/>
    </row>
    <row r="182" spans="1:68" x14ac:dyDescent="0.2">
      <c r="U182" s="1379"/>
      <c r="V182" s="1380"/>
      <c r="W182" s="1380"/>
    </row>
    <row r="184" spans="1:68" x14ac:dyDescent="0.2">
      <c r="B184" s="1170" t="s">
        <v>1285</v>
      </c>
    </row>
  </sheetData>
  <sheetProtection password="A60F" sheet="1" objects="1" scenarios="1"/>
  <mergeCells count="1018">
    <mergeCell ref="BO168:BO173"/>
    <mergeCell ref="BP168:BP173"/>
    <mergeCell ref="BI168:BI173"/>
    <mergeCell ref="BJ168:BJ173"/>
    <mergeCell ref="BK168:BK173"/>
    <mergeCell ref="BL168:BL173"/>
    <mergeCell ref="BM168:BM173"/>
    <mergeCell ref="BN168:BN173"/>
    <mergeCell ref="BC168:BC173"/>
    <mergeCell ref="BD168:BD173"/>
    <mergeCell ref="BE168:BE173"/>
    <mergeCell ref="BF168:BF173"/>
    <mergeCell ref="BG168:BG173"/>
    <mergeCell ref="BH168:BH173"/>
    <mergeCell ref="AW168:AW173"/>
    <mergeCell ref="AX168:AX173"/>
    <mergeCell ref="AY168:AY173"/>
    <mergeCell ref="AZ168:AZ173"/>
    <mergeCell ref="BA168:BA173"/>
    <mergeCell ref="BB168:BB173"/>
    <mergeCell ref="H168:H173"/>
    <mergeCell ref="I168:I173"/>
    <mergeCell ref="J168:J173"/>
    <mergeCell ref="K168:K173"/>
    <mergeCell ref="L168:L173"/>
    <mergeCell ref="M168:M173"/>
    <mergeCell ref="AQ168:AQ173"/>
    <mergeCell ref="AR168:AR173"/>
    <mergeCell ref="AS168:AS173"/>
    <mergeCell ref="AT168:AT173"/>
    <mergeCell ref="AU168:AU173"/>
    <mergeCell ref="AV168:AV173"/>
    <mergeCell ref="AK168:AK173"/>
    <mergeCell ref="AL168:AL173"/>
    <mergeCell ref="AM168:AM173"/>
    <mergeCell ref="AN168:AN173"/>
    <mergeCell ref="AO168:AO173"/>
    <mergeCell ref="AP168:AP173"/>
    <mergeCell ref="AE168:AE173"/>
    <mergeCell ref="AF168:AF173"/>
    <mergeCell ref="AG168:AG173"/>
    <mergeCell ref="AH168:AH173"/>
    <mergeCell ref="AI168:AI173"/>
    <mergeCell ref="AJ168:AJ173"/>
    <mergeCell ref="BA161:BA167"/>
    <mergeCell ref="AP161:AP167"/>
    <mergeCell ref="AQ161:AQ167"/>
    <mergeCell ref="AR161:AR167"/>
    <mergeCell ref="AS161:AS167"/>
    <mergeCell ref="T168:T169"/>
    <mergeCell ref="Z168:Z173"/>
    <mergeCell ref="AA168:AA173"/>
    <mergeCell ref="AB168:AB173"/>
    <mergeCell ref="AC168:AC173"/>
    <mergeCell ref="AD168:AD173"/>
    <mergeCell ref="N168:N173"/>
    <mergeCell ref="O168:O173"/>
    <mergeCell ref="P168:P173"/>
    <mergeCell ref="Q168:Q173"/>
    <mergeCell ref="R168:R173"/>
    <mergeCell ref="S168:S173"/>
    <mergeCell ref="T161:T162"/>
    <mergeCell ref="Z161:Z167"/>
    <mergeCell ref="AA161:AA167"/>
    <mergeCell ref="AB161:AB167"/>
    <mergeCell ref="AC161:AC167"/>
    <mergeCell ref="R161:R167"/>
    <mergeCell ref="BN161:BN167"/>
    <mergeCell ref="BO161:BO167"/>
    <mergeCell ref="BP161:BP167"/>
    <mergeCell ref="A168:A173"/>
    <mergeCell ref="B168:B173"/>
    <mergeCell ref="C168:C173"/>
    <mergeCell ref="D168:D173"/>
    <mergeCell ref="E168:E173"/>
    <mergeCell ref="F168:F173"/>
    <mergeCell ref="G168:G173"/>
    <mergeCell ref="BH161:BH167"/>
    <mergeCell ref="BI161:BI167"/>
    <mergeCell ref="BJ161:BJ167"/>
    <mergeCell ref="BK161:BK167"/>
    <mergeCell ref="BL161:BL167"/>
    <mergeCell ref="BM161:BM167"/>
    <mergeCell ref="BB161:BB167"/>
    <mergeCell ref="BC161:BC167"/>
    <mergeCell ref="BD161:BD167"/>
    <mergeCell ref="BE161:BE167"/>
    <mergeCell ref="BF161:BF167"/>
    <mergeCell ref="BG161:BG167"/>
    <mergeCell ref="AV161:AV167"/>
    <mergeCell ref="AW161:AW167"/>
    <mergeCell ref="AX161:AX167"/>
    <mergeCell ref="AY161:AY167"/>
    <mergeCell ref="AZ161:AZ167"/>
    <mergeCell ref="M161:M167"/>
    <mergeCell ref="N161:N167"/>
    <mergeCell ref="O161:O167"/>
    <mergeCell ref="P161:P166"/>
    <mergeCell ref="Q161:Q167"/>
    <mergeCell ref="BO145:BO160"/>
    <mergeCell ref="BP145:BP160"/>
    <mergeCell ref="T153:T154"/>
    <mergeCell ref="G156:G160"/>
    <mergeCell ref="H156:H160"/>
    <mergeCell ref="I156:I160"/>
    <mergeCell ref="J156:J160"/>
    <mergeCell ref="K156:K160"/>
    <mergeCell ref="BG145:BG160"/>
    <mergeCell ref="BH145:BH160"/>
    <mergeCell ref="BI145:BI160"/>
    <mergeCell ref="BJ145:BJ160"/>
    <mergeCell ref="BK145:BK160"/>
    <mergeCell ref="BL145:BL160"/>
    <mergeCell ref="BA145:BA160"/>
    <mergeCell ref="BB145:BB160"/>
    <mergeCell ref="BC145:BC160"/>
    <mergeCell ref="BD145:BD160"/>
    <mergeCell ref="AL145:AL160"/>
    <mergeCell ref="AM145:AM160"/>
    <mergeCell ref="AN145:AN160"/>
    <mergeCell ref="N145:N160"/>
    <mergeCell ref="O145:O160"/>
    <mergeCell ref="P145:P155"/>
    <mergeCell ref="Q145:Q160"/>
    <mergeCell ref="L156:L160"/>
    <mergeCell ref="P156:P160"/>
    <mergeCell ref="BE145:BE160"/>
    <mergeCell ref="BF145:BF160"/>
    <mergeCell ref="AU145:AU160"/>
    <mergeCell ref="AV145:AV160"/>
    <mergeCell ref="AW145:AW160"/>
    <mergeCell ref="G161:G166"/>
    <mergeCell ref="H161:H166"/>
    <mergeCell ref="I161:I166"/>
    <mergeCell ref="J161:J166"/>
    <mergeCell ref="K161:K166"/>
    <mergeCell ref="L161:L166"/>
    <mergeCell ref="BM145:BM160"/>
    <mergeCell ref="BN145:BN160"/>
    <mergeCell ref="AT161:AT167"/>
    <mergeCell ref="AU161:AU167"/>
    <mergeCell ref="AJ161:AJ167"/>
    <mergeCell ref="AK161:AK167"/>
    <mergeCell ref="AL161:AL167"/>
    <mergeCell ref="AM161:AM167"/>
    <mergeCell ref="AN161:AN167"/>
    <mergeCell ref="AO161:AO167"/>
    <mergeCell ref="AD161:AD167"/>
    <mergeCell ref="AE161:AE167"/>
    <mergeCell ref="AF161:AF167"/>
    <mergeCell ref="AG161:AG167"/>
    <mergeCell ref="AH161:AH167"/>
    <mergeCell ref="AI161:AI167"/>
    <mergeCell ref="S161:S167"/>
    <mergeCell ref="AH145:AH160"/>
    <mergeCell ref="R145:R160"/>
    <mergeCell ref="S145:S160"/>
    <mergeCell ref="T145:T146"/>
    <mergeCell ref="Z145:Z160"/>
    <mergeCell ref="AA145:AA160"/>
    <mergeCell ref="AB145:AB160"/>
    <mergeCell ref="L145:L155"/>
    <mergeCell ref="M145:M160"/>
    <mergeCell ref="AX145:AX160"/>
    <mergeCell ref="AY145:AY160"/>
    <mergeCell ref="AZ145:AZ160"/>
    <mergeCell ref="AO145:AO160"/>
    <mergeCell ref="AP145:AP160"/>
    <mergeCell ref="AQ145:AQ160"/>
    <mergeCell ref="AR145:AR160"/>
    <mergeCell ref="AS145:AS160"/>
    <mergeCell ref="AT145:AT160"/>
    <mergeCell ref="AI145:AI160"/>
    <mergeCell ref="AJ145:AJ160"/>
    <mergeCell ref="AK145:AK160"/>
    <mergeCell ref="G145:G155"/>
    <mergeCell ref="H145:H155"/>
    <mergeCell ref="I145:I155"/>
    <mergeCell ref="J145:J155"/>
    <mergeCell ref="K145:K155"/>
    <mergeCell ref="AC145:AC160"/>
    <mergeCell ref="AD145:AD160"/>
    <mergeCell ref="AE145:AE160"/>
    <mergeCell ref="AF145:AF160"/>
    <mergeCell ref="AG145:AG160"/>
    <mergeCell ref="O140:O142"/>
    <mergeCell ref="P140:P142"/>
    <mergeCell ref="Q140:Q142"/>
    <mergeCell ref="R140:R142"/>
    <mergeCell ref="G140:G142"/>
    <mergeCell ref="H140:H142"/>
    <mergeCell ref="I140:I142"/>
    <mergeCell ref="J140:J142"/>
    <mergeCell ref="K140:K142"/>
    <mergeCell ref="L140:L142"/>
    <mergeCell ref="S140:S142"/>
    <mergeCell ref="T140:T141"/>
    <mergeCell ref="Z140:Z142"/>
    <mergeCell ref="AA140:AA142"/>
    <mergeCell ref="AB140:AB142"/>
    <mergeCell ref="AC140:AC142"/>
    <mergeCell ref="BF140:BF142"/>
    <mergeCell ref="AP140:AP142"/>
    <mergeCell ref="AQ140:AQ142"/>
    <mergeCell ref="AR140:AR142"/>
    <mergeCell ref="AS140:AS142"/>
    <mergeCell ref="AH140:AH142"/>
    <mergeCell ref="AI140:AI142"/>
    <mergeCell ref="AJ140:AJ142"/>
    <mergeCell ref="AK140:AK142"/>
    <mergeCell ref="M140:M142"/>
    <mergeCell ref="N140:N142"/>
    <mergeCell ref="BG140:BG142"/>
    <mergeCell ref="BH140:BH142"/>
    <mergeCell ref="BI140:BI142"/>
    <mergeCell ref="BJ140:BJ142"/>
    <mergeCell ref="BG124:BG139"/>
    <mergeCell ref="AV124:AV139"/>
    <mergeCell ref="AW124:AW139"/>
    <mergeCell ref="AX124:AX139"/>
    <mergeCell ref="AY124:AY139"/>
    <mergeCell ref="AZ124:AZ139"/>
    <mergeCell ref="BA124:BA139"/>
    <mergeCell ref="AP124:AP139"/>
    <mergeCell ref="AQ124:AQ139"/>
    <mergeCell ref="AR124:AR139"/>
    <mergeCell ref="AS124:AS139"/>
    <mergeCell ref="AL140:AL142"/>
    <mergeCell ref="AM140:AM142"/>
    <mergeCell ref="AZ140:AZ142"/>
    <mergeCell ref="BA140:BA142"/>
    <mergeCell ref="BB140:BB142"/>
    <mergeCell ref="BC140:BC142"/>
    <mergeCell ref="BD140:BD142"/>
    <mergeCell ref="BE140:BE142"/>
    <mergeCell ref="AT140:AT142"/>
    <mergeCell ref="AU140:AU142"/>
    <mergeCell ref="AV140:AV142"/>
    <mergeCell ref="AW140:AW142"/>
    <mergeCell ref="AX140:AX142"/>
    <mergeCell ref="AY140:AY142"/>
    <mergeCell ref="AN140:AN142"/>
    <mergeCell ref="AO140:AO142"/>
    <mergeCell ref="BN119:BN123"/>
    <mergeCell ref="BO119:BO123"/>
    <mergeCell ref="BP119:BP123"/>
    <mergeCell ref="AK119:AK123"/>
    <mergeCell ref="AL119:AL123"/>
    <mergeCell ref="AM119:AM123"/>
    <mergeCell ref="AN119:AN123"/>
    <mergeCell ref="AO119:AO123"/>
    <mergeCell ref="AD119:AD123"/>
    <mergeCell ref="AE119:AE123"/>
    <mergeCell ref="AF119:AF123"/>
    <mergeCell ref="AG119:AG123"/>
    <mergeCell ref="AH119:AH123"/>
    <mergeCell ref="AI119:AI123"/>
    <mergeCell ref="BN124:BN142"/>
    <mergeCell ref="BO124:BO142"/>
    <mergeCell ref="BP124:BP142"/>
    <mergeCell ref="AD140:AD142"/>
    <mergeCell ref="AE140:AE142"/>
    <mergeCell ref="AF140:AF142"/>
    <mergeCell ref="AG140:AG142"/>
    <mergeCell ref="BH124:BH139"/>
    <mergeCell ref="BI124:BI139"/>
    <mergeCell ref="BJ124:BJ139"/>
    <mergeCell ref="BK124:BK142"/>
    <mergeCell ref="BL124:BL142"/>
    <mergeCell ref="BM124:BM142"/>
    <mergeCell ref="BB124:BB139"/>
    <mergeCell ref="BC124:BC139"/>
    <mergeCell ref="BD124:BD139"/>
    <mergeCell ref="BE124:BE139"/>
    <mergeCell ref="BF124:BF139"/>
    <mergeCell ref="AP119:AP123"/>
    <mergeCell ref="AQ119:AQ123"/>
    <mergeCell ref="AR119:AR123"/>
    <mergeCell ref="AS119:AS123"/>
    <mergeCell ref="AT119:AT123"/>
    <mergeCell ref="AU119:AU123"/>
    <mergeCell ref="AJ119:AJ123"/>
    <mergeCell ref="AT124:AT139"/>
    <mergeCell ref="AU124:AU139"/>
    <mergeCell ref="AJ124:AJ139"/>
    <mergeCell ref="AK124:AK139"/>
    <mergeCell ref="AL124:AL139"/>
    <mergeCell ref="AM124:AM139"/>
    <mergeCell ref="AN124:AN139"/>
    <mergeCell ref="AO124:AO139"/>
    <mergeCell ref="AD124:AD139"/>
    <mergeCell ref="AE124:AE139"/>
    <mergeCell ref="AF124:AF139"/>
    <mergeCell ref="AG124:AG139"/>
    <mergeCell ref="AH124:AH139"/>
    <mergeCell ref="AI124:AI139"/>
    <mergeCell ref="BH119:BH123"/>
    <mergeCell ref="BI119:BI123"/>
    <mergeCell ref="BJ119:BJ123"/>
    <mergeCell ref="BK119:BK123"/>
    <mergeCell ref="BL119:BL123"/>
    <mergeCell ref="BM119:BM123"/>
    <mergeCell ref="BB119:BB123"/>
    <mergeCell ref="BC119:BC123"/>
    <mergeCell ref="BD119:BD123"/>
    <mergeCell ref="BE119:BE123"/>
    <mergeCell ref="BF119:BF123"/>
    <mergeCell ref="BG119:BG123"/>
    <mergeCell ref="AV119:AV123"/>
    <mergeCell ref="AW119:AW123"/>
    <mergeCell ref="AX119:AX123"/>
    <mergeCell ref="AY119:AY123"/>
    <mergeCell ref="AZ119:AZ123"/>
    <mergeCell ref="BA119:BA123"/>
    <mergeCell ref="S119:S139"/>
    <mergeCell ref="T119:T120"/>
    <mergeCell ref="Z119:Z123"/>
    <mergeCell ref="AA119:AA123"/>
    <mergeCell ref="AB119:AB123"/>
    <mergeCell ref="AC119:AC123"/>
    <mergeCell ref="Z124:Z139"/>
    <mergeCell ref="AA124:AA139"/>
    <mergeCell ref="AB124:AB139"/>
    <mergeCell ref="AC124:AC139"/>
    <mergeCell ref="M119:M139"/>
    <mergeCell ref="N119:N139"/>
    <mergeCell ref="O119:O139"/>
    <mergeCell ref="P119:P123"/>
    <mergeCell ref="Q119:Q139"/>
    <mergeCell ref="R119:R139"/>
    <mergeCell ref="G119:G123"/>
    <mergeCell ref="H119:H123"/>
    <mergeCell ref="I119:I123"/>
    <mergeCell ref="J119:J123"/>
    <mergeCell ref="K119:K123"/>
    <mergeCell ref="L119:L123"/>
    <mergeCell ref="G124:G139"/>
    <mergeCell ref="H124:H139"/>
    <mergeCell ref="I124:I139"/>
    <mergeCell ref="J124:J139"/>
    <mergeCell ref="K124:K139"/>
    <mergeCell ref="L124:L139"/>
    <mergeCell ref="P124:P139"/>
    <mergeCell ref="T130:T131"/>
    <mergeCell ref="T132:T133"/>
    <mergeCell ref="T134:T135"/>
    <mergeCell ref="BK116:BK117"/>
    <mergeCell ref="BL116:BL117"/>
    <mergeCell ref="BM116:BM117"/>
    <mergeCell ref="BN116:BN117"/>
    <mergeCell ref="BO116:BO117"/>
    <mergeCell ref="BP116:BP117"/>
    <mergeCell ref="BE116:BE117"/>
    <mergeCell ref="BF116:BF117"/>
    <mergeCell ref="BG116:BG117"/>
    <mergeCell ref="BH116:BH117"/>
    <mergeCell ref="BI116:BI117"/>
    <mergeCell ref="BJ116:BJ117"/>
    <mergeCell ref="AT116:AT117"/>
    <mergeCell ref="AV116:AV117"/>
    <mergeCell ref="AX116:AX117"/>
    <mergeCell ref="AZ116:AZ117"/>
    <mergeCell ref="BB116:BB117"/>
    <mergeCell ref="BD116:BD117"/>
    <mergeCell ref="AL116:AL117"/>
    <mergeCell ref="AM116:AM117"/>
    <mergeCell ref="AN116:AN117"/>
    <mergeCell ref="AO116:AO117"/>
    <mergeCell ref="AP116:AP117"/>
    <mergeCell ref="AR116:AR117"/>
    <mergeCell ref="AF116:AF117"/>
    <mergeCell ref="AG116:AG117"/>
    <mergeCell ref="AH116:AH117"/>
    <mergeCell ref="AI116:AI117"/>
    <mergeCell ref="AJ116:AJ117"/>
    <mergeCell ref="AK116:AK117"/>
    <mergeCell ref="Z116:Z117"/>
    <mergeCell ref="AA116:AA117"/>
    <mergeCell ref="AB116:AB117"/>
    <mergeCell ref="AC116:AC117"/>
    <mergeCell ref="AD116:AD117"/>
    <mergeCell ref="AE116:AE117"/>
    <mergeCell ref="BN110:BN113"/>
    <mergeCell ref="BO110:BO113"/>
    <mergeCell ref="BP110:BP113"/>
    <mergeCell ref="D116:F117"/>
    <mergeCell ref="M116:M117"/>
    <mergeCell ref="N116:N117"/>
    <mergeCell ref="O116:O117"/>
    <mergeCell ref="Q116:Q117"/>
    <mergeCell ref="R116:R117"/>
    <mergeCell ref="S116:S117"/>
    <mergeCell ref="BH110:BH113"/>
    <mergeCell ref="BI110:BI113"/>
    <mergeCell ref="BJ110:BJ113"/>
    <mergeCell ref="BK110:BK113"/>
    <mergeCell ref="BL110:BL113"/>
    <mergeCell ref="BM110:BM113"/>
    <mergeCell ref="BB110:BB113"/>
    <mergeCell ref="BC110:BC113"/>
    <mergeCell ref="BD110:BD113"/>
    <mergeCell ref="BE110:BE113"/>
    <mergeCell ref="BF110:BF113"/>
    <mergeCell ref="BG110:BG113"/>
    <mergeCell ref="AV110:AV113"/>
    <mergeCell ref="AW110:AW113"/>
    <mergeCell ref="AX110:AX113"/>
    <mergeCell ref="AY110:AY113"/>
    <mergeCell ref="AZ110:AZ113"/>
    <mergeCell ref="BA110:BA113"/>
    <mergeCell ref="AP110:AP113"/>
    <mergeCell ref="AQ110:AQ113"/>
    <mergeCell ref="AR110:AR113"/>
    <mergeCell ref="AS110:AS113"/>
    <mergeCell ref="AT110:AT113"/>
    <mergeCell ref="AU110:AU113"/>
    <mergeCell ref="AJ110:AJ113"/>
    <mergeCell ref="AK110:AK113"/>
    <mergeCell ref="AL110:AL113"/>
    <mergeCell ref="AM110:AM113"/>
    <mergeCell ref="AN110:AN113"/>
    <mergeCell ref="AO110:AO113"/>
    <mergeCell ref="AD110:AD113"/>
    <mergeCell ref="AE110:AE113"/>
    <mergeCell ref="AF110:AF113"/>
    <mergeCell ref="AG110:AG113"/>
    <mergeCell ref="AH110:AH113"/>
    <mergeCell ref="AI110:AI113"/>
    <mergeCell ref="R110:R113"/>
    <mergeCell ref="S110:S113"/>
    <mergeCell ref="Z110:Z113"/>
    <mergeCell ref="AA110:AA113"/>
    <mergeCell ref="AB110:AB113"/>
    <mergeCell ref="AC110:AC113"/>
    <mergeCell ref="L110:L113"/>
    <mergeCell ref="M110:M113"/>
    <mergeCell ref="N110:N113"/>
    <mergeCell ref="O110:O113"/>
    <mergeCell ref="P110:P113"/>
    <mergeCell ref="Q110:Q113"/>
    <mergeCell ref="BP98:BP109"/>
    <mergeCell ref="T100:T101"/>
    <mergeCell ref="T103:T104"/>
    <mergeCell ref="T105:T106"/>
    <mergeCell ref="T107:T108"/>
    <mergeCell ref="G110:G113"/>
    <mergeCell ref="H110:H113"/>
    <mergeCell ref="I110:I113"/>
    <mergeCell ref="J110:J113"/>
    <mergeCell ref="K110:K113"/>
    <mergeCell ref="BI98:BI109"/>
    <mergeCell ref="BJ98:BJ109"/>
    <mergeCell ref="BK98:BK109"/>
    <mergeCell ref="BL98:BL109"/>
    <mergeCell ref="BM98:BM109"/>
    <mergeCell ref="BN98:BN109"/>
    <mergeCell ref="BC98:BC109"/>
    <mergeCell ref="BD98:BD109"/>
    <mergeCell ref="BE98:BE109"/>
    <mergeCell ref="BF98:BF109"/>
    <mergeCell ref="BG98:BG109"/>
    <mergeCell ref="BH98:BH109"/>
    <mergeCell ref="AW98:AW109"/>
    <mergeCell ref="AX98:AX109"/>
    <mergeCell ref="AY98:AY109"/>
    <mergeCell ref="AZ98:AZ109"/>
    <mergeCell ref="BA98:BA109"/>
    <mergeCell ref="BB98:BB109"/>
    <mergeCell ref="AQ98:AQ109"/>
    <mergeCell ref="AR98:AR109"/>
    <mergeCell ref="AS98:AS109"/>
    <mergeCell ref="AT98:AT109"/>
    <mergeCell ref="AU98:AU109"/>
    <mergeCell ref="AV98:AV109"/>
    <mergeCell ref="AK98:AK109"/>
    <mergeCell ref="AL98:AL109"/>
    <mergeCell ref="AM98:AM109"/>
    <mergeCell ref="AN98:AN109"/>
    <mergeCell ref="AO98:AO109"/>
    <mergeCell ref="AP98:AP109"/>
    <mergeCell ref="AE98:AE109"/>
    <mergeCell ref="AF98:AF109"/>
    <mergeCell ref="AG98:AG109"/>
    <mergeCell ref="AH98:AH109"/>
    <mergeCell ref="AI98:AI109"/>
    <mergeCell ref="AJ98:AJ109"/>
    <mergeCell ref="S98:S109"/>
    <mergeCell ref="Z98:Z109"/>
    <mergeCell ref="AA98:AA109"/>
    <mergeCell ref="AB98:AB109"/>
    <mergeCell ref="AC98:AC109"/>
    <mergeCell ref="AD98:AD109"/>
    <mergeCell ref="M98:M109"/>
    <mergeCell ref="N98:N109"/>
    <mergeCell ref="O98:O109"/>
    <mergeCell ref="P98:P109"/>
    <mergeCell ref="Q98:Q109"/>
    <mergeCell ref="R98:R109"/>
    <mergeCell ref="G98:G109"/>
    <mergeCell ref="H98:H109"/>
    <mergeCell ref="I98:I109"/>
    <mergeCell ref="J98:J109"/>
    <mergeCell ref="K98:K109"/>
    <mergeCell ref="L98:L109"/>
    <mergeCell ref="BL83:BL97"/>
    <mergeCell ref="BM83:BM97"/>
    <mergeCell ref="BN83:BN97"/>
    <mergeCell ref="BO83:BO97"/>
    <mergeCell ref="BP83:BP97"/>
    <mergeCell ref="T90:T91"/>
    <mergeCell ref="T92:T93"/>
    <mergeCell ref="T96:T97"/>
    <mergeCell ref="BF83:BF97"/>
    <mergeCell ref="BG83:BG97"/>
    <mergeCell ref="BH83:BH97"/>
    <mergeCell ref="BI83:BI97"/>
    <mergeCell ref="BJ83:BJ97"/>
    <mergeCell ref="BK83:BK97"/>
    <mergeCell ref="AZ83:AZ97"/>
    <mergeCell ref="BA83:BA97"/>
    <mergeCell ref="BB83:BB97"/>
    <mergeCell ref="BC83:BC97"/>
    <mergeCell ref="BD83:BD97"/>
    <mergeCell ref="BE83:BE97"/>
    <mergeCell ref="AT83:AT97"/>
    <mergeCell ref="AU83:AU97"/>
    <mergeCell ref="AV83:AV97"/>
    <mergeCell ref="AW83:AW97"/>
    <mergeCell ref="AX83:AX97"/>
    <mergeCell ref="AY83:AY97"/>
    <mergeCell ref="AN83:AN97"/>
    <mergeCell ref="AO83:AO97"/>
    <mergeCell ref="AP83:AP97"/>
    <mergeCell ref="AQ83:AQ97"/>
    <mergeCell ref="AR83:AR97"/>
    <mergeCell ref="AS83:AS97"/>
    <mergeCell ref="AH83:AH97"/>
    <mergeCell ref="AI83:AI97"/>
    <mergeCell ref="AJ83:AJ97"/>
    <mergeCell ref="AK83:AK97"/>
    <mergeCell ref="AL83:AL97"/>
    <mergeCell ref="AM83:AM97"/>
    <mergeCell ref="AB83:AB97"/>
    <mergeCell ref="AC83:AC97"/>
    <mergeCell ref="AD83:AD97"/>
    <mergeCell ref="AE83:AE97"/>
    <mergeCell ref="AF83:AF97"/>
    <mergeCell ref="AG83:AG97"/>
    <mergeCell ref="P83:P97"/>
    <mergeCell ref="Q83:Q97"/>
    <mergeCell ref="R83:R97"/>
    <mergeCell ref="S83:S97"/>
    <mergeCell ref="Z83:Z97"/>
    <mergeCell ref="AA83:AA97"/>
    <mergeCell ref="BP79:BP81"/>
    <mergeCell ref="G83:G97"/>
    <mergeCell ref="H83:H97"/>
    <mergeCell ref="I83:I97"/>
    <mergeCell ref="J83:J97"/>
    <mergeCell ref="K83:K97"/>
    <mergeCell ref="L83:L97"/>
    <mergeCell ref="M83:M97"/>
    <mergeCell ref="N83:N97"/>
    <mergeCell ref="O83:O97"/>
    <mergeCell ref="BJ79:BJ81"/>
    <mergeCell ref="BK79:BK81"/>
    <mergeCell ref="BL79:BL81"/>
    <mergeCell ref="BM79:BM81"/>
    <mergeCell ref="BN79:BN81"/>
    <mergeCell ref="BO79:BO81"/>
    <mergeCell ref="BD79:BD81"/>
    <mergeCell ref="BE79:BE81"/>
    <mergeCell ref="BF79:BF81"/>
    <mergeCell ref="BG79:BG81"/>
    <mergeCell ref="BH79:BH81"/>
    <mergeCell ref="BI79:BI81"/>
    <mergeCell ref="AX79:AX81"/>
    <mergeCell ref="AY79:AY81"/>
    <mergeCell ref="AZ79:AZ81"/>
    <mergeCell ref="BA79:BA81"/>
    <mergeCell ref="BB79:BB81"/>
    <mergeCell ref="BC79:BC81"/>
    <mergeCell ref="AR79:AR81"/>
    <mergeCell ref="AS79:AS81"/>
    <mergeCell ref="AT79:AT81"/>
    <mergeCell ref="AU79:AU81"/>
    <mergeCell ref="AV79:AV81"/>
    <mergeCell ref="AW79:AW81"/>
    <mergeCell ref="AL79:AL81"/>
    <mergeCell ref="AM79:AM81"/>
    <mergeCell ref="AN79:AN81"/>
    <mergeCell ref="AO79:AO81"/>
    <mergeCell ref="AP79:AP81"/>
    <mergeCell ref="AQ79:AQ81"/>
    <mergeCell ref="AF79:AF81"/>
    <mergeCell ref="AG79:AG81"/>
    <mergeCell ref="AH79:AH81"/>
    <mergeCell ref="AI79:AI81"/>
    <mergeCell ref="AJ79:AJ81"/>
    <mergeCell ref="AK79:AK81"/>
    <mergeCell ref="Z79:Z81"/>
    <mergeCell ref="AA79:AA81"/>
    <mergeCell ref="AB79:AB81"/>
    <mergeCell ref="AC79:AC81"/>
    <mergeCell ref="AD79:AD81"/>
    <mergeCell ref="AE79:AE81"/>
    <mergeCell ref="N79:N81"/>
    <mergeCell ref="O79:O81"/>
    <mergeCell ref="P79:P81"/>
    <mergeCell ref="Q79:Q81"/>
    <mergeCell ref="R79:R81"/>
    <mergeCell ref="S79:S81"/>
    <mergeCell ref="H79:H81"/>
    <mergeCell ref="I79:I81"/>
    <mergeCell ref="J79:J81"/>
    <mergeCell ref="K79:K81"/>
    <mergeCell ref="L79:L81"/>
    <mergeCell ref="M79:M81"/>
    <mergeCell ref="T69:T70"/>
    <mergeCell ref="T73:T74"/>
    <mergeCell ref="T76:T77"/>
    <mergeCell ref="A78:A81"/>
    <mergeCell ref="B78:B81"/>
    <mergeCell ref="C78:C81"/>
    <mergeCell ref="D79:D81"/>
    <mergeCell ref="E79:E81"/>
    <mergeCell ref="F79:F81"/>
    <mergeCell ref="G79:G81"/>
    <mergeCell ref="G69:G77"/>
    <mergeCell ref="H69:H77"/>
    <mergeCell ref="I69:I77"/>
    <mergeCell ref="J69:J77"/>
    <mergeCell ref="K69:K77"/>
    <mergeCell ref="L69:L77"/>
    <mergeCell ref="G66:G68"/>
    <mergeCell ref="H66:H68"/>
    <mergeCell ref="I66:I68"/>
    <mergeCell ref="J66:J68"/>
    <mergeCell ref="K66:K68"/>
    <mergeCell ref="L66:L68"/>
    <mergeCell ref="P66:P68"/>
    <mergeCell ref="T67:T68"/>
    <mergeCell ref="G58:G65"/>
    <mergeCell ref="H58:H65"/>
    <mergeCell ref="I58:I65"/>
    <mergeCell ref="J58:J65"/>
    <mergeCell ref="K58:K65"/>
    <mergeCell ref="L58:L65"/>
    <mergeCell ref="D53:F53"/>
    <mergeCell ref="G53:G57"/>
    <mergeCell ref="H53:H57"/>
    <mergeCell ref="I53:I57"/>
    <mergeCell ref="J53:J57"/>
    <mergeCell ref="K53:K57"/>
    <mergeCell ref="BM32:BM77"/>
    <mergeCell ref="BN32:BN77"/>
    <mergeCell ref="BO32:BO77"/>
    <mergeCell ref="BP32:BP77"/>
    <mergeCell ref="T34:T35"/>
    <mergeCell ref="T36:T37"/>
    <mergeCell ref="T38:T39"/>
    <mergeCell ref="T40:T41"/>
    <mergeCell ref="T42:T43"/>
    <mergeCell ref="T44:T45"/>
    <mergeCell ref="BG32:BG77"/>
    <mergeCell ref="BH32:BH77"/>
    <mergeCell ref="BI32:BI77"/>
    <mergeCell ref="BJ32:BJ77"/>
    <mergeCell ref="BK32:BK77"/>
    <mergeCell ref="BL32:BL77"/>
    <mergeCell ref="BA32:BA77"/>
    <mergeCell ref="BB32:BB77"/>
    <mergeCell ref="BC32:BC77"/>
    <mergeCell ref="BD32:BD77"/>
    <mergeCell ref="BE32:BE77"/>
    <mergeCell ref="BF32:BF77"/>
    <mergeCell ref="AU32:AU77"/>
    <mergeCell ref="AV32:AV77"/>
    <mergeCell ref="AW32:AW77"/>
    <mergeCell ref="AX32:AX77"/>
    <mergeCell ref="AY32:AY77"/>
    <mergeCell ref="AZ32:AZ77"/>
    <mergeCell ref="AO32:AO77"/>
    <mergeCell ref="AP32:AP77"/>
    <mergeCell ref="AQ32:AQ77"/>
    <mergeCell ref="AR32:AR77"/>
    <mergeCell ref="AS32:AS77"/>
    <mergeCell ref="AT32:AT77"/>
    <mergeCell ref="AI32:AI77"/>
    <mergeCell ref="AJ32:AJ77"/>
    <mergeCell ref="AK32:AK77"/>
    <mergeCell ref="AL32:AL77"/>
    <mergeCell ref="AM32:AM77"/>
    <mergeCell ref="AN32:AN77"/>
    <mergeCell ref="AC32:AC77"/>
    <mergeCell ref="AD32:AD77"/>
    <mergeCell ref="AE32:AE77"/>
    <mergeCell ref="AF32:AF77"/>
    <mergeCell ref="AG32:AG77"/>
    <mergeCell ref="AH32:AH77"/>
    <mergeCell ref="R32:R77"/>
    <mergeCell ref="S32:S77"/>
    <mergeCell ref="T32:T33"/>
    <mergeCell ref="Z32:Z77"/>
    <mergeCell ref="AA32:AA77"/>
    <mergeCell ref="AB32:AB77"/>
    <mergeCell ref="T46:T47"/>
    <mergeCell ref="T48:T49"/>
    <mergeCell ref="T51:T52"/>
    <mergeCell ref="T54:T55"/>
    <mergeCell ref="T59:T60"/>
    <mergeCell ref="T61:T62"/>
    <mergeCell ref="L32:L52"/>
    <mergeCell ref="M32:M77"/>
    <mergeCell ref="N32:N77"/>
    <mergeCell ref="O32:O77"/>
    <mergeCell ref="P32:P52"/>
    <mergeCell ref="Q32:Q77"/>
    <mergeCell ref="L53:L57"/>
    <mergeCell ref="P53:P57"/>
    <mergeCell ref="P58:P65"/>
    <mergeCell ref="P69:P77"/>
    <mergeCell ref="D32:F32"/>
    <mergeCell ref="G32:G52"/>
    <mergeCell ref="H32:H52"/>
    <mergeCell ref="I32:I52"/>
    <mergeCell ref="J32:J52"/>
    <mergeCell ref="K32:K52"/>
    <mergeCell ref="BL28:BL30"/>
    <mergeCell ref="AI28:AI30"/>
    <mergeCell ref="AJ28:AJ30"/>
    <mergeCell ref="AK28:AK30"/>
    <mergeCell ref="AL28:AL30"/>
    <mergeCell ref="AM28:AM30"/>
    <mergeCell ref="AB28:AB30"/>
    <mergeCell ref="AC28:AC30"/>
    <mergeCell ref="AD28:AD30"/>
    <mergeCell ref="AE28:AE30"/>
    <mergeCell ref="AF28:AF30"/>
    <mergeCell ref="AG28:AG30"/>
    <mergeCell ref="P28:P30"/>
    <mergeCell ref="Q28:Q30"/>
    <mergeCell ref="R28:R30"/>
    <mergeCell ref="S28:S30"/>
    <mergeCell ref="BM28:BM30"/>
    <mergeCell ref="BN28:BN30"/>
    <mergeCell ref="BO28:BO30"/>
    <mergeCell ref="BP28:BP30"/>
    <mergeCell ref="D29:D30"/>
    <mergeCell ref="E29:E30"/>
    <mergeCell ref="F29:F30"/>
    <mergeCell ref="BF28:BF30"/>
    <mergeCell ref="BG28:BG30"/>
    <mergeCell ref="BH28:BH30"/>
    <mergeCell ref="BI28:BI30"/>
    <mergeCell ref="BJ28:BJ30"/>
    <mergeCell ref="BK28:BK30"/>
    <mergeCell ref="AZ28:AZ30"/>
    <mergeCell ref="BA28:BA30"/>
    <mergeCell ref="BB28:BB30"/>
    <mergeCell ref="BC28:BC30"/>
    <mergeCell ref="BD28:BD30"/>
    <mergeCell ref="BE28:BE30"/>
    <mergeCell ref="AT28:AT30"/>
    <mergeCell ref="AU28:AU30"/>
    <mergeCell ref="AV28:AV30"/>
    <mergeCell ref="AW28:AW30"/>
    <mergeCell ref="AX28:AX30"/>
    <mergeCell ref="AY28:AY30"/>
    <mergeCell ref="AN28:AN30"/>
    <mergeCell ref="AO28:AO30"/>
    <mergeCell ref="AP28:AP30"/>
    <mergeCell ref="AQ28:AQ30"/>
    <mergeCell ref="AR28:AR30"/>
    <mergeCell ref="AS28:AS30"/>
    <mergeCell ref="AH28:AH30"/>
    <mergeCell ref="Z28:Z30"/>
    <mergeCell ref="AA28:AA30"/>
    <mergeCell ref="BP23:BP26"/>
    <mergeCell ref="G28:G30"/>
    <mergeCell ref="H28:H30"/>
    <mergeCell ref="I28:I30"/>
    <mergeCell ref="J28:J30"/>
    <mergeCell ref="K28:K30"/>
    <mergeCell ref="L28:L30"/>
    <mergeCell ref="M28:M30"/>
    <mergeCell ref="N28:N30"/>
    <mergeCell ref="O28:O30"/>
    <mergeCell ref="BJ23:BJ26"/>
    <mergeCell ref="BK23:BK26"/>
    <mergeCell ref="BL23:BL26"/>
    <mergeCell ref="BM23:BM26"/>
    <mergeCell ref="BN23:BN26"/>
    <mergeCell ref="BO23:BO26"/>
    <mergeCell ref="BD23:BD26"/>
    <mergeCell ref="BE23:BE26"/>
    <mergeCell ref="BF23:BF26"/>
    <mergeCell ref="BG23:BG26"/>
    <mergeCell ref="BH23:BH26"/>
    <mergeCell ref="BI23:BI26"/>
    <mergeCell ref="AX23:AX26"/>
    <mergeCell ref="AY23:AY26"/>
    <mergeCell ref="AZ23:AZ26"/>
    <mergeCell ref="BA23:BA26"/>
    <mergeCell ref="BB23:BB26"/>
    <mergeCell ref="BC23:BC26"/>
    <mergeCell ref="AR23:AR26"/>
    <mergeCell ref="AS23:AS26"/>
    <mergeCell ref="AT23:AT26"/>
    <mergeCell ref="AU23:AU26"/>
    <mergeCell ref="AV23:AV26"/>
    <mergeCell ref="AW23:AW26"/>
    <mergeCell ref="AL23:AL26"/>
    <mergeCell ref="AM23:AM26"/>
    <mergeCell ref="AN23:AN26"/>
    <mergeCell ref="AO23:AO26"/>
    <mergeCell ref="AP23:AP26"/>
    <mergeCell ref="AQ23:AQ26"/>
    <mergeCell ref="AF23:AF26"/>
    <mergeCell ref="AG23:AG26"/>
    <mergeCell ref="AH23:AH26"/>
    <mergeCell ref="AI23:AI26"/>
    <mergeCell ref="AJ23:AJ26"/>
    <mergeCell ref="AK23:AK26"/>
    <mergeCell ref="Z23:Z26"/>
    <mergeCell ref="AA23:AA26"/>
    <mergeCell ref="AB23:AB26"/>
    <mergeCell ref="AC23:AC26"/>
    <mergeCell ref="AD23:AD26"/>
    <mergeCell ref="AE23:AE26"/>
    <mergeCell ref="O23:O26"/>
    <mergeCell ref="P23:P26"/>
    <mergeCell ref="Q23:Q26"/>
    <mergeCell ref="R23:R26"/>
    <mergeCell ref="S23:S26"/>
    <mergeCell ref="T23:T24"/>
    <mergeCell ref="BO20:BO21"/>
    <mergeCell ref="BP20:BP21"/>
    <mergeCell ref="G23:G26"/>
    <mergeCell ref="H23:H26"/>
    <mergeCell ref="I23:I26"/>
    <mergeCell ref="J23:J26"/>
    <mergeCell ref="K23:K26"/>
    <mergeCell ref="L23:L26"/>
    <mergeCell ref="M23:M26"/>
    <mergeCell ref="N23:N26"/>
    <mergeCell ref="BI20:BI21"/>
    <mergeCell ref="BJ20:BJ21"/>
    <mergeCell ref="BK20:BK21"/>
    <mergeCell ref="BL20:BL21"/>
    <mergeCell ref="BM20:BM21"/>
    <mergeCell ref="BN20:BN21"/>
    <mergeCell ref="BC20:BC21"/>
    <mergeCell ref="BD20:BD21"/>
    <mergeCell ref="BE20:BE21"/>
    <mergeCell ref="BF20:BF21"/>
    <mergeCell ref="BG20:BG21"/>
    <mergeCell ref="BH20:BH21"/>
    <mergeCell ref="AW20:AW21"/>
    <mergeCell ref="AX20:AX21"/>
    <mergeCell ref="AY20:AY21"/>
    <mergeCell ref="AZ20:AZ21"/>
    <mergeCell ref="BA20:BA21"/>
    <mergeCell ref="BB20:BB21"/>
    <mergeCell ref="AQ20:AQ21"/>
    <mergeCell ref="AR20:AR21"/>
    <mergeCell ref="AS20:AS21"/>
    <mergeCell ref="AT20:AT21"/>
    <mergeCell ref="AU20:AU21"/>
    <mergeCell ref="AV20:AV21"/>
    <mergeCell ref="AK20:AK21"/>
    <mergeCell ref="AL20:AL21"/>
    <mergeCell ref="AM20:AM21"/>
    <mergeCell ref="AN20:AN21"/>
    <mergeCell ref="AO20:AO21"/>
    <mergeCell ref="AP20:AP21"/>
    <mergeCell ref="AE20:AE21"/>
    <mergeCell ref="AF20:AF21"/>
    <mergeCell ref="AG20:AG21"/>
    <mergeCell ref="AH20:AH21"/>
    <mergeCell ref="AI20:AI21"/>
    <mergeCell ref="AJ20:AJ21"/>
    <mergeCell ref="S20:S21"/>
    <mergeCell ref="Z20:Z21"/>
    <mergeCell ref="AA20:AA21"/>
    <mergeCell ref="AB20:AB21"/>
    <mergeCell ref="AC20:AC21"/>
    <mergeCell ref="AD20:AD21"/>
    <mergeCell ref="M20:M21"/>
    <mergeCell ref="N20:N21"/>
    <mergeCell ref="O20:O21"/>
    <mergeCell ref="P20:P21"/>
    <mergeCell ref="Q20:Q21"/>
    <mergeCell ref="R20:R21"/>
    <mergeCell ref="G20:G21"/>
    <mergeCell ref="H20:H21"/>
    <mergeCell ref="I20:I21"/>
    <mergeCell ref="J20:J21"/>
    <mergeCell ref="K20:K21"/>
    <mergeCell ref="L20:L21"/>
    <mergeCell ref="BK12:BK18"/>
    <mergeCell ref="BL12:BL18"/>
    <mergeCell ref="BM12:BM18"/>
    <mergeCell ref="BN12:BN18"/>
    <mergeCell ref="BO12:BO18"/>
    <mergeCell ref="BP12:BP18"/>
    <mergeCell ref="BE12:BE18"/>
    <mergeCell ref="BF12:BF18"/>
    <mergeCell ref="BG12:BG18"/>
    <mergeCell ref="BH12:BH18"/>
    <mergeCell ref="BI12:BI18"/>
    <mergeCell ref="BJ12:BJ18"/>
    <mergeCell ref="AY12:AY18"/>
    <mergeCell ref="AZ12:AZ18"/>
    <mergeCell ref="BA12:BA18"/>
    <mergeCell ref="BB12:BB18"/>
    <mergeCell ref="BC12:BC18"/>
    <mergeCell ref="BD12:BD18"/>
    <mergeCell ref="AS12:AS18"/>
    <mergeCell ref="AT12:AT18"/>
    <mergeCell ref="AU12:AU18"/>
    <mergeCell ref="AV12:AV18"/>
    <mergeCell ref="AW12:AW18"/>
    <mergeCell ref="AX12:AX18"/>
    <mergeCell ref="AM12:AM18"/>
    <mergeCell ref="AN12:AN18"/>
    <mergeCell ref="AO12:AO18"/>
    <mergeCell ref="AP12:AP18"/>
    <mergeCell ref="AQ12:AQ18"/>
    <mergeCell ref="AR12:AR18"/>
    <mergeCell ref="AG12:AG18"/>
    <mergeCell ref="AH12:AH18"/>
    <mergeCell ref="AI12:AI18"/>
    <mergeCell ref="AJ12:AJ18"/>
    <mergeCell ref="AK12:AK18"/>
    <mergeCell ref="AL12:AL18"/>
    <mergeCell ref="AA12:AA18"/>
    <mergeCell ref="AB12:AB18"/>
    <mergeCell ref="AC12:AC18"/>
    <mergeCell ref="AD12:AD18"/>
    <mergeCell ref="AE12:AE18"/>
    <mergeCell ref="AF12:AF18"/>
    <mergeCell ref="P12:P18"/>
    <mergeCell ref="Q12:Q18"/>
    <mergeCell ref="R12:R18"/>
    <mergeCell ref="S12:S18"/>
    <mergeCell ref="T12:T13"/>
    <mergeCell ref="Z12:Z18"/>
    <mergeCell ref="J12:J18"/>
    <mergeCell ref="K12:K18"/>
    <mergeCell ref="L12:L18"/>
    <mergeCell ref="M12:M18"/>
    <mergeCell ref="N12:N18"/>
    <mergeCell ref="O12:O18"/>
    <mergeCell ref="BH8:BH9"/>
    <mergeCell ref="BI8:BI9"/>
    <mergeCell ref="BJ8:BJ9"/>
    <mergeCell ref="BK8:BK9"/>
    <mergeCell ref="D12:D18"/>
    <mergeCell ref="E12:E18"/>
    <mergeCell ref="F12:F18"/>
    <mergeCell ref="G12:G18"/>
    <mergeCell ref="H12:H18"/>
    <mergeCell ref="I12:I18"/>
    <mergeCell ref="AX8:AY8"/>
    <mergeCell ref="AZ8:BA8"/>
    <mergeCell ref="BB8:BC8"/>
    <mergeCell ref="BD8:BE8"/>
    <mergeCell ref="BF8:BF9"/>
    <mergeCell ref="BG8:BG9"/>
    <mergeCell ref="AL8:AM8"/>
    <mergeCell ref="AN8:AO8"/>
    <mergeCell ref="AP8:AQ8"/>
    <mergeCell ref="AR8:AS8"/>
    <mergeCell ref="AT8:AU8"/>
    <mergeCell ref="AV8:AW8"/>
    <mergeCell ref="P7:P9"/>
    <mergeCell ref="Q7:Q9"/>
    <mergeCell ref="R7:R9"/>
    <mergeCell ref="S7:S9"/>
    <mergeCell ref="T7:T9"/>
    <mergeCell ref="I7:I9"/>
    <mergeCell ref="J7:J9"/>
    <mergeCell ref="K7:L8"/>
    <mergeCell ref="M7:M9"/>
    <mergeCell ref="N7:N9"/>
    <mergeCell ref="O7:O9"/>
    <mergeCell ref="A1:BN4"/>
    <mergeCell ref="A5:K6"/>
    <mergeCell ref="M5:BP5"/>
    <mergeCell ref="Z6:BB6"/>
    <mergeCell ref="A7:A9"/>
    <mergeCell ref="B7:C9"/>
    <mergeCell ref="D7:D9"/>
    <mergeCell ref="E7:F9"/>
    <mergeCell ref="G7:G9"/>
    <mergeCell ref="H7:H9"/>
    <mergeCell ref="BD7:BE7"/>
    <mergeCell ref="BF7:BK7"/>
    <mergeCell ref="BL7:BM8"/>
    <mergeCell ref="BN7:BO8"/>
    <mergeCell ref="BP7:BP8"/>
    <mergeCell ref="U8:U9"/>
    <mergeCell ref="V8:V9"/>
    <mergeCell ref="W8:W9"/>
    <mergeCell ref="Z8:AA8"/>
    <mergeCell ref="AB8:AC8"/>
    <mergeCell ref="X7:X9"/>
    <mergeCell ref="Y7:Y9"/>
    <mergeCell ref="Z7:AC7"/>
    <mergeCell ref="AD7:AK7"/>
    <mergeCell ref="AL7:AW7"/>
    <mergeCell ref="AX7:BC7"/>
    <mergeCell ref="AD8:AE8"/>
    <mergeCell ref="AF8:AG8"/>
    <mergeCell ref="AH8:AI8"/>
    <mergeCell ref="AJ8:AK8"/>
    <mergeCell ref="U7:W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H51"/>
  <sheetViews>
    <sheetView showGridLines="0" zoomScale="60" zoomScaleNormal="60" workbookViewId="0">
      <selection activeCell="D19" sqref="D19"/>
    </sheetView>
  </sheetViews>
  <sheetFormatPr baseColWidth="10" defaultColWidth="11.42578125" defaultRowHeight="14.25" x14ac:dyDescent="0.2"/>
  <cols>
    <col min="1" max="1" width="14.42578125" style="691" customWidth="1"/>
    <col min="2" max="2" width="4" style="630" customWidth="1"/>
    <col min="3" max="3" width="15.28515625" style="630" customWidth="1"/>
    <col min="4" max="4" width="14.7109375" style="630" customWidth="1"/>
    <col min="5" max="5" width="10" style="630" customWidth="1"/>
    <col min="6" max="6" width="9.85546875" style="630" customWidth="1"/>
    <col min="7" max="7" width="14.140625" style="630" customWidth="1"/>
    <col min="8" max="8" width="16.42578125" style="630" customWidth="1"/>
    <col min="9" max="9" width="24.28515625" style="165" customWidth="1"/>
    <col min="10" max="10" width="25.28515625" style="165" customWidth="1"/>
    <col min="11" max="11" width="16.85546875" style="15" customWidth="1"/>
    <col min="12" max="12" width="16.5703125" style="15" customWidth="1"/>
    <col min="13" max="13" width="32.85546875" style="15" customWidth="1"/>
    <col min="14" max="14" width="26.28515625" style="693" customWidth="1"/>
    <col min="15" max="15" width="25.7109375" style="692" customWidth="1"/>
    <col min="16" max="16" width="15.85546875" style="694" customWidth="1"/>
    <col min="17" max="17" width="28.140625" style="695" customWidth="1"/>
    <col min="18" max="18" width="29.28515625" style="692" hidden="1" customWidth="1"/>
    <col min="19" max="19" width="24.5703125" style="692" hidden="1" customWidth="1"/>
    <col min="20" max="20" width="32.5703125" style="692" customWidth="1"/>
    <col min="21" max="23" width="28.7109375" style="722" customWidth="1"/>
    <col min="24" max="24" width="13.7109375" style="696" customWidth="1"/>
    <col min="25" max="25" width="24" style="697" customWidth="1"/>
    <col min="26" max="27" width="14.28515625" style="630" customWidth="1"/>
    <col min="28" max="29" width="12.5703125" style="630" customWidth="1"/>
    <col min="30" max="33" width="11.28515625" style="630" customWidth="1"/>
    <col min="34" max="35" width="15.140625" style="630" customWidth="1"/>
    <col min="36" max="37" width="15" style="630" customWidth="1"/>
    <col min="38" max="39" width="8.28515625" style="630" customWidth="1"/>
    <col min="40" max="41" width="10.42578125" style="630" customWidth="1"/>
    <col min="42" max="43" width="9.85546875" style="630" customWidth="1"/>
    <col min="44" max="45" width="7.42578125" style="630" customWidth="1"/>
    <col min="46" max="47" width="7.28515625" style="630" customWidth="1"/>
    <col min="48" max="49" width="5.85546875" style="630" customWidth="1"/>
    <col min="50" max="51" width="14.42578125" style="630" customWidth="1"/>
    <col min="52" max="53" width="13.28515625" style="630" customWidth="1"/>
    <col min="54" max="55" width="11.85546875" style="630" customWidth="1"/>
    <col min="56" max="57" width="16.42578125" style="630" customWidth="1"/>
    <col min="58" max="58" width="25.28515625" style="630" customWidth="1"/>
    <col min="59" max="60" width="21.85546875" style="630" customWidth="1"/>
    <col min="61" max="63" width="16.42578125" style="630" customWidth="1"/>
    <col min="64" max="65" width="16.5703125" style="2034" customWidth="1"/>
    <col min="66" max="67" width="24.42578125" style="699" customWidth="1"/>
    <col min="68" max="68" width="27" style="700" customWidth="1"/>
    <col min="69" max="69" width="11.42578125" style="630"/>
    <col min="70" max="70" width="11.42578125" style="1927"/>
    <col min="71" max="71" width="19.7109375" style="1927" bestFit="1" customWidth="1"/>
    <col min="72" max="72" width="18.42578125" style="1927" bestFit="1" customWidth="1"/>
    <col min="73" max="74" width="11.42578125" style="1927"/>
    <col min="75" max="16384" width="11.42578125" style="630"/>
  </cols>
  <sheetData>
    <row r="1" spans="1:86" ht="15" customHeight="1" x14ac:dyDescent="0.2">
      <c r="A1" s="2241" t="s">
        <v>1706</v>
      </c>
      <c r="B1" s="2242"/>
      <c r="C1" s="2242"/>
      <c r="D1" s="2242"/>
      <c r="E1" s="2242"/>
      <c r="F1" s="2242"/>
      <c r="G1" s="2242"/>
      <c r="H1" s="2242"/>
      <c r="I1" s="2242"/>
      <c r="J1" s="2242"/>
      <c r="K1" s="2242"/>
      <c r="L1" s="2242"/>
      <c r="M1" s="2242"/>
      <c r="N1" s="2242"/>
      <c r="O1" s="2242"/>
      <c r="P1" s="2242"/>
      <c r="Q1" s="2242"/>
      <c r="R1" s="2242"/>
      <c r="S1" s="2242"/>
      <c r="T1" s="2242"/>
      <c r="U1" s="2242"/>
      <c r="V1" s="2242"/>
      <c r="W1" s="2242"/>
      <c r="X1" s="2242"/>
      <c r="Y1" s="2242"/>
      <c r="Z1" s="2242"/>
      <c r="AA1" s="2242"/>
      <c r="AB1" s="2242"/>
      <c r="AC1" s="2242"/>
      <c r="AD1" s="2242"/>
      <c r="AE1" s="2242"/>
      <c r="AF1" s="2242"/>
      <c r="AG1" s="2242"/>
      <c r="AH1" s="2242"/>
      <c r="AI1" s="2242"/>
      <c r="AJ1" s="2242"/>
      <c r="AK1" s="2242"/>
      <c r="AL1" s="2242"/>
      <c r="AM1" s="2242"/>
      <c r="AN1" s="2242"/>
      <c r="AO1" s="2242"/>
      <c r="AP1" s="2242"/>
      <c r="AQ1" s="2242"/>
      <c r="AR1" s="2242"/>
      <c r="AS1" s="2242"/>
      <c r="AT1" s="2242"/>
      <c r="AU1" s="2242"/>
      <c r="AV1" s="2242"/>
      <c r="AW1" s="2242"/>
      <c r="AX1" s="2242"/>
      <c r="AY1" s="2242"/>
      <c r="AZ1" s="2242"/>
      <c r="BA1" s="2242"/>
      <c r="BB1" s="2242"/>
      <c r="BC1" s="2242"/>
      <c r="BD1" s="2242"/>
      <c r="BE1" s="2242"/>
      <c r="BF1" s="2242"/>
      <c r="BG1" s="2242"/>
      <c r="BH1" s="2242"/>
      <c r="BI1" s="2242"/>
      <c r="BJ1" s="2242"/>
      <c r="BK1" s="2242"/>
      <c r="BL1" s="2242"/>
      <c r="BM1" s="2242"/>
      <c r="BN1" s="1852"/>
      <c r="BO1" s="628" t="s">
        <v>29</v>
      </c>
      <c r="BP1" s="705" t="s">
        <v>336</v>
      </c>
      <c r="BS1" s="1928"/>
      <c r="BT1" s="1928"/>
      <c r="BU1" s="1928"/>
      <c r="BV1" s="1928"/>
      <c r="BW1" s="15"/>
      <c r="BX1" s="15"/>
      <c r="BY1" s="15"/>
      <c r="BZ1" s="15"/>
      <c r="CA1" s="15"/>
      <c r="CB1" s="15"/>
      <c r="CC1" s="15"/>
      <c r="CD1" s="15"/>
      <c r="CE1" s="15"/>
      <c r="CF1" s="15"/>
      <c r="CG1" s="15"/>
      <c r="CH1" s="15"/>
    </row>
    <row r="2" spans="1:86" ht="15" customHeight="1" x14ac:dyDescent="0.2">
      <c r="A2" s="2244"/>
      <c r="B2" s="3179"/>
      <c r="C2" s="3179"/>
      <c r="D2" s="3179"/>
      <c r="E2" s="3179"/>
      <c r="F2" s="3179"/>
      <c r="G2" s="3179"/>
      <c r="H2" s="3179"/>
      <c r="I2" s="3179"/>
      <c r="J2" s="3179"/>
      <c r="K2" s="3179"/>
      <c r="L2" s="3179"/>
      <c r="M2" s="3179"/>
      <c r="N2" s="3179"/>
      <c r="O2" s="3179"/>
      <c r="P2" s="3179"/>
      <c r="Q2" s="3179"/>
      <c r="R2" s="3179"/>
      <c r="S2" s="3179"/>
      <c r="T2" s="3179"/>
      <c r="U2" s="3179"/>
      <c r="V2" s="3179"/>
      <c r="W2" s="3179"/>
      <c r="X2" s="3179"/>
      <c r="Y2" s="3179"/>
      <c r="Z2" s="3179"/>
      <c r="AA2" s="3179"/>
      <c r="AB2" s="3179"/>
      <c r="AC2" s="3179"/>
      <c r="AD2" s="3179"/>
      <c r="AE2" s="3179"/>
      <c r="AF2" s="3179"/>
      <c r="AG2" s="3179"/>
      <c r="AH2" s="3179"/>
      <c r="AI2" s="3179"/>
      <c r="AJ2" s="3179"/>
      <c r="AK2" s="3179"/>
      <c r="AL2" s="3179"/>
      <c r="AM2" s="3179"/>
      <c r="AN2" s="3179"/>
      <c r="AO2" s="3179"/>
      <c r="AP2" s="3179"/>
      <c r="AQ2" s="3179"/>
      <c r="AR2" s="3179"/>
      <c r="AS2" s="3179"/>
      <c r="AT2" s="3179"/>
      <c r="AU2" s="3179"/>
      <c r="AV2" s="3179"/>
      <c r="AW2" s="3179"/>
      <c r="AX2" s="3179"/>
      <c r="AY2" s="3179"/>
      <c r="AZ2" s="3179"/>
      <c r="BA2" s="3179"/>
      <c r="BB2" s="3179"/>
      <c r="BC2" s="3179"/>
      <c r="BD2" s="3179"/>
      <c r="BE2" s="3179"/>
      <c r="BF2" s="3179"/>
      <c r="BG2" s="3179"/>
      <c r="BH2" s="3179"/>
      <c r="BI2" s="3179"/>
      <c r="BJ2" s="3179"/>
      <c r="BK2" s="3179"/>
      <c r="BL2" s="3179"/>
      <c r="BM2" s="3179"/>
      <c r="BN2" s="1929"/>
      <c r="BO2" s="631" t="s">
        <v>30</v>
      </c>
      <c r="BP2" s="707">
        <v>6</v>
      </c>
      <c r="BS2" s="1928"/>
      <c r="BT2" s="1928"/>
      <c r="BU2" s="1928"/>
      <c r="BV2" s="1928"/>
      <c r="BW2" s="15"/>
      <c r="BX2" s="15"/>
      <c r="BY2" s="15"/>
      <c r="BZ2" s="15"/>
      <c r="CA2" s="15"/>
      <c r="CB2" s="15"/>
      <c r="CC2" s="15"/>
      <c r="CD2" s="15"/>
      <c r="CE2" s="15"/>
      <c r="CF2" s="15"/>
      <c r="CG2" s="15"/>
      <c r="CH2" s="15"/>
    </row>
    <row r="3" spans="1:86" ht="15" customHeight="1" x14ac:dyDescent="0.2">
      <c r="A3" s="2244"/>
      <c r="B3" s="3179"/>
      <c r="C3" s="3179"/>
      <c r="D3" s="3179"/>
      <c r="E3" s="3179"/>
      <c r="F3" s="3179"/>
      <c r="G3" s="3179"/>
      <c r="H3" s="3179"/>
      <c r="I3" s="3179"/>
      <c r="J3" s="3179"/>
      <c r="K3" s="3179"/>
      <c r="L3" s="3179"/>
      <c r="M3" s="3179"/>
      <c r="N3" s="3179"/>
      <c r="O3" s="3179"/>
      <c r="P3" s="3179"/>
      <c r="Q3" s="3179"/>
      <c r="R3" s="3179"/>
      <c r="S3" s="3179"/>
      <c r="T3" s="3179"/>
      <c r="U3" s="3179"/>
      <c r="V3" s="3179"/>
      <c r="W3" s="3179"/>
      <c r="X3" s="3179"/>
      <c r="Y3" s="3179"/>
      <c r="Z3" s="3179"/>
      <c r="AA3" s="3179"/>
      <c r="AB3" s="3179"/>
      <c r="AC3" s="3179"/>
      <c r="AD3" s="3179"/>
      <c r="AE3" s="3179"/>
      <c r="AF3" s="3179"/>
      <c r="AG3" s="3179"/>
      <c r="AH3" s="3179"/>
      <c r="AI3" s="3179"/>
      <c r="AJ3" s="3179"/>
      <c r="AK3" s="3179"/>
      <c r="AL3" s="3179"/>
      <c r="AM3" s="3179"/>
      <c r="AN3" s="3179"/>
      <c r="AO3" s="3179"/>
      <c r="AP3" s="3179"/>
      <c r="AQ3" s="3179"/>
      <c r="AR3" s="3179"/>
      <c r="AS3" s="3179"/>
      <c r="AT3" s="3179"/>
      <c r="AU3" s="3179"/>
      <c r="AV3" s="3179"/>
      <c r="AW3" s="3179"/>
      <c r="AX3" s="3179"/>
      <c r="AY3" s="3179"/>
      <c r="AZ3" s="3179"/>
      <c r="BA3" s="3179"/>
      <c r="BB3" s="3179"/>
      <c r="BC3" s="3179"/>
      <c r="BD3" s="3179"/>
      <c r="BE3" s="3179"/>
      <c r="BF3" s="3179"/>
      <c r="BG3" s="3179"/>
      <c r="BH3" s="3179"/>
      <c r="BI3" s="3179"/>
      <c r="BJ3" s="3179"/>
      <c r="BK3" s="3179"/>
      <c r="BL3" s="3179"/>
      <c r="BM3" s="3179"/>
      <c r="BN3" s="1929"/>
      <c r="BO3" s="631" t="s">
        <v>32</v>
      </c>
      <c r="BP3" s="708" t="s">
        <v>33</v>
      </c>
      <c r="BS3" s="1928"/>
      <c r="BT3" s="1928"/>
      <c r="BU3" s="1928"/>
      <c r="BV3" s="1928"/>
      <c r="BW3" s="15"/>
      <c r="BX3" s="15"/>
      <c r="BY3" s="15"/>
      <c r="BZ3" s="15"/>
      <c r="CA3" s="15"/>
      <c r="CB3" s="15"/>
      <c r="CC3" s="15"/>
      <c r="CD3" s="15"/>
      <c r="CE3" s="15"/>
      <c r="CF3" s="15"/>
      <c r="CG3" s="15"/>
      <c r="CH3" s="15"/>
    </row>
    <row r="4" spans="1:86" ht="15" customHeight="1" x14ac:dyDescent="0.2">
      <c r="A4" s="2247"/>
      <c r="B4" s="2248"/>
      <c r="C4" s="2248"/>
      <c r="D4" s="2248"/>
      <c r="E4" s="2248"/>
      <c r="F4" s="2248"/>
      <c r="G4" s="2248"/>
      <c r="H4" s="2248"/>
      <c r="I4" s="2248"/>
      <c r="J4" s="2248"/>
      <c r="K4" s="2248"/>
      <c r="L4" s="2248"/>
      <c r="M4" s="2248"/>
      <c r="N4" s="2248"/>
      <c r="O4" s="2248"/>
      <c r="P4" s="2248"/>
      <c r="Q4" s="2248"/>
      <c r="R4" s="2248"/>
      <c r="S4" s="2248"/>
      <c r="T4" s="2248"/>
      <c r="U4" s="2248"/>
      <c r="V4" s="2248"/>
      <c r="W4" s="2248"/>
      <c r="X4" s="2248"/>
      <c r="Y4" s="2248"/>
      <c r="Z4" s="2248"/>
      <c r="AA4" s="2248"/>
      <c r="AB4" s="2248"/>
      <c r="AC4" s="2248"/>
      <c r="AD4" s="2248"/>
      <c r="AE4" s="2248"/>
      <c r="AF4" s="2248"/>
      <c r="AG4" s="2248"/>
      <c r="AH4" s="2248"/>
      <c r="AI4" s="2248"/>
      <c r="AJ4" s="2248"/>
      <c r="AK4" s="2248"/>
      <c r="AL4" s="2248"/>
      <c r="AM4" s="2248"/>
      <c r="AN4" s="2248"/>
      <c r="AO4" s="2248"/>
      <c r="AP4" s="2248"/>
      <c r="AQ4" s="2248"/>
      <c r="AR4" s="2248"/>
      <c r="AS4" s="2248"/>
      <c r="AT4" s="2248"/>
      <c r="AU4" s="2248"/>
      <c r="AV4" s="2248"/>
      <c r="AW4" s="2248"/>
      <c r="AX4" s="2248"/>
      <c r="AY4" s="2248"/>
      <c r="AZ4" s="2248"/>
      <c r="BA4" s="2248"/>
      <c r="BB4" s="2248"/>
      <c r="BC4" s="2248"/>
      <c r="BD4" s="2248"/>
      <c r="BE4" s="2248"/>
      <c r="BF4" s="2248"/>
      <c r="BG4" s="2248"/>
      <c r="BH4" s="2248"/>
      <c r="BI4" s="2248"/>
      <c r="BJ4" s="2248"/>
      <c r="BK4" s="2248"/>
      <c r="BL4" s="2248"/>
      <c r="BM4" s="2248"/>
      <c r="BN4" s="1853"/>
      <c r="BO4" s="631" t="s">
        <v>34</v>
      </c>
      <c r="BP4" s="710" t="s">
        <v>339</v>
      </c>
      <c r="BS4" s="1928"/>
      <c r="BT4" s="1928"/>
      <c r="BU4" s="1928"/>
      <c r="BV4" s="1928"/>
      <c r="BW4" s="15"/>
      <c r="BX4" s="15"/>
      <c r="BY4" s="15"/>
      <c r="BZ4" s="15"/>
      <c r="CA4" s="15"/>
      <c r="CB4" s="15"/>
      <c r="CC4" s="15"/>
      <c r="CD4" s="15"/>
      <c r="CE4" s="15"/>
      <c r="CF4" s="15"/>
      <c r="CG4" s="15"/>
      <c r="CH4" s="15"/>
    </row>
    <row r="5" spans="1:86" ht="15" customHeight="1" x14ac:dyDescent="0.2">
      <c r="A5" s="2250" t="s">
        <v>340</v>
      </c>
      <c r="B5" s="2251"/>
      <c r="C5" s="2251"/>
      <c r="D5" s="2251"/>
      <c r="E5" s="2251"/>
      <c r="F5" s="2251"/>
      <c r="G5" s="2251"/>
      <c r="H5" s="2251"/>
      <c r="I5" s="2251"/>
      <c r="J5" s="2251"/>
      <c r="K5" s="2251"/>
      <c r="L5" s="2251"/>
      <c r="M5" s="1854"/>
      <c r="N5" s="2555" t="s">
        <v>37</v>
      </c>
      <c r="O5" s="2555"/>
      <c r="P5" s="2555"/>
      <c r="Q5" s="2555"/>
      <c r="R5" s="2555"/>
      <c r="S5" s="2555"/>
      <c r="T5" s="2555"/>
      <c r="U5" s="2555"/>
      <c r="V5" s="2555"/>
      <c r="W5" s="2555"/>
      <c r="X5" s="2555"/>
      <c r="Y5" s="2555"/>
      <c r="Z5" s="2555"/>
      <c r="AA5" s="2555"/>
      <c r="AB5" s="2555"/>
      <c r="AC5" s="2555"/>
      <c r="AD5" s="2555"/>
      <c r="AE5" s="2555"/>
      <c r="AF5" s="2555"/>
      <c r="AG5" s="2555"/>
      <c r="AH5" s="2555"/>
      <c r="AI5" s="2555"/>
      <c r="AJ5" s="2555"/>
      <c r="AK5" s="2555"/>
      <c r="AL5" s="2555"/>
      <c r="AM5" s="2555"/>
      <c r="AN5" s="2555"/>
      <c r="AO5" s="2555"/>
      <c r="AP5" s="2555"/>
      <c r="AQ5" s="2555"/>
      <c r="AR5" s="2555"/>
      <c r="AS5" s="2555"/>
      <c r="AT5" s="2555"/>
      <c r="AU5" s="2555"/>
      <c r="AV5" s="2555"/>
      <c r="AW5" s="2555"/>
      <c r="AX5" s="2555"/>
      <c r="AY5" s="2555"/>
      <c r="AZ5" s="2555"/>
      <c r="BA5" s="2555"/>
      <c r="BB5" s="2555"/>
      <c r="BC5" s="2555"/>
      <c r="BD5" s="2555"/>
      <c r="BE5" s="2555"/>
      <c r="BF5" s="2555"/>
      <c r="BG5" s="2555"/>
      <c r="BH5" s="2555"/>
      <c r="BI5" s="2555"/>
      <c r="BJ5" s="2555"/>
      <c r="BK5" s="2555"/>
      <c r="BL5" s="2555"/>
      <c r="BM5" s="2555"/>
      <c r="BN5" s="2555"/>
      <c r="BO5" s="2555"/>
      <c r="BP5" s="2555"/>
      <c r="BQ5" s="1930"/>
      <c r="BR5" s="1930"/>
      <c r="BS5" s="1928"/>
      <c r="BT5" s="1928"/>
      <c r="BU5" s="1928"/>
      <c r="BV5" s="1928"/>
      <c r="BW5" s="15"/>
      <c r="BX5" s="15"/>
      <c r="BY5" s="15"/>
      <c r="BZ5" s="15"/>
      <c r="CA5" s="15"/>
      <c r="CB5" s="15"/>
      <c r="CC5" s="15"/>
      <c r="CD5" s="15"/>
      <c r="CE5" s="15"/>
      <c r="CF5" s="15"/>
      <c r="CG5" s="15"/>
      <c r="CH5" s="15"/>
    </row>
    <row r="6" spans="1:86" ht="15" customHeight="1" x14ac:dyDescent="0.2">
      <c r="A6" s="2252"/>
      <c r="B6" s="2253"/>
      <c r="C6" s="2253"/>
      <c r="D6" s="2253"/>
      <c r="E6" s="2253"/>
      <c r="F6" s="2253"/>
      <c r="G6" s="2253"/>
      <c r="H6" s="2253"/>
      <c r="I6" s="2253"/>
      <c r="J6" s="2253"/>
      <c r="K6" s="2253"/>
      <c r="L6" s="2253"/>
      <c r="M6" s="1855"/>
      <c r="N6" s="2555" t="s">
        <v>38</v>
      </c>
      <c r="O6" s="2555"/>
      <c r="P6" s="2555"/>
      <c r="Q6" s="2555"/>
      <c r="R6" s="2555"/>
      <c r="S6" s="2555"/>
      <c r="T6" s="2555"/>
      <c r="U6" s="2555"/>
      <c r="V6" s="2555"/>
      <c r="W6" s="2555"/>
      <c r="X6" s="2555"/>
      <c r="Y6" s="2555"/>
      <c r="Z6" s="2555"/>
      <c r="AA6" s="2555"/>
      <c r="AB6" s="2555"/>
      <c r="AC6" s="2555"/>
      <c r="AD6" s="2555"/>
      <c r="AE6" s="2555"/>
      <c r="AF6" s="2555"/>
      <c r="AG6" s="2555"/>
      <c r="AH6" s="2555"/>
      <c r="AI6" s="2555"/>
      <c r="AJ6" s="2555"/>
      <c r="AK6" s="2555"/>
      <c r="AL6" s="2555"/>
      <c r="AM6" s="2555"/>
      <c r="AN6" s="2555"/>
      <c r="AO6" s="2555"/>
      <c r="AP6" s="2555"/>
      <c r="AQ6" s="2555"/>
      <c r="AR6" s="2555"/>
      <c r="AS6" s="2555"/>
      <c r="AT6" s="2555"/>
      <c r="AU6" s="2555"/>
      <c r="AV6" s="2555"/>
      <c r="AW6" s="2555"/>
      <c r="AX6" s="2555"/>
      <c r="AY6" s="2555"/>
      <c r="AZ6" s="2555"/>
      <c r="BA6" s="2555"/>
      <c r="BB6" s="2555"/>
      <c r="BC6" s="2555"/>
      <c r="BD6" s="2555"/>
      <c r="BE6" s="2555"/>
      <c r="BF6" s="2555"/>
      <c r="BG6" s="2555"/>
      <c r="BH6" s="2555"/>
      <c r="BI6" s="2555"/>
      <c r="BJ6" s="2555"/>
      <c r="BK6" s="2555"/>
      <c r="BL6" s="2555"/>
      <c r="BM6" s="2555"/>
      <c r="BN6" s="2555"/>
      <c r="BO6" s="2555"/>
      <c r="BP6" s="2555"/>
      <c r="BQ6" s="1931"/>
      <c r="BR6" s="1932"/>
      <c r="BS6" s="1928"/>
      <c r="BT6" s="1928"/>
      <c r="BU6" s="1928"/>
      <c r="BV6" s="1928"/>
      <c r="BW6" s="15"/>
      <c r="BX6" s="15"/>
      <c r="BY6" s="15"/>
      <c r="BZ6" s="15"/>
      <c r="CA6" s="15"/>
      <c r="CB6" s="15"/>
      <c r="CC6" s="15"/>
      <c r="CD6" s="15"/>
      <c r="CE6" s="15"/>
      <c r="CF6" s="15"/>
      <c r="CG6" s="15"/>
      <c r="CH6" s="15"/>
    </row>
    <row r="7" spans="1:86" s="1" customFormat="1" ht="36" customHeight="1" x14ac:dyDescent="0.2">
      <c r="A7" s="2257" t="s">
        <v>39</v>
      </c>
      <c r="B7" s="2259" t="s">
        <v>40</v>
      </c>
      <c r="C7" s="2260"/>
      <c r="D7" s="2260" t="s">
        <v>39</v>
      </c>
      <c r="E7" s="2259" t="s">
        <v>41</v>
      </c>
      <c r="F7" s="2260"/>
      <c r="G7" s="2260" t="s">
        <v>39</v>
      </c>
      <c r="H7" s="2239" t="s">
        <v>579</v>
      </c>
      <c r="I7" s="2259" t="s">
        <v>43</v>
      </c>
      <c r="J7" s="2239" t="s">
        <v>44</v>
      </c>
      <c r="K7" s="2259" t="s">
        <v>45</v>
      </c>
      <c r="L7" s="2260"/>
      <c r="M7" s="2239" t="s">
        <v>46</v>
      </c>
      <c r="N7" s="2240" t="s">
        <v>47</v>
      </c>
      <c r="O7" s="2240" t="s">
        <v>37</v>
      </c>
      <c r="P7" s="2286" t="s">
        <v>48</v>
      </c>
      <c r="Q7" s="2288" t="s">
        <v>49</v>
      </c>
      <c r="R7" s="2261" t="s">
        <v>50</v>
      </c>
      <c r="S7" s="2261" t="s">
        <v>51</v>
      </c>
      <c r="T7" s="2240" t="s">
        <v>52</v>
      </c>
      <c r="U7" s="2270" t="s">
        <v>49</v>
      </c>
      <c r="V7" s="2270"/>
      <c r="W7" s="2270"/>
      <c r="X7" s="1856"/>
      <c r="Y7" s="2240" t="s">
        <v>53</v>
      </c>
      <c r="Z7" s="3176" t="s">
        <v>54</v>
      </c>
      <c r="AA7" s="3177"/>
      <c r="AB7" s="3177"/>
      <c r="AC7" s="3178"/>
      <c r="AD7" s="2561" t="s">
        <v>55</v>
      </c>
      <c r="AE7" s="3169"/>
      <c r="AF7" s="3169"/>
      <c r="AG7" s="3169"/>
      <c r="AH7" s="3169"/>
      <c r="AI7" s="3169"/>
      <c r="AJ7" s="3169"/>
      <c r="AK7" s="2562"/>
      <c r="AL7" s="3168" t="s">
        <v>56</v>
      </c>
      <c r="AM7" s="3168"/>
      <c r="AN7" s="3168"/>
      <c r="AO7" s="3168"/>
      <c r="AP7" s="3168"/>
      <c r="AQ7" s="3168"/>
      <c r="AR7" s="3168"/>
      <c r="AS7" s="3168"/>
      <c r="AT7" s="3168"/>
      <c r="AU7" s="3168"/>
      <c r="AV7" s="3168"/>
      <c r="AW7" s="3168"/>
      <c r="AX7" s="2561" t="s">
        <v>57</v>
      </c>
      <c r="AY7" s="3169"/>
      <c r="AZ7" s="3169"/>
      <c r="BA7" s="3169"/>
      <c r="BB7" s="3169"/>
      <c r="BC7" s="2562"/>
      <c r="BD7" s="3170" t="s">
        <v>58</v>
      </c>
      <c r="BE7" s="3170"/>
      <c r="BF7" s="3180" t="s">
        <v>335</v>
      </c>
      <c r="BG7" s="3181"/>
      <c r="BH7" s="3181"/>
      <c r="BI7" s="3181"/>
      <c r="BJ7" s="3181"/>
      <c r="BK7" s="3182"/>
      <c r="BL7" s="2397" t="s">
        <v>59</v>
      </c>
      <c r="BM7" s="2398"/>
      <c r="BN7" s="2397" t="s">
        <v>60</v>
      </c>
      <c r="BO7" s="3183"/>
      <c r="BP7" s="2564" t="s">
        <v>61</v>
      </c>
      <c r="BR7" s="1933"/>
      <c r="BS7" s="1933"/>
      <c r="BT7" s="1933"/>
      <c r="BU7" s="1933"/>
      <c r="BV7" s="1933"/>
      <c r="BW7" s="18"/>
      <c r="BX7" s="18"/>
      <c r="BY7" s="18"/>
      <c r="BZ7" s="18"/>
      <c r="CA7" s="18"/>
      <c r="CB7" s="18"/>
      <c r="CC7" s="18"/>
      <c r="CD7" s="18"/>
      <c r="CE7" s="18"/>
      <c r="CF7" s="18"/>
      <c r="CG7" s="18"/>
      <c r="CH7" s="18"/>
    </row>
    <row r="8" spans="1:86" s="1" customFormat="1" ht="120.75" customHeight="1" x14ac:dyDescent="0.2">
      <c r="A8" s="2258"/>
      <c r="B8" s="2261"/>
      <c r="C8" s="2262"/>
      <c r="D8" s="2262"/>
      <c r="E8" s="2261"/>
      <c r="F8" s="2262"/>
      <c r="G8" s="2262"/>
      <c r="H8" s="2240"/>
      <c r="I8" s="2261"/>
      <c r="J8" s="2240"/>
      <c r="K8" s="2417"/>
      <c r="L8" s="2418"/>
      <c r="M8" s="2240"/>
      <c r="N8" s="2240"/>
      <c r="O8" s="2240"/>
      <c r="P8" s="2286"/>
      <c r="Q8" s="2288"/>
      <c r="R8" s="2261"/>
      <c r="S8" s="2261"/>
      <c r="T8" s="2240"/>
      <c r="U8" s="2269" t="s">
        <v>581</v>
      </c>
      <c r="V8" s="2269" t="s">
        <v>150</v>
      </c>
      <c r="W8" s="2269" t="s">
        <v>582</v>
      </c>
      <c r="X8" s="1856"/>
      <c r="Y8" s="2240"/>
      <c r="Z8" s="2281" t="s">
        <v>63</v>
      </c>
      <c r="AA8" s="2282"/>
      <c r="AB8" s="2281" t="s">
        <v>64</v>
      </c>
      <c r="AC8" s="2282"/>
      <c r="AD8" s="2283" t="s">
        <v>65</v>
      </c>
      <c r="AE8" s="2284"/>
      <c r="AF8" s="2283" t="s">
        <v>66</v>
      </c>
      <c r="AG8" s="2284"/>
      <c r="AH8" s="2283" t="s">
        <v>331</v>
      </c>
      <c r="AI8" s="2284"/>
      <c r="AJ8" s="2283" t="s">
        <v>68</v>
      </c>
      <c r="AK8" s="2284"/>
      <c r="AL8" s="2298" t="s">
        <v>69</v>
      </c>
      <c r="AM8" s="2298"/>
      <c r="AN8" s="2298" t="s">
        <v>70</v>
      </c>
      <c r="AO8" s="2298"/>
      <c r="AP8" s="2298" t="s">
        <v>71</v>
      </c>
      <c r="AQ8" s="2298"/>
      <c r="AR8" s="2298" t="s">
        <v>72</v>
      </c>
      <c r="AS8" s="2298"/>
      <c r="AT8" s="2298" t="s">
        <v>73</v>
      </c>
      <c r="AU8" s="2298"/>
      <c r="AV8" s="2298" t="s">
        <v>74</v>
      </c>
      <c r="AW8" s="2298"/>
      <c r="AX8" s="2283" t="s">
        <v>75</v>
      </c>
      <c r="AY8" s="2284"/>
      <c r="AZ8" s="2283" t="s">
        <v>76</v>
      </c>
      <c r="BA8" s="2284"/>
      <c r="BB8" s="2283" t="s">
        <v>77</v>
      </c>
      <c r="BC8" s="2284"/>
      <c r="BD8" s="2535"/>
      <c r="BE8" s="2535"/>
      <c r="BF8" s="3171" t="s">
        <v>152</v>
      </c>
      <c r="BG8" s="3174" t="s">
        <v>153</v>
      </c>
      <c r="BH8" s="3171" t="s">
        <v>154</v>
      </c>
      <c r="BI8" s="3175" t="s">
        <v>155</v>
      </c>
      <c r="BJ8" s="3171" t="s">
        <v>156</v>
      </c>
      <c r="BK8" s="3172" t="s">
        <v>157</v>
      </c>
      <c r="BL8" s="2266"/>
      <c r="BM8" s="2267"/>
      <c r="BN8" s="2266"/>
      <c r="BO8" s="3184"/>
      <c r="BP8" s="2268"/>
      <c r="BR8" s="1933"/>
      <c r="BS8" s="1933"/>
      <c r="BT8" s="1933"/>
      <c r="BU8" s="1933"/>
      <c r="BV8" s="1933"/>
      <c r="BW8" s="18"/>
      <c r="BX8" s="18"/>
      <c r="BY8" s="18"/>
      <c r="BZ8" s="18"/>
      <c r="CA8" s="18"/>
      <c r="CB8" s="18"/>
      <c r="CC8" s="18"/>
      <c r="CD8" s="18"/>
      <c r="CE8" s="18"/>
      <c r="CF8" s="18"/>
      <c r="CG8" s="18"/>
      <c r="CH8" s="18"/>
    </row>
    <row r="9" spans="1:86" s="1" customFormat="1" ht="21.75" customHeight="1" x14ac:dyDescent="0.2">
      <c r="A9" s="2258"/>
      <c r="B9" s="2261"/>
      <c r="C9" s="2262"/>
      <c r="D9" s="2262"/>
      <c r="E9" s="2261"/>
      <c r="F9" s="2262"/>
      <c r="G9" s="2262"/>
      <c r="H9" s="2263"/>
      <c r="I9" s="2261"/>
      <c r="J9" s="2240"/>
      <c r="K9" s="1851" t="s">
        <v>158</v>
      </c>
      <c r="L9" s="1851" t="s">
        <v>159</v>
      </c>
      <c r="M9" s="2240"/>
      <c r="N9" s="2240"/>
      <c r="O9" s="2240"/>
      <c r="P9" s="2286"/>
      <c r="Q9" s="2288"/>
      <c r="R9" s="2261"/>
      <c r="S9" s="2261"/>
      <c r="T9" s="2240"/>
      <c r="U9" s="2270"/>
      <c r="V9" s="2270"/>
      <c r="W9" s="2270"/>
      <c r="X9" s="1856" t="s">
        <v>39</v>
      </c>
      <c r="Y9" s="2240"/>
      <c r="Z9" s="642" t="s">
        <v>158</v>
      </c>
      <c r="AA9" s="642" t="s">
        <v>159</v>
      </c>
      <c r="AB9" s="642" t="s">
        <v>158</v>
      </c>
      <c r="AC9" s="642" t="s">
        <v>159</v>
      </c>
      <c r="AD9" s="642" t="s">
        <v>158</v>
      </c>
      <c r="AE9" s="642" t="s">
        <v>159</v>
      </c>
      <c r="AF9" s="642" t="s">
        <v>158</v>
      </c>
      <c r="AG9" s="642" t="s">
        <v>159</v>
      </c>
      <c r="AH9" s="642" t="s">
        <v>158</v>
      </c>
      <c r="AI9" s="642" t="s">
        <v>159</v>
      </c>
      <c r="AJ9" s="642" t="s">
        <v>158</v>
      </c>
      <c r="AK9" s="642" t="s">
        <v>159</v>
      </c>
      <c r="AL9" s="642" t="s">
        <v>158</v>
      </c>
      <c r="AM9" s="642" t="s">
        <v>159</v>
      </c>
      <c r="AN9" s="642" t="s">
        <v>158</v>
      </c>
      <c r="AO9" s="642" t="s">
        <v>159</v>
      </c>
      <c r="AP9" s="642" t="s">
        <v>158</v>
      </c>
      <c r="AQ9" s="642" t="s">
        <v>159</v>
      </c>
      <c r="AR9" s="642" t="s">
        <v>158</v>
      </c>
      <c r="AS9" s="642" t="s">
        <v>159</v>
      </c>
      <c r="AT9" s="642" t="s">
        <v>158</v>
      </c>
      <c r="AU9" s="642" t="s">
        <v>159</v>
      </c>
      <c r="AV9" s="642" t="s">
        <v>158</v>
      </c>
      <c r="AW9" s="642" t="s">
        <v>159</v>
      </c>
      <c r="AX9" s="642" t="s">
        <v>158</v>
      </c>
      <c r="AY9" s="642" t="s">
        <v>159</v>
      </c>
      <c r="AZ9" s="642" t="s">
        <v>158</v>
      </c>
      <c r="BA9" s="642" t="s">
        <v>159</v>
      </c>
      <c r="BB9" s="642" t="s">
        <v>158</v>
      </c>
      <c r="BC9" s="642" t="s">
        <v>159</v>
      </c>
      <c r="BD9" s="642" t="s">
        <v>158</v>
      </c>
      <c r="BE9" s="642" t="s">
        <v>159</v>
      </c>
      <c r="BF9" s="3171"/>
      <c r="BG9" s="3174"/>
      <c r="BH9" s="3171"/>
      <c r="BI9" s="3175"/>
      <c r="BJ9" s="3171"/>
      <c r="BK9" s="3173"/>
      <c r="BL9" s="642" t="s">
        <v>158</v>
      </c>
      <c r="BM9" s="642" t="s">
        <v>159</v>
      </c>
      <c r="BN9" s="642" t="s">
        <v>158</v>
      </c>
      <c r="BO9" s="642" t="s">
        <v>159</v>
      </c>
      <c r="BP9" s="2268"/>
      <c r="BR9" s="1933"/>
      <c r="BS9" s="1933"/>
      <c r="BT9" s="1933"/>
      <c r="BU9" s="1933"/>
      <c r="BV9" s="1933"/>
      <c r="BW9" s="18"/>
      <c r="BX9" s="18"/>
      <c r="BY9" s="18"/>
      <c r="BZ9" s="18"/>
      <c r="CA9" s="18"/>
      <c r="CB9" s="18"/>
      <c r="CC9" s="18"/>
      <c r="CD9" s="18"/>
      <c r="CE9" s="18"/>
      <c r="CF9" s="18"/>
      <c r="CG9" s="18"/>
      <c r="CH9" s="18"/>
    </row>
    <row r="10" spans="1:86" s="1936" customFormat="1" ht="15.75" x14ac:dyDescent="0.2">
      <c r="A10" s="1934">
        <v>1</v>
      </c>
      <c r="B10" s="1935" t="s">
        <v>617</v>
      </c>
      <c r="C10" s="643"/>
      <c r="D10" s="283"/>
      <c r="E10" s="283"/>
      <c r="F10" s="283"/>
      <c r="G10" s="283"/>
      <c r="H10" s="283"/>
      <c r="I10" s="275"/>
      <c r="J10" s="275"/>
      <c r="K10" s="283"/>
      <c r="L10" s="283"/>
      <c r="M10" s="283"/>
      <c r="N10" s="276"/>
      <c r="O10" s="280"/>
      <c r="P10" s="282"/>
      <c r="Q10" s="281"/>
      <c r="R10" s="280"/>
      <c r="S10" s="280"/>
      <c r="T10" s="280"/>
      <c r="U10" s="278"/>
      <c r="V10" s="278"/>
      <c r="W10" s="278"/>
      <c r="X10" s="277"/>
      <c r="Y10" s="276"/>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74"/>
      <c r="BM10" s="274"/>
      <c r="BN10" s="274"/>
      <c r="BO10" s="274"/>
      <c r="BP10" s="280"/>
      <c r="BQ10" s="18"/>
      <c r="BR10" s="1933"/>
      <c r="BS10" s="1933"/>
      <c r="BT10" s="1933"/>
      <c r="BU10" s="1933"/>
      <c r="BV10" s="1933"/>
      <c r="BW10" s="18"/>
      <c r="BX10" s="18"/>
      <c r="BY10" s="18"/>
      <c r="BZ10" s="18"/>
      <c r="CA10" s="18"/>
      <c r="CB10" s="18"/>
      <c r="CC10" s="18"/>
      <c r="CD10" s="18"/>
      <c r="CE10" s="18"/>
      <c r="CF10" s="18"/>
      <c r="CG10" s="18"/>
      <c r="CH10" s="18"/>
    </row>
    <row r="11" spans="1:86" s="18" customFormat="1" ht="15.75" x14ac:dyDescent="0.2">
      <c r="A11" s="1857"/>
      <c r="B11" s="2570"/>
      <c r="C11" s="2571"/>
      <c r="D11" s="1937">
        <v>25</v>
      </c>
      <c r="E11" s="2572" t="s">
        <v>618</v>
      </c>
      <c r="F11" s="2572"/>
      <c r="G11" s="2572"/>
      <c r="H11" s="2572"/>
      <c r="I11" s="2572"/>
      <c r="J11" s="2572"/>
      <c r="K11" s="2572"/>
      <c r="L11" s="2572"/>
      <c r="M11" s="2572"/>
      <c r="N11" s="2573"/>
      <c r="O11" s="651"/>
      <c r="P11" s="712"/>
      <c r="Q11" s="1938"/>
      <c r="R11" s="350"/>
      <c r="S11" s="350"/>
      <c r="T11" s="350"/>
      <c r="U11" s="1939"/>
      <c r="V11" s="1939"/>
      <c r="W11" s="1939"/>
      <c r="X11" s="349"/>
      <c r="Y11" s="351"/>
      <c r="Z11" s="649"/>
      <c r="AA11" s="649"/>
      <c r="AB11" s="649"/>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713"/>
      <c r="BM11" s="713"/>
      <c r="BN11" s="713"/>
      <c r="BO11" s="713"/>
      <c r="BP11" s="651"/>
      <c r="BQ11" s="1940"/>
      <c r="BR11" s="1933"/>
      <c r="BS11" s="1933"/>
      <c r="BT11" s="1933"/>
      <c r="BU11" s="1933"/>
      <c r="BV11" s="1933"/>
    </row>
    <row r="12" spans="1:86" s="18" customFormat="1" ht="30" customHeight="1" x14ac:dyDescent="0.2">
      <c r="A12" s="1858"/>
      <c r="B12" s="3051"/>
      <c r="C12" s="3052"/>
      <c r="D12" s="1865"/>
      <c r="E12" s="2575"/>
      <c r="F12" s="2575"/>
      <c r="G12" s="3147">
        <v>3301087</v>
      </c>
      <c r="H12" s="3111">
        <v>25.6</v>
      </c>
      <c r="I12" s="2453" t="s">
        <v>1707</v>
      </c>
      <c r="J12" s="3112" t="s">
        <v>619</v>
      </c>
      <c r="K12" s="2348">
        <v>1600</v>
      </c>
      <c r="L12" s="2522">
        <v>172</v>
      </c>
      <c r="M12" s="2348" t="s">
        <v>1708</v>
      </c>
      <c r="N12" s="3157" t="s">
        <v>1709</v>
      </c>
      <c r="O12" s="2568" t="s">
        <v>1710</v>
      </c>
      <c r="P12" s="3158">
        <f>SUM(U12:U16)/Q12</f>
        <v>0.11850430843809373</v>
      </c>
      <c r="Q12" s="2606">
        <f>SUM(U12:U27)</f>
        <v>1378852821.0800002</v>
      </c>
      <c r="R12" s="2416" t="s">
        <v>1711</v>
      </c>
      <c r="S12" s="3165" t="s">
        <v>1712</v>
      </c>
      <c r="T12" s="2453" t="s">
        <v>1713</v>
      </c>
      <c r="U12" s="1941">
        <v>79000000</v>
      </c>
      <c r="V12" s="1942">
        <v>0</v>
      </c>
      <c r="W12" s="1942"/>
      <c r="X12" s="1860">
        <v>88</v>
      </c>
      <c r="Y12" s="1943" t="s">
        <v>1714</v>
      </c>
      <c r="Z12" s="3166">
        <v>85275</v>
      </c>
      <c r="AA12" s="1944"/>
      <c r="AB12" s="3151">
        <v>85275</v>
      </c>
      <c r="AC12" s="1868"/>
      <c r="AD12" s="3151">
        <v>25580</v>
      </c>
      <c r="AE12" s="1868"/>
      <c r="AF12" s="3151">
        <v>42638</v>
      </c>
      <c r="AG12" s="1868"/>
      <c r="AH12" s="3151">
        <v>68221</v>
      </c>
      <c r="AI12" s="1868"/>
      <c r="AJ12" s="3151">
        <v>17055</v>
      </c>
      <c r="AK12" s="1868"/>
      <c r="AL12" s="3151">
        <v>8528</v>
      </c>
      <c r="AM12" s="1868"/>
      <c r="AN12" s="3151">
        <v>8528</v>
      </c>
      <c r="AO12" s="1868"/>
      <c r="AP12" s="3151">
        <v>0</v>
      </c>
      <c r="AQ12" s="1868"/>
      <c r="AR12" s="3151">
        <v>0</v>
      </c>
      <c r="AS12" s="1868"/>
      <c r="AT12" s="3151">
        <v>0</v>
      </c>
      <c r="AU12" s="1868"/>
      <c r="AV12" s="3151">
        <v>0</v>
      </c>
      <c r="AW12" s="1868"/>
      <c r="AX12" s="3151">
        <v>3411</v>
      </c>
      <c r="AY12" s="1868"/>
      <c r="AZ12" s="3151">
        <v>0</v>
      </c>
      <c r="BA12" s="1868"/>
      <c r="BB12" s="3151">
        <v>13644</v>
      </c>
      <c r="BC12" s="1868"/>
      <c r="BD12" s="3151">
        <v>170550</v>
      </c>
      <c r="BE12" s="1868"/>
      <c r="BF12" s="3151">
        <v>16</v>
      </c>
      <c r="BG12" s="3151">
        <f>SUM(V12:V27)</f>
        <v>204300000</v>
      </c>
      <c r="BH12" s="3151">
        <f>SUM(W12:W32)</f>
        <v>115440000</v>
      </c>
      <c r="BI12" s="2310">
        <f>+BH12/BG12</f>
        <v>0.56505139500734214</v>
      </c>
      <c r="BJ12" s="3160" t="s">
        <v>1715</v>
      </c>
      <c r="BK12" s="3151" t="s">
        <v>1716</v>
      </c>
      <c r="BL12" s="3154">
        <v>43832</v>
      </c>
      <c r="BM12" s="3154">
        <v>44196</v>
      </c>
      <c r="BN12" s="3154">
        <v>44195</v>
      </c>
      <c r="BO12" s="3154">
        <v>44196</v>
      </c>
      <c r="BP12" s="3151" t="s">
        <v>1717</v>
      </c>
      <c r="BQ12" s="1945"/>
      <c r="BR12" s="1933"/>
      <c r="BS12" s="1933"/>
      <c r="BT12" s="1933"/>
      <c r="BU12" s="1933"/>
      <c r="BV12" s="1933"/>
    </row>
    <row r="13" spans="1:86" s="18" customFormat="1" ht="30" x14ac:dyDescent="0.2">
      <c r="A13" s="1858"/>
      <c r="B13" s="1946"/>
      <c r="C13" s="110"/>
      <c r="D13" s="1947"/>
      <c r="E13" s="1947"/>
      <c r="F13" s="1947"/>
      <c r="G13" s="3147"/>
      <c r="H13" s="3111"/>
      <c r="I13" s="2453"/>
      <c r="J13" s="3112"/>
      <c r="K13" s="2348"/>
      <c r="L13" s="2456"/>
      <c r="M13" s="2348"/>
      <c r="N13" s="2879"/>
      <c r="O13" s="2569"/>
      <c r="P13" s="3158"/>
      <c r="Q13" s="2606"/>
      <c r="R13" s="2416"/>
      <c r="S13" s="3165"/>
      <c r="T13" s="2453"/>
      <c r="U13" s="1941">
        <v>0</v>
      </c>
      <c r="V13" s="1942"/>
      <c r="W13" s="1942"/>
      <c r="X13" s="1860">
        <v>83</v>
      </c>
      <c r="Y13" s="1943" t="s">
        <v>1718</v>
      </c>
      <c r="Z13" s="3167"/>
      <c r="AA13" s="1948"/>
      <c r="AB13" s="3152"/>
      <c r="AC13" s="1869"/>
      <c r="AD13" s="3152"/>
      <c r="AE13" s="1869"/>
      <c r="AF13" s="3152"/>
      <c r="AG13" s="1869"/>
      <c r="AH13" s="3152"/>
      <c r="AI13" s="1869"/>
      <c r="AJ13" s="3152"/>
      <c r="AK13" s="1869"/>
      <c r="AL13" s="3152"/>
      <c r="AM13" s="1869"/>
      <c r="AN13" s="3152"/>
      <c r="AO13" s="1869"/>
      <c r="AP13" s="3152"/>
      <c r="AQ13" s="1869"/>
      <c r="AR13" s="3152"/>
      <c r="AS13" s="1869"/>
      <c r="AT13" s="3152"/>
      <c r="AU13" s="1869"/>
      <c r="AV13" s="3152"/>
      <c r="AW13" s="1869"/>
      <c r="AX13" s="3152"/>
      <c r="AY13" s="1869"/>
      <c r="AZ13" s="3152"/>
      <c r="BA13" s="1869"/>
      <c r="BB13" s="3152"/>
      <c r="BC13" s="1869"/>
      <c r="BD13" s="3152"/>
      <c r="BE13" s="1869"/>
      <c r="BF13" s="3152"/>
      <c r="BG13" s="3152"/>
      <c r="BH13" s="3152"/>
      <c r="BI13" s="2311"/>
      <c r="BJ13" s="3161"/>
      <c r="BK13" s="3152"/>
      <c r="BL13" s="3155"/>
      <c r="BM13" s="3155"/>
      <c r="BN13" s="3155"/>
      <c r="BO13" s="3155"/>
      <c r="BP13" s="3152"/>
      <c r="BQ13" s="1945"/>
      <c r="BR13" s="1933"/>
      <c r="BS13" s="1933"/>
      <c r="BT13" s="1933"/>
      <c r="BU13" s="1933"/>
      <c r="BV13" s="1933"/>
    </row>
    <row r="14" spans="1:86" s="18" customFormat="1" ht="38.25" customHeight="1" x14ac:dyDescent="0.2">
      <c r="A14" s="1858"/>
      <c r="B14" s="1946"/>
      <c r="C14" s="110"/>
      <c r="D14" s="1947"/>
      <c r="E14" s="1947"/>
      <c r="F14" s="1947"/>
      <c r="G14" s="3147"/>
      <c r="H14" s="3111"/>
      <c r="I14" s="2453"/>
      <c r="J14" s="3112"/>
      <c r="K14" s="2348"/>
      <c r="L14" s="2456"/>
      <c r="M14" s="2348"/>
      <c r="N14" s="2879"/>
      <c r="O14" s="2569"/>
      <c r="P14" s="3158"/>
      <c r="Q14" s="2606"/>
      <c r="R14" s="2416"/>
      <c r="S14" s="3165"/>
      <c r="T14" s="3091" t="s">
        <v>1719</v>
      </c>
      <c r="U14" s="1942">
        <v>44000000</v>
      </c>
      <c r="V14" s="1942">
        <v>44000000</v>
      </c>
      <c r="W14" s="1942">
        <v>44000000</v>
      </c>
      <c r="X14" s="1949">
        <v>20</v>
      </c>
      <c r="Y14" s="1950" t="s">
        <v>1720</v>
      </c>
      <c r="Z14" s="3167"/>
      <c r="AA14" s="1948"/>
      <c r="AB14" s="3152"/>
      <c r="AC14" s="1869"/>
      <c r="AD14" s="3152"/>
      <c r="AE14" s="1869"/>
      <c r="AF14" s="3152"/>
      <c r="AG14" s="1869"/>
      <c r="AH14" s="3152"/>
      <c r="AI14" s="1869"/>
      <c r="AJ14" s="3152"/>
      <c r="AK14" s="1869"/>
      <c r="AL14" s="3152"/>
      <c r="AM14" s="1869"/>
      <c r="AN14" s="3152"/>
      <c r="AO14" s="1869"/>
      <c r="AP14" s="3152"/>
      <c r="AQ14" s="1869"/>
      <c r="AR14" s="3152"/>
      <c r="AS14" s="1869"/>
      <c r="AT14" s="3152"/>
      <c r="AU14" s="1869"/>
      <c r="AV14" s="3152"/>
      <c r="AW14" s="1869"/>
      <c r="AX14" s="3152"/>
      <c r="AY14" s="1869"/>
      <c r="AZ14" s="3152"/>
      <c r="BA14" s="1869"/>
      <c r="BB14" s="3152"/>
      <c r="BC14" s="1869"/>
      <c r="BD14" s="3152"/>
      <c r="BE14" s="1869"/>
      <c r="BF14" s="3152"/>
      <c r="BG14" s="3152"/>
      <c r="BH14" s="3152"/>
      <c r="BI14" s="2311"/>
      <c r="BJ14" s="3161"/>
      <c r="BK14" s="3152"/>
      <c r="BL14" s="3155"/>
      <c r="BM14" s="3155"/>
      <c r="BN14" s="3155"/>
      <c r="BO14" s="3155"/>
      <c r="BP14" s="3152"/>
      <c r="BQ14" s="1945"/>
      <c r="BR14" s="1933"/>
      <c r="BS14" s="1933"/>
      <c r="BT14" s="1933"/>
      <c r="BU14" s="1933"/>
      <c r="BV14" s="1933"/>
    </row>
    <row r="15" spans="1:86" s="18" customFormat="1" ht="38.25" customHeight="1" x14ac:dyDescent="0.2">
      <c r="A15" s="1858"/>
      <c r="B15" s="1946"/>
      <c r="C15" s="110"/>
      <c r="D15" s="1947"/>
      <c r="E15" s="1947"/>
      <c r="F15" s="1947"/>
      <c r="G15" s="3147"/>
      <c r="H15" s="3111"/>
      <c r="I15" s="2453"/>
      <c r="J15" s="3112"/>
      <c r="K15" s="2348"/>
      <c r="L15" s="2456"/>
      <c r="M15" s="2348"/>
      <c r="N15" s="2879"/>
      <c r="O15" s="2569"/>
      <c r="P15" s="3158"/>
      <c r="Q15" s="2606"/>
      <c r="R15" s="2416"/>
      <c r="S15" s="3165"/>
      <c r="T15" s="3091"/>
      <c r="U15" s="1942">
        <f>216749741-210749741</f>
        <v>6000000</v>
      </c>
      <c r="V15" s="1942">
        <v>6000000</v>
      </c>
      <c r="W15" s="1942">
        <v>6000000</v>
      </c>
      <c r="X15" s="1949">
        <v>88</v>
      </c>
      <c r="Y15" s="1943" t="s">
        <v>1714</v>
      </c>
      <c r="Z15" s="3167"/>
      <c r="AA15" s="1948"/>
      <c r="AB15" s="3152"/>
      <c r="AC15" s="1869"/>
      <c r="AD15" s="3152"/>
      <c r="AE15" s="1869"/>
      <c r="AF15" s="3152"/>
      <c r="AG15" s="1869"/>
      <c r="AH15" s="3152"/>
      <c r="AI15" s="1869"/>
      <c r="AJ15" s="3152"/>
      <c r="AK15" s="1869"/>
      <c r="AL15" s="3152"/>
      <c r="AM15" s="1869"/>
      <c r="AN15" s="3152"/>
      <c r="AO15" s="1869"/>
      <c r="AP15" s="3152"/>
      <c r="AQ15" s="1869"/>
      <c r="AR15" s="3152"/>
      <c r="AS15" s="1869"/>
      <c r="AT15" s="3152"/>
      <c r="AU15" s="1869"/>
      <c r="AV15" s="3152"/>
      <c r="AW15" s="1869"/>
      <c r="AX15" s="3152"/>
      <c r="AY15" s="1869"/>
      <c r="AZ15" s="3152"/>
      <c r="BA15" s="1869"/>
      <c r="BB15" s="3152"/>
      <c r="BC15" s="1869"/>
      <c r="BD15" s="3152"/>
      <c r="BE15" s="1869"/>
      <c r="BF15" s="3152"/>
      <c r="BG15" s="3152"/>
      <c r="BH15" s="3152"/>
      <c r="BI15" s="2311"/>
      <c r="BJ15" s="3161"/>
      <c r="BK15" s="3152"/>
      <c r="BL15" s="3155"/>
      <c r="BM15" s="3155"/>
      <c r="BN15" s="3155"/>
      <c r="BO15" s="3155"/>
      <c r="BP15" s="3152"/>
      <c r="BQ15" s="1945"/>
      <c r="BR15" s="1933"/>
      <c r="BS15" s="1933"/>
      <c r="BT15" s="1933"/>
      <c r="BU15" s="1933"/>
      <c r="BV15" s="1933"/>
    </row>
    <row r="16" spans="1:86" s="18" customFormat="1" ht="38.25" customHeight="1" x14ac:dyDescent="0.2">
      <c r="A16" s="1858"/>
      <c r="B16" s="1946"/>
      <c r="C16" s="110"/>
      <c r="D16" s="1947"/>
      <c r="E16" s="1947"/>
      <c r="F16" s="1947"/>
      <c r="G16" s="3148"/>
      <c r="H16" s="3146"/>
      <c r="I16" s="3149"/>
      <c r="J16" s="3112"/>
      <c r="K16" s="2348"/>
      <c r="L16" s="2457"/>
      <c r="M16" s="2348"/>
      <c r="N16" s="2879"/>
      <c r="O16" s="2569"/>
      <c r="P16" s="3159"/>
      <c r="Q16" s="2606"/>
      <c r="R16" s="2416"/>
      <c r="S16" s="3165"/>
      <c r="T16" s="1873" t="s">
        <v>1721</v>
      </c>
      <c r="U16" s="1942">
        <v>34400000</v>
      </c>
      <c r="V16" s="1942">
        <v>34400000</v>
      </c>
      <c r="W16" s="1942">
        <v>34400000</v>
      </c>
      <c r="X16" s="1951">
        <v>20</v>
      </c>
      <c r="Y16" s="1952" t="s">
        <v>7</v>
      </c>
      <c r="Z16" s="3167"/>
      <c r="AA16" s="1948"/>
      <c r="AB16" s="3152"/>
      <c r="AC16" s="1869"/>
      <c r="AD16" s="3152"/>
      <c r="AE16" s="1869"/>
      <c r="AF16" s="3152"/>
      <c r="AG16" s="1869"/>
      <c r="AH16" s="3152"/>
      <c r="AI16" s="1869"/>
      <c r="AJ16" s="3152"/>
      <c r="AK16" s="1869"/>
      <c r="AL16" s="3152"/>
      <c r="AM16" s="1869"/>
      <c r="AN16" s="3152"/>
      <c r="AO16" s="1869"/>
      <c r="AP16" s="3152"/>
      <c r="AQ16" s="1869"/>
      <c r="AR16" s="3152"/>
      <c r="AS16" s="1869"/>
      <c r="AT16" s="3152"/>
      <c r="AU16" s="1869"/>
      <c r="AV16" s="3152"/>
      <c r="AW16" s="1869"/>
      <c r="AX16" s="3152"/>
      <c r="AY16" s="1869"/>
      <c r="AZ16" s="3152"/>
      <c r="BA16" s="1869"/>
      <c r="BB16" s="3152"/>
      <c r="BC16" s="1869"/>
      <c r="BD16" s="3152"/>
      <c r="BE16" s="1869"/>
      <c r="BF16" s="3152"/>
      <c r="BG16" s="3152"/>
      <c r="BH16" s="3152"/>
      <c r="BI16" s="2311"/>
      <c r="BJ16" s="3161"/>
      <c r="BK16" s="3152"/>
      <c r="BL16" s="3155"/>
      <c r="BM16" s="3155"/>
      <c r="BN16" s="3155"/>
      <c r="BO16" s="3155"/>
      <c r="BP16" s="3152"/>
      <c r="BQ16" s="1945"/>
      <c r="BR16" s="1933"/>
      <c r="BS16" s="1933"/>
      <c r="BT16" s="1933"/>
      <c r="BU16" s="1933"/>
      <c r="BV16" s="1933"/>
    </row>
    <row r="17" spans="1:74" s="18" customFormat="1" ht="45" x14ac:dyDescent="0.2">
      <c r="A17" s="1858"/>
      <c r="B17" s="1946"/>
      <c r="C17" s="110"/>
      <c r="D17" s="1947"/>
      <c r="E17" s="1947"/>
      <c r="F17" s="1947"/>
      <c r="G17" s="3147">
        <v>3301073</v>
      </c>
      <c r="H17" s="3111">
        <v>25.4</v>
      </c>
      <c r="I17" s="2453" t="s">
        <v>1722</v>
      </c>
      <c r="J17" s="3150" t="s">
        <v>1723</v>
      </c>
      <c r="K17" s="2457">
        <v>200</v>
      </c>
      <c r="L17" s="2522">
        <v>7</v>
      </c>
      <c r="M17" s="2456"/>
      <c r="N17" s="2879"/>
      <c r="O17" s="2569"/>
      <c r="P17" s="3158">
        <f>SUM(U17:U27)/Q12</f>
        <v>0.8814956915619061</v>
      </c>
      <c r="Q17" s="2606"/>
      <c r="R17" s="2416"/>
      <c r="S17" s="3165"/>
      <c r="T17" s="1873" t="s">
        <v>1724</v>
      </c>
      <c r="U17" s="1942">
        <v>68800000</v>
      </c>
      <c r="V17" s="1942">
        <v>60300000</v>
      </c>
      <c r="W17" s="1942">
        <v>3000000</v>
      </c>
      <c r="X17" s="1949">
        <v>83</v>
      </c>
      <c r="Y17" s="1943" t="s">
        <v>1725</v>
      </c>
      <c r="Z17" s="3167"/>
      <c r="AA17" s="1948"/>
      <c r="AB17" s="3152"/>
      <c r="AC17" s="1869"/>
      <c r="AD17" s="3152"/>
      <c r="AE17" s="1869"/>
      <c r="AF17" s="3152"/>
      <c r="AG17" s="1869"/>
      <c r="AH17" s="3152"/>
      <c r="AI17" s="1869"/>
      <c r="AJ17" s="3152"/>
      <c r="AK17" s="1869"/>
      <c r="AL17" s="3152"/>
      <c r="AM17" s="1869"/>
      <c r="AN17" s="3152"/>
      <c r="AO17" s="1869"/>
      <c r="AP17" s="3152"/>
      <c r="AQ17" s="1869"/>
      <c r="AR17" s="3152"/>
      <c r="AS17" s="1869"/>
      <c r="AT17" s="3152"/>
      <c r="AU17" s="1869"/>
      <c r="AV17" s="3152"/>
      <c r="AW17" s="1869"/>
      <c r="AX17" s="3152"/>
      <c r="AY17" s="1869"/>
      <c r="AZ17" s="3152"/>
      <c r="BA17" s="1869"/>
      <c r="BB17" s="3152"/>
      <c r="BC17" s="1869"/>
      <c r="BD17" s="3152"/>
      <c r="BE17" s="1869"/>
      <c r="BF17" s="3152"/>
      <c r="BG17" s="3152"/>
      <c r="BH17" s="3152"/>
      <c r="BI17" s="2311"/>
      <c r="BJ17" s="3161"/>
      <c r="BK17" s="3152"/>
      <c r="BL17" s="3155"/>
      <c r="BM17" s="3155"/>
      <c r="BN17" s="3155"/>
      <c r="BO17" s="3155"/>
      <c r="BP17" s="3152"/>
      <c r="BQ17" s="1945"/>
      <c r="BR17" s="1933"/>
      <c r="BS17" s="1933"/>
      <c r="BT17" s="1933"/>
      <c r="BU17" s="1933"/>
      <c r="BV17" s="1933"/>
    </row>
    <row r="18" spans="1:74" s="18" customFormat="1" ht="36" customHeight="1" x14ac:dyDescent="0.2">
      <c r="A18" s="1858"/>
      <c r="B18" s="1946"/>
      <c r="C18" s="110"/>
      <c r="D18" s="1947"/>
      <c r="E18" s="1947"/>
      <c r="F18" s="1947"/>
      <c r="G18" s="3147"/>
      <c r="H18" s="3111"/>
      <c r="I18" s="2453"/>
      <c r="J18" s="3150"/>
      <c r="K18" s="2457"/>
      <c r="L18" s="2456"/>
      <c r="M18" s="2456"/>
      <c r="N18" s="2879"/>
      <c r="O18" s="2569"/>
      <c r="P18" s="3158"/>
      <c r="Q18" s="2606"/>
      <c r="R18" s="2416"/>
      <c r="S18" s="3165"/>
      <c r="T18" s="1873" t="s">
        <v>1726</v>
      </c>
      <c r="U18" s="1942">
        <f>0+210749741</f>
        <v>210749741</v>
      </c>
      <c r="V18" s="1942">
        <v>10000000</v>
      </c>
      <c r="W18" s="1942">
        <v>0</v>
      </c>
      <c r="X18" s="1949">
        <v>88</v>
      </c>
      <c r="Y18" s="1943" t="s">
        <v>620</v>
      </c>
      <c r="Z18" s="3167"/>
      <c r="AA18" s="1948"/>
      <c r="AB18" s="3152"/>
      <c r="AC18" s="1869"/>
      <c r="AD18" s="3152"/>
      <c r="AE18" s="1869"/>
      <c r="AF18" s="3152"/>
      <c r="AG18" s="1869"/>
      <c r="AH18" s="3152"/>
      <c r="AI18" s="1869"/>
      <c r="AJ18" s="3152"/>
      <c r="AK18" s="1869"/>
      <c r="AL18" s="3152"/>
      <c r="AM18" s="1869"/>
      <c r="AN18" s="3152"/>
      <c r="AO18" s="1869"/>
      <c r="AP18" s="3152"/>
      <c r="AQ18" s="1869"/>
      <c r="AR18" s="3152"/>
      <c r="AS18" s="1869"/>
      <c r="AT18" s="3152"/>
      <c r="AU18" s="1869"/>
      <c r="AV18" s="3152"/>
      <c r="AW18" s="1869"/>
      <c r="AX18" s="3152"/>
      <c r="AY18" s="1869"/>
      <c r="AZ18" s="3152"/>
      <c r="BA18" s="1869"/>
      <c r="BB18" s="3152"/>
      <c r="BC18" s="1869"/>
      <c r="BD18" s="3152"/>
      <c r="BE18" s="1869"/>
      <c r="BF18" s="3152"/>
      <c r="BG18" s="3152"/>
      <c r="BH18" s="3152"/>
      <c r="BI18" s="2311"/>
      <c r="BJ18" s="3161"/>
      <c r="BK18" s="3152"/>
      <c r="BL18" s="3155"/>
      <c r="BM18" s="3155"/>
      <c r="BN18" s="3155"/>
      <c r="BO18" s="3155"/>
      <c r="BP18" s="3152"/>
      <c r="BQ18" s="1945"/>
      <c r="BR18" s="1933"/>
      <c r="BS18" s="1933"/>
      <c r="BT18" s="1933"/>
      <c r="BU18" s="1933"/>
      <c r="BV18" s="1933"/>
    </row>
    <row r="19" spans="1:74" s="18" customFormat="1" ht="38.450000000000003" customHeight="1" x14ac:dyDescent="0.2">
      <c r="A19" s="1858"/>
      <c r="B19" s="1946"/>
      <c r="C19" s="110"/>
      <c r="D19" s="1947"/>
      <c r="E19" s="1947"/>
      <c r="F19" s="1947"/>
      <c r="G19" s="3147"/>
      <c r="H19" s="3111"/>
      <c r="I19" s="2453"/>
      <c r="J19" s="3150"/>
      <c r="K19" s="2457"/>
      <c r="L19" s="2456"/>
      <c r="M19" s="2456"/>
      <c r="N19" s="2879"/>
      <c r="O19" s="2569"/>
      <c r="P19" s="3158"/>
      <c r="Q19" s="2606"/>
      <c r="R19" s="2416"/>
      <c r="S19" s="3165"/>
      <c r="T19" s="1873" t="s">
        <v>1727</v>
      </c>
      <c r="U19" s="1942">
        <f>25600000</f>
        <v>25600000</v>
      </c>
      <c r="V19" s="1942">
        <f t="shared" ref="V19" si="0">25600000</f>
        <v>25600000</v>
      </c>
      <c r="W19" s="1942">
        <v>25040000</v>
      </c>
      <c r="X19" s="1949">
        <v>39</v>
      </c>
      <c r="Y19" s="1943" t="s">
        <v>1728</v>
      </c>
      <c r="Z19" s="3167"/>
      <c r="AA19" s="1948"/>
      <c r="AB19" s="3152"/>
      <c r="AC19" s="1869"/>
      <c r="AD19" s="3152"/>
      <c r="AE19" s="1869"/>
      <c r="AF19" s="3152"/>
      <c r="AG19" s="1869"/>
      <c r="AH19" s="3152"/>
      <c r="AI19" s="1869"/>
      <c r="AJ19" s="3152"/>
      <c r="AK19" s="1869"/>
      <c r="AL19" s="3152"/>
      <c r="AM19" s="1869"/>
      <c r="AN19" s="3152"/>
      <c r="AO19" s="1869"/>
      <c r="AP19" s="3152"/>
      <c r="AQ19" s="1869"/>
      <c r="AR19" s="3152"/>
      <c r="AS19" s="1869"/>
      <c r="AT19" s="3152"/>
      <c r="AU19" s="1869"/>
      <c r="AV19" s="3152"/>
      <c r="AW19" s="1869"/>
      <c r="AX19" s="3152"/>
      <c r="AY19" s="1869"/>
      <c r="AZ19" s="3152"/>
      <c r="BA19" s="1869"/>
      <c r="BB19" s="3152"/>
      <c r="BC19" s="1869"/>
      <c r="BD19" s="3152"/>
      <c r="BE19" s="1869"/>
      <c r="BF19" s="3152"/>
      <c r="BG19" s="3152"/>
      <c r="BH19" s="3152"/>
      <c r="BI19" s="2311"/>
      <c r="BJ19" s="3161"/>
      <c r="BK19" s="3152"/>
      <c r="BL19" s="3155"/>
      <c r="BM19" s="3155"/>
      <c r="BN19" s="3155"/>
      <c r="BO19" s="3155"/>
      <c r="BP19" s="3152"/>
      <c r="BQ19" s="1945"/>
      <c r="BR19" s="1933"/>
      <c r="BS19" s="1933"/>
      <c r="BT19" s="1933"/>
      <c r="BU19" s="1933"/>
      <c r="BV19" s="1933"/>
    </row>
    <row r="20" spans="1:74" s="18" customFormat="1" ht="65.25" customHeight="1" x14ac:dyDescent="0.2">
      <c r="A20" s="1858"/>
      <c r="B20" s="1946"/>
      <c r="C20" s="110"/>
      <c r="D20" s="1947"/>
      <c r="E20" s="1947"/>
      <c r="F20" s="1947"/>
      <c r="G20" s="3147"/>
      <c r="H20" s="3111"/>
      <c r="I20" s="2453"/>
      <c r="J20" s="3112"/>
      <c r="K20" s="2348"/>
      <c r="L20" s="2456"/>
      <c r="M20" s="2456"/>
      <c r="N20" s="2879"/>
      <c r="O20" s="2569"/>
      <c r="P20" s="3158"/>
      <c r="Q20" s="2606"/>
      <c r="R20" s="2416"/>
      <c r="S20" s="3165"/>
      <c r="T20" s="1873" t="s">
        <v>1729</v>
      </c>
      <c r="U20" s="1942">
        <f>12000000+20000000</f>
        <v>32000000</v>
      </c>
      <c r="V20" s="1942">
        <v>12000000</v>
      </c>
      <c r="W20" s="1942">
        <v>3000000</v>
      </c>
      <c r="X20" s="1949">
        <v>39</v>
      </c>
      <c r="Y20" s="1943" t="s">
        <v>1728</v>
      </c>
      <c r="Z20" s="3167"/>
      <c r="AA20" s="1948"/>
      <c r="AB20" s="3152"/>
      <c r="AC20" s="1869"/>
      <c r="AD20" s="3152"/>
      <c r="AE20" s="1869"/>
      <c r="AF20" s="3152"/>
      <c r="AG20" s="1869"/>
      <c r="AH20" s="3152"/>
      <c r="AI20" s="1869"/>
      <c r="AJ20" s="3152"/>
      <c r="AK20" s="1869"/>
      <c r="AL20" s="3152"/>
      <c r="AM20" s="1869"/>
      <c r="AN20" s="3152"/>
      <c r="AO20" s="1869"/>
      <c r="AP20" s="3152"/>
      <c r="AQ20" s="1869"/>
      <c r="AR20" s="3152"/>
      <c r="AS20" s="1869"/>
      <c r="AT20" s="3152"/>
      <c r="AU20" s="1869"/>
      <c r="AV20" s="3152"/>
      <c r="AW20" s="1869"/>
      <c r="AX20" s="3152"/>
      <c r="AY20" s="1869"/>
      <c r="AZ20" s="3152"/>
      <c r="BA20" s="1869"/>
      <c r="BB20" s="3152"/>
      <c r="BC20" s="1869"/>
      <c r="BD20" s="3152"/>
      <c r="BE20" s="1869"/>
      <c r="BF20" s="3152"/>
      <c r="BG20" s="3152"/>
      <c r="BH20" s="3152"/>
      <c r="BI20" s="2311"/>
      <c r="BJ20" s="3161"/>
      <c r="BK20" s="3152"/>
      <c r="BL20" s="3155"/>
      <c r="BM20" s="3155"/>
      <c r="BN20" s="3155"/>
      <c r="BO20" s="3155"/>
      <c r="BP20" s="3152"/>
      <c r="BQ20" s="1945"/>
      <c r="BR20" s="1933"/>
      <c r="BS20" s="1933"/>
      <c r="BT20" s="1933"/>
      <c r="BU20" s="1933"/>
      <c r="BV20" s="1933"/>
    </row>
    <row r="21" spans="1:74" s="18" customFormat="1" ht="65.25" customHeight="1" x14ac:dyDescent="0.2">
      <c r="A21" s="1858"/>
      <c r="B21" s="1946"/>
      <c r="C21" s="110"/>
      <c r="D21" s="1947"/>
      <c r="E21" s="1947"/>
      <c r="F21" s="1947"/>
      <c r="G21" s="3147"/>
      <c r="H21" s="3111"/>
      <c r="I21" s="2453"/>
      <c r="J21" s="3112"/>
      <c r="K21" s="2348"/>
      <c r="L21" s="2456"/>
      <c r="M21" s="2456"/>
      <c r="N21" s="2879"/>
      <c r="O21" s="2569"/>
      <c r="P21" s="3158"/>
      <c r="Q21" s="2606"/>
      <c r="R21" s="2416"/>
      <c r="S21" s="3165"/>
      <c r="T21" s="3091" t="s">
        <v>1730</v>
      </c>
      <c r="U21" s="1942">
        <f>643277703-205517326.92</f>
        <v>437760376.08000004</v>
      </c>
      <c r="V21" s="1942"/>
      <c r="W21" s="1941"/>
      <c r="X21" s="1860">
        <v>39</v>
      </c>
      <c r="Y21" s="1943" t="s">
        <v>1728</v>
      </c>
      <c r="Z21" s="3167"/>
      <c r="AA21" s="1948"/>
      <c r="AB21" s="3152"/>
      <c r="AC21" s="1869"/>
      <c r="AD21" s="3152"/>
      <c r="AE21" s="1869"/>
      <c r="AF21" s="3152"/>
      <c r="AG21" s="1869"/>
      <c r="AH21" s="3152"/>
      <c r="AI21" s="1869"/>
      <c r="AJ21" s="3152"/>
      <c r="AK21" s="1869"/>
      <c r="AL21" s="3152"/>
      <c r="AM21" s="1869"/>
      <c r="AN21" s="3152"/>
      <c r="AO21" s="1869"/>
      <c r="AP21" s="3152"/>
      <c r="AQ21" s="1869"/>
      <c r="AR21" s="3152"/>
      <c r="AS21" s="1869"/>
      <c r="AT21" s="3152"/>
      <c r="AU21" s="1869"/>
      <c r="AV21" s="3152"/>
      <c r="AW21" s="1869"/>
      <c r="AX21" s="3152"/>
      <c r="AY21" s="1869"/>
      <c r="AZ21" s="3152"/>
      <c r="BA21" s="1869"/>
      <c r="BB21" s="3152"/>
      <c r="BC21" s="1869"/>
      <c r="BD21" s="3152"/>
      <c r="BE21" s="1869"/>
      <c r="BF21" s="3152"/>
      <c r="BG21" s="3152"/>
      <c r="BH21" s="3152"/>
      <c r="BI21" s="2311"/>
      <c r="BJ21" s="3161"/>
      <c r="BK21" s="3152"/>
      <c r="BL21" s="3155"/>
      <c r="BM21" s="3155"/>
      <c r="BN21" s="3155"/>
      <c r="BO21" s="3155"/>
      <c r="BP21" s="3152"/>
      <c r="BQ21" s="1945"/>
      <c r="BR21" s="1933"/>
      <c r="BS21" s="1933"/>
      <c r="BT21" s="1933"/>
      <c r="BU21" s="1933"/>
      <c r="BV21" s="1933"/>
    </row>
    <row r="22" spans="1:74" s="18" customFormat="1" ht="65.25" customHeight="1" x14ac:dyDescent="0.2">
      <c r="A22" s="1858"/>
      <c r="B22" s="1946"/>
      <c r="C22" s="110"/>
      <c r="D22" s="1947"/>
      <c r="E22" s="1947"/>
      <c r="F22" s="1947"/>
      <c r="G22" s="3147"/>
      <c r="H22" s="3111"/>
      <c r="I22" s="2453"/>
      <c r="J22" s="3112"/>
      <c r="K22" s="2348"/>
      <c r="L22" s="2456"/>
      <c r="M22" s="2456"/>
      <c r="N22" s="2879"/>
      <c r="O22" s="2569"/>
      <c r="P22" s="3158"/>
      <c r="Q22" s="2606"/>
      <c r="R22" s="2416"/>
      <c r="S22" s="3165"/>
      <c r="T22" s="3091"/>
      <c r="U22" s="1942">
        <v>177837490.08000001</v>
      </c>
      <c r="V22" s="1942"/>
      <c r="W22" s="1941"/>
      <c r="X22" s="1860">
        <v>83</v>
      </c>
      <c r="Y22" s="1943" t="s">
        <v>1725</v>
      </c>
      <c r="Z22" s="3167"/>
      <c r="AA22" s="1948"/>
      <c r="AB22" s="3152"/>
      <c r="AC22" s="1869"/>
      <c r="AD22" s="3152"/>
      <c r="AE22" s="1869"/>
      <c r="AF22" s="3152"/>
      <c r="AG22" s="1869"/>
      <c r="AH22" s="3152"/>
      <c r="AI22" s="1869"/>
      <c r="AJ22" s="3152"/>
      <c r="AK22" s="1869"/>
      <c r="AL22" s="3152"/>
      <c r="AM22" s="1869"/>
      <c r="AN22" s="3152"/>
      <c r="AO22" s="1869"/>
      <c r="AP22" s="3152"/>
      <c r="AQ22" s="1869"/>
      <c r="AR22" s="3152"/>
      <c r="AS22" s="1869"/>
      <c r="AT22" s="3152"/>
      <c r="AU22" s="1869"/>
      <c r="AV22" s="3152"/>
      <c r="AW22" s="1869"/>
      <c r="AX22" s="3152"/>
      <c r="AY22" s="1869"/>
      <c r="AZ22" s="3152"/>
      <c r="BA22" s="1869"/>
      <c r="BB22" s="3152"/>
      <c r="BC22" s="1869"/>
      <c r="BD22" s="3152"/>
      <c r="BE22" s="1869"/>
      <c r="BF22" s="3152"/>
      <c r="BG22" s="3152"/>
      <c r="BH22" s="3152"/>
      <c r="BI22" s="2311"/>
      <c r="BJ22" s="3161"/>
      <c r="BK22" s="3152"/>
      <c r="BL22" s="3155"/>
      <c r="BM22" s="3155"/>
      <c r="BN22" s="3155"/>
      <c r="BO22" s="3155"/>
      <c r="BP22" s="3152"/>
      <c r="BQ22" s="1945"/>
      <c r="BR22" s="1933"/>
      <c r="BS22" s="1933"/>
      <c r="BT22" s="1933"/>
      <c r="BU22" s="1933"/>
      <c r="BV22" s="1933"/>
    </row>
    <row r="23" spans="1:74" s="18" customFormat="1" ht="65.25" customHeight="1" x14ac:dyDescent="0.2">
      <c r="A23" s="1858"/>
      <c r="B23" s="1946"/>
      <c r="C23" s="110"/>
      <c r="D23" s="1947"/>
      <c r="E23" s="1947"/>
      <c r="F23" s="1947"/>
      <c r="G23" s="3147"/>
      <c r="H23" s="3111"/>
      <c r="I23" s="2453"/>
      <c r="J23" s="3112"/>
      <c r="K23" s="2348"/>
      <c r="L23" s="2456"/>
      <c r="M23" s="2456"/>
      <c r="N23" s="2879"/>
      <c r="O23" s="2569"/>
      <c r="P23" s="3158"/>
      <c r="Q23" s="2606"/>
      <c r="R23" s="2416"/>
      <c r="S23" s="3165"/>
      <c r="T23" s="1873" t="s">
        <v>1731</v>
      </c>
      <c r="U23" s="1942">
        <f>18000000+33539979.92</f>
        <v>51539979.920000002</v>
      </c>
      <c r="V23" s="1942"/>
      <c r="W23" s="1941"/>
      <c r="X23" s="1860">
        <v>39</v>
      </c>
      <c r="Y23" s="1943" t="s">
        <v>1728</v>
      </c>
      <c r="Z23" s="3167"/>
      <c r="AA23" s="1948"/>
      <c r="AB23" s="3152"/>
      <c r="AC23" s="1869"/>
      <c r="AD23" s="3152"/>
      <c r="AE23" s="1869"/>
      <c r="AF23" s="3152"/>
      <c r="AG23" s="1869"/>
      <c r="AH23" s="3152"/>
      <c r="AI23" s="1869"/>
      <c r="AJ23" s="3152"/>
      <c r="AK23" s="1869"/>
      <c r="AL23" s="3152"/>
      <c r="AM23" s="1869"/>
      <c r="AN23" s="3152"/>
      <c r="AO23" s="1869"/>
      <c r="AP23" s="3152"/>
      <c r="AQ23" s="1869"/>
      <c r="AR23" s="3152"/>
      <c r="AS23" s="1869"/>
      <c r="AT23" s="3152"/>
      <c r="AU23" s="1869"/>
      <c r="AV23" s="3152"/>
      <c r="AW23" s="1869"/>
      <c r="AX23" s="3152"/>
      <c r="AY23" s="1869"/>
      <c r="AZ23" s="3152"/>
      <c r="BA23" s="1869"/>
      <c r="BB23" s="3152"/>
      <c r="BC23" s="1869"/>
      <c r="BD23" s="3152"/>
      <c r="BE23" s="1869"/>
      <c r="BF23" s="3152"/>
      <c r="BG23" s="3152"/>
      <c r="BH23" s="3152"/>
      <c r="BI23" s="2311"/>
      <c r="BJ23" s="3161"/>
      <c r="BK23" s="3152"/>
      <c r="BL23" s="3155"/>
      <c r="BM23" s="3155"/>
      <c r="BN23" s="3155"/>
      <c r="BO23" s="3155"/>
      <c r="BP23" s="3152"/>
      <c r="BQ23" s="1945"/>
      <c r="BR23" s="1933"/>
      <c r="BS23" s="1933"/>
      <c r="BT23" s="1933"/>
      <c r="BU23" s="1933"/>
      <c r="BV23" s="1933"/>
    </row>
    <row r="24" spans="1:74" s="18" customFormat="1" ht="65.25" customHeight="1" x14ac:dyDescent="0.2">
      <c r="A24" s="1858"/>
      <c r="B24" s="1946"/>
      <c r="C24" s="110"/>
      <c r="D24" s="1947"/>
      <c r="E24" s="1947"/>
      <c r="F24" s="1947"/>
      <c r="G24" s="3147"/>
      <c r="H24" s="3111"/>
      <c r="I24" s="2453"/>
      <c r="J24" s="3112"/>
      <c r="K24" s="2348"/>
      <c r="L24" s="2456"/>
      <c r="M24" s="2456"/>
      <c r="N24" s="2879"/>
      <c r="O24" s="2569"/>
      <c r="P24" s="3158"/>
      <c r="Q24" s="2606"/>
      <c r="R24" s="2416"/>
      <c r="S24" s="3165"/>
      <c r="T24" s="1873" t="s">
        <v>1732</v>
      </c>
      <c r="U24" s="1942">
        <v>12000000</v>
      </c>
      <c r="V24" s="1942">
        <v>12000000</v>
      </c>
      <c r="W24" s="1941"/>
      <c r="X24" s="1860">
        <v>41</v>
      </c>
      <c r="Y24" s="1943" t="s">
        <v>1733</v>
      </c>
      <c r="Z24" s="3167"/>
      <c r="AA24" s="1948"/>
      <c r="AB24" s="3152"/>
      <c r="AC24" s="1869"/>
      <c r="AD24" s="3152"/>
      <c r="AE24" s="1869"/>
      <c r="AF24" s="3152"/>
      <c r="AG24" s="1869"/>
      <c r="AH24" s="3152"/>
      <c r="AI24" s="1869"/>
      <c r="AJ24" s="3152"/>
      <c r="AK24" s="1869"/>
      <c r="AL24" s="3152"/>
      <c r="AM24" s="1869"/>
      <c r="AN24" s="3152"/>
      <c r="AO24" s="1869"/>
      <c r="AP24" s="3152"/>
      <c r="AQ24" s="1869"/>
      <c r="AR24" s="3152"/>
      <c r="AS24" s="1869"/>
      <c r="AT24" s="3152"/>
      <c r="AU24" s="1869"/>
      <c r="AV24" s="3152"/>
      <c r="AW24" s="1869"/>
      <c r="AX24" s="3152"/>
      <c r="AY24" s="1869"/>
      <c r="AZ24" s="3152"/>
      <c r="BA24" s="1869"/>
      <c r="BB24" s="3152"/>
      <c r="BC24" s="1869"/>
      <c r="BD24" s="3152"/>
      <c r="BE24" s="1869"/>
      <c r="BF24" s="3152"/>
      <c r="BG24" s="3152"/>
      <c r="BH24" s="3152"/>
      <c r="BI24" s="2311"/>
      <c r="BJ24" s="3161"/>
      <c r="BK24" s="3152"/>
      <c r="BL24" s="3155"/>
      <c r="BM24" s="3155"/>
      <c r="BN24" s="3155"/>
      <c r="BO24" s="3155"/>
      <c r="BP24" s="3152"/>
      <c r="BQ24" s="1945"/>
      <c r="BR24" s="1933"/>
      <c r="BS24" s="1933"/>
      <c r="BT24" s="1933"/>
      <c r="BU24" s="1933"/>
      <c r="BV24" s="1933"/>
    </row>
    <row r="25" spans="1:74" s="18" customFormat="1" ht="65.25" customHeight="1" x14ac:dyDescent="0.2">
      <c r="A25" s="1858"/>
      <c r="B25" s="1946"/>
      <c r="C25" s="110"/>
      <c r="D25" s="1947"/>
      <c r="E25" s="1947"/>
      <c r="F25" s="1947"/>
      <c r="G25" s="3148"/>
      <c r="H25" s="3146"/>
      <c r="I25" s="3149"/>
      <c r="J25" s="3112"/>
      <c r="K25" s="2348"/>
      <c r="L25" s="2456"/>
      <c r="M25" s="2456"/>
      <c r="N25" s="2879"/>
      <c r="O25" s="2569"/>
      <c r="P25" s="3158"/>
      <c r="Q25" s="2606"/>
      <c r="R25" s="2416"/>
      <c r="S25" s="3165"/>
      <c r="T25" s="1873" t="s">
        <v>1734</v>
      </c>
      <c r="U25" s="1942">
        <v>18000000</v>
      </c>
      <c r="V25" s="1941"/>
      <c r="W25" s="1941"/>
      <c r="X25" s="1860">
        <v>41</v>
      </c>
      <c r="Y25" s="1943" t="s">
        <v>1733</v>
      </c>
      <c r="Z25" s="3167"/>
      <c r="AA25" s="1948"/>
      <c r="AB25" s="3152"/>
      <c r="AC25" s="1869"/>
      <c r="AD25" s="3152"/>
      <c r="AE25" s="1869"/>
      <c r="AF25" s="3152"/>
      <c r="AG25" s="1869"/>
      <c r="AH25" s="3152"/>
      <c r="AI25" s="1869"/>
      <c r="AJ25" s="3152"/>
      <c r="AK25" s="1869"/>
      <c r="AL25" s="3152"/>
      <c r="AM25" s="1869"/>
      <c r="AN25" s="3152"/>
      <c r="AO25" s="1869"/>
      <c r="AP25" s="3152"/>
      <c r="AQ25" s="1869"/>
      <c r="AR25" s="3152"/>
      <c r="AS25" s="1869"/>
      <c r="AT25" s="3152"/>
      <c r="AU25" s="1869"/>
      <c r="AV25" s="3152"/>
      <c r="AW25" s="1869"/>
      <c r="AX25" s="3152"/>
      <c r="AY25" s="1869"/>
      <c r="AZ25" s="3152"/>
      <c r="BA25" s="1869"/>
      <c r="BB25" s="3152"/>
      <c r="BC25" s="1869"/>
      <c r="BD25" s="3152"/>
      <c r="BE25" s="1869"/>
      <c r="BF25" s="3152"/>
      <c r="BG25" s="3152"/>
      <c r="BH25" s="3152"/>
      <c r="BI25" s="2311"/>
      <c r="BJ25" s="3161"/>
      <c r="BK25" s="3152"/>
      <c r="BL25" s="3155"/>
      <c r="BM25" s="3155"/>
      <c r="BN25" s="3155"/>
      <c r="BO25" s="3155"/>
      <c r="BP25" s="3152"/>
      <c r="BQ25" s="1945"/>
      <c r="BR25" s="1933"/>
      <c r="BS25" s="1933"/>
      <c r="BT25" s="1933"/>
      <c r="BU25" s="1933"/>
      <c r="BV25" s="1933"/>
    </row>
    <row r="26" spans="1:74" s="18" customFormat="1" ht="65.25" customHeight="1" x14ac:dyDescent="0.2">
      <c r="A26" s="1858"/>
      <c r="B26" s="1946"/>
      <c r="C26" s="110"/>
      <c r="D26" s="1947"/>
      <c r="E26" s="1947"/>
      <c r="F26" s="1947"/>
      <c r="G26" s="3148"/>
      <c r="H26" s="3146"/>
      <c r="I26" s="3149"/>
      <c r="J26" s="3112"/>
      <c r="K26" s="2348"/>
      <c r="L26" s="2456"/>
      <c r="M26" s="2456"/>
      <c r="N26" s="2879"/>
      <c r="O26" s="2569"/>
      <c r="P26" s="3158"/>
      <c r="Q26" s="2606"/>
      <c r="R26" s="2416"/>
      <c r="S26" s="3165"/>
      <c r="T26" s="2453" t="s">
        <v>1735</v>
      </c>
      <c r="U26" s="1942">
        <v>40994224</v>
      </c>
      <c r="V26" s="1953"/>
      <c r="W26" s="1953"/>
      <c r="X26" s="1860">
        <v>83</v>
      </c>
      <c r="Y26" s="1954" t="s">
        <v>1725</v>
      </c>
      <c r="Z26" s="3167"/>
      <c r="AA26" s="1948"/>
      <c r="AB26" s="3152"/>
      <c r="AC26" s="1869"/>
      <c r="AD26" s="3152"/>
      <c r="AE26" s="1869"/>
      <c r="AF26" s="3152"/>
      <c r="AG26" s="1869"/>
      <c r="AH26" s="3152"/>
      <c r="AI26" s="1869"/>
      <c r="AJ26" s="3152"/>
      <c r="AK26" s="1869"/>
      <c r="AL26" s="3152"/>
      <c r="AM26" s="1869"/>
      <c r="AN26" s="3152"/>
      <c r="AO26" s="1869"/>
      <c r="AP26" s="3152"/>
      <c r="AQ26" s="1869"/>
      <c r="AR26" s="3152"/>
      <c r="AS26" s="1869"/>
      <c r="AT26" s="3152"/>
      <c r="AU26" s="1869"/>
      <c r="AV26" s="3152"/>
      <c r="AW26" s="1869"/>
      <c r="AX26" s="3152"/>
      <c r="AY26" s="1869"/>
      <c r="AZ26" s="3152"/>
      <c r="BA26" s="1869"/>
      <c r="BB26" s="3152"/>
      <c r="BC26" s="1869"/>
      <c r="BD26" s="3152"/>
      <c r="BE26" s="1869"/>
      <c r="BF26" s="3152"/>
      <c r="BG26" s="3152"/>
      <c r="BH26" s="3152"/>
      <c r="BI26" s="2311"/>
      <c r="BJ26" s="3161"/>
      <c r="BK26" s="3152"/>
      <c r="BL26" s="3155"/>
      <c r="BM26" s="3155"/>
      <c r="BN26" s="3155"/>
      <c r="BO26" s="3155"/>
      <c r="BP26" s="3152"/>
      <c r="BQ26" s="1945"/>
      <c r="BR26" s="1933"/>
      <c r="BS26" s="1933"/>
      <c r="BT26" s="1933"/>
      <c r="BU26" s="1933"/>
      <c r="BV26" s="1933"/>
    </row>
    <row r="27" spans="1:74" s="18" customFormat="1" ht="38.25" customHeight="1" x14ac:dyDescent="0.2">
      <c r="A27" s="1858"/>
      <c r="B27" s="3051"/>
      <c r="C27" s="3052"/>
      <c r="D27" s="1947"/>
      <c r="E27" s="3053"/>
      <c r="F27" s="3053"/>
      <c r="G27" s="3148"/>
      <c r="H27" s="3146"/>
      <c r="I27" s="3149"/>
      <c r="J27" s="3142"/>
      <c r="K27" s="2522"/>
      <c r="L27" s="2457"/>
      <c r="M27" s="2456"/>
      <c r="N27" s="2879"/>
      <c r="O27" s="2569"/>
      <c r="P27" s="3159"/>
      <c r="Q27" s="3164"/>
      <c r="R27" s="2416"/>
      <c r="S27" s="3165"/>
      <c r="T27" s="2453"/>
      <c r="U27" s="1955">
        <v>140171010</v>
      </c>
      <c r="V27" s="1956"/>
      <c r="W27" s="1956"/>
      <c r="X27" s="666">
        <v>41</v>
      </c>
      <c r="Y27" s="1874" t="s">
        <v>1733</v>
      </c>
      <c r="Z27" s="3167"/>
      <c r="AA27" s="1948"/>
      <c r="AB27" s="3152"/>
      <c r="AC27" s="1869"/>
      <c r="AD27" s="3152"/>
      <c r="AE27" s="1869"/>
      <c r="AF27" s="3152"/>
      <c r="AG27" s="1869"/>
      <c r="AH27" s="3152"/>
      <c r="AI27" s="1869"/>
      <c r="AJ27" s="3152"/>
      <c r="AK27" s="1869"/>
      <c r="AL27" s="3152"/>
      <c r="AM27" s="1869"/>
      <c r="AN27" s="3152"/>
      <c r="AO27" s="1869"/>
      <c r="AP27" s="3152"/>
      <c r="AQ27" s="1869"/>
      <c r="AR27" s="3152"/>
      <c r="AS27" s="1869"/>
      <c r="AT27" s="3152"/>
      <c r="AU27" s="1869"/>
      <c r="AV27" s="3152"/>
      <c r="AW27" s="1869"/>
      <c r="AX27" s="3152"/>
      <c r="AY27" s="1869"/>
      <c r="AZ27" s="3152"/>
      <c r="BA27" s="1869"/>
      <c r="BB27" s="3152"/>
      <c r="BC27" s="1869"/>
      <c r="BD27" s="3152"/>
      <c r="BE27" s="1869"/>
      <c r="BF27" s="3153"/>
      <c r="BG27" s="3153"/>
      <c r="BH27" s="3153"/>
      <c r="BI27" s="3163"/>
      <c r="BJ27" s="3162"/>
      <c r="BK27" s="3153"/>
      <c r="BL27" s="3156"/>
      <c r="BM27" s="3156"/>
      <c r="BN27" s="3156"/>
      <c r="BO27" s="3156"/>
      <c r="BP27" s="3153" t="s">
        <v>1736</v>
      </c>
      <c r="BQ27" s="1945"/>
      <c r="BR27" s="1933"/>
      <c r="BS27" s="1933"/>
      <c r="BT27" s="1933"/>
      <c r="BU27" s="1933"/>
      <c r="BV27" s="1933"/>
    </row>
    <row r="28" spans="1:74" s="1471" customFormat="1" ht="65.25" customHeight="1" x14ac:dyDescent="0.2">
      <c r="A28" s="615"/>
      <c r="B28" s="3106"/>
      <c r="C28" s="3107"/>
      <c r="D28" s="1517"/>
      <c r="E28" s="3108"/>
      <c r="F28" s="3108"/>
      <c r="G28" s="3111" t="s">
        <v>1737</v>
      </c>
      <c r="H28" s="3111">
        <v>25.5</v>
      </c>
      <c r="I28" s="3091" t="s">
        <v>1738</v>
      </c>
      <c r="J28" s="3112" t="s">
        <v>1739</v>
      </c>
      <c r="K28" s="3113">
        <v>958</v>
      </c>
      <c r="L28" s="3114">
        <v>0</v>
      </c>
      <c r="M28" s="3144" t="s">
        <v>1740</v>
      </c>
      <c r="N28" s="3145" t="s">
        <v>1741</v>
      </c>
      <c r="O28" s="3129" t="s">
        <v>1742</v>
      </c>
      <c r="P28" s="3130">
        <f>SUM(U28:U30)/Q28</f>
        <v>0.53707208745911694</v>
      </c>
      <c r="Q28" s="3133">
        <f>SUM(U28:U32)</f>
        <v>204814218.74000001</v>
      </c>
      <c r="R28" s="3134" t="s">
        <v>1743</v>
      </c>
      <c r="S28" s="3136" t="s">
        <v>1744</v>
      </c>
      <c r="T28" s="1959" t="s">
        <v>1745</v>
      </c>
      <c r="U28" s="1960">
        <f>50000000</f>
        <v>50000000</v>
      </c>
      <c r="V28" s="1961"/>
      <c r="W28" s="1961"/>
      <c r="X28" s="1962">
        <v>34</v>
      </c>
      <c r="Y28" s="1874" t="s">
        <v>1746</v>
      </c>
      <c r="Z28" s="3138">
        <v>137900</v>
      </c>
      <c r="AA28" s="3116"/>
      <c r="AB28" s="3128">
        <v>133058</v>
      </c>
      <c r="AC28" s="3116"/>
      <c r="AD28" s="3128">
        <v>63153</v>
      </c>
      <c r="AE28" s="3116"/>
      <c r="AF28" s="3116">
        <v>20619</v>
      </c>
      <c r="AG28" s="3116"/>
      <c r="AH28" s="3116">
        <v>144038</v>
      </c>
      <c r="AI28" s="3116"/>
      <c r="AJ28" s="3116">
        <v>43148</v>
      </c>
      <c r="AK28" s="3116"/>
      <c r="AL28" s="3116">
        <v>999</v>
      </c>
      <c r="AM28" s="3116"/>
      <c r="AN28" s="3116">
        <v>5926</v>
      </c>
      <c r="AO28" s="3116"/>
      <c r="AP28" s="3116">
        <v>12</v>
      </c>
      <c r="AQ28" s="3116"/>
      <c r="AR28" s="3116">
        <v>17</v>
      </c>
      <c r="AS28" s="3116"/>
      <c r="AT28" s="3116"/>
      <c r="AU28" s="3116"/>
      <c r="AV28" s="3116"/>
      <c r="AW28" s="3116"/>
      <c r="AX28" s="3116">
        <v>20664</v>
      </c>
      <c r="AY28" s="3116"/>
      <c r="AZ28" s="3116">
        <v>10224</v>
      </c>
      <c r="BA28" s="3116"/>
      <c r="BB28" s="3116">
        <v>35264</v>
      </c>
      <c r="BC28" s="3116"/>
      <c r="BD28" s="3116">
        <f>+Z28+AB28</f>
        <v>270958</v>
      </c>
      <c r="BE28" s="3116"/>
      <c r="BF28" s="3116"/>
      <c r="BG28" s="3116"/>
      <c r="BH28" s="3116"/>
      <c r="BI28" s="3116"/>
      <c r="BJ28" s="3125" t="s">
        <v>1747</v>
      </c>
      <c r="BK28" s="3116"/>
      <c r="BL28" s="3119">
        <v>44033</v>
      </c>
      <c r="BM28" s="3119">
        <v>44196</v>
      </c>
      <c r="BN28" s="3119">
        <v>44195</v>
      </c>
      <c r="BO28" s="3119">
        <v>44196</v>
      </c>
      <c r="BP28" s="3122" t="s">
        <v>1717</v>
      </c>
      <c r="BQ28" s="1517"/>
      <c r="BR28" s="1963"/>
      <c r="BS28" s="1963"/>
      <c r="BT28" s="1963"/>
      <c r="BU28" s="1963"/>
      <c r="BV28" s="1963"/>
    </row>
    <row r="29" spans="1:74" s="1471" customFormat="1" ht="65.25" customHeight="1" x14ac:dyDescent="0.2">
      <c r="A29" s="615"/>
      <c r="B29" s="1964"/>
      <c r="C29" s="1965"/>
      <c r="D29" s="1517"/>
      <c r="E29" s="1966"/>
      <c r="F29" s="1966"/>
      <c r="G29" s="3111"/>
      <c r="H29" s="3111"/>
      <c r="I29" s="3091"/>
      <c r="J29" s="3112"/>
      <c r="K29" s="3113"/>
      <c r="L29" s="3143"/>
      <c r="M29" s="3144"/>
      <c r="N29" s="3145"/>
      <c r="O29" s="3129"/>
      <c r="P29" s="3131"/>
      <c r="Q29" s="3133"/>
      <c r="R29" s="3134"/>
      <c r="S29" s="3136"/>
      <c r="T29" s="1967" t="s">
        <v>1748</v>
      </c>
      <c r="U29" s="1960">
        <v>26100000</v>
      </c>
      <c r="V29" s="1961"/>
      <c r="W29" s="1961"/>
      <c r="X29" s="1962">
        <v>34</v>
      </c>
      <c r="Y29" s="1874" t="s">
        <v>1746</v>
      </c>
      <c r="Z29" s="3138"/>
      <c r="AA29" s="3117"/>
      <c r="AB29" s="3128"/>
      <c r="AC29" s="3117"/>
      <c r="AD29" s="3128"/>
      <c r="AE29" s="3117"/>
      <c r="AF29" s="3117"/>
      <c r="AG29" s="3117"/>
      <c r="AH29" s="3117"/>
      <c r="AI29" s="3117"/>
      <c r="AJ29" s="3117"/>
      <c r="AK29" s="3117"/>
      <c r="AL29" s="3117"/>
      <c r="AM29" s="3117"/>
      <c r="AN29" s="3117"/>
      <c r="AO29" s="3117"/>
      <c r="AP29" s="3117"/>
      <c r="AQ29" s="3117"/>
      <c r="AR29" s="3117"/>
      <c r="AS29" s="3117"/>
      <c r="AT29" s="3117"/>
      <c r="AU29" s="3117"/>
      <c r="AV29" s="3117"/>
      <c r="AW29" s="3117"/>
      <c r="AX29" s="3117"/>
      <c r="AY29" s="3117"/>
      <c r="AZ29" s="3117"/>
      <c r="BA29" s="3117"/>
      <c r="BB29" s="3117"/>
      <c r="BC29" s="3117"/>
      <c r="BD29" s="3117"/>
      <c r="BE29" s="3117"/>
      <c r="BF29" s="3117"/>
      <c r="BG29" s="3117"/>
      <c r="BH29" s="3117"/>
      <c r="BI29" s="3117"/>
      <c r="BJ29" s="3126"/>
      <c r="BK29" s="3117"/>
      <c r="BL29" s="3120"/>
      <c r="BM29" s="3120"/>
      <c r="BN29" s="3120"/>
      <c r="BO29" s="3120"/>
      <c r="BP29" s="3123"/>
      <c r="BQ29" s="1517"/>
      <c r="BR29" s="1963"/>
      <c r="BS29" s="1963"/>
      <c r="BT29" s="1963"/>
      <c r="BU29" s="1963"/>
      <c r="BV29" s="1963"/>
    </row>
    <row r="30" spans="1:74" s="1471" customFormat="1" ht="65.25" customHeight="1" x14ac:dyDescent="0.2">
      <c r="A30" s="615"/>
      <c r="B30" s="1964"/>
      <c r="C30" s="1965"/>
      <c r="D30" s="1517"/>
      <c r="E30" s="1966"/>
      <c r="F30" s="1966"/>
      <c r="G30" s="3146"/>
      <c r="H30" s="3146"/>
      <c r="I30" s="3141"/>
      <c r="J30" s="3142"/>
      <c r="K30" s="3113"/>
      <c r="L30" s="3115"/>
      <c r="M30" s="3144"/>
      <c r="N30" s="3145"/>
      <c r="O30" s="3129"/>
      <c r="P30" s="3132"/>
      <c r="Q30" s="3133"/>
      <c r="R30" s="3134"/>
      <c r="S30" s="3136"/>
      <c r="T30" s="1969" t="s">
        <v>1749</v>
      </c>
      <c r="U30" s="1960">
        <v>33900000</v>
      </c>
      <c r="V30" s="1961"/>
      <c r="W30" s="1961"/>
      <c r="X30" s="1962">
        <v>34</v>
      </c>
      <c r="Y30" s="1874" t="s">
        <v>1746</v>
      </c>
      <c r="Z30" s="3138"/>
      <c r="AA30" s="3117"/>
      <c r="AB30" s="3128"/>
      <c r="AC30" s="3117"/>
      <c r="AD30" s="3128"/>
      <c r="AE30" s="3117"/>
      <c r="AF30" s="3117"/>
      <c r="AG30" s="3117"/>
      <c r="AH30" s="3117"/>
      <c r="AI30" s="3117"/>
      <c r="AJ30" s="3117"/>
      <c r="AK30" s="3117"/>
      <c r="AL30" s="3117"/>
      <c r="AM30" s="3117"/>
      <c r="AN30" s="3117"/>
      <c r="AO30" s="3117"/>
      <c r="AP30" s="3117"/>
      <c r="AQ30" s="3117"/>
      <c r="AR30" s="3117"/>
      <c r="AS30" s="3117"/>
      <c r="AT30" s="3117"/>
      <c r="AU30" s="3117"/>
      <c r="AV30" s="3117"/>
      <c r="AW30" s="3117"/>
      <c r="AX30" s="3117"/>
      <c r="AY30" s="3117"/>
      <c r="AZ30" s="3117"/>
      <c r="BA30" s="3117"/>
      <c r="BB30" s="3117"/>
      <c r="BC30" s="3117"/>
      <c r="BD30" s="3117"/>
      <c r="BE30" s="3117"/>
      <c r="BF30" s="3117"/>
      <c r="BG30" s="3117"/>
      <c r="BH30" s="3117"/>
      <c r="BI30" s="3117"/>
      <c r="BJ30" s="3126"/>
      <c r="BK30" s="3117"/>
      <c r="BL30" s="3120"/>
      <c r="BM30" s="3120"/>
      <c r="BN30" s="3120"/>
      <c r="BO30" s="3120"/>
      <c r="BP30" s="3123"/>
      <c r="BQ30" s="1517"/>
      <c r="BR30" s="1963"/>
      <c r="BS30" s="1963"/>
      <c r="BT30" s="1963"/>
      <c r="BU30" s="1963"/>
      <c r="BV30" s="1963"/>
    </row>
    <row r="31" spans="1:74" s="1471" customFormat="1" ht="68.45" customHeight="1" x14ac:dyDescent="0.2">
      <c r="A31" s="615"/>
      <c r="B31" s="1964"/>
      <c r="C31" s="1965"/>
      <c r="D31" s="1517"/>
      <c r="E31" s="1966"/>
      <c r="F31" s="1966"/>
      <c r="G31" s="3111" t="s">
        <v>1750</v>
      </c>
      <c r="H31" s="3111">
        <v>25.9</v>
      </c>
      <c r="I31" s="3091" t="s">
        <v>1751</v>
      </c>
      <c r="J31" s="3112" t="s">
        <v>1752</v>
      </c>
      <c r="K31" s="3113">
        <v>5</v>
      </c>
      <c r="L31" s="3114">
        <v>0</v>
      </c>
      <c r="M31" s="3144"/>
      <c r="N31" s="3145"/>
      <c r="O31" s="3129"/>
      <c r="P31" s="3130">
        <f>SUM(U31:U32)/Q28</f>
        <v>0.462927912540883</v>
      </c>
      <c r="Q31" s="3133"/>
      <c r="R31" s="3134"/>
      <c r="S31" s="3136"/>
      <c r="T31" s="3139" t="s">
        <v>1753</v>
      </c>
      <c r="U31" s="1971">
        <v>34643208.740000002</v>
      </c>
      <c r="V31" s="1972"/>
      <c r="W31" s="1972"/>
      <c r="X31" s="1973">
        <v>83</v>
      </c>
      <c r="Y31" s="1875" t="s">
        <v>1754</v>
      </c>
      <c r="Z31" s="3128"/>
      <c r="AA31" s="3117"/>
      <c r="AB31" s="3128"/>
      <c r="AC31" s="3117"/>
      <c r="AD31" s="3128"/>
      <c r="AE31" s="3117"/>
      <c r="AF31" s="3117"/>
      <c r="AG31" s="3117"/>
      <c r="AH31" s="3117"/>
      <c r="AI31" s="3117"/>
      <c r="AJ31" s="3117"/>
      <c r="AK31" s="3117"/>
      <c r="AL31" s="3117"/>
      <c r="AM31" s="3117"/>
      <c r="AN31" s="3117"/>
      <c r="AO31" s="3117"/>
      <c r="AP31" s="3117"/>
      <c r="AQ31" s="3117"/>
      <c r="AR31" s="3117"/>
      <c r="AS31" s="3117"/>
      <c r="AT31" s="3117"/>
      <c r="AU31" s="3117"/>
      <c r="AV31" s="3117"/>
      <c r="AW31" s="3117"/>
      <c r="AX31" s="3117"/>
      <c r="AY31" s="3117"/>
      <c r="AZ31" s="3117"/>
      <c r="BA31" s="3117"/>
      <c r="BB31" s="3117"/>
      <c r="BC31" s="3117"/>
      <c r="BD31" s="3117"/>
      <c r="BE31" s="3117"/>
      <c r="BF31" s="3117"/>
      <c r="BG31" s="3117"/>
      <c r="BH31" s="3117"/>
      <c r="BI31" s="3117"/>
      <c r="BJ31" s="3126"/>
      <c r="BK31" s="3117"/>
      <c r="BL31" s="3120"/>
      <c r="BM31" s="3120"/>
      <c r="BN31" s="3120"/>
      <c r="BO31" s="3120"/>
      <c r="BP31" s="3123"/>
      <c r="BQ31" s="1517"/>
      <c r="BR31" s="1963"/>
      <c r="BS31" s="1963"/>
      <c r="BT31" s="1963"/>
      <c r="BU31" s="1963"/>
      <c r="BV31" s="1963"/>
    </row>
    <row r="32" spans="1:74" s="1471" customFormat="1" ht="44.45" customHeight="1" x14ac:dyDescent="0.2">
      <c r="A32" s="615"/>
      <c r="B32" s="3106"/>
      <c r="C32" s="3107"/>
      <c r="D32" s="1517"/>
      <c r="E32" s="3108"/>
      <c r="F32" s="3108"/>
      <c r="G32" s="3111"/>
      <c r="H32" s="3111"/>
      <c r="I32" s="3091"/>
      <c r="J32" s="3112"/>
      <c r="K32" s="3113"/>
      <c r="L32" s="3115"/>
      <c r="M32" s="3144"/>
      <c r="N32" s="3145"/>
      <c r="O32" s="3129"/>
      <c r="P32" s="3132"/>
      <c r="Q32" s="3133"/>
      <c r="R32" s="3135"/>
      <c r="S32" s="3137"/>
      <c r="T32" s="3140"/>
      <c r="U32" s="1974">
        <v>60171010</v>
      </c>
      <c r="V32" s="1972"/>
      <c r="W32" s="1972"/>
      <c r="X32" s="1962">
        <v>34</v>
      </c>
      <c r="Y32" s="1874" t="s">
        <v>1755</v>
      </c>
      <c r="Z32" s="3128"/>
      <c r="AA32" s="3118"/>
      <c r="AB32" s="3128"/>
      <c r="AC32" s="3118"/>
      <c r="AD32" s="3128"/>
      <c r="AE32" s="3118"/>
      <c r="AF32" s="3118"/>
      <c r="AG32" s="3118"/>
      <c r="AH32" s="3118"/>
      <c r="AI32" s="3118"/>
      <c r="AJ32" s="3118"/>
      <c r="AK32" s="3118"/>
      <c r="AL32" s="3118"/>
      <c r="AM32" s="3118"/>
      <c r="AN32" s="3118"/>
      <c r="AO32" s="3118"/>
      <c r="AP32" s="3118"/>
      <c r="AQ32" s="3118"/>
      <c r="AR32" s="3118"/>
      <c r="AS32" s="3118"/>
      <c r="AT32" s="3118"/>
      <c r="AU32" s="3118"/>
      <c r="AV32" s="3118"/>
      <c r="AW32" s="3118"/>
      <c r="AX32" s="3118"/>
      <c r="AY32" s="3118"/>
      <c r="AZ32" s="3118"/>
      <c r="BA32" s="3118"/>
      <c r="BB32" s="3118"/>
      <c r="BC32" s="3118"/>
      <c r="BD32" s="3118"/>
      <c r="BE32" s="3118"/>
      <c r="BF32" s="3118"/>
      <c r="BG32" s="3118"/>
      <c r="BH32" s="3118"/>
      <c r="BI32" s="3118"/>
      <c r="BJ32" s="3127"/>
      <c r="BK32" s="3118"/>
      <c r="BL32" s="3121"/>
      <c r="BM32" s="3121"/>
      <c r="BN32" s="3121"/>
      <c r="BO32" s="3121"/>
      <c r="BP32" s="3124" t="s">
        <v>1736</v>
      </c>
      <c r="BR32" s="1963"/>
      <c r="BS32" s="1963"/>
      <c r="BT32" s="1963"/>
      <c r="BU32" s="1963"/>
      <c r="BV32" s="1963"/>
    </row>
    <row r="33" spans="1:74" s="1" customFormat="1" ht="165" x14ac:dyDescent="0.2">
      <c r="A33" s="124"/>
      <c r="B33" s="3051"/>
      <c r="C33" s="3052"/>
      <c r="D33" s="1936"/>
      <c r="E33" s="3053"/>
      <c r="F33" s="2516"/>
      <c r="G33" s="1975" t="s">
        <v>1756</v>
      </c>
      <c r="H33" s="1976">
        <v>25.8</v>
      </c>
      <c r="I33" s="1867" t="s">
        <v>1757</v>
      </c>
      <c r="J33" s="1876" t="s">
        <v>1758</v>
      </c>
      <c r="K33" s="1866">
        <v>1</v>
      </c>
      <c r="L33" s="1866">
        <v>0</v>
      </c>
      <c r="M33" s="1862" t="s">
        <v>1759</v>
      </c>
      <c r="N33" s="1871" t="s">
        <v>1760</v>
      </c>
      <c r="O33" s="1877" t="s">
        <v>1761</v>
      </c>
      <c r="P33" s="1977">
        <f>+U33/Q33</f>
        <v>1</v>
      </c>
      <c r="Q33" s="1978">
        <f>+U33</f>
        <v>18000000</v>
      </c>
      <c r="R33" s="1979" t="s">
        <v>1762</v>
      </c>
      <c r="S33" s="1878" t="s">
        <v>1763</v>
      </c>
      <c r="T33" s="1980" t="s">
        <v>1757</v>
      </c>
      <c r="U33" s="1981">
        <v>18000000</v>
      </c>
      <c r="V33" s="1982"/>
      <c r="W33" s="1982"/>
      <c r="X33" s="459">
        <v>88</v>
      </c>
      <c r="Y33" s="1861" t="s">
        <v>382</v>
      </c>
      <c r="Z33" s="1983">
        <v>763.40206894654307</v>
      </c>
      <c r="AA33" s="1983"/>
      <c r="AB33" s="1984">
        <v>736.59793105345693</v>
      </c>
      <c r="AC33" s="1984"/>
      <c r="AD33" s="1984">
        <v>0</v>
      </c>
      <c r="AE33" s="1984"/>
      <c r="AF33" s="1984">
        <v>114.14456488843646</v>
      </c>
      <c r="AG33" s="1984"/>
      <c r="AH33" s="1984">
        <v>797.38183343879825</v>
      </c>
      <c r="AI33" s="1984"/>
      <c r="AJ33" s="1984">
        <v>0</v>
      </c>
      <c r="AK33" s="1984"/>
      <c r="AL33" s="1984">
        <v>0</v>
      </c>
      <c r="AM33" s="1984"/>
      <c r="AN33" s="1984">
        <v>0</v>
      </c>
      <c r="AO33" s="1984"/>
      <c r="AP33" s="1984">
        <v>0</v>
      </c>
      <c r="AQ33" s="1984"/>
      <c r="AR33" s="1984">
        <v>9.5434286185930056E-2</v>
      </c>
      <c r="AS33" s="1984"/>
      <c r="AT33" s="1984">
        <v>0</v>
      </c>
      <c r="AU33" s="1984"/>
      <c r="AV33" s="1984">
        <v>0</v>
      </c>
      <c r="AW33" s="1984"/>
      <c r="AX33" s="1984">
        <v>0</v>
      </c>
      <c r="AY33" s="1984"/>
      <c r="AZ33" s="1984">
        <v>0</v>
      </c>
      <c r="BA33" s="1984"/>
      <c r="BB33" s="1984">
        <v>0</v>
      </c>
      <c r="BC33" s="1984"/>
      <c r="BD33" s="1984">
        <f>+Z33+AB33</f>
        <v>1500</v>
      </c>
      <c r="BE33" s="1984"/>
      <c r="BF33" s="1984"/>
      <c r="BG33" s="1984"/>
      <c r="BH33" s="1984"/>
      <c r="BI33" s="1984"/>
      <c r="BJ33" s="1870" t="s">
        <v>1764</v>
      </c>
      <c r="BK33" s="1984"/>
      <c r="BL33" s="1985">
        <v>44033</v>
      </c>
      <c r="BM33" s="1985">
        <v>44196</v>
      </c>
      <c r="BN33" s="1985">
        <v>44195</v>
      </c>
      <c r="BO33" s="1985">
        <v>44196</v>
      </c>
      <c r="BP33" s="1863" t="s">
        <v>1717</v>
      </c>
      <c r="BR33" s="1986"/>
      <c r="BS33" s="1986"/>
      <c r="BT33" s="1986"/>
      <c r="BU33" s="1986"/>
      <c r="BV33" s="1986"/>
    </row>
    <row r="34" spans="1:74" s="1" customFormat="1" ht="90" customHeight="1" x14ac:dyDescent="0.2">
      <c r="A34" s="124"/>
      <c r="B34" s="1946"/>
      <c r="C34" s="110"/>
      <c r="D34" s="1936"/>
      <c r="E34" s="1947"/>
      <c r="F34" s="1864"/>
      <c r="G34" s="2566" t="s">
        <v>1765</v>
      </c>
      <c r="H34" s="3109">
        <v>25.7</v>
      </c>
      <c r="I34" s="2894" t="s">
        <v>1766</v>
      </c>
      <c r="J34" s="2422" t="s">
        <v>1767</v>
      </c>
      <c r="K34" s="2324">
        <v>30</v>
      </c>
      <c r="L34" s="2318">
        <v>0</v>
      </c>
      <c r="M34" s="2318" t="s">
        <v>1768</v>
      </c>
      <c r="N34" s="2306" t="s">
        <v>1769</v>
      </c>
      <c r="O34" s="2422" t="s">
        <v>1770</v>
      </c>
      <c r="P34" s="2718">
        <f>SUM(U34:U35)/Q34</f>
        <v>1</v>
      </c>
      <c r="Q34" s="3104">
        <f>SUM(U34:U35)</f>
        <v>1025653462.2</v>
      </c>
      <c r="R34" s="2566" t="s">
        <v>1771</v>
      </c>
      <c r="S34" s="2566" t="s">
        <v>1772</v>
      </c>
      <c r="T34" s="2894" t="s">
        <v>1773</v>
      </c>
      <c r="U34" s="1987">
        <v>131920481.45999999</v>
      </c>
      <c r="V34" s="1987"/>
      <c r="W34" s="1987"/>
      <c r="X34" s="459">
        <v>33</v>
      </c>
      <c r="Y34" s="1861" t="s">
        <v>1774</v>
      </c>
      <c r="Z34" s="3070">
        <v>26</v>
      </c>
      <c r="AA34" s="3100"/>
      <c r="AB34" s="3100">
        <v>26</v>
      </c>
      <c r="AC34" s="3100"/>
      <c r="AD34" s="3100">
        <v>0</v>
      </c>
      <c r="AE34" s="3100"/>
      <c r="AF34" s="3100">
        <v>0</v>
      </c>
      <c r="AG34" s="3100"/>
      <c r="AH34" s="3100">
        <v>52</v>
      </c>
      <c r="AI34" s="3100"/>
      <c r="AJ34" s="3100">
        <v>0</v>
      </c>
      <c r="AK34" s="3100"/>
      <c r="AL34" s="3100">
        <v>0</v>
      </c>
      <c r="AM34" s="3100"/>
      <c r="AN34" s="3100">
        <v>0</v>
      </c>
      <c r="AO34" s="3100"/>
      <c r="AP34" s="3100">
        <v>0</v>
      </c>
      <c r="AQ34" s="3100"/>
      <c r="AR34" s="3100">
        <v>0</v>
      </c>
      <c r="AS34" s="3100"/>
      <c r="AT34" s="3100">
        <v>0</v>
      </c>
      <c r="AU34" s="3100"/>
      <c r="AV34" s="3100">
        <v>0</v>
      </c>
      <c r="AW34" s="3100"/>
      <c r="AX34" s="3100">
        <v>0</v>
      </c>
      <c r="AY34" s="3100"/>
      <c r="AZ34" s="3100">
        <v>0</v>
      </c>
      <c r="BA34" s="3100"/>
      <c r="BB34" s="3100">
        <v>0</v>
      </c>
      <c r="BC34" s="3100"/>
      <c r="BD34" s="3100">
        <v>52</v>
      </c>
      <c r="BE34" s="3100"/>
      <c r="BF34" s="3100"/>
      <c r="BG34" s="3100"/>
      <c r="BH34" s="3100"/>
      <c r="BI34" s="3100"/>
      <c r="BJ34" s="3098" t="s">
        <v>1775</v>
      </c>
      <c r="BK34" s="3100"/>
      <c r="BL34" s="3102">
        <v>43832</v>
      </c>
      <c r="BM34" s="3102">
        <v>44196</v>
      </c>
      <c r="BN34" s="3102">
        <v>44195</v>
      </c>
      <c r="BO34" s="3102">
        <v>44196</v>
      </c>
      <c r="BP34" s="3071" t="s">
        <v>1717</v>
      </c>
      <c r="BR34" s="1986"/>
      <c r="BS34" s="1986"/>
      <c r="BT34" s="1986"/>
      <c r="BU34" s="1986"/>
      <c r="BV34" s="1986"/>
    </row>
    <row r="35" spans="1:74" s="1" customFormat="1" ht="101.25" customHeight="1" x14ac:dyDescent="0.2">
      <c r="A35" s="124"/>
      <c r="B35" s="3051"/>
      <c r="C35" s="3052"/>
      <c r="D35" s="125"/>
      <c r="E35" s="3085"/>
      <c r="F35" s="3086"/>
      <c r="G35" s="2969"/>
      <c r="H35" s="3110"/>
      <c r="I35" s="2895"/>
      <c r="J35" s="2424"/>
      <c r="K35" s="2736"/>
      <c r="L35" s="2465"/>
      <c r="M35" s="2465"/>
      <c r="N35" s="2467"/>
      <c r="O35" s="2424"/>
      <c r="P35" s="2720"/>
      <c r="Q35" s="3105"/>
      <c r="R35" s="2969"/>
      <c r="S35" s="2969"/>
      <c r="T35" s="2895"/>
      <c r="U35" s="1988">
        <v>893732980.74000001</v>
      </c>
      <c r="V35" s="1988"/>
      <c r="W35" s="1988"/>
      <c r="X35" s="459">
        <v>83</v>
      </c>
      <c r="Y35" s="1861" t="s">
        <v>1776</v>
      </c>
      <c r="Z35" s="3066"/>
      <c r="AA35" s="3101"/>
      <c r="AB35" s="3101"/>
      <c r="AC35" s="3101"/>
      <c r="AD35" s="3101"/>
      <c r="AE35" s="3101"/>
      <c r="AF35" s="3101"/>
      <c r="AG35" s="3101"/>
      <c r="AH35" s="3101"/>
      <c r="AI35" s="3101"/>
      <c r="AJ35" s="3101"/>
      <c r="AK35" s="3101"/>
      <c r="AL35" s="3101"/>
      <c r="AM35" s="3101"/>
      <c r="AN35" s="3101"/>
      <c r="AO35" s="3101"/>
      <c r="AP35" s="3101"/>
      <c r="AQ35" s="3101"/>
      <c r="AR35" s="3101"/>
      <c r="AS35" s="3101"/>
      <c r="AT35" s="3101"/>
      <c r="AU35" s="3101"/>
      <c r="AV35" s="3101"/>
      <c r="AW35" s="3101"/>
      <c r="AX35" s="3101"/>
      <c r="AY35" s="3101"/>
      <c r="AZ35" s="3101"/>
      <c r="BA35" s="3101"/>
      <c r="BB35" s="3101"/>
      <c r="BC35" s="3101"/>
      <c r="BD35" s="3101"/>
      <c r="BE35" s="3101"/>
      <c r="BF35" s="3101"/>
      <c r="BG35" s="3101"/>
      <c r="BH35" s="3101"/>
      <c r="BI35" s="3101"/>
      <c r="BJ35" s="3099"/>
      <c r="BK35" s="3101"/>
      <c r="BL35" s="3103"/>
      <c r="BM35" s="3103"/>
      <c r="BN35" s="3103"/>
      <c r="BO35" s="3103"/>
      <c r="BP35" s="3073"/>
      <c r="BR35" s="1986"/>
      <c r="BS35" s="1986"/>
      <c r="BT35" s="1986"/>
      <c r="BU35" s="1986"/>
      <c r="BV35" s="1986"/>
    </row>
    <row r="36" spans="1:74" s="1" customFormat="1" ht="15.75" x14ac:dyDescent="0.2">
      <c r="A36" s="124"/>
      <c r="B36" s="3051"/>
      <c r="C36" s="3052"/>
      <c r="D36" s="1989">
        <v>26</v>
      </c>
      <c r="E36" s="716" t="s">
        <v>1777</v>
      </c>
      <c r="F36" s="388"/>
      <c r="G36" s="717"/>
      <c r="H36" s="717"/>
      <c r="I36" s="406"/>
      <c r="J36" s="390"/>
      <c r="K36" s="717"/>
      <c r="L36" s="717"/>
      <c r="M36" s="390"/>
      <c r="N36" s="1990"/>
      <c r="O36" s="406"/>
      <c r="P36" s="1991"/>
      <c r="Q36" s="1992"/>
      <c r="R36" s="1993"/>
      <c r="S36" s="1993"/>
      <c r="T36" s="406"/>
      <c r="U36" s="1994"/>
      <c r="V36" s="1995"/>
      <c r="W36" s="1995"/>
      <c r="X36" s="1996"/>
      <c r="Y36" s="1997"/>
      <c r="Z36" s="1998"/>
      <c r="AA36" s="1998"/>
      <c r="AB36" s="1999"/>
      <c r="AC36" s="1999"/>
      <c r="AD36" s="1999"/>
      <c r="AE36" s="1999"/>
      <c r="AF36" s="1999"/>
      <c r="AG36" s="1999"/>
      <c r="AH36" s="1999"/>
      <c r="AI36" s="1999"/>
      <c r="AJ36" s="1999"/>
      <c r="AK36" s="1999"/>
      <c r="AL36" s="1999"/>
      <c r="AM36" s="1999"/>
      <c r="AN36" s="1999"/>
      <c r="AO36" s="1999"/>
      <c r="AP36" s="1999"/>
      <c r="AQ36" s="1999"/>
      <c r="AR36" s="1999"/>
      <c r="AS36" s="1999"/>
      <c r="AT36" s="1999"/>
      <c r="AU36" s="1999"/>
      <c r="AV36" s="1999"/>
      <c r="AW36" s="1999"/>
      <c r="AX36" s="1999"/>
      <c r="AY36" s="1999"/>
      <c r="AZ36" s="1999"/>
      <c r="BA36" s="1999"/>
      <c r="BB36" s="1999"/>
      <c r="BC36" s="1999"/>
      <c r="BD36" s="1999"/>
      <c r="BE36" s="1999"/>
      <c r="BF36" s="1999"/>
      <c r="BG36" s="1999"/>
      <c r="BH36" s="1999"/>
      <c r="BI36" s="1999"/>
      <c r="BJ36" s="1999"/>
      <c r="BK36" s="1999"/>
      <c r="BL36" s="1409"/>
      <c r="BM36" s="1409"/>
      <c r="BN36" s="2000"/>
      <c r="BO36" s="2001"/>
      <c r="BP36" s="2002"/>
      <c r="BR36" s="1986"/>
      <c r="BS36" s="1986"/>
      <c r="BT36" s="1986"/>
      <c r="BU36" s="1986"/>
      <c r="BV36" s="1986"/>
    </row>
    <row r="37" spans="1:74" s="1471" customFormat="1" ht="56.25" customHeight="1" x14ac:dyDescent="0.2">
      <c r="A37" s="615"/>
      <c r="B37" s="1964"/>
      <c r="C37" s="1965"/>
      <c r="D37" s="2003"/>
      <c r="E37" s="1930"/>
      <c r="F37" s="1523"/>
      <c r="G37" s="3059">
        <v>3302042</v>
      </c>
      <c r="H37" s="3088">
        <v>26.1</v>
      </c>
      <c r="I37" s="3091" t="s">
        <v>1778</v>
      </c>
      <c r="J37" s="3092" t="s">
        <v>1779</v>
      </c>
      <c r="K37" s="3095">
        <v>12</v>
      </c>
      <c r="L37" s="3063">
        <v>6</v>
      </c>
      <c r="M37" s="3080" t="s">
        <v>1780</v>
      </c>
      <c r="N37" s="2867" t="s">
        <v>1781</v>
      </c>
      <c r="O37" s="2914" t="s">
        <v>1782</v>
      </c>
      <c r="P37" s="3082">
        <f>SUM(U37:U39)/Q37</f>
        <v>8.9761258960060153E-2</v>
      </c>
      <c r="Q37" s="3083">
        <f>SUM(U37:U41)</f>
        <v>376554433.30000001</v>
      </c>
      <c r="R37" s="1873"/>
      <c r="S37" s="1873"/>
      <c r="T37" s="1874" t="s">
        <v>1783</v>
      </c>
      <c r="U37" s="2006">
        <f>4800000</f>
        <v>4800000</v>
      </c>
      <c r="V37" s="2006">
        <f t="shared" ref="V37:W37" si="1">4800000</f>
        <v>4800000</v>
      </c>
      <c r="W37" s="2006">
        <f t="shared" si="1"/>
        <v>4800000</v>
      </c>
      <c r="X37" s="2007">
        <v>20</v>
      </c>
      <c r="Y37" s="1872" t="s">
        <v>1784</v>
      </c>
      <c r="Z37" s="3070">
        <v>85278</v>
      </c>
      <c r="AA37" s="3070"/>
      <c r="AB37" s="3070">
        <v>85277</v>
      </c>
      <c r="AC37" s="3070"/>
      <c r="AD37" s="3070">
        <v>17056</v>
      </c>
      <c r="AE37" s="3070"/>
      <c r="AF37" s="3070">
        <v>34111</v>
      </c>
      <c r="AG37" s="3070"/>
      <c r="AH37" s="3070">
        <v>85278</v>
      </c>
      <c r="AI37" s="3070"/>
      <c r="AJ37" s="3070">
        <v>25582</v>
      </c>
      <c r="AK37" s="3070"/>
      <c r="AL37" s="3070">
        <v>4264</v>
      </c>
      <c r="AM37" s="3070"/>
      <c r="AN37" s="3070">
        <v>4264</v>
      </c>
      <c r="AO37" s="3070"/>
      <c r="AP37" s="3070">
        <v>0</v>
      </c>
      <c r="AQ37" s="3070"/>
      <c r="AR37" s="3070">
        <v>0</v>
      </c>
      <c r="AS37" s="3070"/>
      <c r="AT37" s="3070">
        <v>0</v>
      </c>
      <c r="AU37" s="3070"/>
      <c r="AV37" s="3070">
        <v>0</v>
      </c>
      <c r="AW37" s="3070"/>
      <c r="AX37" s="3070">
        <v>0</v>
      </c>
      <c r="AY37" s="3070"/>
      <c r="AZ37" s="3070">
        <v>0</v>
      </c>
      <c r="BA37" s="3070"/>
      <c r="BB37" s="3070">
        <v>0</v>
      </c>
      <c r="BC37" s="3070"/>
      <c r="BD37" s="3070">
        <v>170555</v>
      </c>
      <c r="BE37" s="3070"/>
      <c r="BF37" s="3070">
        <v>5</v>
      </c>
      <c r="BG37" s="3070">
        <v>376520000</v>
      </c>
      <c r="BH37" s="3070">
        <v>242280000</v>
      </c>
      <c r="BI37" s="3074">
        <f>BH37/BG37</f>
        <v>0.64347179432699453</v>
      </c>
      <c r="BJ37" s="3077" t="s">
        <v>1785</v>
      </c>
      <c r="BK37" s="3064" t="s">
        <v>1786</v>
      </c>
      <c r="BL37" s="3067">
        <v>43832</v>
      </c>
      <c r="BM37" s="3067">
        <v>44196</v>
      </c>
      <c r="BN37" s="3067">
        <v>44195</v>
      </c>
      <c r="BO37" s="3070">
        <v>44196</v>
      </c>
      <c r="BP37" s="3071" t="s">
        <v>1717</v>
      </c>
      <c r="BR37" s="1963"/>
      <c r="BS37" s="1963"/>
      <c r="BT37" s="1963"/>
      <c r="BU37" s="1963"/>
      <c r="BV37" s="1963"/>
    </row>
    <row r="38" spans="1:74" s="1471" customFormat="1" ht="56.25" customHeight="1" x14ac:dyDescent="0.2">
      <c r="A38" s="615"/>
      <c r="B38" s="1964"/>
      <c r="C38" s="1965"/>
      <c r="D38" s="2003"/>
      <c r="E38" s="1930"/>
      <c r="F38" s="1523"/>
      <c r="G38" s="3087"/>
      <c r="H38" s="3089"/>
      <c r="I38" s="3091"/>
      <c r="J38" s="3093"/>
      <c r="K38" s="3096"/>
      <c r="L38" s="3063"/>
      <c r="M38" s="2515"/>
      <c r="N38" s="2867"/>
      <c r="O38" s="2914"/>
      <c r="P38" s="3082"/>
      <c r="Q38" s="3083"/>
      <c r="R38" s="1873"/>
      <c r="S38" s="1873"/>
      <c r="T38" s="1874" t="s">
        <v>1787</v>
      </c>
      <c r="U38" s="2006">
        <f>9000000</f>
        <v>9000000</v>
      </c>
      <c r="V38" s="2008">
        <f t="shared" ref="V38:W38" si="2">9000000</f>
        <v>9000000</v>
      </c>
      <c r="W38" s="2008">
        <f t="shared" si="2"/>
        <v>9000000</v>
      </c>
      <c r="X38" s="2007">
        <v>20</v>
      </c>
      <c r="Y38" s="1872" t="s">
        <v>1784</v>
      </c>
      <c r="Z38" s="3065"/>
      <c r="AA38" s="3065"/>
      <c r="AB38" s="3065"/>
      <c r="AC38" s="3065"/>
      <c r="AD38" s="3065"/>
      <c r="AE38" s="3065"/>
      <c r="AF38" s="3065"/>
      <c r="AG38" s="3065"/>
      <c r="AH38" s="3065"/>
      <c r="AI38" s="3065"/>
      <c r="AJ38" s="3065"/>
      <c r="AK38" s="3065"/>
      <c r="AL38" s="3065"/>
      <c r="AM38" s="3065"/>
      <c r="AN38" s="3065"/>
      <c r="AO38" s="3065"/>
      <c r="AP38" s="3065"/>
      <c r="AQ38" s="3065"/>
      <c r="AR38" s="3065"/>
      <c r="AS38" s="3065"/>
      <c r="AT38" s="3065"/>
      <c r="AU38" s="3065"/>
      <c r="AV38" s="3065"/>
      <c r="AW38" s="3065"/>
      <c r="AX38" s="3065"/>
      <c r="AY38" s="3065"/>
      <c r="AZ38" s="3065"/>
      <c r="BA38" s="3065"/>
      <c r="BB38" s="3065"/>
      <c r="BC38" s="3065"/>
      <c r="BD38" s="3065"/>
      <c r="BE38" s="3065"/>
      <c r="BF38" s="3065"/>
      <c r="BG38" s="3065"/>
      <c r="BH38" s="3065"/>
      <c r="BI38" s="3075"/>
      <c r="BJ38" s="3078"/>
      <c r="BK38" s="3065"/>
      <c r="BL38" s="3068"/>
      <c r="BM38" s="3068"/>
      <c r="BN38" s="3068"/>
      <c r="BO38" s="3065"/>
      <c r="BP38" s="3072"/>
      <c r="BR38" s="1963"/>
      <c r="BS38" s="1963"/>
      <c r="BT38" s="1963"/>
      <c r="BU38" s="1963"/>
      <c r="BV38" s="1963"/>
    </row>
    <row r="39" spans="1:74" s="1" customFormat="1" ht="56.25" customHeight="1" x14ac:dyDescent="0.2">
      <c r="A39" s="124"/>
      <c r="B39" s="3051"/>
      <c r="C39" s="3052"/>
      <c r="D39" s="161"/>
      <c r="E39" s="2575"/>
      <c r="F39" s="2576"/>
      <c r="G39" s="3060"/>
      <c r="H39" s="3090"/>
      <c r="I39" s="3091"/>
      <c r="J39" s="3094"/>
      <c r="K39" s="3097"/>
      <c r="L39" s="3063"/>
      <c r="M39" s="2515"/>
      <c r="N39" s="2867"/>
      <c r="O39" s="2914"/>
      <c r="P39" s="3082"/>
      <c r="Q39" s="3083"/>
      <c r="R39" s="2453" t="s">
        <v>1788</v>
      </c>
      <c r="S39" s="2453" t="s">
        <v>1789</v>
      </c>
      <c r="T39" s="1873" t="s">
        <v>1790</v>
      </c>
      <c r="U39" s="2010">
        <v>20000000</v>
      </c>
      <c r="V39" s="2011">
        <v>20000000</v>
      </c>
      <c r="W39" s="2011"/>
      <c r="X39" s="2012">
        <v>88</v>
      </c>
      <c r="Y39" s="1874" t="s">
        <v>620</v>
      </c>
      <c r="Z39" s="3065"/>
      <c r="AA39" s="3065"/>
      <c r="AB39" s="3065"/>
      <c r="AC39" s="3065"/>
      <c r="AD39" s="3065"/>
      <c r="AE39" s="3065"/>
      <c r="AF39" s="3065"/>
      <c r="AG39" s="3065"/>
      <c r="AH39" s="3065"/>
      <c r="AI39" s="3065"/>
      <c r="AJ39" s="3065"/>
      <c r="AK39" s="3065"/>
      <c r="AL39" s="3065"/>
      <c r="AM39" s="3065"/>
      <c r="AN39" s="3065"/>
      <c r="AO39" s="3065"/>
      <c r="AP39" s="3065"/>
      <c r="AQ39" s="3065"/>
      <c r="AR39" s="3065"/>
      <c r="AS39" s="3065"/>
      <c r="AT39" s="3065"/>
      <c r="AU39" s="3065"/>
      <c r="AV39" s="3065"/>
      <c r="AW39" s="3065"/>
      <c r="AX39" s="3065"/>
      <c r="AY39" s="3065"/>
      <c r="AZ39" s="3065"/>
      <c r="BA39" s="3065"/>
      <c r="BB39" s="3065"/>
      <c r="BC39" s="3065"/>
      <c r="BD39" s="3065"/>
      <c r="BE39" s="3065"/>
      <c r="BF39" s="3065"/>
      <c r="BG39" s="3065"/>
      <c r="BH39" s="3065"/>
      <c r="BI39" s="3075"/>
      <c r="BJ39" s="3078"/>
      <c r="BK39" s="3065"/>
      <c r="BL39" s="3068"/>
      <c r="BM39" s="3068"/>
      <c r="BN39" s="3068"/>
      <c r="BO39" s="3065"/>
      <c r="BP39" s="3072"/>
      <c r="BR39" s="1986"/>
      <c r="BS39" s="1986"/>
      <c r="BT39" s="1986"/>
      <c r="BU39" s="1986"/>
      <c r="BV39" s="1986"/>
    </row>
    <row r="40" spans="1:74" s="1" customFormat="1" ht="45" customHeight="1" x14ac:dyDescent="0.2">
      <c r="A40" s="124"/>
      <c r="B40" s="1946"/>
      <c r="C40" s="110"/>
      <c r="D40" s="1936"/>
      <c r="E40" s="1947"/>
      <c r="F40" s="1864"/>
      <c r="G40" s="3057">
        <v>3302070</v>
      </c>
      <c r="H40" s="3059">
        <v>26.2</v>
      </c>
      <c r="I40" s="2884" t="s">
        <v>1791</v>
      </c>
      <c r="J40" s="3061" t="s">
        <v>1752</v>
      </c>
      <c r="K40" s="2324">
        <v>4</v>
      </c>
      <c r="L40" s="3063">
        <v>0</v>
      </c>
      <c r="M40" s="2515"/>
      <c r="N40" s="2867"/>
      <c r="O40" s="2914"/>
      <c r="P40" s="3084">
        <f>SUM(U40:U41)/Q37</f>
        <v>0.91023874103993985</v>
      </c>
      <c r="Q40" s="3083"/>
      <c r="R40" s="2453"/>
      <c r="S40" s="2453"/>
      <c r="T40" s="2453" t="s">
        <v>1792</v>
      </c>
      <c r="U40" s="2013">
        <v>123555981.3</v>
      </c>
      <c r="V40" s="2014">
        <v>123521548</v>
      </c>
      <c r="W40" s="2014">
        <v>58841548</v>
      </c>
      <c r="X40" s="2015">
        <v>93</v>
      </c>
      <c r="Y40" s="1861" t="s">
        <v>1793</v>
      </c>
      <c r="Z40" s="3065"/>
      <c r="AA40" s="3065"/>
      <c r="AB40" s="3065"/>
      <c r="AC40" s="3065"/>
      <c r="AD40" s="3065"/>
      <c r="AE40" s="3065"/>
      <c r="AF40" s="3065"/>
      <c r="AG40" s="3065"/>
      <c r="AH40" s="3065"/>
      <c r="AI40" s="3065"/>
      <c r="AJ40" s="3065"/>
      <c r="AK40" s="3065"/>
      <c r="AL40" s="3065"/>
      <c r="AM40" s="3065"/>
      <c r="AN40" s="3065"/>
      <c r="AO40" s="3065"/>
      <c r="AP40" s="3065"/>
      <c r="AQ40" s="3065"/>
      <c r="AR40" s="3065"/>
      <c r="AS40" s="3065"/>
      <c r="AT40" s="3065"/>
      <c r="AU40" s="3065"/>
      <c r="AV40" s="3065"/>
      <c r="AW40" s="3065"/>
      <c r="AX40" s="3065"/>
      <c r="AY40" s="3065"/>
      <c r="AZ40" s="3065"/>
      <c r="BA40" s="3065"/>
      <c r="BB40" s="3065"/>
      <c r="BC40" s="3065"/>
      <c r="BD40" s="3065"/>
      <c r="BE40" s="3065"/>
      <c r="BF40" s="3065"/>
      <c r="BG40" s="3065"/>
      <c r="BH40" s="3065"/>
      <c r="BI40" s="3075"/>
      <c r="BJ40" s="3078"/>
      <c r="BK40" s="3065"/>
      <c r="BL40" s="3068"/>
      <c r="BM40" s="3068"/>
      <c r="BN40" s="3068"/>
      <c r="BO40" s="3065"/>
      <c r="BP40" s="3072"/>
      <c r="BR40" s="1986"/>
      <c r="BS40" s="1986"/>
      <c r="BT40" s="1986"/>
      <c r="BU40" s="1986"/>
      <c r="BV40" s="1986"/>
    </row>
    <row r="41" spans="1:74" s="1" customFormat="1" ht="30" x14ac:dyDescent="0.2">
      <c r="A41" s="124"/>
      <c r="B41" s="3051"/>
      <c r="C41" s="3052"/>
      <c r="D41" s="1936"/>
      <c r="E41" s="3053"/>
      <c r="F41" s="2516"/>
      <c r="G41" s="3058"/>
      <c r="H41" s="3060"/>
      <c r="I41" s="2895"/>
      <c r="J41" s="3062"/>
      <c r="K41" s="2736"/>
      <c r="L41" s="3063"/>
      <c r="M41" s="3081"/>
      <c r="N41" s="2867"/>
      <c r="O41" s="2914"/>
      <c r="P41" s="3082"/>
      <c r="Q41" s="3083"/>
      <c r="R41" s="2453"/>
      <c r="S41" s="2453"/>
      <c r="T41" s="2453"/>
      <c r="U41" s="2013">
        <f>163800000+55398452</f>
        <v>219198452</v>
      </c>
      <c r="V41" s="2014">
        <v>219198452</v>
      </c>
      <c r="W41" s="2014">
        <v>169638452</v>
      </c>
      <c r="X41" s="2015">
        <v>47</v>
      </c>
      <c r="Y41" s="1874" t="s">
        <v>1794</v>
      </c>
      <c r="Z41" s="3066"/>
      <c r="AA41" s="3066"/>
      <c r="AB41" s="3066"/>
      <c r="AC41" s="3066"/>
      <c r="AD41" s="3066"/>
      <c r="AE41" s="3066"/>
      <c r="AF41" s="3066"/>
      <c r="AG41" s="3066"/>
      <c r="AH41" s="3066"/>
      <c r="AI41" s="3066"/>
      <c r="AJ41" s="3066"/>
      <c r="AK41" s="3066"/>
      <c r="AL41" s="3066"/>
      <c r="AM41" s="3066"/>
      <c r="AN41" s="3066"/>
      <c r="AO41" s="3066"/>
      <c r="AP41" s="3066"/>
      <c r="AQ41" s="3066"/>
      <c r="AR41" s="3066"/>
      <c r="AS41" s="3066"/>
      <c r="AT41" s="3066"/>
      <c r="AU41" s="3066"/>
      <c r="AV41" s="3066"/>
      <c r="AW41" s="3066"/>
      <c r="AX41" s="3066"/>
      <c r="AY41" s="3066"/>
      <c r="AZ41" s="3066"/>
      <c r="BA41" s="3066"/>
      <c r="BB41" s="3066"/>
      <c r="BC41" s="3066"/>
      <c r="BD41" s="3066"/>
      <c r="BE41" s="3066"/>
      <c r="BF41" s="3066"/>
      <c r="BG41" s="3066"/>
      <c r="BH41" s="3066"/>
      <c r="BI41" s="3076"/>
      <c r="BJ41" s="3079"/>
      <c r="BK41" s="3066"/>
      <c r="BL41" s="3069"/>
      <c r="BM41" s="3069"/>
      <c r="BN41" s="3069"/>
      <c r="BO41" s="3066"/>
      <c r="BP41" s="3073"/>
      <c r="BR41" s="1986"/>
      <c r="BS41" s="1986"/>
      <c r="BT41" s="1986"/>
      <c r="BU41" s="1986"/>
      <c r="BV41" s="1986"/>
    </row>
    <row r="42" spans="1:74" s="1471" customFormat="1" ht="15.75" x14ac:dyDescent="0.25">
      <c r="A42" s="2016"/>
      <c r="B42" s="3054"/>
      <c r="C42" s="3055"/>
      <c r="D42" s="2017"/>
      <c r="E42" s="2017"/>
      <c r="F42" s="1528"/>
      <c r="G42" s="1840"/>
      <c r="H42" s="1840"/>
      <c r="I42" s="1878"/>
      <c r="J42" s="1878"/>
      <c r="K42" s="2018"/>
      <c r="L42" s="2018"/>
      <c r="M42" s="1878"/>
      <c r="N42" s="2019"/>
      <c r="O42" s="2020"/>
      <c r="P42" s="2021"/>
      <c r="Q42" s="2022">
        <f>SUM(Q12:Q41)</f>
        <v>3003874935.3200006</v>
      </c>
      <c r="R42" s="2022">
        <f t="shared" ref="R42:W42" si="3">SUM(R12:R41)</f>
        <v>0</v>
      </c>
      <c r="S42" s="2022">
        <f t="shared" si="3"/>
        <v>0</v>
      </c>
      <c r="T42" s="2022">
        <f t="shared" si="3"/>
        <v>0</v>
      </c>
      <c r="U42" s="2022">
        <f t="shared" si="3"/>
        <v>3003874935.3200006</v>
      </c>
      <c r="V42" s="2022">
        <f t="shared" si="3"/>
        <v>580820000</v>
      </c>
      <c r="W42" s="2022">
        <f t="shared" si="3"/>
        <v>357720000</v>
      </c>
      <c r="X42" s="2023"/>
      <c r="Y42" s="2024"/>
      <c r="Z42" s="2025"/>
      <c r="AA42" s="2025"/>
      <c r="AB42" s="2026"/>
      <c r="AC42" s="2026"/>
      <c r="AD42" s="2026"/>
      <c r="AE42" s="2026"/>
      <c r="AF42" s="2026"/>
      <c r="AG42" s="2026"/>
      <c r="AH42" s="2026"/>
      <c r="AI42" s="2026"/>
      <c r="AJ42" s="2026"/>
      <c r="AK42" s="2026"/>
      <c r="AL42" s="2026"/>
      <c r="AM42" s="2026"/>
      <c r="AN42" s="2026"/>
      <c r="AO42" s="2026"/>
      <c r="AP42" s="2026"/>
      <c r="AQ42" s="2026"/>
      <c r="AR42" s="2026"/>
      <c r="AS42" s="2026"/>
      <c r="AT42" s="2026"/>
      <c r="AU42" s="2026"/>
      <c r="AV42" s="2026"/>
      <c r="AW42" s="2026"/>
      <c r="AX42" s="2026"/>
      <c r="AY42" s="2026"/>
      <c r="AZ42" s="2026"/>
      <c r="BA42" s="2026"/>
      <c r="BB42" s="2026"/>
      <c r="BC42" s="2026"/>
      <c r="BD42" s="2026"/>
      <c r="BE42" s="2026"/>
      <c r="BF42" s="2026"/>
      <c r="BG42" s="2027">
        <f>SUM(BG12:BG41)</f>
        <v>580820000</v>
      </c>
      <c r="BH42" s="2027">
        <f>SUM(BH12:BH41)</f>
        <v>357720000</v>
      </c>
      <c r="BI42" s="2028">
        <f>BH42/BG42</f>
        <v>0.61588788264866912</v>
      </c>
      <c r="BJ42" s="2026"/>
      <c r="BK42" s="2026"/>
      <c r="BL42" s="2029"/>
      <c r="BM42" s="2029"/>
      <c r="BN42" s="2030"/>
      <c r="BO42" s="2030"/>
      <c r="BP42" s="2031"/>
      <c r="BR42" s="1963"/>
      <c r="BS42" s="1963"/>
      <c r="BT42" s="1963"/>
      <c r="BU42" s="1963"/>
      <c r="BV42" s="1963"/>
    </row>
    <row r="44" spans="1:74" x14ac:dyDescent="0.2">
      <c r="T44" s="2032"/>
      <c r="U44" s="2033"/>
      <c r="V44" s="2033"/>
      <c r="W44" s="2033"/>
      <c r="BG44" s="1927">
        <f>V45</f>
        <v>0</v>
      </c>
      <c r="BH44" s="1927">
        <f>W45</f>
        <v>0</v>
      </c>
    </row>
    <row r="45" spans="1:74" ht="15.75" x14ac:dyDescent="0.25">
      <c r="Q45" s="721"/>
      <c r="T45" s="2032"/>
      <c r="U45" s="2035"/>
      <c r="V45" s="2035"/>
      <c r="W45" s="2035"/>
    </row>
    <row r="46" spans="1:74" x14ac:dyDescent="0.2">
      <c r="C46" s="701"/>
      <c r="D46" s="701"/>
      <c r="E46" s="701"/>
      <c r="F46" s="701"/>
      <c r="G46" s="701"/>
      <c r="H46" s="2036"/>
      <c r="T46" s="2032"/>
      <c r="U46" s="2033"/>
      <c r="V46" s="2033"/>
      <c r="W46" s="2033"/>
    </row>
    <row r="47" spans="1:74" ht="15.75" x14ac:dyDescent="0.25">
      <c r="C47" s="2376" t="s">
        <v>1795</v>
      </c>
      <c r="D47" s="2376"/>
      <c r="E47" s="2376"/>
      <c r="F47" s="2376"/>
      <c r="G47" s="2376"/>
      <c r="H47" s="1859"/>
      <c r="T47" s="2037"/>
      <c r="U47" s="2038"/>
      <c r="V47" s="2038"/>
      <c r="W47" s="2038"/>
    </row>
    <row r="48" spans="1:74" ht="15.75" x14ac:dyDescent="0.25">
      <c r="C48" s="3056" t="s">
        <v>1796</v>
      </c>
      <c r="D48" s="3056"/>
      <c r="E48" s="3056"/>
      <c r="F48" s="3056"/>
      <c r="G48" s="3056"/>
      <c r="H48" s="723"/>
      <c r="Q48" s="721"/>
      <c r="T48" s="2037"/>
      <c r="U48" s="2038"/>
      <c r="V48" s="2038"/>
      <c r="W48" s="2038"/>
    </row>
    <row r="49" spans="3:23" x14ac:dyDescent="0.2">
      <c r="C49" s="15"/>
      <c r="D49" s="693"/>
      <c r="E49" s="692"/>
      <c r="F49" s="694"/>
      <c r="G49" s="695"/>
      <c r="H49" s="695"/>
      <c r="T49" s="2037"/>
      <c r="U49" s="2038"/>
      <c r="V49" s="2038"/>
      <c r="W49" s="2038"/>
    </row>
    <row r="50" spans="3:23" x14ac:dyDescent="0.2">
      <c r="T50" s="2037"/>
      <c r="U50" s="2038"/>
      <c r="V50" s="2038"/>
      <c r="W50" s="2038"/>
    </row>
    <row r="51" spans="3:23" x14ac:dyDescent="0.2">
      <c r="T51" s="2037"/>
      <c r="U51" s="2038"/>
      <c r="V51" s="2038"/>
      <c r="W51" s="2038"/>
    </row>
  </sheetData>
  <sheetProtection password="A60F" sheet="1" objects="1" scenarios="1"/>
  <mergeCells count="315">
    <mergeCell ref="A1:BM4"/>
    <mergeCell ref="A5:L6"/>
    <mergeCell ref="N5:BP5"/>
    <mergeCell ref="N6:BP6"/>
    <mergeCell ref="A7:A9"/>
    <mergeCell ref="B7:C9"/>
    <mergeCell ref="D7:D9"/>
    <mergeCell ref="E7:F9"/>
    <mergeCell ref="G7:G9"/>
    <mergeCell ref="H7:H9"/>
    <mergeCell ref="R7:R9"/>
    <mergeCell ref="S7:S9"/>
    <mergeCell ref="T7:T9"/>
    <mergeCell ref="U7:W7"/>
    <mergeCell ref="I7:I9"/>
    <mergeCell ref="J7:J9"/>
    <mergeCell ref="K7:L8"/>
    <mergeCell ref="M7:M9"/>
    <mergeCell ref="N7:N9"/>
    <mergeCell ref="O7:O9"/>
    <mergeCell ref="BF7:BK7"/>
    <mergeCell ref="BL7:BM8"/>
    <mergeCell ref="BN7:BO8"/>
    <mergeCell ref="BP7:BP9"/>
    <mergeCell ref="U8:U9"/>
    <mergeCell ref="V8:V9"/>
    <mergeCell ref="W8:W9"/>
    <mergeCell ref="Z8:AA8"/>
    <mergeCell ref="AB8:AC8"/>
    <mergeCell ref="AD8:AE8"/>
    <mergeCell ref="Y7:Y9"/>
    <mergeCell ref="Z7:AC7"/>
    <mergeCell ref="AD7:AK7"/>
    <mergeCell ref="AL7:AW7"/>
    <mergeCell ref="AX7:BC7"/>
    <mergeCell ref="BD7:BE8"/>
    <mergeCell ref="AF8:AG8"/>
    <mergeCell ref="AH8:AI8"/>
    <mergeCell ref="AJ8:AK8"/>
    <mergeCell ref="AL8:AM8"/>
    <mergeCell ref="BJ8:BJ9"/>
    <mergeCell ref="BK8:BK9"/>
    <mergeCell ref="BB8:BC8"/>
    <mergeCell ref="BF8:BF9"/>
    <mergeCell ref="BG8:BG9"/>
    <mergeCell ref="BH8:BH9"/>
    <mergeCell ref="BI8:BI9"/>
    <mergeCell ref="B11:C11"/>
    <mergeCell ref="E11:N11"/>
    <mergeCell ref="B12:C12"/>
    <mergeCell ref="E12:F12"/>
    <mergeCell ref="G12:G16"/>
    <mergeCell ref="H12:H16"/>
    <mergeCell ref="I12:I16"/>
    <mergeCell ref="J12:J16"/>
    <mergeCell ref="AZ8:BA8"/>
    <mergeCell ref="AN8:AO8"/>
    <mergeCell ref="AP8:AQ8"/>
    <mergeCell ref="AR8:AS8"/>
    <mergeCell ref="AT8:AU8"/>
    <mergeCell ref="AV8:AW8"/>
    <mergeCell ref="AX8:AY8"/>
    <mergeCell ref="P7:P9"/>
    <mergeCell ref="Q7:Q9"/>
    <mergeCell ref="Q12:Q27"/>
    <mergeCell ref="R12:R27"/>
    <mergeCell ref="S12:S27"/>
    <mergeCell ref="T12:T13"/>
    <mergeCell ref="Z12:Z27"/>
    <mergeCell ref="AB12:AB27"/>
    <mergeCell ref="T21:T22"/>
    <mergeCell ref="BP12:BP27"/>
    <mergeCell ref="BK12:BK27"/>
    <mergeCell ref="BL12:BL27"/>
    <mergeCell ref="BM12:BM27"/>
    <mergeCell ref="BN12:BN27"/>
    <mergeCell ref="BO12:BO27"/>
    <mergeCell ref="T26:T27"/>
    <mergeCell ref="K12:K16"/>
    <mergeCell ref="L12:L16"/>
    <mergeCell ref="M12:M16"/>
    <mergeCell ref="N12:N27"/>
    <mergeCell ref="O12:O27"/>
    <mergeCell ref="P12:P16"/>
    <mergeCell ref="AT12:AT27"/>
    <mergeCell ref="AV12:AV27"/>
    <mergeCell ref="T14:T15"/>
    <mergeCell ref="P17:P27"/>
    <mergeCell ref="BJ12:BJ27"/>
    <mergeCell ref="BB12:BB27"/>
    <mergeCell ref="BD12:BD27"/>
    <mergeCell ref="BF12:BF27"/>
    <mergeCell ref="BG12:BG27"/>
    <mergeCell ref="BH12:BH27"/>
    <mergeCell ref="BI12:BI27"/>
    <mergeCell ref="AP12:AP27"/>
    <mergeCell ref="AR12:AR27"/>
    <mergeCell ref="AX12:AX27"/>
    <mergeCell ref="AZ12:AZ27"/>
    <mergeCell ref="AD12:AD27"/>
    <mergeCell ref="AF12:AF27"/>
    <mergeCell ref="AH12:AH27"/>
    <mergeCell ref="AJ12:AJ27"/>
    <mergeCell ref="AL12:AL27"/>
    <mergeCell ref="AN12:AN27"/>
    <mergeCell ref="I28:I30"/>
    <mergeCell ref="J28:J30"/>
    <mergeCell ref="K28:K30"/>
    <mergeCell ref="L28:L30"/>
    <mergeCell ref="M28:M32"/>
    <mergeCell ref="N28:N32"/>
    <mergeCell ref="B27:C27"/>
    <mergeCell ref="E27:F27"/>
    <mergeCell ref="B28:C28"/>
    <mergeCell ref="E28:F28"/>
    <mergeCell ref="G28:G30"/>
    <mergeCell ref="H28:H30"/>
    <mergeCell ref="G17:G27"/>
    <mergeCell ref="H17:H27"/>
    <mergeCell ref="I17:I27"/>
    <mergeCell ref="J17:J27"/>
    <mergeCell ref="K17:K27"/>
    <mergeCell ref="L17:L27"/>
    <mergeCell ref="M17:M27"/>
    <mergeCell ref="AA28:AA32"/>
    <mergeCell ref="AB28:AB32"/>
    <mergeCell ref="AC28:AC32"/>
    <mergeCell ref="AD28:AD32"/>
    <mergeCell ref="AE28:AE32"/>
    <mergeCell ref="AF28:AF32"/>
    <mergeCell ref="O28:O32"/>
    <mergeCell ref="P28:P30"/>
    <mergeCell ref="Q28:Q32"/>
    <mergeCell ref="R28:R32"/>
    <mergeCell ref="S28:S32"/>
    <mergeCell ref="Z28:Z32"/>
    <mergeCell ref="P31:P32"/>
    <mergeCell ref="T31:T32"/>
    <mergeCell ref="AM28:AM32"/>
    <mergeCell ref="AN28:AN32"/>
    <mergeCell ref="AO28:AO32"/>
    <mergeCell ref="AP28:AP32"/>
    <mergeCell ref="AQ28:AQ32"/>
    <mergeCell ref="AR28:AR32"/>
    <mergeCell ref="AG28:AG32"/>
    <mergeCell ref="AH28:AH32"/>
    <mergeCell ref="AI28:AI32"/>
    <mergeCell ref="AJ28:AJ32"/>
    <mergeCell ref="AK28:AK32"/>
    <mergeCell ref="AL28:AL32"/>
    <mergeCell ref="AY28:AY32"/>
    <mergeCell ref="AZ28:AZ32"/>
    <mergeCell ref="BA28:BA32"/>
    <mergeCell ref="BB28:BB32"/>
    <mergeCell ref="BC28:BC32"/>
    <mergeCell ref="BD28:BD32"/>
    <mergeCell ref="AS28:AS32"/>
    <mergeCell ref="AT28:AT32"/>
    <mergeCell ref="AU28:AU32"/>
    <mergeCell ref="AV28:AV32"/>
    <mergeCell ref="AW28:AW32"/>
    <mergeCell ref="AX28:AX32"/>
    <mergeCell ref="BK28:BK32"/>
    <mergeCell ref="BL28:BL32"/>
    <mergeCell ref="BM28:BM32"/>
    <mergeCell ref="BN28:BN32"/>
    <mergeCell ref="BO28:BO32"/>
    <mergeCell ref="BP28:BP32"/>
    <mergeCell ref="BE28:BE32"/>
    <mergeCell ref="BF28:BF32"/>
    <mergeCell ref="BG28:BG32"/>
    <mergeCell ref="BH28:BH32"/>
    <mergeCell ref="BI28:BI32"/>
    <mergeCell ref="BJ28:BJ32"/>
    <mergeCell ref="I34:I35"/>
    <mergeCell ref="J34:J35"/>
    <mergeCell ref="K34:K35"/>
    <mergeCell ref="L34:L35"/>
    <mergeCell ref="M34:M35"/>
    <mergeCell ref="N34:N35"/>
    <mergeCell ref="B32:C32"/>
    <mergeCell ref="E32:F32"/>
    <mergeCell ref="B33:C33"/>
    <mergeCell ref="E33:F33"/>
    <mergeCell ref="G34:G35"/>
    <mergeCell ref="H34:H35"/>
    <mergeCell ref="G31:G32"/>
    <mergeCell ref="H31:H32"/>
    <mergeCell ref="I31:I32"/>
    <mergeCell ref="J31:J32"/>
    <mergeCell ref="K31:K32"/>
    <mergeCell ref="L31:L32"/>
    <mergeCell ref="Z34:Z35"/>
    <mergeCell ref="AA34:AA35"/>
    <mergeCell ref="AB34:AB35"/>
    <mergeCell ref="AC34:AC35"/>
    <mergeCell ref="AD34:AD35"/>
    <mergeCell ref="AE34:AE35"/>
    <mergeCell ref="O34:O35"/>
    <mergeCell ref="P34:P35"/>
    <mergeCell ref="Q34:Q35"/>
    <mergeCell ref="R34:R35"/>
    <mergeCell ref="S34:S35"/>
    <mergeCell ref="T34:T35"/>
    <mergeCell ref="AL34:AL35"/>
    <mergeCell ref="AM34:AM35"/>
    <mergeCell ref="AN34:AN35"/>
    <mergeCell ref="AO34:AO35"/>
    <mergeCell ref="AP34:AP35"/>
    <mergeCell ref="AQ34:AQ35"/>
    <mergeCell ref="AF34:AF35"/>
    <mergeCell ref="AG34:AG35"/>
    <mergeCell ref="AH34:AH35"/>
    <mergeCell ref="AI34:AI35"/>
    <mergeCell ref="AJ34:AJ35"/>
    <mergeCell ref="AK34:AK35"/>
    <mergeCell ref="AZ34:AZ35"/>
    <mergeCell ref="BA34:BA35"/>
    <mergeCell ref="BB34:BB35"/>
    <mergeCell ref="BC34:BC35"/>
    <mergeCell ref="AR34:AR35"/>
    <mergeCell ref="AS34:AS35"/>
    <mergeCell ref="AT34:AT35"/>
    <mergeCell ref="AU34:AU35"/>
    <mergeCell ref="AV34:AV35"/>
    <mergeCell ref="AW34:AW35"/>
    <mergeCell ref="BP34:BP35"/>
    <mergeCell ref="B35:C35"/>
    <mergeCell ref="E35:F35"/>
    <mergeCell ref="B36:C36"/>
    <mergeCell ref="G37:G39"/>
    <mergeCell ref="H37:H39"/>
    <mergeCell ref="I37:I39"/>
    <mergeCell ref="J37:J39"/>
    <mergeCell ref="K37:K39"/>
    <mergeCell ref="L37:L39"/>
    <mergeCell ref="BJ34:BJ35"/>
    <mergeCell ref="BK34:BK35"/>
    <mergeCell ref="BL34:BL35"/>
    <mergeCell ref="BM34:BM35"/>
    <mergeCell ref="BN34:BN35"/>
    <mergeCell ref="BO34:BO35"/>
    <mergeCell ref="BD34:BD35"/>
    <mergeCell ref="BE34:BE35"/>
    <mergeCell ref="BF34:BF35"/>
    <mergeCell ref="BG34:BG35"/>
    <mergeCell ref="BH34:BH35"/>
    <mergeCell ref="BI34:BI35"/>
    <mergeCell ref="AX34:AX35"/>
    <mergeCell ref="AY34:AY35"/>
    <mergeCell ref="AA37:AA41"/>
    <mergeCell ref="AB37:AB41"/>
    <mergeCell ref="AC37:AC41"/>
    <mergeCell ref="AD37:AD41"/>
    <mergeCell ref="AE37:AE41"/>
    <mergeCell ref="AF37:AF41"/>
    <mergeCell ref="M37:M41"/>
    <mergeCell ref="N37:N41"/>
    <mergeCell ref="O37:O41"/>
    <mergeCell ref="P37:P39"/>
    <mergeCell ref="Q37:Q41"/>
    <mergeCell ref="Z37:Z41"/>
    <mergeCell ref="P40:P41"/>
    <mergeCell ref="T40:T41"/>
    <mergeCell ref="AM37:AM41"/>
    <mergeCell ref="AN37:AN41"/>
    <mergeCell ref="AO37:AO41"/>
    <mergeCell ref="AP37:AP41"/>
    <mergeCell ref="AQ37:AQ41"/>
    <mergeCell ref="AR37:AR41"/>
    <mergeCell ref="AG37:AG41"/>
    <mergeCell ref="AH37:AH41"/>
    <mergeCell ref="AI37:AI41"/>
    <mergeCell ref="AJ37:AJ41"/>
    <mergeCell ref="AK37:AK41"/>
    <mergeCell ref="AL37:AL41"/>
    <mergeCell ref="AY37:AY41"/>
    <mergeCell ref="AZ37:AZ41"/>
    <mergeCell ref="BA37:BA41"/>
    <mergeCell ref="BB37:BB41"/>
    <mergeCell ref="BC37:BC41"/>
    <mergeCell ref="BD37:BD41"/>
    <mergeCell ref="AS37:AS41"/>
    <mergeCell ref="AT37:AT41"/>
    <mergeCell ref="AU37:AU41"/>
    <mergeCell ref="AV37:AV41"/>
    <mergeCell ref="AW37:AW41"/>
    <mergeCell ref="AX37:AX41"/>
    <mergeCell ref="BK37:BK41"/>
    <mergeCell ref="BL37:BL41"/>
    <mergeCell ref="BM37:BM41"/>
    <mergeCell ref="BN37:BN41"/>
    <mergeCell ref="BO37:BO41"/>
    <mergeCell ref="BP37:BP41"/>
    <mergeCell ref="BE37:BE41"/>
    <mergeCell ref="BF37:BF41"/>
    <mergeCell ref="BG37:BG41"/>
    <mergeCell ref="BH37:BH41"/>
    <mergeCell ref="BI37:BI41"/>
    <mergeCell ref="BJ37:BJ41"/>
    <mergeCell ref="B41:C41"/>
    <mergeCell ref="E41:F41"/>
    <mergeCell ref="B42:C42"/>
    <mergeCell ref="C47:G47"/>
    <mergeCell ref="C48:G48"/>
    <mergeCell ref="B39:C39"/>
    <mergeCell ref="E39:F39"/>
    <mergeCell ref="R39:R41"/>
    <mergeCell ref="S39:S41"/>
    <mergeCell ref="G40:G41"/>
    <mergeCell ref="H40:H41"/>
    <mergeCell ref="I40:I41"/>
    <mergeCell ref="J40:J41"/>
    <mergeCell ref="K40:K41"/>
    <mergeCell ref="L40:L4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I57"/>
  <sheetViews>
    <sheetView showGridLines="0" zoomScale="50" zoomScaleNormal="50" workbookViewId="0">
      <selection sqref="A1:BN4"/>
    </sheetView>
  </sheetViews>
  <sheetFormatPr baseColWidth="10" defaultRowHeight="15" x14ac:dyDescent="0.25"/>
  <cols>
    <col min="1" max="1" width="16.85546875" customWidth="1"/>
    <col min="2" max="2" width="6.140625" customWidth="1"/>
    <col min="3" max="3" width="15.140625" customWidth="1"/>
    <col min="4" max="4" width="18.5703125" customWidth="1"/>
    <col min="5" max="5" width="6.42578125" customWidth="1"/>
    <col min="6" max="6" width="14" customWidth="1"/>
    <col min="7" max="7" width="14.28515625" customWidth="1"/>
    <col min="8" max="8" width="23.28515625" customWidth="1"/>
    <col min="9" max="9" width="34" customWidth="1"/>
    <col min="10" max="10" width="31.7109375" customWidth="1"/>
    <col min="11" max="11" width="20.140625" customWidth="1"/>
    <col min="12" max="12" width="22.140625" customWidth="1"/>
    <col min="13" max="13" width="36.42578125" style="166" customWidth="1"/>
    <col min="14" max="14" width="23.85546875" customWidth="1"/>
    <col min="15" max="15" width="36.7109375" style="166" customWidth="1"/>
    <col min="16" max="16" width="20.5703125" customWidth="1"/>
    <col min="17" max="17" width="29.5703125" customWidth="1"/>
    <col min="18" max="18" width="31.28515625" style="166" customWidth="1"/>
    <col min="19" max="19" width="38.140625" style="166" customWidth="1"/>
    <col min="20" max="20" width="47.28515625" style="166" customWidth="1"/>
    <col min="21" max="21" width="29.5703125" customWidth="1"/>
    <col min="22" max="22" width="27.7109375" customWidth="1"/>
    <col min="23" max="23" width="30.28515625" customWidth="1"/>
    <col min="24" max="24" width="16.85546875" customWidth="1"/>
    <col min="25" max="25" width="31.85546875" customWidth="1"/>
    <col min="26" max="26" width="10.7109375" customWidth="1"/>
    <col min="27" max="27" width="10" customWidth="1"/>
    <col min="28" max="28" width="11" customWidth="1"/>
    <col min="29" max="57" width="10" customWidth="1"/>
    <col min="58" max="58" width="18.7109375" customWidth="1"/>
    <col min="59" max="60" width="27.5703125" customWidth="1"/>
    <col min="61" max="61" width="18.42578125" customWidth="1"/>
    <col min="62" max="62" width="18.7109375" customWidth="1"/>
    <col min="63" max="63" width="43.5703125" customWidth="1"/>
    <col min="64" max="64" width="20.140625" customWidth="1"/>
    <col min="65" max="65" width="18" customWidth="1"/>
    <col min="66" max="66" width="17.85546875" customWidth="1"/>
    <col min="67" max="67" width="21.5703125" customWidth="1"/>
    <col min="68" max="68" width="34.85546875" customWidth="1"/>
  </cols>
  <sheetData>
    <row r="1" spans="1:87" ht="18" customHeight="1" x14ac:dyDescent="0.25">
      <c r="A1" s="3185" t="s">
        <v>147</v>
      </c>
      <c r="B1" s="3185"/>
      <c r="C1" s="3185"/>
      <c r="D1" s="3185"/>
      <c r="E1" s="3185"/>
      <c r="F1" s="3185"/>
      <c r="G1" s="3185"/>
      <c r="H1" s="3185"/>
      <c r="I1" s="3185"/>
      <c r="J1" s="3185"/>
      <c r="K1" s="3185"/>
      <c r="L1" s="3185"/>
      <c r="M1" s="3185"/>
      <c r="N1" s="3185"/>
      <c r="O1" s="3185"/>
      <c r="P1" s="3185"/>
      <c r="Q1" s="3185"/>
      <c r="R1" s="3185"/>
      <c r="S1" s="3185"/>
      <c r="T1" s="3185"/>
      <c r="U1" s="3185"/>
      <c r="V1" s="3185"/>
      <c r="W1" s="3185"/>
      <c r="X1" s="3185"/>
      <c r="Y1" s="3185"/>
      <c r="Z1" s="3185"/>
      <c r="AA1" s="3185"/>
      <c r="AB1" s="3185"/>
      <c r="AC1" s="3185"/>
      <c r="AD1" s="3185"/>
      <c r="AE1" s="3185"/>
      <c r="AF1" s="3185"/>
      <c r="AG1" s="3185"/>
      <c r="AH1" s="3185"/>
      <c r="AI1" s="3185"/>
      <c r="AJ1" s="3185"/>
      <c r="AK1" s="3185"/>
      <c r="AL1" s="3185"/>
      <c r="AM1" s="3185"/>
      <c r="AN1" s="3185"/>
      <c r="AO1" s="3185"/>
      <c r="AP1" s="3185"/>
      <c r="AQ1" s="3185"/>
      <c r="AR1" s="3185"/>
      <c r="AS1" s="3185"/>
      <c r="AT1" s="3185"/>
      <c r="AU1" s="3185"/>
      <c r="AV1" s="3185"/>
      <c r="AW1" s="3185"/>
      <c r="AX1" s="3185"/>
      <c r="AY1" s="3185"/>
      <c r="AZ1" s="3185"/>
      <c r="BA1" s="3185"/>
      <c r="BB1" s="3185"/>
      <c r="BC1" s="3185"/>
      <c r="BD1" s="3185"/>
      <c r="BE1" s="3185"/>
      <c r="BF1" s="3185"/>
      <c r="BG1" s="3185"/>
      <c r="BH1" s="3185"/>
      <c r="BI1" s="3185"/>
      <c r="BJ1" s="3185"/>
      <c r="BK1" s="3185"/>
      <c r="BL1" s="3185"/>
      <c r="BM1" s="3185"/>
      <c r="BN1" s="3186"/>
      <c r="BO1" s="13" t="s">
        <v>29</v>
      </c>
      <c r="BP1" s="14" t="s">
        <v>148</v>
      </c>
      <c r="BQ1" s="15"/>
      <c r="BR1" s="15"/>
      <c r="BS1" s="15"/>
      <c r="BT1" s="15"/>
      <c r="BU1" s="15"/>
      <c r="BV1" s="15"/>
      <c r="BW1" s="15"/>
      <c r="BX1" s="15"/>
      <c r="BY1" s="15"/>
      <c r="BZ1" s="15"/>
      <c r="CA1" s="15"/>
      <c r="CB1" s="15"/>
      <c r="CC1" s="15"/>
      <c r="CD1" s="15"/>
      <c r="CE1" s="15"/>
      <c r="CF1" s="15"/>
      <c r="CG1" s="15"/>
      <c r="CH1" s="15"/>
      <c r="CI1" s="15"/>
    </row>
    <row r="2" spans="1:87" ht="18" customHeight="1" x14ac:dyDescent="0.25">
      <c r="A2" s="3185"/>
      <c r="B2" s="3185"/>
      <c r="C2" s="3185"/>
      <c r="D2" s="3185"/>
      <c r="E2" s="3185"/>
      <c r="F2" s="3185"/>
      <c r="G2" s="3185"/>
      <c r="H2" s="3185"/>
      <c r="I2" s="3185"/>
      <c r="J2" s="3185"/>
      <c r="K2" s="3185"/>
      <c r="L2" s="3185"/>
      <c r="M2" s="3185"/>
      <c r="N2" s="3185"/>
      <c r="O2" s="3185"/>
      <c r="P2" s="3185"/>
      <c r="Q2" s="3185"/>
      <c r="R2" s="3185"/>
      <c r="S2" s="3185"/>
      <c r="T2" s="3185"/>
      <c r="U2" s="3185"/>
      <c r="V2" s="3185"/>
      <c r="W2" s="3185"/>
      <c r="X2" s="3185"/>
      <c r="Y2" s="3185"/>
      <c r="Z2" s="3185"/>
      <c r="AA2" s="3185"/>
      <c r="AB2" s="3185"/>
      <c r="AC2" s="3185"/>
      <c r="AD2" s="3185"/>
      <c r="AE2" s="3185"/>
      <c r="AF2" s="3185"/>
      <c r="AG2" s="3185"/>
      <c r="AH2" s="3185"/>
      <c r="AI2" s="3185"/>
      <c r="AJ2" s="3185"/>
      <c r="AK2" s="3185"/>
      <c r="AL2" s="3185"/>
      <c r="AM2" s="3185"/>
      <c r="AN2" s="3185"/>
      <c r="AO2" s="3185"/>
      <c r="AP2" s="3185"/>
      <c r="AQ2" s="3185"/>
      <c r="AR2" s="3185"/>
      <c r="AS2" s="3185"/>
      <c r="AT2" s="3185"/>
      <c r="AU2" s="3185"/>
      <c r="AV2" s="3185"/>
      <c r="AW2" s="3185"/>
      <c r="AX2" s="3185"/>
      <c r="AY2" s="3185"/>
      <c r="AZ2" s="3185"/>
      <c r="BA2" s="3185"/>
      <c r="BB2" s="3185"/>
      <c r="BC2" s="3185"/>
      <c r="BD2" s="3185"/>
      <c r="BE2" s="3185"/>
      <c r="BF2" s="3185"/>
      <c r="BG2" s="3185"/>
      <c r="BH2" s="3185"/>
      <c r="BI2" s="3185"/>
      <c r="BJ2" s="3185"/>
      <c r="BK2" s="3185"/>
      <c r="BL2" s="3185"/>
      <c r="BM2" s="3185"/>
      <c r="BN2" s="3186"/>
      <c r="BO2" s="13" t="s">
        <v>30</v>
      </c>
      <c r="BP2" s="14" t="s">
        <v>31</v>
      </c>
      <c r="BQ2" s="15"/>
      <c r="BR2" s="15"/>
      <c r="BS2" s="15"/>
      <c r="BT2" s="15"/>
      <c r="BU2" s="15"/>
      <c r="BV2" s="15"/>
      <c r="BW2" s="15"/>
      <c r="BX2" s="15"/>
      <c r="BY2" s="15"/>
      <c r="BZ2" s="15"/>
      <c r="CA2" s="15"/>
      <c r="CB2" s="15"/>
      <c r="CC2" s="15"/>
      <c r="CD2" s="15"/>
      <c r="CE2" s="15"/>
      <c r="CF2" s="15"/>
      <c r="CG2" s="15"/>
      <c r="CH2" s="15"/>
      <c r="CI2" s="15"/>
    </row>
    <row r="3" spans="1:87" ht="18" customHeight="1" x14ac:dyDescent="0.25">
      <c r="A3" s="3185"/>
      <c r="B3" s="3185"/>
      <c r="C3" s="3185"/>
      <c r="D3" s="3185"/>
      <c r="E3" s="3185"/>
      <c r="F3" s="3185"/>
      <c r="G3" s="3185"/>
      <c r="H3" s="3185"/>
      <c r="I3" s="3185"/>
      <c r="J3" s="3185"/>
      <c r="K3" s="3185"/>
      <c r="L3" s="3185"/>
      <c r="M3" s="3185"/>
      <c r="N3" s="3185"/>
      <c r="O3" s="3185"/>
      <c r="P3" s="3185"/>
      <c r="Q3" s="3185"/>
      <c r="R3" s="3185"/>
      <c r="S3" s="3185"/>
      <c r="T3" s="3185"/>
      <c r="U3" s="3185"/>
      <c r="V3" s="3185"/>
      <c r="W3" s="3185"/>
      <c r="X3" s="3185"/>
      <c r="Y3" s="3185"/>
      <c r="Z3" s="3185"/>
      <c r="AA3" s="3185"/>
      <c r="AB3" s="3185"/>
      <c r="AC3" s="3185"/>
      <c r="AD3" s="3185"/>
      <c r="AE3" s="3185"/>
      <c r="AF3" s="3185"/>
      <c r="AG3" s="3185"/>
      <c r="AH3" s="3185"/>
      <c r="AI3" s="3185"/>
      <c r="AJ3" s="3185"/>
      <c r="AK3" s="3185"/>
      <c r="AL3" s="3185"/>
      <c r="AM3" s="3185"/>
      <c r="AN3" s="3185"/>
      <c r="AO3" s="3185"/>
      <c r="AP3" s="3185"/>
      <c r="AQ3" s="3185"/>
      <c r="AR3" s="3185"/>
      <c r="AS3" s="3185"/>
      <c r="AT3" s="3185"/>
      <c r="AU3" s="3185"/>
      <c r="AV3" s="3185"/>
      <c r="AW3" s="3185"/>
      <c r="AX3" s="3185"/>
      <c r="AY3" s="3185"/>
      <c r="AZ3" s="3185"/>
      <c r="BA3" s="3185"/>
      <c r="BB3" s="3185"/>
      <c r="BC3" s="3185"/>
      <c r="BD3" s="3185"/>
      <c r="BE3" s="3185"/>
      <c r="BF3" s="3185"/>
      <c r="BG3" s="3185"/>
      <c r="BH3" s="3185"/>
      <c r="BI3" s="3185"/>
      <c r="BJ3" s="3185"/>
      <c r="BK3" s="3185"/>
      <c r="BL3" s="3185"/>
      <c r="BM3" s="3185"/>
      <c r="BN3" s="3186"/>
      <c r="BO3" s="13" t="s">
        <v>32</v>
      </c>
      <c r="BP3" s="16" t="s">
        <v>33</v>
      </c>
      <c r="BQ3" s="15"/>
      <c r="BR3" s="15"/>
      <c r="BS3" s="15"/>
      <c r="BT3" s="15"/>
      <c r="BU3" s="15"/>
      <c r="BV3" s="15"/>
      <c r="BW3" s="15"/>
      <c r="BX3" s="15"/>
      <c r="BY3" s="15"/>
      <c r="BZ3" s="15"/>
      <c r="CA3" s="15"/>
      <c r="CB3" s="15"/>
      <c r="CC3" s="15"/>
      <c r="CD3" s="15"/>
      <c r="CE3" s="15"/>
      <c r="CF3" s="15"/>
      <c r="CG3" s="15"/>
      <c r="CH3" s="15"/>
      <c r="CI3" s="15"/>
    </row>
    <row r="4" spans="1:87" ht="18" customHeight="1" x14ac:dyDescent="0.25">
      <c r="A4" s="3187"/>
      <c r="B4" s="3187"/>
      <c r="C4" s="3187"/>
      <c r="D4" s="3187"/>
      <c r="E4" s="3187"/>
      <c r="F4" s="3187"/>
      <c r="G4" s="3187"/>
      <c r="H4" s="3187"/>
      <c r="I4" s="3187"/>
      <c r="J4" s="3187"/>
      <c r="K4" s="3187"/>
      <c r="L4" s="3187"/>
      <c r="M4" s="3187"/>
      <c r="N4" s="3187"/>
      <c r="O4" s="3187"/>
      <c r="P4" s="3187"/>
      <c r="Q4" s="3187"/>
      <c r="R4" s="3187"/>
      <c r="S4" s="3187"/>
      <c r="T4" s="3187"/>
      <c r="U4" s="3187"/>
      <c r="V4" s="3187"/>
      <c r="W4" s="3187"/>
      <c r="X4" s="3187"/>
      <c r="Y4" s="3187"/>
      <c r="Z4" s="3187"/>
      <c r="AA4" s="3187"/>
      <c r="AB4" s="3187"/>
      <c r="AC4" s="3187"/>
      <c r="AD4" s="3187"/>
      <c r="AE4" s="3187"/>
      <c r="AF4" s="3187"/>
      <c r="AG4" s="3187"/>
      <c r="AH4" s="3187"/>
      <c r="AI4" s="3187"/>
      <c r="AJ4" s="3187"/>
      <c r="AK4" s="3187"/>
      <c r="AL4" s="3187"/>
      <c r="AM4" s="3187"/>
      <c r="AN4" s="3187"/>
      <c r="AO4" s="3187"/>
      <c r="AP4" s="3187"/>
      <c r="AQ4" s="3187"/>
      <c r="AR4" s="3187"/>
      <c r="AS4" s="3187"/>
      <c r="AT4" s="3187"/>
      <c r="AU4" s="3187"/>
      <c r="AV4" s="3187"/>
      <c r="AW4" s="3187"/>
      <c r="AX4" s="3187"/>
      <c r="AY4" s="3187"/>
      <c r="AZ4" s="3187"/>
      <c r="BA4" s="3187"/>
      <c r="BB4" s="3187"/>
      <c r="BC4" s="3187"/>
      <c r="BD4" s="3187"/>
      <c r="BE4" s="3187"/>
      <c r="BF4" s="3187"/>
      <c r="BG4" s="3187"/>
      <c r="BH4" s="3187"/>
      <c r="BI4" s="3187"/>
      <c r="BJ4" s="3187"/>
      <c r="BK4" s="3187"/>
      <c r="BL4" s="3187"/>
      <c r="BM4" s="3187"/>
      <c r="BN4" s="3188"/>
      <c r="BO4" s="13" t="s">
        <v>34</v>
      </c>
      <c r="BP4" s="17" t="s">
        <v>35</v>
      </c>
      <c r="BQ4" s="15"/>
      <c r="BR4" s="15"/>
      <c r="BS4" s="15"/>
      <c r="BT4" s="15"/>
      <c r="BU4" s="15"/>
      <c r="BV4" s="15"/>
      <c r="BW4" s="15"/>
      <c r="BX4" s="15"/>
      <c r="BY4" s="15"/>
      <c r="BZ4" s="15"/>
      <c r="CA4" s="15"/>
      <c r="CB4" s="15"/>
      <c r="CC4" s="15"/>
      <c r="CD4" s="15"/>
      <c r="CE4" s="15"/>
      <c r="CF4" s="15"/>
      <c r="CG4" s="15"/>
      <c r="CH4" s="15"/>
      <c r="CI4" s="15"/>
    </row>
    <row r="5" spans="1:87" ht="22.5" customHeight="1" x14ac:dyDescent="0.25">
      <c r="A5" s="2381" t="s">
        <v>36</v>
      </c>
      <c r="B5" s="2381"/>
      <c r="C5" s="2381"/>
      <c r="D5" s="2381"/>
      <c r="E5" s="2381"/>
      <c r="F5" s="2381"/>
      <c r="G5" s="2381"/>
      <c r="H5" s="2381"/>
      <c r="I5" s="2381"/>
      <c r="J5" s="2381"/>
      <c r="K5" s="2381"/>
      <c r="L5" s="171"/>
      <c r="M5" s="2383" t="s">
        <v>37</v>
      </c>
      <c r="N5" s="2383"/>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383"/>
      <c r="AR5" s="2383"/>
      <c r="AS5" s="2383"/>
      <c r="AT5" s="2383"/>
      <c r="AU5" s="2383"/>
      <c r="AV5" s="2383"/>
      <c r="AW5" s="2383"/>
      <c r="AX5" s="2383"/>
      <c r="AY5" s="2383"/>
      <c r="AZ5" s="2383"/>
      <c r="BA5" s="2383"/>
      <c r="BB5" s="2383"/>
      <c r="BC5" s="2383"/>
      <c r="BD5" s="2383"/>
      <c r="BE5" s="2383"/>
      <c r="BF5" s="2383"/>
      <c r="BG5" s="2383"/>
      <c r="BH5" s="2383"/>
      <c r="BI5" s="2383"/>
      <c r="BJ5" s="2383"/>
      <c r="BK5" s="2383"/>
      <c r="BL5" s="2383"/>
      <c r="BM5" s="2383"/>
      <c r="BN5" s="2383"/>
      <c r="BO5" s="2383"/>
      <c r="BP5" s="2383"/>
      <c r="BQ5" s="18"/>
      <c r="BR5" s="18"/>
      <c r="BS5" s="18"/>
      <c r="BT5" s="18"/>
      <c r="BU5" s="18"/>
      <c r="BV5" s="18"/>
      <c r="BW5" s="18"/>
      <c r="BX5" s="18"/>
      <c r="BY5" s="18"/>
      <c r="BZ5" s="18"/>
      <c r="CA5" s="18"/>
      <c r="CB5" s="18"/>
      <c r="CC5" s="18"/>
      <c r="CD5" s="18"/>
      <c r="CE5" s="18"/>
      <c r="CF5" s="18"/>
      <c r="CG5" s="18"/>
      <c r="CH5" s="18"/>
      <c r="CI5" s="18"/>
    </row>
    <row r="6" spans="1:87" ht="29.25" customHeight="1" x14ac:dyDescent="0.25">
      <c r="A6" s="2382"/>
      <c r="B6" s="2382"/>
      <c r="C6" s="2382"/>
      <c r="D6" s="2382"/>
      <c r="E6" s="2382"/>
      <c r="F6" s="2382"/>
      <c r="G6" s="2382"/>
      <c r="H6" s="2382"/>
      <c r="I6" s="2382"/>
      <c r="J6" s="2382"/>
      <c r="K6" s="2382"/>
      <c r="L6" s="22"/>
      <c r="M6" s="19"/>
      <c r="N6" s="20"/>
      <c r="O6" s="21"/>
      <c r="P6" s="22"/>
      <c r="Q6" s="20"/>
      <c r="R6" s="21"/>
      <c r="S6" s="21"/>
      <c r="T6" s="21"/>
      <c r="U6" s="20"/>
      <c r="V6" s="20"/>
      <c r="W6" s="20"/>
      <c r="X6" s="20"/>
      <c r="Y6" s="20"/>
      <c r="Z6" s="2649" t="s">
        <v>38</v>
      </c>
      <c r="AA6" s="3189"/>
      <c r="AB6" s="3189"/>
      <c r="AC6" s="3189"/>
      <c r="AD6" s="3189"/>
      <c r="AE6" s="3189"/>
      <c r="AF6" s="3189"/>
      <c r="AG6" s="3189"/>
      <c r="AH6" s="3189"/>
      <c r="AI6" s="3189"/>
      <c r="AJ6" s="3189"/>
      <c r="AK6" s="3189"/>
      <c r="AL6" s="3189"/>
      <c r="AM6" s="3189"/>
      <c r="AN6" s="3189"/>
      <c r="AO6" s="3189"/>
      <c r="AP6" s="3189"/>
      <c r="AQ6" s="3189"/>
      <c r="AR6" s="3189"/>
      <c r="AS6" s="3189"/>
      <c r="AT6" s="3189"/>
      <c r="AU6" s="3189"/>
      <c r="AV6" s="3189"/>
      <c r="AW6" s="3189"/>
      <c r="AX6" s="3189"/>
      <c r="AY6" s="3189"/>
      <c r="AZ6" s="3189"/>
      <c r="BA6" s="3189"/>
      <c r="BB6" s="3189"/>
      <c r="BC6" s="3189"/>
      <c r="BD6" s="3189"/>
      <c r="BE6" s="3189"/>
      <c r="BF6" s="22"/>
      <c r="BG6" s="22"/>
      <c r="BH6" s="22"/>
      <c r="BI6" s="22"/>
      <c r="BJ6" s="22"/>
      <c r="BK6" s="22"/>
      <c r="BL6" s="22"/>
      <c r="BM6" s="22"/>
      <c r="BN6" s="22"/>
      <c r="BO6" s="22"/>
      <c r="BP6" s="23"/>
      <c r="BQ6" s="18"/>
      <c r="BR6" s="18"/>
      <c r="BS6" s="18"/>
      <c r="BT6" s="18"/>
      <c r="BU6" s="18"/>
      <c r="BV6" s="18"/>
      <c r="BW6" s="18"/>
      <c r="BX6" s="18"/>
      <c r="BY6" s="18"/>
      <c r="BZ6" s="18"/>
      <c r="CA6" s="18"/>
      <c r="CB6" s="18"/>
      <c r="CC6" s="18"/>
      <c r="CD6" s="18"/>
      <c r="CE6" s="18"/>
      <c r="CF6" s="18"/>
      <c r="CG6" s="18"/>
      <c r="CH6" s="18"/>
      <c r="CI6" s="18"/>
    </row>
    <row r="7" spans="1:87" s="25" customFormat="1" ht="45" customHeight="1" x14ac:dyDescent="0.25">
      <c r="A7" s="2257" t="s">
        <v>39</v>
      </c>
      <c r="B7" s="2259" t="s">
        <v>40</v>
      </c>
      <c r="C7" s="2260"/>
      <c r="D7" s="2239" t="s">
        <v>39</v>
      </c>
      <c r="E7" s="2259" t="s">
        <v>41</v>
      </c>
      <c r="F7" s="2260"/>
      <c r="G7" s="2239" t="s">
        <v>39</v>
      </c>
      <c r="H7" s="2239" t="s">
        <v>42</v>
      </c>
      <c r="I7" s="2239" t="s">
        <v>43</v>
      </c>
      <c r="J7" s="2239" t="s">
        <v>44</v>
      </c>
      <c r="K7" s="2259" t="s">
        <v>45</v>
      </c>
      <c r="L7" s="2260"/>
      <c r="M7" s="2239" t="s">
        <v>46</v>
      </c>
      <c r="N7" s="2239" t="s">
        <v>47</v>
      </c>
      <c r="O7" s="2239" t="s">
        <v>37</v>
      </c>
      <c r="P7" s="3199" t="s">
        <v>48</v>
      </c>
      <c r="Q7" s="2269" t="s">
        <v>49</v>
      </c>
      <c r="R7" s="2239" t="s">
        <v>50</v>
      </c>
      <c r="S7" s="2239" t="s">
        <v>51</v>
      </c>
      <c r="T7" s="2239" t="s">
        <v>52</v>
      </c>
      <c r="U7" s="2287" t="s">
        <v>49</v>
      </c>
      <c r="V7" s="3192"/>
      <c r="W7" s="3193"/>
      <c r="X7" s="2271" t="s">
        <v>39</v>
      </c>
      <c r="Y7" s="2239" t="s">
        <v>53</v>
      </c>
      <c r="Z7" s="2274" t="s">
        <v>54</v>
      </c>
      <c r="AA7" s="2275"/>
      <c r="AB7" s="2275"/>
      <c r="AC7" s="2276"/>
      <c r="AD7" s="2277" t="s">
        <v>55</v>
      </c>
      <c r="AE7" s="2278"/>
      <c r="AF7" s="2278"/>
      <c r="AG7" s="2278"/>
      <c r="AH7" s="2278"/>
      <c r="AI7" s="2278"/>
      <c r="AJ7" s="2278"/>
      <c r="AK7" s="2279"/>
      <c r="AL7" s="2277" t="s">
        <v>56</v>
      </c>
      <c r="AM7" s="2278"/>
      <c r="AN7" s="2278"/>
      <c r="AO7" s="2278"/>
      <c r="AP7" s="2278"/>
      <c r="AQ7" s="2278"/>
      <c r="AR7" s="2278"/>
      <c r="AS7" s="2278"/>
      <c r="AT7" s="2278"/>
      <c r="AU7" s="2278"/>
      <c r="AV7" s="2278"/>
      <c r="AW7" s="2279"/>
      <c r="AX7" s="2277" t="s">
        <v>57</v>
      </c>
      <c r="AY7" s="2278"/>
      <c r="AZ7" s="2278"/>
      <c r="BA7" s="2278"/>
      <c r="BB7" s="2278"/>
      <c r="BC7" s="2279"/>
      <c r="BD7" s="2277" t="s">
        <v>58</v>
      </c>
      <c r="BE7" s="2279"/>
      <c r="BF7" s="3194" t="s">
        <v>149</v>
      </c>
      <c r="BG7" s="3195"/>
      <c r="BH7" s="3195"/>
      <c r="BI7" s="3195"/>
      <c r="BJ7" s="3195"/>
      <c r="BK7" s="3196"/>
      <c r="BL7" s="2264" t="s">
        <v>59</v>
      </c>
      <c r="BM7" s="2265"/>
      <c r="BN7" s="2264" t="s">
        <v>60</v>
      </c>
      <c r="BO7" s="2265"/>
      <c r="BP7" s="2391" t="s">
        <v>61</v>
      </c>
      <c r="BQ7" s="24"/>
      <c r="BR7" s="24"/>
      <c r="BS7" s="24"/>
      <c r="BT7" s="24"/>
      <c r="BU7" s="24"/>
      <c r="BV7" s="24"/>
      <c r="BW7" s="24"/>
      <c r="BX7" s="24"/>
      <c r="BY7" s="24"/>
      <c r="BZ7" s="24"/>
      <c r="CA7" s="24"/>
      <c r="CB7" s="24"/>
      <c r="CC7" s="24"/>
      <c r="CD7" s="24"/>
      <c r="CE7" s="24"/>
      <c r="CF7" s="24"/>
      <c r="CG7" s="24"/>
      <c r="CH7" s="24"/>
      <c r="CI7" s="24"/>
    </row>
    <row r="8" spans="1:87" s="25" customFormat="1" ht="108" customHeight="1" x14ac:dyDescent="0.25">
      <c r="A8" s="2258"/>
      <c r="B8" s="2261"/>
      <c r="C8" s="2262"/>
      <c r="D8" s="2240"/>
      <c r="E8" s="2261"/>
      <c r="F8" s="2262"/>
      <c r="G8" s="2240"/>
      <c r="H8" s="2240"/>
      <c r="I8" s="2240"/>
      <c r="J8" s="2240"/>
      <c r="K8" s="2417"/>
      <c r="L8" s="2418"/>
      <c r="M8" s="2240"/>
      <c r="N8" s="2240"/>
      <c r="O8" s="2240"/>
      <c r="P8" s="3200"/>
      <c r="Q8" s="3191"/>
      <c r="R8" s="2240"/>
      <c r="S8" s="2240"/>
      <c r="T8" s="2240"/>
      <c r="U8" s="2269" t="s">
        <v>62</v>
      </c>
      <c r="V8" s="2269" t="s">
        <v>150</v>
      </c>
      <c r="W8" s="2269" t="s">
        <v>151</v>
      </c>
      <c r="X8" s="2272"/>
      <c r="Y8" s="2240"/>
      <c r="Z8" s="172" t="s">
        <v>63</v>
      </c>
      <c r="AA8" s="173"/>
      <c r="AB8" s="2445" t="s">
        <v>64</v>
      </c>
      <c r="AC8" s="2446"/>
      <c r="AD8" s="2399" t="s">
        <v>65</v>
      </c>
      <c r="AE8" s="2400"/>
      <c r="AF8" s="2399" t="s">
        <v>66</v>
      </c>
      <c r="AG8" s="2400"/>
      <c r="AH8" s="2399" t="s">
        <v>67</v>
      </c>
      <c r="AI8" s="2400"/>
      <c r="AJ8" s="2399" t="s">
        <v>68</v>
      </c>
      <c r="AK8" s="2400"/>
      <c r="AL8" s="2399" t="s">
        <v>69</v>
      </c>
      <c r="AM8" s="2400"/>
      <c r="AN8" s="2399" t="s">
        <v>70</v>
      </c>
      <c r="AO8" s="2400"/>
      <c r="AP8" s="2399" t="s">
        <v>71</v>
      </c>
      <c r="AQ8" s="2400"/>
      <c r="AR8" s="2399" t="s">
        <v>72</v>
      </c>
      <c r="AS8" s="2400"/>
      <c r="AT8" s="2399" t="s">
        <v>73</v>
      </c>
      <c r="AU8" s="2400"/>
      <c r="AV8" s="2399" t="s">
        <v>74</v>
      </c>
      <c r="AW8" s="2400"/>
      <c r="AX8" s="2399" t="s">
        <v>75</v>
      </c>
      <c r="AY8" s="2400"/>
      <c r="AZ8" s="2399" t="s">
        <v>76</v>
      </c>
      <c r="BA8" s="2400"/>
      <c r="BB8" s="2399" t="s">
        <v>77</v>
      </c>
      <c r="BC8" s="2400"/>
      <c r="BD8" s="2399" t="s">
        <v>58</v>
      </c>
      <c r="BE8" s="2400"/>
      <c r="BF8" s="2291" t="s">
        <v>152</v>
      </c>
      <c r="BG8" s="2290" t="s">
        <v>153</v>
      </c>
      <c r="BH8" s="2291" t="s">
        <v>154</v>
      </c>
      <c r="BI8" s="2292" t="s">
        <v>155</v>
      </c>
      <c r="BJ8" s="2291" t="s">
        <v>156</v>
      </c>
      <c r="BK8" s="2291" t="s">
        <v>157</v>
      </c>
      <c r="BL8" s="2266"/>
      <c r="BM8" s="2267"/>
      <c r="BN8" s="2266"/>
      <c r="BO8" s="2267"/>
      <c r="BP8" s="2392"/>
      <c r="BQ8" s="24"/>
      <c r="BR8" s="24"/>
      <c r="BS8" s="24"/>
      <c r="BT8" s="24"/>
      <c r="BU8" s="24"/>
      <c r="BV8" s="24"/>
      <c r="BW8" s="24"/>
      <c r="BX8" s="24"/>
      <c r="BY8" s="24"/>
      <c r="BZ8" s="24"/>
      <c r="CA8" s="24"/>
      <c r="CB8" s="24"/>
      <c r="CC8" s="24"/>
      <c r="CD8" s="24"/>
      <c r="CE8" s="24"/>
      <c r="CF8" s="24"/>
      <c r="CG8" s="24"/>
      <c r="CH8" s="24"/>
      <c r="CI8" s="24"/>
    </row>
    <row r="9" spans="1:87" s="25" customFormat="1" ht="31.5" customHeight="1" x14ac:dyDescent="0.25">
      <c r="A9" s="3190"/>
      <c r="B9" s="2417"/>
      <c r="C9" s="2418"/>
      <c r="D9" s="2263"/>
      <c r="E9" s="2417"/>
      <c r="F9" s="2418"/>
      <c r="G9" s="2263"/>
      <c r="H9" s="2263"/>
      <c r="I9" s="2263"/>
      <c r="J9" s="2263"/>
      <c r="K9" s="174" t="s">
        <v>158</v>
      </c>
      <c r="L9" s="174" t="s">
        <v>159</v>
      </c>
      <c r="M9" s="2263"/>
      <c r="N9" s="2263"/>
      <c r="O9" s="2263"/>
      <c r="P9" s="3201"/>
      <c r="Q9" s="2270"/>
      <c r="R9" s="2263"/>
      <c r="S9" s="2263"/>
      <c r="T9" s="2263"/>
      <c r="U9" s="2270"/>
      <c r="V9" s="2270"/>
      <c r="W9" s="2270"/>
      <c r="X9" s="2273"/>
      <c r="Y9" s="2263"/>
      <c r="Z9" s="175" t="s">
        <v>158</v>
      </c>
      <c r="AA9" s="175" t="s">
        <v>159</v>
      </c>
      <c r="AB9" s="175" t="s">
        <v>158</v>
      </c>
      <c r="AC9" s="175" t="s">
        <v>159</v>
      </c>
      <c r="AD9" s="175" t="s">
        <v>158</v>
      </c>
      <c r="AE9" s="175" t="s">
        <v>159</v>
      </c>
      <c r="AF9" s="175" t="s">
        <v>158</v>
      </c>
      <c r="AG9" s="175" t="s">
        <v>159</v>
      </c>
      <c r="AH9" s="175" t="s">
        <v>158</v>
      </c>
      <c r="AI9" s="175" t="s">
        <v>159</v>
      </c>
      <c r="AJ9" s="175" t="s">
        <v>158</v>
      </c>
      <c r="AK9" s="175" t="s">
        <v>159</v>
      </c>
      <c r="AL9" s="175" t="s">
        <v>158</v>
      </c>
      <c r="AM9" s="175" t="s">
        <v>159</v>
      </c>
      <c r="AN9" s="175" t="s">
        <v>158</v>
      </c>
      <c r="AO9" s="175" t="s">
        <v>159</v>
      </c>
      <c r="AP9" s="175" t="s">
        <v>158</v>
      </c>
      <c r="AQ9" s="175" t="s">
        <v>159</v>
      </c>
      <c r="AR9" s="175" t="s">
        <v>158</v>
      </c>
      <c r="AS9" s="175" t="s">
        <v>159</v>
      </c>
      <c r="AT9" s="175" t="s">
        <v>158</v>
      </c>
      <c r="AU9" s="175" t="s">
        <v>159</v>
      </c>
      <c r="AV9" s="175" t="s">
        <v>158</v>
      </c>
      <c r="AW9" s="175" t="s">
        <v>159</v>
      </c>
      <c r="AX9" s="175" t="s">
        <v>158</v>
      </c>
      <c r="AY9" s="175" t="s">
        <v>159</v>
      </c>
      <c r="AZ9" s="175" t="s">
        <v>158</v>
      </c>
      <c r="BA9" s="175" t="s">
        <v>159</v>
      </c>
      <c r="BB9" s="175" t="s">
        <v>158</v>
      </c>
      <c r="BC9" s="175" t="s">
        <v>159</v>
      </c>
      <c r="BD9" s="175" t="s">
        <v>158</v>
      </c>
      <c r="BE9" s="175" t="s">
        <v>159</v>
      </c>
      <c r="BF9" s="2291"/>
      <c r="BG9" s="2290"/>
      <c r="BH9" s="2291"/>
      <c r="BI9" s="2292"/>
      <c r="BJ9" s="2291"/>
      <c r="BK9" s="2291"/>
      <c r="BL9" s="176" t="s">
        <v>158</v>
      </c>
      <c r="BM9" s="176" t="s">
        <v>159</v>
      </c>
      <c r="BN9" s="176" t="s">
        <v>158</v>
      </c>
      <c r="BO9" s="176" t="s">
        <v>159</v>
      </c>
      <c r="BP9" s="177"/>
      <c r="BQ9" s="24"/>
      <c r="BR9" s="24"/>
      <c r="BS9" s="24"/>
      <c r="BT9" s="24"/>
      <c r="BU9" s="24"/>
      <c r="BV9" s="24"/>
      <c r="BW9" s="24"/>
      <c r="BX9" s="24"/>
      <c r="BY9" s="24"/>
      <c r="BZ9" s="24"/>
      <c r="CA9" s="24"/>
      <c r="CB9" s="24"/>
      <c r="CC9" s="24"/>
      <c r="CD9" s="24"/>
      <c r="CE9" s="24"/>
      <c r="CF9" s="24"/>
      <c r="CG9" s="24"/>
      <c r="CH9" s="24"/>
      <c r="CI9" s="24"/>
    </row>
    <row r="10" spans="1:87" s="1" customFormat="1" ht="30.75" customHeight="1" x14ac:dyDescent="0.2">
      <c r="A10" s="26">
        <v>2</v>
      </c>
      <c r="B10" s="27" t="s">
        <v>78</v>
      </c>
      <c r="C10" s="28"/>
      <c r="D10" s="29"/>
      <c r="E10" s="30"/>
      <c r="F10" s="30"/>
      <c r="G10" s="31"/>
      <c r="H10" s="31"/>
      <c r="I10" s="29"/>
      <c r="J10" s="29"/>
      <c r="K10" s="32"/>
      <c r="L10" s="32"/>
      <c r="M10" s="33"/>
      <c r="N10" s="34"/>
      <c r="O10" s="33"/>
      <c r="P10" s="35"/>
      <c r="Q10" s="36"/>
      <c r="R10" s="33"/>
      <c r="S10" s="33"/>
      <c r="T10" s="33"/>
      <c r="U10" s="37"/>
      <c r="V10" s="37"/>
      <c r="W10" s="37"/>
      <c r="X10" s="38"/>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9"/>
      <c r="BM10" s="39"/>
      <c r="BN10" s="39"/>
      <c r="BO10" s="39"/>
      <c r="BP10" s="40"/>
      <c r="BQ10" s="18"/>
      <c r="BR10" s="18"/>
      <c r="BS10" s="18"/>
      <c r="BT10" s="18"/>
      <c r="BU10" s="18"/>
      <c r="BV10" s="18"/>
      <c r="BW10" s="18"/>
      <c r="BX10" s="18"/>
      <c r="BY10" s="18"/>
      <c r="BZ10" s="18"/>
      <c r="CA10" s="18"/>
      <c r="CB10" s="18"/>
      <c r="CC10" s="18"/>
      <c r="CD10" s="18"/>
      <c r="CE10" s="18"/>
      <c r="CF10" s="18"/>
      <c r="CG10" s="18"/>
      <c r="CH10" s="18"/>
      <c r="CI10" s="18"/>
    </row>
    <row r="11" spans="1:87" s="1" customFormat="1" ht="23.25" customHeight="1" x14ac:dyDescent="0.2">
      <c r="A11" s="41"/>
      <c r="B11" s="42"/>
      <c r="C11" s="43"/>
      <c r="D11" s="44">
        <v>27</v>
      </c>
      <c r="E11" s="45" t="s">
        <v>79</v>
      </c>
      <c r="F11" s="46"/>
      <c r="G11" s="47"/>
      <c r="H11" s="47"/>
      <c r="I11" s="46"/>
      <c r="J11" s="46"/>
      <c r="K11" s="48"/>
      <c r="L11" s="113"/>
      <c r="M11" s="49"/>
      <c r="N11" s="50"/>
      <c r="O11" s="49"/>
      <c r="P11" s="51"/>
      <c r="Q11" s="52"/>
      <c r="R11" s="49"/>
      <c r="S11" s="49"/>
      <c r="T11" s="49"/>
      <c r="U11" s="53"/>
      <c r="V11" s="53"/>
      <c r="W11" s="53"/>
      <c r="X11" s="54"/>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5"/>
      <c r="BM11" s="55"/>
      <c r="BN11" s="55"/>
      <c r="BO11" s="55"/>
      <c r="BP11" s="56"/>
      <c r="BQ11" s="18"/>
      <c r="BR11" s="18"/>
      <c r="BS11" s="18"/>
      <c r="BT11" s="18"/>
      <c r="BU11" s="18"/>
      <c r="BV11" s="18"/>
      <c r="BW11" s="18"/>
      <c r="BX11" s="18"/>
      <c r="BY11" s="18"/>
      <c r="BZ11" s="18"/>
      <c r="CA11" s="18"/>
      <c r="CB11" s="18"/>
      <c r="CC11" s="18"/>
      <c r="CD11" s="18"/>
      <c r="CE11" s="18"/>
      <c r="CF11" s="18"/>
      <c r="CG11" s="18"/>
      <c r="CH11" s="18"/>
      <c r="CI11" s="18"/>
    </row>
    <row r="12" spans="1:87" s="1" customFormat="1" ht="57" customHeight="1" x14ac:dyDescent="0.2">
      <c r="A12" s="57"/>
      <c r="B12" s="24"/>
      <c r="C12" s="58"/>
      <c r="D12" s="59"/>
      <c r="E12" s="60"/>
      <c r="F12" s="60"/>
      <c r="G12" s="3198">
        <v>3502006</v>
      </c>
      <c r="H12" s="2634" t="s">
        <v>1</v>
      </c>
      <c r="I12" s="2413" t="s">
        <v>2</v>
      </c>
      <c r="J12" s="2331" t="s">
        <v>3</v>
      </c>
      <c r="K12" s="2345">
        <v>1</v>
      </c>
      <c r="L12" s="2345">
        <v>0.45</v>
      </c>
      <c r="M12" s="2331" t="s">
        <v>80</v>
      </c>
      <c r="N12" s="2343" t="s">
        <v>81</v>
      </c>
      <c r="O12" s="2331" t="s">
        <v>0</v>
      </c>
      <c r="P12" s="3216">
        <f>U12/Q12</f>
        <v>0.4</v>
      </c>
      <c r="Q12" s="3218">
        <f>+U12+U14+U15+U16</f>
        <v>75000000</v>
      </c>
      <c r="R12" s="2308" t="s">
        <v>82</v>
      </c>
      <c r="S12" s="3220" t="s">
        <v>83</v>
      </c>
      <c r="T12" s="2308" t="s">
        <v>84</v>
      </c>
      <c r="U12" s="3203">
        <v>30000000</v>
      </c>
      <c r="V12" s="3203">
        <v>18666666</v>
      </c>
      <c r="W12" s="3203">
        <v>0</v>
      </c>
      <c r="X12" s="2304" t="s">
        <v>85</v>
      </c>
      <c r="Y12" s="2308" t="s">
        <v>86</v>
      </c>
      <c r="Z12" s="2426">
        <v>295972</v>
      </c>
      <c r="AA12" s="2426"/>
      <c r="AB12" s="2426">
        <v>285580</v>
      </c>
      <c r="AC12" s="2426"/>
      <c r="AD12" s="2426">
        <v>135545</v>
      </c>
      <c r="AE12" s="2426"/>
      <c r="AF12" s="2426">
        <v>44254</v>
      </c>
      <c r="AG12" s="2426"/>
      <c r="AH12" s="2426">
        <v>309146</v>
      </c>
      <c r="AI12" s="2426"/>
      <c r="AJ12" s="2426">
        <v>92607</v>
      </c>
      <c r="AK12" s="2426"/>
      <c r="AL12" s="2426">
        <v>0</v>
      </c>
      <c r="AM12" s="2426"/>
      <c r="AN12" s="2426">
        <v>0</v>
      </c>
      <c r="AO12" s="61"/>
      <c r="AP12" s="2426">
        <v>0</v>
      </c>
      <c r="AQ12" s="61"/>
      <c r="AR12" s="2426">
        <v>0</v>
      </c>
      <c r="AS12" s="61"/>
      <c r="AT12" s="2426">
        <v>0</v>
      </c>
      <c r="AU12" s="61"/>
      <c r="AV12" s="61"/>
      <c r="AW12" s="2426">
        <v>0</v>
      </c>
      <c r="AX12" s="2426">
        <v>0</v>
      </c>
      <c r="AY12" s="61"/>
      <c r="AZ12" s="2426">
        <v>0</v>
      </c>
      <c r="BA12" s="61"/>
      <c r="BB12" s="2426">
        <v>0</v>
      </c>
      <c r="BC12" s="61"/>
      <c r="BD12" s="2426">
        <f>+Z12+AB12</f>
        <v>581552</v>
      </c>
      <c r="BE12" s="61"/>
      <c r="BF12" s="2426">
        <v>3</v>
      </c>
      <c r="BG12" s="3151">
        <f>SUM(V12:V16)</f>
        <v>18666666</v>
      </c>
      <c r="BH12" s="3151">
        <f>SUM(W12:W16)</f>
        <v>0</v>
      </c>
      <c r="BI12" s="2310">
        <f>BH12/BG12</f>
        <v>0</v>
      </c>
      <c r="BJ12" s="2426">
        <v>88</v>
      </c>
      <c r="BK12" s="2338" t="s">
        <v>160</v>
      </c>
      <c r="BL12" s="2354">
        <v>43832</v>
      </c>
      <c r="BM12" s="2354">
        <v>44119</v>
      </c>
      <c r="BN12" s="2354">
        <v>44195</v>
      </c>
      <c r="BO12" s="2354">
        <v>44185</v>
      </c>
      <c r="BP12" s="2338" t="s">
        <v>87</v>
      </c>
      <c r="BQ12" s="18"/>
      <c r="BR12" s="18"/>
      <c r="BS12" s="18"/>
      <c r="BT12" s="18"/>
      <c r="BU12" s="18"/>
      <c r="BV12" s="18"/>
      <c r="BW12" s="18"/>
      <c r="BX12" s="18"/>
      <c r="BY12" s="18"/>
      <c r="BZ12" s="18"/>
      <c r="CA12" s="18"/>
      <c r="CB12" s="18"/>
      <c r="CC12" s="18"/>
      <c r="CD12" s="18"/>
      <c r="CE12" s="18"/>
      <c r="CF12" s="18"/>
      <c r="CG12" s="18"/>
      <c r="CH12" s="18"/>
      <c r="CI12" s="18"/>
    </row>
    <row r="13" spans="1:87" s="1" customFormat="1" ht="63" customHeight="1" x14ac:dyDescent="0.2">
      <c r="A13" s="57"/>
      <c r="B13" s="24"/>
      <c r="C13" s="58"/>
      <c r="D13" s="18"/>
      <c r="E13" s="62"/>
      <c r="F13" s="62"/>
      <c r="G13" s="2754"/>
      <c r="H13" s="2634"/>
      <c r="I13" s="2413"/>
      <c r="J13" s="2331"/>
      <c r="K13" s="2347"/>
      <c r="L13" s="2347"/>
      <c r="M13" s="2331"/>
      <c r="N13" s="2343"/>
      <c r="O13" s="2331"/>
      <c r="P13" s="3217"/>
      <c r="Q13" s="3219"/>
      <c r="R13" s="2309"/>
      <c r="S13" s="3221"/>
      <c r="T13" s="3202"/>
      <c r="U13" s="3204"/>
      <c r="V13" s="3204"/>
      <c r="W13" s="3204"/>
      <c r="X13" s="2648"/>
      <c r="Y13" s="3202"/>
      <c r="Z13" s="2427"/>
      <c r="AA13" s="2427"/>
      <c r="AB13" s="2427"/>
      <c r="AC13" s="2427"/>
      <c r="AD13" s="2427"/>
      <c r="AE13" s="2427"/>
      <c r="AF13" s="2427"/>
      <c r="AG13" s="2427"/>
      <c r="AH13" s="2427"/>
      <c r="AI13" s="2427"/>
      <c r="AJ13" s="2427"/>
      <c r="AK13" s="2427"/>
      <c r="AL13" s="2427"/>
      <c r="AM13" s="2427"/>
      <c r="AN13" s="2427"/>
      <c r="AO13" s="63"/>
      <c r="AP13" s="2427"/>
      <c r="AQ13" s="63"/>
      <c r="AR13" s="2427"/>
      <c r="AS13" s="63"/>
      <c r="AT13" s="2427"/>
      <c r="AU13" s="63"/>
      <c r="AV13" s="63"/>
      <c r="AW13" s="2427"/>
      <c r="AX13" s="2427"/>
      <c r="AY13" s="63"/>
      <c r="AZ13" s="2427"/>
      <c r="BA13" s="63"/>
      <c r="BB13" s="2427"/>
      <c r="BC13" s="63"/>
      <c r="BD13" s="2427"/>
      <c r="BE13" s="63"/>
      <c r="BF13" s="2427"/>
      <c r="BG13" s="3152"/>
      <c r="BH13" s="3152"/>
      <c r="BI13" s="2311"/>
      <c r="BJ13" s="2427"/>
      <c r="BK13" s="2339"/>
      <c r="BL13" s="2355"/>
      <c r="BM13" s="2355"/>
      <c r="BN13" s="2355"/>
      <c r="BO13" s="2355"/>
      <c r="BP13" s="2339"/>
      <c r="BQ13" s="18"/>
      <c r="BR13" s="18"/>
      <c r="BS13" s="18"/>
      <c r="BT13" s="18"/>
      <c r="BU13" s="18"/>
      <c r="BV13" s="18"/>
      <c r="BW13" s="18"/>
      <c r="BX13" s="18"/>
      <c r="BY13" s="18"/>
      <c r="BZ13" s="18"/>
      <c r="CA13" s="18"/>
      <c r="CB13" s="18"/>
      <c r="CC13" s="18"/>
      <c r="CD13" s="18"/>
      <c r="CE13" s="18"/>
      <c r="CF13" s="18"/>
      <c r="CG13" s="18"/>
      <c r="CH13" s="18"/>
      <c r="CI13" s="18"/>
    </row>
    <row r="14" spans="1:87" s="1" customFormat="1" ht="54" customHeight="1" x14ac:dyDescent="0.2">
      <c r="A14" s="57"/>
      <c r="B14" s="24"/>
      <c r="C14" s="58"/>
      <c r="D14" s="18"/>
      <c r="E14" s="62"/>
      <c r="F14" s="62"/>
      <c r="G14" s="3198">
        <v>3502007</v>
      </c>
      <c r="H14" s="2634" t="s">
        <v>5</v>
      </c>
      <c r="I14" s="2413" t="s">
        <v>88</v>
      </c>
      <c r="J14" s="2331" t="s">
        <v>6</v>
      </c>
      <c r="K14" s="2345">
        <v>7</v>
      </c>
      <c r="L14" s="2345">
        <v>7</v>
      </c>
      <c r="M14" s="2331"/>
      <c r="N14" s="2343"/>
      <c r="O14" s="3215"/>
      <c r="P14" s="3197">
        <f>(U14+U15+U16)/(Q12)</f>
        <v>0.6</v>
      </c>
      <c r="Q14" s="3219"/>
      <c r="R14" s="2309"/>
      <c r="S14" s="3221"/>
      <c r="T14" s="2308" t="s">
        <v>89</v>
      </c>
      <c r="U14" s="64">
        <v>8000000</v>
      </c>
      <c r="V14" s="64">
        <v>0</v>
      </c>
      <c r="W14" s="70">
        <v>0</v>
      </c>
      <c r="X14" s="65">
        <v>88</v>
      </c>
      <c r="Y14" s="66" t="s">
        <v>86</v>
      </c>
      <c r="Z14" s="2427"/>
      <c r="AA14" s="2427"/>
      <c r="AB14" s="2427"/>
      <c r="AC14" s="2427"/>
      <c r="AD14" s="2427"/>
      <c r="AE14" s="2427"/>
      <c r="AF14" s="2427"/>
      <c r="AG14" s="2427"/>
      <c r="AH14" s="2427"/>
      <c r="AI14" s="2427"/>
      <c r="AJ14" s="2427"/>
      <c r="AK14" s="2427"/>
      <c r="AL14" s="2427"/>
      <c r="AM14" s="2427"/>
      <c r="AN14" s="2427"/>
      <c r="AO14" s="63"/>
      <c r="AP14" s="2427"/>
      <c r="AQ14" s="63"/>
      <c r="AR14" s="2427"/>
      <c r="AS14" s="63"/>
      <c r="AT14" s="2427"/>
      <c r="AU14" s="63"/>
      <c r="AV14" s="63"/>
      <c r="AW14" s="2427"/>
      <c r="AX14" s="2427"/>
      <c r="AY14" s="63"/>
      <c r="AZ14" s="2427"/>
      <c r="BA14" s="63"/>
      <c r="BB14" s="2427"/>
      <c r="BC14" s="63"/>
      <c r="BD14" s="2427"/>
      <c r="BE14" s="63"/>
      <c r="BF14" s="2427"/>
      <c r="BG14" s="3152"/>
      <c r="BH14" s="3152"/>
      <c r="BI14" s="2311"/>
      <c r="BJ14" s="2427"/>
      <c r="BK14" s="2339"/>
      <c r="BL14" s="2355"/>
      <c r="BM14" s="2355"/>
      <c r="BN14" s="2355"/>
      <c r="BO14" s="2355"/>
      <c r="BP14" s="2339"/>
      <c r="BQ14" s="18"/>
      <c r="BR14" s="18"/>
      <c r="BS14" s="18"/>
      <c r="BT14" s="18"/>
      <c r="BU14" s="18"/>
      <c r="BV14" s="18"/>
      <c r="BW14" s="18"/>
      <c r="BX14" s="18"/>
      <c r="BY14" s="18"/>
      <c r="BZ14" s="18"/>
      <c r="CA14" s="18"/>
      <c r="CB14" s="18"/>
      <c r="CC14" s="18"/>
      <c r="CD14" s="18"/>
      <c r="CE14" s="18"/>
      <c r="CF14" s="18"/>
      <c r="CG14" s="18"/>
      <c r="CH14" s="18"/>
      <c r="CI14" s="18"/>
    </row>
    <row r="15" spans="1:87" s="1" customFormat="1" ht="43.5" customHeight="1" x14ac:dyDescent="0.2">
      <c r="A15" s="57"/>
      <c r="B15" s="24"/>
      <c r="C15" s="58"/>
      <c r="D15" s="18"/>
      <c r="E15" s="62"/>
      <c r="F15" s="62"/>
      <c r="G15" s="3205"/>
      <c r="H15" s="2634"/>
      <c r="I15" s="2413"/>
      <c r="J15" s="2331"/>
      <c r="K15" s="2346"/>
      <c r="L15" s="2346"/>
      <c r="M15" s="2331"/>
      <c r="N15" s="2343"/>
      <c r="O15" s="3215"/>
      <c r="P15" s="3197"/>
      <c r="Q15" s="3219"/>
      <c r="R15" s="2309"/>
      <c r="S15" s="3221"/>
      <c r="T15" s="3202"/>
      <c r="U15" s="67">
        <v>25000000</v>
      </c>
      <c r="V15" s="67">
        <v>0</v>
      </c>
      <c r="W15" s="70">
        <v>0</v>
      </c>
      <c r="X15" s="11">
        <v>20</v>
      </c>
      <c r="Y15" s="68" t="s">
        <v>7</v>
      </c>
      <c r="Z15" s="2427"/>
      <c r="AA15" s="2427"/>
      <c r="AB15" s="2427"/>
      <c r="AC15" s="2427"/>
      <c r="AD15" s="2427"/>
      <c r="AE15" s="2427"/>
      <c r="AF15" s="2427"/>
      <c r="AG15" s="2427"/>
      <c r="AH15" s="2427"/>
      <c r="AI15" s="2427"/>
      <c r="AJ15" s="2427"/>
      <c r="AK15" s="2427"/>
      <c r="AL15" s="2427"/>
      <c r="AM15" s="2427"/>
      <c r="AN15" s="2427"/>
      <c r="AO15" s="63"/>
      <c r="AP15" s="2427"/>
      <c r="AQ15" s="63"/>
      <c r="AR15" s="2427"/>
      <c r="AS15" s="63"/>
      <c r="AT15" s="2427"/>
      <c r="AU15" s="63"/>
      <c r="AV15" s="63"/>
      <c r="AW15" s="2427"/>
      <c r="AX15" s="2427"/>
      <c r="AY15" s="63"/>
      <c r="AZ15" s="2427"/>
      <c r="BA15" s="63"/>
      <c r="BB15" s="2427"/>
      <c r="BC15" s="63"/>
      <c r="BD15" s="2427"/>
      <c r="BE15" s="63"/>
      <c r="BF15" s="2427"/>
      <c r="BG15" s="3152"/>
      <c r="BH15" s="3152"/>
      <c r="BI15" s="2311"/>
      <c r="BJ15" s="2427"/>
      <c r="BK15" s="2339"/>
      <c r="BL15" s="2355"/>
      <c r="BM15" s="2355"/>
      <c r="BN15" s="2355"/>
      <c r="BO15" s="2355"/>
      <c r="BP15" s="2339"/>
      <c r="BQ15" s="18"/>
      <c r="BR15" s="18"/>
      <c r="BS15" s="18"/>
      <c r="BT15" s="18"/>
      <c r="BU15" s="18"/>
      <c r="BV15" s="18"/>
      <c r="BW15" s="18"/>
      <c r="BX15" s="18"/>
      <c r="BY15" s="18"/>
      <c r="BZ15" s="18"/>
      <c r="CA15" s="18"/>
      <c r="CB15" s="18"/>
      <c r="CC15" s="18"/>
      <c r="CD15" s="18"/>
      <c r="CE15" s="18"/>
      <c r="CF15" s="18"/>
      <c r="CG15" s="18"/>
      <c r="CH15" s="18"/>
      <c r="CI15" s="18"/>
    </row>
    <row r="16" spans="1:87" s="1" customFormat="1" ht="86.25" customHeight="1" x14ac:dyDescent="0.2">
      <c r="A16" s="57"/>
      <c r="B16" s="24"/>
      <c r="C16" s="58"/>
      <c r="D16" s="62"/>
      <c r="E16" s="62"/>
      <c r="F16" s="62"/>
      <c r="G16" s="3205"/>
      <c r="H16" s="2634"/>
      <c r="I16" s="2413"/>
      <c r="J16" s="2331"/>
      <c r="K16" s="2347"/>
      <c r="L16" s="2347"/>
      <c r="M16" s="2331"/>
      <c r="N16" s="2343"/>
      <c r="O16" s="3215"/>
      <c r="P16" s="3197"/>
      <c r="Q16" s="3219"/>
      <c r="R16" s="2309"/>
      <c r="S16" s="3221"/>
      <c r="T16" s="69" t="s">
        <v>90</v>
      </c>
      <c r="U16" s="70">
        <v>12000000</v>
      </c>
      <c r="V16" s="70">
        <v>0</v>
      </c>
      <c r="W16" s="70">
        <v>0</v>
      </c>
      <c r="X16" s="65">
        <v>88</v>
      </c>
      <c r="Y16" s="66" t="s">
        <v>86</v>
      </c>
      <c r="Z16" s="2428"/>
      <c r="AA16" s="2428"/>
      <c r="AB16" s="2428"/>
      <c r="AC16" s="2428"/>
      <c r="AD16" s="2428"/>
      <c r="AE16" s="2428"/>
      <c r="AF16" s="2428"/>
      <c r="AG16" s="2428"/>
      <c r="AH16" s="2428"/>
      <c r="AI16" s="2428"/>
      <c r="AJ16" s="2428"/>
      <c r="AK16" s="2428"/>
      <c r="AL16" s="2428"/>
      <c r="AM16" s="2428"/>
      <c r="AN16" s="2428"/>
      <c r="AO16" s="71"/>
      <c r="AP16" s="2428"/>
      <c r="AQ16" s="71"/>
      <c r="AR16" s="2428"/>
      <c r="AS16" s="71"/>
      <c r="AT16" s="2428"/>
      <c r="AU16" s="71"/>
      <c r="AV16" s="71"/>
      <c r="AW16" s="2428"/>
      <c r="AX16" s="2428"/>
      <c r="AY16" s="71"/>
      <c r="AZ16" s="2428"/>
      <c r="BA16" s="71"/>
      <c r="BB16" s="2428"/>
      <c r="BC16" s="71"/>
      <c r="BD16" s="2428"/>
      <c r="BE16" s="71"/>
      <c r="BF16" s="2428"/>
      <c r="BG16" s="3206"/>
      <c r="BH16" s="3206"/>
      <c r="BI16" s="2425"/>
      <c r="BJ16" s="2428"/>
      <c r="BK16" s="2479"/>
      <c r="BL16" s="2478"/>
      <c r="BM16" s="2478"/>
      <c r="BN16" s="2478"/>
      <c r="BO16" s="2478"/>
      <c r="BP16" s="2479"/>
      <c r="BQ16" s="18"/>
      <c r="BR16" s="18"/>
      <c r="BS16" s="18"/>
      <c r="BT16" s="18"/>
      <c r="BU16" s="18"/>
      <c r="BV16" s="18"/>
      <c r="BW16" s="18"/>
      <c r="BX16" s="18"/>
      <c r="BY16" s="18"/>
      <c r="BZ16" s="18"/>
      <c r="CA16" s="18"/>
      <c r="CB16" s="18"/>
      <c r="CC16" s="18"/>
      <c r="CD16" s="18"/>
      <c r="CE16" s="18"/>
      <c r="CF16" s="18"/>
      <c r="CG16" s="18"/>
      <c r="CH16" s="18"/>
      <c r="CI16" s="18"/>
    </row>
    <row r="17" spans="1:87" s="1" customFormat="1" ht="65.25" customHeight="1" x14ac:dyDescent="0.2">
      <c r="A17" s="57"/>
      <c r="B17" s="24"/>
      <c r="C17" s="58"/>
      <c r="D17" s="62"/>
      <c r="E17" s="62"/>
      <c r="F17" s="62"/>
      <c r="G17" s="3212">
        <v>3502022</v>
      </c>
      <c r="H17" s="3213" t="s">
        <v>8</v>
      </c>
      <c r="I17" s="2526" t="s">
        <v>9</v>
      </c>
      <c r="J17" s="2372" t="s">
        <v>10</v>
      </c>
      <c r="K17" s="2345">
        <v>14</v>
      </c>
      <c r="L17" s="2345">
        <v>15</v>
      </c>
      <c r="M17" s="2372" t="s">
        <v>91</v>
      </c>
      <c r="N17" s="2761" t="s">
        <v>92</v>
      </c>
      <c r="O17" s="2372" t="s">
        <v>93</v>
      </c>
      <c r="P17" s="3207">
        <f>(U17+U18+U19)/Q17</f>
        <v>0.79204834446564887</v>
      </c>
      <c r="Q17" s="2705">
        <f>+U17+U18+U19+U20</f>
        <v>209600000</v>
      </c>
      <c r="R17" s="2371" t="s">
        <v>94</v>
      </c>
      <c r="S17" s="3209" t="s">
        <v>95</v>
      </c>
      <c r="T17" s="72" t="s">
        <v>96</v>
      </c>
      <c r="U17" s="73">
        <v>52013333</v>
      </c>
      <c r="V17" s="73">
        <v>52013333</v>
      </c>
      <c r="W17" s="73">
        <v>52013333</v>
      </c>
      <c r="X17" s="74">
        <v>20</v>
      </c>
      <c r="Y17" s="66" t="s">
        <v>7</v>
      </c>
      <c r="Z17" s="3151">
        <v>295972</v>
      </c>
      <c r="AA17" s="2426">
        <v>55</v>
      </c>
      <c r="AB17" s="3151">
        <v>285580</v>
      </c>
      <c r="AC17" s="3151">
        <v>65</v>
      </c>
      <c r="AD17" s="3151">
        <v>135545</v>
      </c>
      <c r="AE17" s="3151"/>
      <c r="AF17" s="3151">
        <v>44254</v>
      </c>
      <c r="AG17" s="3151"/>
      <c r="AH17" s="3151">
        <v>309146</v>
      </c>
      <c r="AI17" s="3151">
        <v>120</v>
      </c>
      <c r="AJ17" s="3151">
        <v>92607</v>
      </c>
      <c r="AK17" s="3151"/>
      <c r="AL17" s="3151">
        <v>0</v>
      </c>
      <c r="AM17" s="3151"/>
      <c r="AN17" s="3151">
        <v>0</v>
      </c>
      <c r="AO17" s="3151"/>
      <c r="AP17" s="3151">
        <v>0</v>
      </c>
      <c r="AQ17" s="3151"/>
      <c r="AR17" s="3151">
        <v>0</v>
      </c>
      <c r="AS17" s="3151"/>
      <c r="AT17" s="3151">
        <v>0</v>
      </c>
      <c r="AU17" s="3151"/>
      <c r="AV17" s="3151">
        <v>0</v>
      </c>
      <c r="AW17" s="3151"/>
      <c r="AX17" s="3151">
        <v>0</v>
      </c>
      <c r="AY17" s="3151"/>
      <c r="AZ17" s="3151">
        <v>0</v>
      </c>
      <c r="BA17" s="3151"/>
      <c r="BB17" s="3151">
        <v>0</v>
      </c>
      <c r="BC17" s="3151"/>
      <c r="BD17" s="3151">
        <f>+Z17+AB17</f>
        <v>581552</v>
      </c>
      <c r="BE17" s="2426">
        <f>+AA17+AC17</f>
        <v>120</v>
      </c>
      <c r="BF17" s="2688">
        <v>6</v>
      </c>
      <c r="BG17" s="3226">
        <f>SUM(V17:V20)</f>
        <v>76179999</v>
      </c>
      <c r="BH17" s="3226">
        <f>SUM(W17:W20)</f>
        <v>52013333</v>
      </c>
      <c r="BI17" s="3227">
        <f>BH17/BG17</f>
        <v>0.68276888530807145</v>
      </c>
      <c r="BJ17" s="2688" t="s">
        <v>161</v>
      </c>
      <c r="BK17" s="3228" t="s">
        <v>162</v>
      </c>
      <c r="BL17" s="3222">
        <v>43832</v>
      </c>
      <c r="BM17" s="3222">
        <v>43879</v>
      </c>
      <c r="BN17" s="3222">
        <v>44195</v>
      </c>
      <c r="BO17" s="3222">
        <v>44185</v>
      </c>
      <c r="BP17" s="2338" t="s">
        <v>87</v>
      </c>
      <c r="BQ17" s="18"/>
      <c r="BR17" s="18"/>
      <c r="BS17" s="18"/>
      <c r="BT17" s="18"/>
      <c r="BU17" s="18"/>
      <c r="BV17" s="18"/>
      <c r="BW17" s="18"/>
      <c r="BX17" s="18"/>
      <c r="BY17" s="18"/>
      <c r="BZ17" s="18"/>
      <c r="CA17" s="18"/>
      <c r="CB17" s="18"/>
      <c r="CC17" s="18"/>
      <c r="CD17" s="18"/>
      <c r="CE17" s="18"/>
      <c r="CF17" s="18"/>
      <c r="CG17" s="18"/>
      <c r="CH17" s="18"/>
      <c r="CI17" s="18"/>
    </row>
    <row r="18" spans="1:87" s="1" customFormat="1" ht="72.75" customHeight="1" x14ac:dyDescent="0.2">
      <c r="A18" s="57"/>
      <c r="B18" s="24"/>
      <c r="C18" s="58"/>
      <c r="D18" s="62"/>
      <c r="E18" s="62"/>
      <c r="F18" s="62"/>
      <c r="G18" s="3213"/>
      <c r="H18" s="3213"/>
      <c r="I18" s="2526"/>
      <c r="J18" s="2372"/>
      <c r="K18" s="2346"/>
      <c r="L18" s="2346"/>
      <c r="M18" s="2372"/>
      <c r="N18" s="2761"/>
      <c r="O18" s="2372"/>
      <c r="P18" s="3207"/>
      <c r="Q18" s="2705"/>
      <c r="R18" s="2372"/>
      <c r="S18" s="3210"/>
      <c r="T18" s="72" t="s">
        <v>97</v>
      </c>
      <c r="U18" s="73">
        <v>22400000</v>
      </c>
      <c r="V18" s="73">
        <v>11666666</v>
      </c>
      <c r="W18" s="178">
        <v>0</v>
      </c>
      <c r="X18" s="74">
        <v>88</v>
      </c>
      <c r="Y18" s="75" t="s">
        <v>86</v>
      </c>
      <c r="Z18" s="3152"/>
      <c r="AA18" s="2427"/>
      <c r="AB18" s="3152"/>
      <c r="AC18" s="3152"/>
      <c r="AD18" s="3152"/>
      <c r="AE18" s="3152"/>
      <c r="AF18" s="3152"/>
      <c r="AG18" s="3152"/>
      <c r="AH18" s="3152"/>
      <c r="AI18" s="3152"/>
      <c r="AJ18" s="3152"/>
      <c r="AK18" s="3152"/>
      <c r="AL18" s="3152"/>
      <c r="AM18" s="3152"/>
      <c r="AN18" s="3152"/>
      <c r="AO18" s="3152"/>
      <c r="AP18" s="3152"/>
      <c r="AQ18" s="3152"/>
      <c r="AR18" s="3152"/>
      <c r="AS18" s="3152"/>
      <c r="AT18" s="3152"/>
      <c r="AU18" s="3152"/>
      <c r="AV18" s="3152"/>
      <c r="AW18" s="3152"/>
      <c r="AX18" s="3152"/>
      <c r="AY18" s="3152"/>
      <c r="AZ18" s="3152"/>
      <c r="BA18" s="3152"/>
      <c r="BB18" s="3152"/>
      <c r="BC18" s="3152"/>
      <c r="BD18" s="3152"/>
      <c r="BE18" s="2427"/>
      <c r="BF18" s="2688"/>
      <c r="BG18" s="3226"/>
      <c r="BH18" s="3226"/>
      <c r="BI18" s="3227"/>
      <c r="BJ18" s="2688"/>
      <c r="BK18" s="3228"/>
      <c r="BL18" s="3222"/>
      <c r="BM18" s="3222"/>
      <c r="BN18" s="3222"/>
      <c r="BO18" s="3222"/>
      <c r="BP18" s="2339"/>
    </row>
    <row r="19" spans="1:87" s="1" customFormat="1" ht="91.5" customHeight="1" x14ac:dyDescent="0.2">
      <c r="A19" s="57"/>
      <c r="B19" s="24"/>
      <c r="C19" s="58"/>
      <c r="D19" s="62"/>
      <c r="E19" s="62"/>
      <c r="F19" s="62"/>
      <c r="G19" s="3214"/>
      <c r="H19" s="3214"/>
      <c r="I19" s="2492"/>
      <c r="J19" s="2344"/>
      <c r="K19" s="2347"/>
      <c r="L19" s="2346"/>
      <c r="M19" s="2372"/>
      <c r="N19" s="2761"/>
      <c r="O19" s="2372"/>
      <c r="P19" s="3208"/>
      <c r="Q19" s="2705"/>
      <c r="R19" s="2372"/>
      <c r="S19" s="3210"/>
      <c r="T19" s="76" t="s">
        <v>98</v>
      </c>
      <c r="U19" s="73">
        <v>91600000</v>
      </c>
      <c r="V19" s="73">
        <v>0</v>
      </c>
      <c r="W19" s="178">
        <v>0</v>
      </c>
      <c r="X19" s="77">
        <v>88</v>
      </c>
      <c r="Y19" s="72" t="s">
        <v>86</v>
      </c>
      <c r="Z19" s="3152"/>
      <c r="AA19" s="2427"/>
      <c r="AB19" s="3152"/>
      <c r="AC19" s="3152"/>
      <c r="AD19" s="3152"/>
      <c r="AE19" s="3152"/>
      <c r="AF19" s="3152"/>
      <c r="AG19" s="3152"/>
      <c r="AH19" s="3152"/>
      <c r="AI19" s="3152"/>
      <c r="AJ19" s="3152"/>
      <c r="AK19" s="3152"/>
      <c r="AL19" s="3152"/>
      <c r="AM19" s="3152"/>
      <c r="AN19" s="3152"/>
      <c r="AO19" s="3152"/>
      <c r="AP19" s="3152"/>
      <c r="AQ19" s="3152"/>
      <c r="AR19" s="3152"/>
      <c r="AS19" s="3152"/>
      <c r="AT19" s="3152"/>
      <c r="AU19" s="3152"/>
      <c r="AV19" s="3152"/>
      <c r="AW19" s="3152"/>
      <c r="AX19" s="3152"/>
      <c r="AY19" s="3152"/>
      <c r="AZ19" s="3152"/>
      <c r="BA19" s="3152"/>
      <c r="BB19" s="3152"/>
      <c r="BC19" s="3152"/>
      <c r="BD19" s="3152"/>
      <c r="BE19" s="2427"/>
      <c r="BF19" s="2688"/>
      <c r="BG19" s="3226"/>
      <c r="BH19" s="3226"/>
      <c r="BI19" s="3227"/>
      <c r="BJ19" s="2688"/>
      <c r="BK19" s="3228"/>
      <c r="BL19" s="3222"/>
      <c r="BM19" s="3222"/>
      <c r="BN19" s="3222"/>
      <c r="BO19" s="3222"/>
      <c r="BP19" s="2339"/>
    </row>
    <row r="20" spans="1:87" s="1" customFormat="1" ht="130.5" customHeight="1" x14ac:dyDescent="0.2">
      <c r="A20" s="57"/>
      <c r="B20" s="24"/>
      <c r="C20" s="58"/>
      <c r="D20" s="62"/>
      <c r="E20" s="62"/>
      <c r="F20" s="62"/>
      <c r="G20" s="78">
        <v>3502047</v>
      </c>
      <c r="H20" s="78" t="s">
        <v>11</v>
      </c>
      <c r="I20" s="79" t="s">
        <v>12</v>
      </c>
      <c r="J20" s="80" t="s">
        <v>13</v>
      </c>
      <c r="K20" s="81">
        <v>0.3</v>
      </c>
      <c r="L20" s="87">
        <v>0.15</v>
      </c>
      <c r="M20" s="2344"/>
      <c r="N20" s="2342"/>
      <c r="O20" s="2344"/>
      <c r="P20" s="82">
        <f>(U20)/(Q17)</f>
        <v>0.20795165553435113</v>
      </c>
      <c r="Q20" s="2705"/>
      <c r="R20" s="2344"/>
      <c r="S20" s="3211"/>
      <c r="T20" s="79" t="s">
        <v>99</v>
      </c>
      <c r="U20" s="83">
        <v>43586667</v>
      </c>
      <c r="V20" s="73">
        <v>12500000</v>
      </c>
      <c r="W20" s="178">
        <v>0</v>
      </c>
      <c r="X20" s="74">
        <v>88</v>
      </c>
      <c r="Y20" s="66" t="s">
        <v>86</v>
      </c>
      <c r="Z20" s="3206"/>
      <c r="AA20" s="2428"/>
      <c r="AB20" s="3206"/>
      <c r="AC20" s="3206"/>
      <c r="AD20" s="3206"/>
      <c r="AE20" s="3206"/>
      <c r="AF20" s="3206"/>
      <c r="AG20" s="3206"/>
      <c r="AH20" s="3206"/>
      <c r="AI20" s="3206"/>
      <c r="AJ20" s="3206"/>
      <c r="AK20" s="3206"/>
      <c r="AL20" s="3206"/>
      <c r="AM20" s="3206"/>
      <c r="AN20" s="3206"/>
      <c r="AO20" s="3206"/>
      <c r="AP20" s="3206"/>
      <c r="AQ20" s="3206"/>
      <c r="AR20" s="3206"/>
      <c r="AS20" s="3206"/>
      <c r="AT20" s="3206"/>
      <c r="AU20" s="3206"/>
      <c r="AV20" s="3206"/>
      <c r="AW20" s="3206"/>
      <c r="AX20" s="3206"/>
      <c r="AY20" s="3206"/>
      <c r="AZ20" s="3206"/>
      <c r="BA20" s="3206"/>
      <c r="BB20" s="3206"/>
      <c r="BC20" s="3206"/>
      <c r="BD20" s="3206"/>
      <c r="BE20" s="2428"/>
      <c r="BF20" s="2688"/>
      <c r="BG20" s="3226"/>
      <c r="BH20" s="3226"/>
      <c r="BI20" s="3227"/>
      <c r="BJ20" s="2688"/>
      <c r="BK20" s="3228"/>
      <c r="BL20" s="3222"/>
      <c r="BM20" s="3222"/>
      <c r="BN20" s="3222"/>
      <c r="BO20" s="3222"/>
      <c r="BP20" s="2479"/>
    </row>
    <row r="21" spans="1:87" s="1" customFormat="1" ht="102.75" customHeight="1" x14ac:dyDescent="0.2">
      <c r="A21" s="57"/>
      <c r="B21" s="24"/>
      <c r="C21" s="58"/>
      <c r="D21" s="62"/>
      <c r="E21" s="62"/>
      <c r="F21" s="62"/>
      <c r="G21" s="3223">
        <v>3502039</v>
      </c>
      <c r="H21" s="3225" t="s">
        <v>14</v>
      </c>
      <c r="I21" s="2413" t="s">
        <v>15</v>
      </c>
      <c r="J21" s="2493" t="s">
        <v>16</v>
      </c>
      <c r="K21" s="2345">
        <v>12</v>
      </c>
      <c r="L21" s="2345">
        <v>12</v>
      </c>
      <c r="M21" s="2371" t="s">
        <v>100</v>
      </c>
      <c r="N21" s="2491" t="s">
        <v>101</v>
      </c>
      <c r="O21" s="2371" t="s">
        <v>102</v>
      </c>
      <c r="P21" s="3233">
        <f>(U21+U22+U23+U24)/(Q21)</f>
        <v>0.71949122727148929</v>
      </c>
      <c r="Q21" s="2768">
        <f>+U21+U22+U23+U24+U25+U26+U27</f>
        <v>325007436</v>
      </c>
      <c r="R21" s="2372" t="s">
        <v>103</v>
      </c>
      <c r="S21" s="3229" t="s">
        <v>104</v>
      </c>
      <c r="T21" s="9" t="s">
        <v>105</v>
      </c>
      <c r="U21" s="67">
        <f>130000000-29706671</f>
        <v>100293329</v>
      </c>
      <c r="V21" s="95">
        <v>100293329</v>
      </c>
      <c r="W21" s="179">
        <f>2800000+2800000</f>
        <v>5600000</v>
      </c>
      <c r="X21" s="84">
        <v>88</v>
      </c>
      <c r="Y21" s="66" t="s">
        <v>86</v>
      </c>
      <c r="Z21" s="3151">
        <v>6041</v>
      </c>
      <c r="AA21" s="3151">
        <v>2425</v>
      </c>
      <c r="AB21" s="3151">
        <v>6016</v>
      </c>
      <c r="AC21" s="3151">
        <v>2300</v>
      </c>
      <c r="AD21" s="3151">
        <v>0</v>
      </c>
      <c r="AE21" s="3151"/>
      <c r="AF21" s="3151">
        <v>0</v>
      </c>
      <c r="AG21" s="3151"/>
      <c r="AH21" s="3098">
        <v>12057</v>
      </c>
      <c r="AI21" s="3151">
        <v>4725</v>
      </c>
      <c r="AJ21" s="3151">
        <v>0</v>
      </c>
      <c r="AK21" s="3151"/>
      <c r="AL21" s="3151">
        <v>0</v>
      </c>
      <c r="AM21" s="3151"/>
      <c r="AN21" s="3151">
        <v>0</v>
      </c>
      <c r="AO21" s="3151"/>
      <c r="AP21" s="3151">
        <v>0</v>
      </c>
      <c r="AQ21" s="3151"/>
      <c r="AR21" s="3151">
        <v>0</v>
      </c>
      <c r="AS21" s="3151"/>
      <c r="AT21" s="3151">
        <v>0</v>
      </c>
      <c r="AU21" s="3151"/>
      <c r="AV21" s="3151">
        <v>0</v>
      </c>
      <c r="AW21" s="3151"/>
      <c r="AX21" s="3151">
        <v>0</v>
      </c>
      <c r="AY21" s="3151"/>
      <c r="AZ21" s="3151">
        <v>0</v>
      </c>
      <c r="BA21" s="3151"/>
      <c r="BB21" s="3151">
        <v>0</v>
      </c>
      <c r="BC21" s="3151"/>
      <c r="BD21" s="3151">
        <f>+Z21+AB21</f>
        <v>12057</v>
      </c>
      <c r="BE21" s="3151">
        <f>+AA21+AC21</f>
        <v>4725</v>
      </c>
      <c r="BF21" s="2688">
        <v>24</v>
      </c>
      <c r="BG21" s="3226">
        <f>SUM(V21:V27)</f>
        <v>196133328</v>
      </c>
      <c r="BH21" s="3226">
        <f>SUM(W21:W27)</f>
        <v>99439999</v>
      </c>
      <c r="BI21" s="3227">
        <f>BH21/BG21</f>
        <v>0.50700204811698291</v>
      </c>
      <c r="BJ21" s="2688" t="s">
        <v>161</v>
      </c>
      <c r="BK21" s="2338" t="s">
        <v>163</v>
      </c>
      <c r="BL21" s="3222">
        <v>43832</v>
      </c>
      <c r="BM21" s="3222">
        <v>43881</v>
      </c>
      <c r="BN21" s="3222">
        <v>44195</v>
      </c>
      <c r="BO21" s="3222">
        <v>44185</v>
      </c>
      <c r="BP21" s="2338" t="s">
        <v>87</v>
      </c>
    </row>
    <row r="22" spans="1:87" s="1" customFormat="1" ht="90.75" customHeight="1" x14ac:dyDescent="0.2">
      <c r="A22" s="57"/>
      <c r="B22" s="24"/>
      <c r="C22" s="58"/>
      <c r="D22" s="62"/>
      <c r="E22" s="62"/>
      <c r="F22" s="62"/>
      <c r="G22" s="3224"/>
      <c r="H22" s="3213"/>
      <c r="I22" s="2413"/>
      <c r="J22" s="2526"/>
      <c r="K22" s="2346"/>
      <c r="L22" s="2346"/>
      <c r="M22" s="2372"/>
      <c r="N22" s="2761"/>
      <c r="O22" s="2372"/>
      <c r="P22" s="3234"/>
      <c r="Q22" s="2768"/>
      <c r="R22" s="2372"/>
      <c r="S22" s="3230"/>
      <c r="T22" s="85" t="s">
        <v>106</v>
      </c>
      <c r="U22" s="86">
        <f>10000000-10000000</f>
        <v>0</v>
      </c>
      <c r="V22" s="180">
        <v>0</v>
      </c>
      <c r="W22" s="102">
        <v>0</v>
      </c>
      <c r="X22" s="87">
        <v>88</v>
      </c>
      <c r="Y22" s="88" t="s">
        <v>86</v>
      </c>
      <c r="Z22" s="3152"/>
      <c r="AA22" s="3152"/>
      <c r="AB22" s="3152"/>
      <c r="AC22" s="3152"/>
      <c r="AD22" s="3152"/>
      <c r="AE22" s="3152"/>
      <c r="AF22" s="3152"/>
      <c r="AG22" s="3152"/>
      <c r="AH22" s="3236"/>
      <c r="AI22" s="3152"/>
      <c r="AJ22" s="3152"/>
      <c r="AK22" s="3152"/>
      <c r="AL22" s="3152"/>
      <c r="AM22" s="3152"/>
      <c r="AN22" s="3152"/>
      <c r="AO22" s="3152"/>
      <c r="AP22" s="3152"/>
      <c r="AQ22" s="3152"/>
      <c r="AR22" s="3152"/>
      <c r="AS22" s="3152"/>
      <c r="AT22" s="3152"/>
      <c r="AU22" s="3152"/>
      <c r="AV22" s="3152"/>
      <c r="AW22" s="3152"/>
      <c r="AX22" s="3152"/>
      <c r="AY22" s="3152"/>
      <c r="AZ22" s="3152"/>
      <c r="BA22" s="3152"/>
      <c r="BB22" s="3152"/>
      <c r="BC22" s="3152"/>
      <c r="BD22" s="3152"/>
      <c r="BE22" s="3152"/>
      <c r="BF22" s="2688"/>
      <c r="BG22" s="3226"/>
      <c r="BH22" s="3226"/>
      <c r="BI22" s="3227"/>
      <c r="BJ22" s="2688"/>
      <c r="BK22" s="2339"/>
      <c r="BL22" s="3222"/>
      <c r="BM22" s="3222"/>
      <c r="BN22" s="3222"/>
      <c r="BO22" s="3222"/>
      <c r="BP22" s="2339"/>
    </row>
    <row r="23" spans="1:87" s="1" customFormat="1" ht="81" customHeight="1" x14ac:dyDescent="0.2">
      <c r="A23" s="57"/>
      <c r="B23" s="24"/>
      <c r="C23" s="58"/>
      <c r="D23" s="62"/>
      <c r="E23" s="62"/>
      <c r="F23" s="62"/>
      <c r="G23" s="3224"/>
      <c r="H23" s="3213"/>
      <c r="I23" s="2413"/>
      <c r="J23" s="2526"/>
      <c r="K23" s="2346"/>
      <c r="L23" s="2346"/>
      <c r="M23" s="2372"/>
      <c r="N23" s="2761"/>
      <c r="O23" s="2372"/>
      <c r="P23" s="3234"/>
      <c r="Q23" s="2768"/>
      <c r="R23" s="2372"/>
      <c r="S23" s="3230"/>
      <c r="T23" s="9" t="s">
        <v>107</v>
      </c>
      <c r="U23" s="67">
        <f>61320062+32519937</f>
        <v>93839999</v>
      </c>
      <c r="V23" s="67">
        <v>93839999</v>
      </c>
      <c r="W23" s="67">
        <v>93839999</v>
      </c>
      <c r="X23" s="89">
        <v>20</v>
      </c>
      <c r="Y23" s="68" t="s">
        <v>7</v>
      </c>
      <c r="Z23" s="3152"/>
      <c r="AA23" s="3152"/>
      <c r="AB23" s="3152"/>
      <c r="AC23" s="3152"/>
      <c r="AD23" s="3152"/>
      <c r="AE23" s="3152"/>
      <c r="AF23" s="3152"/>
      <c r="AG23" s="3152"/>
      <c r="AH23" s="3236"/>
      <c r="AI23" s="3152"/>
      <c r="AJ23" s="3152"/>
      <c r="AK23" s="3152"/>
      <c r="AL23" s="3152"/>
      <c r="AM23" s="3152"/>
      <c r="AN23" s="3152"/>
      <c r="AO23" s="3152"/>
      <c r="AP23" s="3152"/>
      <c r="AQ23" s="3152"/>
      <c r="AR23" s="3152"/>
      <c r="AS23" s="3152"/>
      <c r="AT23" s="3152"/>
      <c r="AU23" s="3152"/>
      <c r="AV23" s="3152"/>
      <c r="AW23" s="3152"/>
      <c r="AX23" s="3152"/>
      <c r="AY23" s="3152"/>
      <c r="AZ23" s="3152"/>
      <c r="BA23" s="3152"/>
      <c r="BB23" s="3152"/>
      <c r="BC23" s="3152"/>
      <c r="BD23" s="3152"/>
      <c r="BE23" s="3152"/>
      <c r="BF23" s="2688"/>
      <c r="BG23" s="3226"/>
      <c r="BH23" s="3226"/>
      <c r="BI23" s="3227"/>
      <c r="BJ23" s="2688"/>
      <c r="BK23" s="2339"/>
      <c r="BL23" s="3222"/>
      <c r="BM23" s="3222"/>
      <c r="BN23" s="3222"/>
      <c r="BO23" s="3222"/>
      <c r="BP23" s="2339"/>
    </row>
    <row r="24" spans="1:87" s="1" customFormat="1" ht="86.25" customHeight="1" x14ac:dyDescent="0.2">
      <c r="A24" s="57"/>
      <c r="B24" s="24"/>
      <c r="C24" s="58"/>
      <c r="D24" s="62"/>
      <c r="E24" s="62"/>
      <c r="F24" s="62"/>
      <c r="G24" s="3224"/>
      <c r="H24" s="3214"/>
      <c r="I24" s="2413"/>
      <c r="J24" s="2492"/>
      <c r="K24" s="2347"/>
      <c r="L24" s="3232"/>
      <c r="M24" s="2372"/>
      <c r="N24" s="2761"/>
      <c r="O24" s="2372"/>
      <c r="P24" s="3235"/>
      <c r="Q24" s="2768"/>
      <c r="R24" s="2372"/>
      <c r="S24" s="3230"/>
      <c r="T24" s="85" t="s">
        <v>108</v>
      </c>
      <c r="U24" s="86">
        <f>10000000+29706671</f>
        <v>39706671</v>
      </c>
      <c r="V24" s="181">
        <v>0</v>
      </c>
      <c r="W24" s="95">
        <v>0</v>
      </c>
      <c r="X24" s="90">
        <v>88</v>
      </c>
      <c r="Y24" s="91" t="s">
        <v>86</v>
      </c>
      <c r="Z24" s="3152"/>
      <c r="AA24" s="3152"/>
      <c r="AB24" s="3152"/>
      <c r="AC24" s="3152"/>
      <c r="AD24" s="3152"/>
      <c r="AE24" s="3152"/>
      <c r="AF24" s="3152"/>
      <c r="AG24" s="3152"/>
      <c r="AH24" s="3236"/>
      <c r="AI24" s="3152"/>
      <c r="AJ24" s="3152"/>
      <c r="AK24" s="3152"/>
      <c r="AL24" s="3152"/>
      <c r="AM24" s="3152"/>
      <c r="AN24" s="3152"/>
      <c r="AO24" s="3152"/>
      <c r="AP24" s="3152"/>
      <c r="AQ24" s="3152"/>
      <c r="AR24" s="3152"/>
      <c r="AS24" s="3152"/>
      <c r="AT24" s="3152"/>
      <c r="AU24" s="3152"/>
      <c r="AV24" s="3152"/>
      <c r="AW24" s="3152"/>
      <c r="AX24" s="3152"/>
      <c r="AY24" s="3152"/>
      <c r="AZ24" s="3152"/>
      <c r="BA24" s="3152"/>
      <c r="BB24" s="3152"/>
      <c r="BC24" s="3152"/>
      <c r="BD24" s="3152"/>
      <c r="BE24" s="3152"/>
      <c r="BF24" s="2688"/>
      <c r="BG24" s="3226"/>
      <c r="BH24" s="3226"/>
      <c r="BI24" s="3227"/>
      <c r="BJ24" s="2688"/>
      <c r="BK24" s="2339"/>
      <c r="BL24" s="3222"/>
      <c r="BM24" s="3222"/>
      <c r="BN24" s="3222"/>
      <c r="BO24" s="3222"/>
      <c r="BP24" s="2339"/>
    </row>
    <row r="25" spans="1:87" s="1" customFormat="1" ht="62.25" customHeight="1" x14ac:dyDescent="0.2">
      <c r="A25" s="57"/>
      <c r="B25" s="24"/>
      <c r="C25" s="58"/>
      <c r="D25" s="62"/>
      <c r="E25" s="62"/>
      <c r="F25" s="62"/>
      <c r="G25" s="3224"/>
      <c r="H25" s="2786" t="s">
        <v>14</v>
      </c>
      <c r="I25" s="2413"/>
      <c r="J25" s="2750" t="s">
        <v>17</v>
      </c>
      <c r="K25" s="2345">
        <v>1</v>
      </c>
      <c r="L25" s="3238">
        <v>0</v>
      </c>
      <c r="M25" s="2372"/>
      <c r="N25" s="2761"/>
      <c r="O25" s="2372"/>
      <c r="P25" s="3233">
        <f>(U26+U25)/Q21</f>
        <v>0.26820136201437556</v>
      </c>
      <c r="Q25" s="2768"/>
      <c r="R25" s="2372"/>
      <c r="S25" s="3230"/>
      <c r="T25" s="2855" t="s">
        <v>109</v>
      </c>
      <c r="U25" s="182">
        <v>78882499</v>
      </c>
      <c r="V25" s="183">
        <v>0</v>
      </c>
      <c r="W25" s="107">
        <v>0</v>
      </c>
      <c r="X25" s="184" t="s">
        <v>110</v>
      </c>
      <c r="Y25" s="68" t="s">
        <v>7</v>
      </c>
      <c r="Z25" s="3152"/>
      <c r="AA25" s="3152"/>
      <c r="AB25" s="3152"/>
      <c r="AC25" s="3152"/>
      <c r="AD25" s="3152"/>
      <c r="AE25" s="3152"/>
      <c r="AF25" s="3152"/>
      <c r="AG25" s="3152"/>
      <c r="AH25" s="3236"/>
      <c r="AI25" s="3152"/>
      <c r="AJ25" s="3152"/>
      <c r="AK25" s="3152"/>
      <c r="AL25" s="3152"/>
      <c r="AM25" s="3152"/>
      <c r="AN25" s="3152"/>
      <c r="AO25" s="3152"/>
      <c r="AP25" s="3152"/>
      <c r="AQ25" s="3152"/>
      <c r="AR25" s="3152"/>
      <c r="AS25" s="3152"/>
      <c r="AT25" s="3152"/>
      <c r="AU25" s="3152"/>
      <c r="AV25" s="3152"/>
      <c r="AW25" s="3152"/>
      <c r="AX25" s="3152"/>
      <c r="AY25" s="3152"/>
      <c r="AZ25" s="3152"/>
      <c r="BA25" s="3152"/>
      <c r="BB25" s="3152"/>
      <c r="BC25" s="3152"/>
      <c r="BD25" s="3152"/>
      <c r="BE25" s="3152"/>
      <c r="BF25" s="2688"/>
      <c r="BG25" s="3226"/>
      <c r="BH25" s="3226"/>
      <c r="BI25" s="3227"/>
      <c r="BJ25" s="2688"/>
      <c r="BK25" s="2339"/>
      <c r="BL25" s="3222"/>
      <c r="BM25" s="3222"/>
      <c r="BN25" s="3222"/>
      <c r="BO25" s="3222"/>
      <c r="BP25" s="2339"/>
    </row>
    <row r="26" spans="1:87" s="1" customFormat="1" ht="69.75" customHeight="1" x14ac:dyDescent="0.2">
      <c r="A26" s="57"/>
      <c r="B26" s="24"/>
      <c r="C26" s="58"/>
      <c r="D26" s="62"/>
      <c r="E26" s="62"/>
      <c r="F26" s="62"/>
      <c r="G26" s="3224"/>
      <c r="H26" s="2786"/>
      <c r="I26" s="2413"/>
      <c r="J26" s="3237"/>
      <c r="K26" s="2346"/>
      <c r="L26" s="2346"/>
      <c r="M26" s="2372"/>
      <c r="N26" s="2761"/>
      <c r="O26" s="2372"/>
      <c r="P26" s="3234"/>
      <c r="Q26" s="2768"/>
      <c r="R26" s="2372"/>
      <c r="S26" s="3230"/>
      <c r="T26" s="3239"/>
      <c r="U26" s="92">
        <v>8284938</v>
      </c>
      <c r="V26" s="185">
        <v>0</v>
      </c>
      <c r="W26" s="102">
        <v>0</v>
      </c>
      <c r="X26" s="186">
        <v>88</v>
      </c>
      <c r="Y26" s="68" t="s">
        <v>86</v>
      </c>
      <c r="Z26" s="3152"/>
      <c r="AA26" s="3152"/>
      <c r="AB26" s="3152"/>
      <c r="AC26" s="3152"/>
      <c r="AD26" s="3152"/>
      <c r="AE26" s="3152"/>
      <c r="AF26" s="3152"/>
      <c r="AG26" s="3152"/>
      <c r="AH26" s="3236"/>
      <c r="AI26" s="3152"/>
      <c r="AJ26" s="3152"/>
      <c r="AK26" s="3152"/>
      <c r="AL26" s="3152"/>
      <c r="AM26" s="3152"/>
      <c r="AN26" s="3152"/>
      <c r="AO26" s="3152"/>
      <c r="AP26" s="3152"/>
      <c r="AQ26" s="3152"/>
      <c r="AR26" s="3152"/>
      <c r="AS26" s="3152"/>
      <c r="AT26" s="3152"/>
      <c r="AU26" s="3152"/>
      <c r="AV26" s="3152"/>
      <c r="AW26" s="3152"/>
      <c r="AX26" s="3152"/>
      <c r="AY26" s="3152"/>
      <c r="AZ26" s="3152"/>
      <c r="BA26" s="3152"/>
      <c r="BB26" s="3152"/>
      <c r="BC26" s="3152"/>
      <c r="BD26" s="3152"/>
      <c r="BE26" s="3152"/>
      <c r="BF26" s="2688"/>
      <c r="BG26" s="3226"/>
      <c r="BH26" s="3226"/>
      <c r="BI26" s="3227"/>
      <c r="BJ26" s="2688"/>
      <c r="BK26" s="2339"/>
      <c r="BL26" s="3222"/>
      <c r="BM26" s="3222"/>
      <c r="BN26" s="3222"/>
      <c r="BO26" s="3222"/>
      <c r="BP26" s="2339"/>
    </row>
    <row r="27" spans="1:87" s="1" customFormat="1" ht="102" customHeight="1" x14ac:dyDescent="0.2">
      <c r="A27" s="57"/>
      <c r="B27" s="24"/>
      <c r="C27" s="58"/>
      <c r="D27" s="62"/>
      <c r="E27" s="62"/>
      <c r="F27" s="62"/>
      <c r="G27" s="78">
        <v>3502047</v>
      </c>
      <c r="H27" s="78" t="s">
        <v>11</v>
      </c>
      <c r="I27" s="79" t="s">
        <v>12</v>
      </c>
      <c r="J27" s="80" t="s">
        <v>13</v>
      </c>
      <c r="K27" s="81">
        <v>0.3</v>
      </c>
      <c r="L27" s="87">
        <v>0.15</v>
      </c>
      <c r="M27" s="2372"/>
      <c r="N27" s="2761"/>
      <c r="O27" s="2372"/>
      <c r="P27" s="93">
        <f>(U27)/(Q21)</f>
        <v>1.2307410714135169E-2</v>
      </c>
      <c r="Q27" s="2768"/>
      <c r="R27" s="2372"/>
      <c r="S27" s="3231"/>
      <c r="T27" s="9" t="s">
        <v>111</v>
      </c>
      <c r="U27" s="187">
        <v>4000000</v>
      </c>
      <c r="V27" s="67">
        <v>2000000</v>
      </c>
      <c r="W27" s="67">
        <v>0</v>
      </c>
      <c r="X27" s="188">
        <v>88</v>
      </c>
      <c r="Y27" s="88" t="s">
        <v>86</v>
      </c>
      <c r="Z27" s="3206"/>
      <c r="AA27" s="3206"/>
      <c r="AB27" s="3206"/>
      <c r="AC27" s="3206"/>
      <c r="AD27" s="3206"/>
      <c r="AE27" s="3206"/>
      <c r="AF27" s="3206"/>
      <c r="AG27" s="3206"/>
      <c r="AH27" s="3099"/>
      <c r="AI27" s="3206"/>
      <c r="AJ27" s="3206"/>
      <c r="AK27" s="3206"/>
      <c r="AL27" s="3206"/>
      <c r="AM27" s="3206"/>
      <c r="AN27" s="3206"/>
      <c r="AO27" s="3206"/>
      <c r="AP27" s="3206"/>
      <c r="AQ27" s="3206"/>
      <c r="AR27" s="3206"/>
      <c r="AS27" s="3206"/>
      <c r="AT27" s="3206"/>
      <c r="AU27" s="3206"/>
      <c r="AV27" s="3206"/>
      <c r="AW27" s="3206"/>
      <c r="AX27" s="3206"/>
      <c r="AY27" s="3206"/>
      <c r="AZ27" s="3206"/>
      <c r="BA27" s="3206"/>
      <c r="BB27" s="3206"/>
      <c r="BC27" s="3206"/>
      <c r="BD27" s="3206"/>
      <c r="BE27" s="3206"/>
      <c r="BF27" s="2688"/>
      <c r="BG27" s="3226"/>
      <c r="BH27" s="3226"/>
      <c r="BI27" s="3227"/>
      <c r="BJ27" s="2688"/>
      <c r="BK27" s="2479"/>
      <c r="BL27" s="3222"/>
      <c r="BM27" s="3222"/>
      <c r="BN27" s="3222"/>
      <c r="BO27" s="3222"/>
      <c r="BP27" s="2479"/>
    </row>
    <row r="28" spans="1:87" s="1" customFormat="1" ht="75" customHeight="1" x14ac:dyDescent="0.2">
      <c r="A28" s="57"/>
      <c r="B28" s="24"/>
      <c r="C28" s="58"/>
      <c r="D28" s="62"/>
      <c r="E28" s="62"/>
      <c r="F28" s="62"/>
      <c r="G28" s="3225">
        <v>3502046</v>
      </c>
      <c r="H28" s="3225" t="s">
        <v>18</v>
      </c>
      <c r="I28" s="2493" t="s">
        <v>19</v>
      </c>
      <c r="J28" s="2371" t="s">
        <v>20</v>
      </c>
      <c r="K28" s="2345">
        <v>1</v>
      </c>
      <c r="L28" s="2345">
        <v>0.42</v>
      </c>
      <c r="M28" s="2371" t="s">
        <v>112</v>
      </c>
      <c r="N28" s="2491" t="s">
        <v>113</v>
      </c>
      <c r="O28" s="2493" t="s">
        <v>114</v>
      </c>
      <c r="P28" s="3233">
        <f>(U28+U29+U30+U31+U32+U33+U34+U35)/(Q28)</f>
        <v>1</v>
      </c>
      <c r="Q28" s="3240">
        <f>+U28+U29+U30+U31+U32+U33+U34+U35</f>
        <v>876877904.85000002</v>
      </c>
      <c r="R28" s="3241" t="s">
        <v>115</v>
      </c>
      <c r="S28" s="3244" t="s">
        <v>116</v>
      </c>
      <c r="T28" s="94" t="s">
        <v>117</v>
      </c>
      <c r="U28" s="95">
        <v>232026666</v>
      </c>
      <c r="V28" s="95">
        <v>232026666</v>
      </c>
      <c r="W28" s="95">
        <v>232026666</v>
      </c>
      <c r="X28" s="103" t="s">
        <v>118</v>
      </c>
      <c r="Y28" s="97" t="s">
        <v>119</v>
      </c>
      <c r="Z28" s="3242">
        <v>6041</v>
      </c>
      <c r="AA28" s="3226">
        <v>1850</v>
      </c>
      <c r="AB28" s="3242">
        <v>6016</v>
      </c>
      <c r="AC28" s="3226">
        <v>1732</v>
      </c>
      <c r="AD28" s="3242">
        <v>0</v>
      </c>
      <c r="AE28" s="3226"/>
      <c r="AF28" s="3242">
        <v>0</v>
      </c>
      <c r="AG28" s="3226"/>
      <c r="AH28" s="3242">
        <v>12057</v>
      </c>
      <c r="AI28" s="3243">
        <v>3582</v>
      </c>
      <c r="AJ28" s="3242">
        <v>0</v>
      </c>
      <c r="AK28" s="3226"/>
      <c r="AL28" s="3242">
        <v>0</v>
      </c>
      <c r="AM28" s="3226"/>
      <c r="AN28" s="3242">
        <v>0</v>
      </c>
      <c r="AO28" s="3226"/>
      <c r="AP28" s="3242">
        <v>0</v>
      </c>
      <c r="AQ28" s="3226"/>
      <c r="AR28" s="3242">
        <v>0</v>
      </c>
      <c r="AS28" s="3226"/>
      <c r="AT28" s="3242">
        <v>0</v>
      </c>
      <c r="AU28" s="3226"/>
      <c r="AV28" s="3242">
        <v>0</v>
      </c>
      <c r="AW28" s="3226"/>
      <c r="AX28" s="3242">
        <v>0</v>
      </c>
      <c r="AY28" s="3226"/>
      <c r="AZ28" s="3242">
        <v>0</v>
      </c>
      <c r="BA28" s="3226"/>
      <c r="BB28" s="3242">
        <v>0</v>
      </c>
      <c r="BC28" s="3226"/>
      <c r="BD28" s="3242">
        <f>+Z28+AB28</f>
        <v>12057</v>
      </c>
      <c r="BE28" s="3226">
        <f>+AA28+AC28</f>
        <v>3582</v>
      </c>
      <c r="BF28" s="2475">
        <v>6</v>
      </c>
      <c r="BG28" s="3250">
        <f>SUM(V28:V35)</f>
        <v>263943331</v>
      </c>
      <c r="BH28" s="3250">
        <f>SUM(W28:W35)</f>
        <v>234826666</v>
      </c>
      <c r="BI28" s="3227">
        <f>BH28/BG28</f>
        <v>0.88968592277105119</v>
      </c>
      <c r="BJ28" s="2475" t="s">
        <v>164</v>
      </c>
      <c r="BK28" s="2464" t="s">
        <v>165</v>
      </c>
      <c r="BL28" s="3222">
        <v>43832</v>
      </c>
      <c r="BM28" s="3222">
        <v>43886</v>
      </c>
      <c r="BN28" s="3222">
        <v>44195</v>
      </c>
      <c r="BO28" s="3222">
        <v>44185</v>
      </c>
      <c r="BP28" s="2316" t="s">
        <v>87</v>
      </c>
    </row>
    <row r="29" spans="1:87" s="1" customFormat="1" ht="52.5" customHeight="1" x14ac:dyDescent="0.2">
      <c r="A29" s="57"/>
      <c r="B29" s="24"/>
      <c r="C29" s="58"/>
      <c r="D29" s="62"/>
      <c r="E29" s="62"/>
      <c r="F29" s="62"/>
      <c r="G29" s="3213"/>
      <c r="H29" s="3213"/>
      <c r="I29" s="2526"/>
      <c r="J29" s="2372"/>
      <c r="K29" s="2346"/>
      <c r="L29" s="2346"/>
      <c r="M29" s="2372"/>
      <c r="N29" s="2761"/>
      <c r="O29" s="2526"/>
      <c r="P29" s="3234"/>
      <c r="Q29" s="2768"/>
      <c r="R29" s="2372"/>
      <c r="S29" s="3210"/>
      <c r="T29" s="2751" t="s">
        <v>120</v>
      </c>
      <c r="U29" s="98">
        <v>38000000</v>
      </c>
      <c r="V29" s="95">
        <v>19715333</v>
      </c>
      <c r="W29" s="189">
        <v>0</v>
      </c>
      <c r="X29" s="96" t="s">
        <v>118</v>
      </c>
      <c r="Y29" s="99" t="s">
        <v>119</v>
      </c>
      <c r="Z29" s="3242"/>
      <c r="AA29" s="3226"/>
      <c r="AB29" s="3242"/>
      <c r="AC29" s="3226"/>
      <c r="AD29" s="3242"/>
      <c r="AE29" s="3226"/>
      <c r="AF29" s="3242"/>
      <c r="AG29" s="3226"/>
      <c r="AH29" s="3242"/>
      <c r="AI29" s="3243"/>
      <c r="AJ29" s="3242"/>
      <c r="AK29" s="3226"/>
      <c r="AL29" s="3242"/>
      <c r="AM29" s="3226"/>
      <c r="AN29" s="3242"/>
      <c r="AO29" s="3226"/>
      <c r="AP29" s="3242"/>
      <c r="AQ29" s="3226"/>
      <c r="AR29" s="3242"/>
      <c r="AS29" s="3226"/>
      <c r="AT29" s="3242"/>
      <c r="AU29" s="3226"/>
      <c r="AV29" s="3242"/>
      <c r="AW29" s="3226"/>
      <c r="AX29" s="3242"/>
      <c r="AY29" s="3226"/>
      <c r="AZ29" s="3242"/>
      <c r="BA29" s="3226"/>
      <c r="BB29" s="3242"/>
      <c r="BC29" s="3226"/>
      <c r="BD29" s="3242"/>
      <c r="BE29" s="3226"/>
      <c r="BF29" s="2475"/>
      <c r="BG29" s="2475"/>
      <c r="BH29" s="2475"/>
      <c r="BI29" s="3227"/>
      <c r="BJ29" s="2475"/>
      <c r="BK29" s="2464"/>
      <c r="BL29" s="3222"/>
      <c r="BM29" s="3222"/>
      <c r="BN29" s="3222"/>
      <c r="BO29" s="3222"/>
      <c r="BP29" s="2316"/>
    </row>
    <row r="30" spans="1:87" s="1" customFormat="1" ht="51" customHeight="1" x14ac:dyDescent="0.2">
      <c r="A30" s="57"/>
      <c r="B30" s="24"/>
      <c r="C30" s="58"/>
      <c r="D30" s="62"/>
      <c r="E30" s="62"/>
      <c r="F30" s="62"/>
      <c r="G30" s="3213"/>
      <c r="H30" s="3213"/>
      <c r="I30" s="2526"/>
      <c r="J30" s="2372"/>
      <c r="K30" s="2346"/>
      <c r="L30" s="2346"/>
      <c r="M30" s="2372"/>
      <c r="N30" s="2761"/>
      <c r="O30" s="2526"/>
      <c r="P30" s="3234"/>
      <c r="Q30" s="2768"/>
      <c r="R30" s="2372"/>
      <c r="S30" s="3210"/>
      <c r="T30" s="3251"/>
      <c r="U30" s="92">
        <v>15000000</v>
      </c>
      <c r="V30" s="102">
        <v>12201332</v>
      </c>
      <c r="W30" s="102">
        <v>2800000</v>
      </c>
      <c r="X30" s="100">
        <v>94</v>
      </c>
      <c r="Y30" s="101" t="s">
        <v>121</v>
      </c>
      <c r="Z30" s="3242"/>
      <c r="AA30" s="3226"/>
      <c r="AB30" s="3242"/>
      <c r="AC30" s="3226"/>
      <c r="AD30" s="3242"/>
      <c r="AE30" s="3226"/>
      <c r="AF30" s="3242"/>
      <c r="AG30" s="3226"/>
      <c r="AH30" s="3242"/>
      <c r="AI30" s="3243"/>
      <c r="AJ30" s="3242"/>
      <c r="AK30" s="3226"/>
      <c r="AL30" s="3242"/>
      <c r="AM30" s="3226"/>
      <c r="AN30" s="3242"/>
      <c r="AO30" s="3226"/>
      <c r="AP30" s="3242"/>
      <c r="AQ30" s="3226"/>
      <c r="AR30" s="3242"/>
      <c r="AS30" s="3226"/>
      <c r="AT30" s="3242"/>
      <c r="AU30" s="3226"/>
      <c r="AV30" s="3242"/>
      <c r="AW30" s="3226"/>
      <c r="AX30" s="3242"/>
      <c r="AY30" s="3226"/>
      <c r="AZ30" s="3242"/>
      <c r="BA30" s="3226"/>
      <c r="BB30" s="3242"/>
      <c r="BC30" s="3226"/>
      <c r="BD30" s="3242"/>
      <c r="BE30" s="3226"/>
      <c r="BF30" s="2475"/>
      <c r="BG30" s="2475"/>
      <c r="BH30" s="2475"/>
      <c r="BI30" s="3227"/>
      <c r="BJ30" s="2475"/>
      <c r="BK30" s="2464"/>
      <c r="BL30" s="3222"/>
      <c r="BM30" s="3222"/>
      <c r="BN30" s="3222"/>
      <c r="BO30" s="3222"/>
      <c r="BP30" s="2316"/>
    </row>
    <row r="31" spans="1:87" s="1" customFormat="1" ht="56.25" customHeight="1" x14ac:dyDescent="0.2">
      <c r="A31" s="57"/>
      <c r="B31" s="24"/>
      <c r="C31" s="58"/>
      <c r="D31" s="62"/>
      <c r="E31" s="62"/>
      <c r="F31" s="62"/>
      <c r="G31" s="3213"/>
      <c r="H31" s="3213"/>
      <c r="I31" s="2526"/>
      <c r="J31" s="2372"/>
      <c r="K31" s="2346"/>
      <c r="L31" s="2346"/>
      <c r="M31" s="2372"/>
      <c r="N31" s="2761"/>
      <c r="O31" s="2526"/>
      <c r="P31" s="3234"/>
      <c r="Q31" s="2768"/>
      <c r="R31" s="2372"/>
      <c r="S31" s="3210"/>
      <c r="T31" s="2641" t="s">
        <v>122</v>
      </c>
      <c r="U31" s="102">
        <v>203851239</v>
      </c>
      <c r="V31" s="107">
        <v>0</v>
      </c>
      <c r="W31" s="107">
        <v>0</v>
      </c>
      <c r="X31" s="103" t="s">
        <v>118</v>
      </c>
      <c r="Y31" s="97" t="s">
        <v>119</v>
      </c>
      <c r="Z31" s="3242"/>
      <c r="AA31" s="3226"/>
      <c r="AB31" s="3242"/>
      <c r="AC31" s="3226"/>
      <c r="AD31" s="3242"/>
      <c r="AE31" s="3226"/>
      <c r="AF31" s="3242"/>
      <c r="AG31" s="3226"/>
      <c r="AH31" s="3242"/>
      <c r="AI31" s="3243"/>
      <c r="AJ31" s="3242"/>
      <c r="AK31" s="3226"/>
      <c r="AL31" s="3242"/>
      <c r="AM31" s="3226"/>
      <c r="AN31" s="3242"/>
      <c r="AO31" s="3226"/>
      <c r="AP31" s="3242"/>
      <c r="AQ31" s="3226"/>
      <c r="AR31" s="3242"/>
      <c r="AS31" s="3226"/>
      <c r="AT31" s="3242"/>
      <c r="AU31" s="3226"/>
      <c r="AV31" s="3242"/>
      <c r="AW31" s="3226"/>
      <c r="AX31" s="3242"/>
      <c r="AY31" s="3226"/>
      <c r="AZ31" s="3242"/>
      <c r="BA31" s="3226"/>
      <c r="BB31" s="3242"/>
      <c r="BC31" s="3226"/>
      <c r="BD31" s="3242"/>
      <c r="BE31" s="3226"/>
      <c r="BF31" s="2475"/>
      <c r="BG31" s="2475"/>
      <c r="BH31" s="2475"/>
      <c r="BI31" s="3227"/>
      <c r="BJ31" s="2475"/>
      <c r="BK31" s="2464"/>
      <c r="BL31" s="3222"/>
      <c r="BM31" s="3222"/>
      <c r="BN31" s="3222"/>
      <c r="BO31" s="3222"/>
      <c r="BP31" s="2316"/>
    </row>
    <row r="32" spans="1:87" s="1" customFormat="1" ht="56.25" customHeight="1" x14ac:dyDescent="0.2">
      <c r="A32" s="57"/>
      <c r="B32" s="24"/>
      <c r="C32" s="58"/>
      <c r="D32" s="62"/>
      <c r="E32" s="62"/>
      <c r="F32" s="62"/>
      <c r="G32" s="3213"/>
      <c r="H32" s="3213"/>
      <c r="I32" s="2526"/>
      <c r="J32" s="2372"/>
      <c r="K32" s="2346"/>
      <c r="L32" s="2346"/>
      <c r="M32" s="2372"/>
      <c r="N32" s="2761"/>
      <c r="O32" s="2526"/>
      <c r="P32" s="3234"/>
      <c r="Q32" s="2768"/>
      <c r="R32" s="2372"/>
      <c r="S32" s="3210"/>
      <c r="T32" s="2642"/>
      <c r="U32" s="104">
        <v>360000000</v>
      </c>
      <c r="V32" s="107">
        <v>0</v>
      </c>
      <c r="W32" s="107">
        <v>0</v>
      </c>
      <c r="X32" s="103">
        <v>88</v>
      </c>
      <c r="Y32" s="97" t="s">
        <v>86</v>
      </c>
      <c r="Z32" s="3242"/>
      <c r="AA32" s="3226"/>
      <c r="AB32" s="3242"/>
      <c r="AC32" s="3226"/>
      <c r="AD32" s="3242"/>
      <c r="AE32" s="3226"/>
      <c r="AF32" s="3242"/>
      <c r="AG32" s="3226"/>
      <c r="AH32" s="3242"/>
      <c r="AI32" s="3243"/>
      <c r="AJ32" s="3242"/>
      <c r="AK32" s="3226"/>
      <c r="AL32" s="3242"/>
      <c r="AM32" s="3226"/>
      <c r="AN32" s="3242"/>
      <c r="AO32" s="3226"/>
      <c r="AP32" s="3242"/>
      <c r="AQ32" s="3226"/>
      <c r="AR32" s="3242"/>
      <c r="AS32" s="3226"/>
      <c r="AT32" s="3242"/>
      <c r="AU32" s="3226"/>
      <c r="AV32" s="3242"/>
      <c r="AW32" s="3226"/>
      <c r="AX32" s="3242"/>
      <c r="AY32" s="3226"/>
      <c r="AZ32" s="3242"/>
      <c r="BA32" s="3226"/>
      <c r="BB32" s="3242"/>
      <c r="BC32" s="3226"/>
      <c r="BD32" s="3242"/>
      <c r="BE32" s="3226"/>
      <c r="BF32" s="2475"/>
      <c r="BG32" s="2475"/>
      <c r="BH32" s="2475"/>
      <c r="BI32" s="3227"/>
      <c r="BJ32" s="2475"/>
      <c r="BK32" s="2464"/>
      <c r="BL32" s="3222"/>
      <c r="BM32" s="3222"/>
      <c r="BN32" s="3222"/>
      <c r="BO32" s="3222"/>
      <c r="BP32" s="2316"/>
    </row>
    <row r="33" spans="1:68" s="1" customFormat="1" ht="54" customHeight="1" x14ac:dyDescent="0.2">
      <c r="A33" s="57"/>
      <c r="B33" s="24"/>
      <c r="C33" s="58"/>
      <c r="D33" s="62"/>
      <c r="E33" s="62"/>
      <c r="F33" s="62"/>
      <c r="G33" s="3213"/>
      <c r="H33" s="3213"/>
      <c r="I33" s="2526"/>
      <c r="J33" s="2372"/>
      <c r="K33" s="2346"/>
      <c r="L33" s="2346"/>
      <c r="M33" s="2372"/>
      <c r="N33" s="2761"/>
      <c r="O33" s="2526"/>
      <c r="P33" s="3234"/>
      <c r="Q33" s="2768"/>
      <c r="R33" s="2372"/>
      <c r="S33" s="3210"/>
      <c r="T33" s="105" t="s">
        <v>123</v>
      </c>
      <c r="U33" s="95">
        <v>10000000</v>
      </c>
      <c r="V33" s="190">
        <v>0</v>
      </c>
      <c r="W33" s="189">
        <v>0</v>
      </c>
      <c r="X33" s="106" t="s">
        <v>118</v>
      </c>
      <c r="Y33" s="99" t="s">
        <v>119</v>
      </c>
      <c r="Z33" s="3242"/>
      <c r="AA33" s="3226"/>
      <c r="AB33" s="3242"/>
      <c r="AC33" s="3226"/>
      <c r="AD33" s="3242"/>
      <c r="AE33" s="3226"/>
      <c r="AF33" s="3242"/>
      <c r="AG33" s="3226"/>
      <c r="AH33" s="3242"/>
      <c r="AI33" s="3243"/>
      <c r="AJ33" s="3242"/>
      <c r="AK33" s="3226"/>
      <c r="AL33" s="3242"/>
      <c r="AM33" s="3226"/>
      <c r="AN33" s="3242"/>
      <c r="AO33" s="3226"/>
      <c r="AP33" s="3242"/>
      <c r="AQ33" s="3226"/>
      <c r="AR33" s="3242"/>
      <c r="AS33" s="3226"/>
      <c r="AT33" s="3242"/>
      <c r="AU33" s="3226"/>
      <c r="AV33" s="3242"/>
      <c r="AW33" s="3226"/>
      <c r="AX33" s="3242"/>
      <c r="AY33" s="3226"/>
      <c r="AZ33" s="3242"/>
      <c r="BA33" s="3226"/>
      <c r="BB33" s="3242"/>
      <c r="BC33" s="3226"/>
      <c r="BD33" s="3242"/>
      <c r="BE33" s="3226"/>
      <c r="BF33" s="2475"/>
      <c r="BG33" s="2475"/>
      <c r="BH33" s="2475"/>
      <c r="BI33" s="3227"/>
      <c r="BJ33" s="2475"/>
      <c r="BK33" s="2464"/>
      <c r="BL33" s="3222"/>
      <c r="BM33" s="3222"/>
      <c r="BN33" s="3222"/>
      <c r="BO33" s="3222"/>
      <c r="BP33" s="2316"/>
    </row>
    <row r="34" spans="1:68" s="1" customFormat="1" ht="52.5" customHeight="1" x14ac:dyDescent="0.2">
      <c r="A34" s="57"/>
      <c r="B34" s="24"/>
      <c r="C34" s="58"/>
      <c r="D34" s="62"/>
      <c r="E34" s="62"/>
      <c r="F34" s="62"/>
      <c r="G34" s="3213"/>
      <c r="H34" s="3213"/>
      <c r="I34" s="2526"/>
      <c r="J34" s="2372"/>
      <c r="K34" s="2346"/>
      <c r="L34" s="2346"/>
      <c r="M34" s="2372"/>
      <c r="N34" s="2761"/>
      <c r="O34" s="2526"/>
      <c r="P34" s="3234"/>
      <c r="Q34" s="2768"/>
      <c r="R34" s="2372"/>
      <c r="S34" s="3210"/>
      <c r="T34" s="3252" t="s">
        <v>124</v>
      </c>
      <c r="U34" s="95">
        <v>10890095</v>
      </c>
      <c r="V34" s="107">
        <v>0</v>
      </c>
      <c r="W34" s="107">
        <v>0</v>
      </c>
      <c r="X34" s="100">
        <v>52</v>
      </c>
      <c r="Y34" s="2" t="s">
        <v>125</v>
      </c>
      <c r="Z34" s="3242"/>
      <c r="AA34" s="3226"/>
      <c r="AB34" s="3242"/>
      <c r="AC34" s="3226"/>
      <c r="AD34" s="3242"/>
      <c r="AE34" s="3226"/>
      <c r="AF34" s="3242"/>
      <c r="AG34" s="3226"/>
      <c r="AH34" s="3242"/>
      <c r="AI34" s="3243"/>
      <c r="AJ34" s="3242"/>
      <c r="AK34" s="3226"/>
      <c r="AL34" s="3242"/>
      <c r="AM34" s="3226"/>
      <c r="AN34" s="3242"/>
      <c r="AO34" s="3226"/>
      <c r="AP34" s="3242"/>
      <c r="AQ34" s="3226"/>
      <c r="AR34" s="3242"/>
      <c r="AS34" s="3226"/>
      <c r="AT34" s="3242"/>
      <c r="AU34" s="3226"/>
      <c r="AV34" s="3242"/>
      <c r="AW34" s="3226"/>
      <c r="AX34" s="3242"/>
      <c r="AY34" s="3226"/>
      <c r="AZ34" s="3242"/>
      <c r="BA34" s="3226"/>
      <c r="BB34" s="3242"/>
      <c r="BC34" s="3226"/>
      <c r="BD34" s="3242"/>
      <c r="BE34" s="3226"/>
      <c r="BF34" s="2475"/>
      <c r="BG34" s="2475"/>
      <c r="BH34" s="2475"/>
      <c r="BI34" s="3227"/>
      <c r="BJ34" s="2475"/>
      <c r="BK34" s="2464"/>
      <c r="BL34" s="3222"/>
      <c r="BM34" s="3222"/>
      <c r="BN34" s="3222"/>
      <c r="BO34" s="3222"/>
      <c r="BP34" s="2316"/>
    </row>
    <row r="35" spans="1:68" s="1" customFormat="1" ht="58.5" customHeight="1" x14ac:dyDescent="0.2">
      <c r="A35" s="57"/>
      <c r="B35" s="24"/>
      <c r="C35" s="58"/>
      <c r="D35" s="62"/>
      <c r="E35" s="62"/>
      <c r="F35" s="62"/>
      <c r="G35" s="3214"/>
      <c r="H35" s="3214"/>
      <c r="I35" s="2492"/>
      <c r="J35" s="2344"/>
      <c r="K35" s="2347"/>
      <c r="L35" s="2347"/>
      <c r="M35" s="2344"/>
      <c r="N35" s="2342"/>
      <c r="O35" s="2492"/>
      <c r="P35" s="3235"/>
      <c r="Q35" s="2769"/>
      <c r="R35" s="2344"/>
      <c r="S35" s="3211"/>
      <c r="T35" s="2670"/>
      <c r="U35" s="107">
        <v>7109904.8499999996</v>
      </c>
      <c r="V35" s="107">
        <v>0</v>
      </c>
      <c r="W35" s="182">
        <v>0</v>
      </c>
      <c r="X35" s="103">
        <v>94</v>
      </c>
      <c r="Y35" s="97" t="s">
        <v>121</v>
      </c>
      <c r="Z35" s="3242"/>
      <c r="AA35" s="3226"/>
      <c r="AB35" s="3242"/>
      <c r="AC35" s="3226"/>
      <c r="AD35" s="3242"/>
      <c r="AE35" s="3226"/>
      <c r="AF35" s="3242"/>
      <c r="AG35" s="3226"/>
      <c r="AH35" s="3242"/>
      <c r="AI35" s="3243"/>
      <c r="AJ35" s="3242"/>
      <c r="AK35" s="3226"/>
      <c r="AL35" s="3242"/>
      <c r="AM35" s="3226"/>
      <c r="AN35" s="3242"/>
      <c r="AO35" s="3226"/>
      <c r="AP35" s="3242"/>
      <c r="AQ35" s="3226"/>
      <c r="AR35" s="3242"/>
      <c r="AS35" s="3226"/>
      <c r="AT35" s="3242"/>
      <c r="AU35" s="3226"/>
      <c r="AV35" s="3242"/>
      <c r="AW35" s="3226"/>
      <c r="AX35" s="3242"/>
      <c r="AY35" s="3226"/>
      <c r="AZ35" s="3242"/>
      <c r="BA35" s="3226"/>
      <c r="BB35" s="3242"/>
      <c r="BC35" s="3226"/>
      <c r="BD35" s="3242"/>
      <c r="BE35" s="3226"/>
      <c r="BF35" s="2475"/>
      <c r="BG35" s="2475"/>
      <c r="BH35" s="2475"/>
      <c r="BI35" s="3227"/>
      <c r="BJ35" s="2475"/>
      <c r="BK35" s="2464"/>
      <c r="BL35" s="3222"/>
      <c r="BM35" s="3222"/>
      <c r="BN35" s="3222"/>
      <c r="BO35" s="3222"/>
      <c r="BP35" s="2316"/>
    </row>
    <row r="36" spans="1:68" s="1" customFormat="1" ht="29.25" customHeight="1" x14ac:dyDescent="0.2">
      <c r="A36" s="108"/>
      <c r="B36" s="109"/>
      <c r="C36" s="110"/>
      <c r="D36" s="45">
        <v>28</v>
      </c>
      <c r="E36" s="45" t="s">
        <v>126</v>
      </c>
      <c r="F36" s="46"/>
      <c r="G36" s="111"/>
      <c r="H36" s="111"/>
      <c r="I36" s="112"/>
      <c r="J36" s="112"/>
      <c r="K36" s="113"/>
      <c r="L36" s="113"/>
      <c r="M36" s="49"/>
      <c r="N36" s="50"/>
      <c r="O36" s="49"/>
      <c r="P36" s="51"/>
      <c r="Q36" s="903"/>
      <c r="R36" s="49"/>
      <c r="S36" s="49"/>
      <c r="T36" s="114"/>
      <c r="U36" s="53"/>
      <c r="V36" s="53"/>
      <c r="W36" s="53"/>
      <c r="X36" s="54"/>
      <c r="Y36" s="49"/>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91"/>
      <c r="BJ36" s="115"/>
      <c r="BK36" s="192"/>
      <c r="BL36" s="116"/>
      <c r="BM36" s="116"/>
      <c r="BN36" s="116"/>
      <c r="BO36" s="116"/>
      <c r="BP36" s="117"/>
    </row>
    <row r="37" spans="1:68" s="1" customFormat="1" ht="61.5" customHeight="1" x14ac:dyDescent="0.2">
      <c r="A37" s="118"/>
      <c r="B37" s="119"/>
      <c r="C37" s="119"/>
      <c r="D37" s="3245"/>
      <c r="E37" s="2251"/>
      <c r="F37" s="3247"/>
      <c r="G37" s="2341">
        <v>3602018</v>
      </c>
      <c r="H37" s="2343" t="s">
        <v>21</v>
      </c>
      <c r="I37" s="3251" t="s">
        <v>127</v>
      </c>
      <c r="J37" s="3215" t="s">
        <v>22</v>
      </c>
      <c r="K37" s="2634">
        <v>3</v>
      </c>
      <c r="L37" s="2701">
        <v>0.15</v>
      </c>
      <c r="M37" s="2331" t="s">
        <v>128</v>
      </c>
      <c r="N37" s="2343" t="s">
        <v>129</v>
      </c>
      <c r="O37" s="2413" t="s">
        <v>130</v>
      </c>
      <c r="P37" s="3197">
        <f>(U37+U38+U39)/Q37</f>
        <v>0.89851782614501263</v>
      </c>
      <c r="Q37" s="2705">
        <f>SUM(U37:U46)</f>
        <v>1235685000</v>
      </c>
      <c r="R37" s="2371" t="s">
        <v>131</v>
      </c>
      <c r="S37" s="3209" t="s">
        <v>132</v>
      </c>
      <c r="T37" s="72" t="s">
        <v>133</v>
      </c>
      <c r="U37" s="120">
        <v>9000000</v>
      </c>
      <c r="V37" s="122">
        <v>9000000</v>
      </c>
      <c r="W37" s="122">
        <v>9000000</v>
      </c>
      <c r="X37" s="121" t="s">
        <v>110</v>
      </c>
      <c r="Y37" s="72" t="s">
        <v>7</v>
      </c>
      <c r="Z37" s="2357">
        <v>295972</v>
      </c>
      <c r="AA37" s="3253">
        <v>1103</v>
      </c>
      <c r="AB37" s="3256">
        <v>285580</v>
      </c>
      <c r="AC37" s="3253">
        <v>1104</v>
      </c>
      <c r="AD37" s="3256">
        <v>135545</v>
      </c>
      <c r="AE37" s="3253"/>
      <c r="AF37" s="3256">
        <v>44254</v>
      </c>
      <c r="AG37" s="3253"/>
      <c r="AH37" s="3256">
        <v>309146</v>
      </c>
      <c r="AI37" s="3253">
        <v>2207</v>
      </c>
      <c r="AJ37" s="3256">
        <v>92607</v>
      </c>
      <c r="AK37" s="3253"/>
      <c r="AL37" s="3256">
        <v>0</v>
      </c>
      <c r="AM37" s="3253"/>
      <c r="AN37" s="3256">
        <v>0</v>
      </c>
      <c r="AO37" s="3253"/>
      <c r="AP37" s="3256">
        <v>0</v>
      </c>
      <c r="AQ37" s="3253"/>
      <c r="AR37" s="3256">
        <v>0</v>
      </c>
      <c r="AS37" s="3253"/>
      <c r="AT37" s="3256">
        <v>0</v>
      </c>
      <c r="AU37" s="3253"/>
      <c r="AV37" s="3256">
        <v>0</v>
      </c>
      <c r="AW37" s="3253"/>
      <c r="AX37" s="3256">
        <v>44.35</v>
      </c>
      <c r="AY37" s="3253"/>
      <c r="AZ37" s="3256">
        <v>21.44</v>
      </c>
      <c r="BA37" s="3253"/>
      <c r="BB37" s="3256">
        <v>75687</v>
      </c>
      <c r="BC37" s="3253">
        <v>71</v>
      </c>
      <c r="BD37" s="3256">
        <f>+Z37+AB37</f>
        <v>581552</v>
      </c>
      <c r="BE37" s="3253">
        <f>+AA37+AC37</f>
        <v>2207</v>
      </c>
      <c r="BF37" s="2358">
        <v>7</v>
      </c>
      <c r="BG37" s="3257">
        <f>SUM(V37:V46)</f>
        <v>1067026665</v>
      </c>
      <c r="BH37" s="3257">
        <f>SUM(W37:W46)</f>
        <v>34400000</v>
      </c>
      <c r="BI37" s="2368">
        <f>BH37/BG37</f>
        <v>3.2239119347593811E-2</v>
      </c>
      <c r="BJ37" s="2345" t="s">
        <v>161</v>
      </c>
      <c r="BK37" s="2371" t="s">
        <v>160</v>
      </c>
      <c r="BL37" s="2380">
        <v>43832</v>
      </c>
      <c r="BM37" s="2361">
        <v>43876</v>
      </c>
      <c r="BN37" s="2380">
        <v>44195</v>
      </c>
      <c r="BO37" s="2361">
        <v>44196</v>
      </c>
      <c r="BP37" s="2331" t="s">
        <v>87</v>
      </c>
    </row>
    <row r="38" spans="1:68" s="1" customFormat="1" ht="54" customHeight="1" x14ac:dyDescent="0.2">
      <c r="A38" s="118"/>
      <c r="B38" s="119"/>
      <c r="C38" s="119"/>
      <c r="D38" s="3246"/>
      <c r="E38" s="2711"/>
      <c r="F38" s="3248"/>
      <c r="G38" s="2341"/>
      <c r="H38" s="2343"/>
      <c r="I38" s="3251"/>
      <c r="J38" s="3215"/>
      <c r="K38" s="2634"/>
      <c r="L38" s="2636"/>
      <c r="M38" s="2331"/>
      <c r="N38" s="2343"/>
      <c r="O38" s="2413"/>
      <c r="P38" s="3197"/>
      <c r="Q38" s="2705"/>
      <c r="R38" s="2372"/>
      <c r="S38" s="3210"/>
      <c r="T38" s="2331" t="s">
        <v>134</v>
      </c>
      <c r="U38" s="120">
        <v>130600000</v>
      </c>
      <c r="V38" s="122">
        <v>29315000</v>
      </c>
      <c r="W38" s="122">
        <v>0</v>
      </c>
      <c r="X38" s="121" t="s">
        <v>110</v>
      </c>
      <c r="Y38" s="72" t="s">
        <v>7</v>
      </c>
      <c r="Z38" s="2357"/>
      <c r="AA38" s="3254"/>
      <c r="AB38" s="3256"/>
      <c r="AC38" s="3254"/>
      <c r="AD38" s="3256"/>
      <c r="AE38" s="3254"/>
      <c r="AF38" s="3256"/>
      <c r="AG38" s="3254"/>
      <c r="AH38" s="3256"/>
      <c r="AI38" s="3254"/>
      <c r="AJ38" s="3256"/>
      <c r="AK38" s="3254"/>
      <c r="AL38" s="3256"/>
      <c r="AM38" s="3254"/>
      <c r="AN38" s="3256"/>
      <c r="AO38" s="3254"/>
      <c r="AP38" s="3256"/>
      <c r="AQ38" s="3254"/>
      <c r="AR38" s="3256"/>
      <c r="AS38" s="3254"/>
      <c r="AT38" s="3256"/>
      <c r="AU38" s="3254"/>
      <c r="AV38" s="3256"/>
      <c r="AW38" s="3254"/>
      <c r="AX38" s="3256"/>
      <c r="AY38" s="3254"/>
      <c r="AZ38" s="3256"/>
      <c r="BA38" s="3254"/>
      <c r="BB38" s="3256"/>
      <c r="BC38" s="3254"/>
      <c r="BD38" s="3256"/>
      <c r="BE38" s="3254"/>
      <c r="BF38" s="2359"/>
      <c r="BG38" s="2359"/>
      <c r="BH38" s="2359"/>
      <c r="BI38" s="2369"/>
      <c r="BJ38" s="2346"/>
      <c r="BK38" s="2372"/>
      <c r="BL38" s="2380"/>
      <c r="BM38" s="2362"/>
      <c r="BN38" s="2380"/>
      <c r="BO38" s="2362"/>
      <c r="BP38" s="2331"/>
    </row>
    <row r="39" spans="1:68" s="1" customFormat="1" ht="54.75" customHeight="1" x14ac:dyDescent="0.2">
      <c r="A39" s="57"/>
      <c r="B39" s="24"/>
      <c r="C39" s="24"/>
      <c r="D39" s="2557"/>
      <c r="E39" s="2253"/>
      <c r="F39" s="3249"/>
      <c r="G39" s="2341"/>
      <c r="H39" s="2343"/>
      <c r="I39" s="3251"/>
      <c r="J39" s="3215"/>
      <c r="K39" s="2634"/>
      <c r="L39" s="2702"/>
      <c r="M39" s="2331"/>
      <c r="N39" s="2343"/>
      <c r="O39" s="2413"/>
      <c r="P39" s="3197"/>
      <c r="Q39" s="2705"/>
      <c r="R39" s="2372"/>
      <c r="S39" s="3210"/>
      <c r="T39" s="2331"/>
      <c r="U39" s="122">
        <v>970685000</v>
      </c>
      <c r="V39" s="122">
        <v>970685000</v>
      </c>
      <c r="W39" s="122">
        <v>0</v>
      </c>
      <c r="X39" s="121">
        <v>88</v>
      </c>
      <c r="Y39" s="72" t="s">
        <v>4</v>
      </c>
      <c r="Z39" s="2357"/>
      <c r="AA39" s="3254"/>
      <c r="AB39" s="3256"/>
      <c r="AC39" s="3254"/>
      <c r="AD39" s="3256"/>
      <c r="AE39" s="3254"/>
      <c r="AF39" s="3256"/>
      <c r="AG39" s="3254"/>
      <c r="AH39" s="3256"/>
      <c r="AI39" s="3254"/>
      <c r="AJ39" s="3256"/>
      <c r="AK39" s="3254"/>
      <c r="AL39" s="3256"/>
      <c r="AM39" s="3254"/>
      <c r="AN39" s="3256"/>
      <c r="AO39" s="3254"/>
      <c r="AP39" s="3256"/>
      <c r="AQ39" s="3254"/>
      <c r="AR39" s="3256"/>
      <c r="AS39" s="3254"/>
      <c r="AT39" s="3256"/>
      <c r="AU39" s="3254"/>
      <c r="AV39" s="3256"/>
      <c r="AW39" s="3254"/>
      <c r="AX39" s="3256"/>
      <c r="AY39" s="3254"/>
      <c r="AZ39" s="3256"/>
      <c r="BA39" s="3254"/>
      <c r="BB39" s="3256"/>
      <c r="BC39" s="3254"/>
      <c r="BD39" s="3256"/>
      <c r="BE39" s="3254"/>
      <c r="BF39" s="2359"/>
      <c r="BG39" s="2359"/>
      <c r="BH39" s="2359"/>
      <c r="BI39" s="2369"/>
      <c r="BJ39" s="2346"/>
      <c r="BK39" s="2372"/>
      <c r="BL39" s="2380"/>
      <c r="BM39" s="2362"/>
      <c r="BN39" s="2380"/>
      <c r="BO39" s="2362"/>
      <c r="BP39" s="2331"/>
    </row>
    <row r="40" spans="1:68" s="1" customFormat="1" ht="87.75" customHeight="1" x14ac:dyDescent="0.2">
      <c r="A40" s="57"/>
      <c r="B40" s="24"/>
      <c r="C40" s="58"/>
      <c r="E40" s="123"/>
      <c r="F40" s="123"/>
      <c r="G40" s="2754">
        <v>3602032</v>
      </c>
      <c r="H40" s="2702" t="s">
        <v>23</v>
      </c>
      <c r="I40" s="2413" t="s">
        <v>135</v>
      </c>
      <c r="J40" s="3215" t="s">
        <v>24</v>
      </c>
      <c r="K40" s="3259">
        <v>14</v>
      </c>
      <c r="L40" s="3259">
        <v>10</v>
      </c>
      <c r="M40" s="2331"/>
      <c r="N40" s="2343"/>
      <c r="O40" s="2413"/>
      <c r="P40" s="3197">
        <f>(U40+U41)/(Q37)</f>
        <v>5.8267276854538169E-2</v>
      </c>
      <c r="Q40" s="2705"/>
      <c r="R40" s="2372"/>
      <c r="S40" s="3210"/>
      <c r="T40" s="72" t="s">
        <v>136</v>
      </c>
      <c r="U40" s="122">
        <v>22000000</v>
      </c>
      <c r="V40" s="122">
        <v>18919999</v>
      </c>
      <c r="W40" s="120">
        <f>1600000+2800000</f>
        <v>4400000</v>
      </c>
      <c r="X40" s="121">
        <v>88</v>
      </c>
      <c r="Y40" s="72" t="s">
        <v>4</v>
      </c>
      <c r="Z40" s="2357"/>
      <c r="AA40" s="3254"/>
      <c r="AB40" s="3256"/>
      <c r="AC40" s="3254"/>
      <c r="AD40" s="3256"/>
      <c r="AE40" s="3254"/>
      <c r="AF40" s="3256"/>
      <c r="AG40" s="3254"/>
      <c r="AH40" s="3256"/>
      <c r="AI40" s="3254"/>
      <c r="AJ40" s="3256"/>
      <c r="AK40" s="3254"/>
      <c r="AL40" s="3256"/>
      <c r="AM40" s="3254"/>
      <c r="AN40" s="3256"/>
      <c r="AO40" s="3254"/>
      <c r="AP40" s="3256"/>
      <c r="AQ40" s="3254"/>
      <c r="AR40" s="3256"/>
      <c r="AS40" s="3254"/>
      <c r="AT40" s="3256"/>
      <c r="AU40" s="3254"/>
      <c r="AV40" s="3256"/>
      <c r="AW40" s="3254"/>
      <c r="AX40" s="3256"/>
      <c r="AY40" s="3254"/>
      <c r="AZ40" s="3256"/>
      <c r="BA40" s="3254"/>
      <c r="BB40" s="3256"/>
      <c r="BC40" s="3254"/>
      <c r="BD40" s="3256"/>
      <c r="BE40" s="3254"/>
      <c r="BF40" s="2359"/>
      <c r="BG40" s="2359"/>
      <c r="BH40" s="2359"/>
      <c r="BI40" s="2369"/>
      <c r="BJ40" s="2346"/>
      <c r="BK40" s="2372"/>
      <c r="BL40" s="2380"/>
      <c r="BM40" s="2362"/>
      <c r="BN40" s="2380"/>
      <c r="BO40" s="2362"/>
      <c r="BP40" s="2331"/>
    </row>
    <row r="41" spans="1:68" s="1" customFormat="1" ht="90" customHeight="1" x14ac:dyDescent="0.2">
      <c r="A41" s="124"/>
      <c r="C41" s="3"/>
      <c r="G41" s="3258"/>
      <c r="H41" s="2634"/>
      <c r="I41" s="2413"/>
      <c r="J41" s="3215"/>
      <c r="K41" s="3259"/>
      <c r="L41" s="3259"/>
      <c r="M41" s="2331"/>
      <c r="N41" s="2343"/>
      <c r="O41" s="2413"/>
      <c r="P41" s="3197"/>
      <c r="Q41" s="2705"/>
      <c r="R41" s="2372"/>
      <c r="S41" s="3210"/>
      <c r="T41" s="76" t="s">
        <v>137</v>
      </c>
      <c r="U41" s="122">
        <v>50000000</v>
      </c>
      <c r="V41" s="122">
        <v>0</v>
      </c>
      <c r="W41" s="122">
        <v>0</v>
      </c>
      <c r="X41" s="121">
        <v>88</v>
      </c>
      <c r="Y41" s="72" t="s">
        <v>4</v>
      </c>
      <c r="Z41" s="2357"/>
      <c r="AA41" s="3254"/>
      <c r="AB41" s="3256"/>
      <c r="AC41" s="3254"/>
      <c r="AD41" s="3256"/>
      <c r="AE41" s="3254"/>
      <c r="AF41" s="3256"/>
      <c r="AG41" s="3254"/>
      <c r="AH41" s="3256"/>
      <c r="AI41" s="3254"/>
      <c r="AJ41" s="3256"/>
      <c r="AK41" s="3254"/>
      <c r="AL41" s="3256"/>
      <c r="AM41" s="3254"/>
      <c r="AN41" s="3256"/>
      <c r="AO41" s="3254"/>
      <c r="AP41" s="3256"/>
      <c r="AQ41" s="3254"/>
      <c r="AR41" s="3256"/>
      <c r="AS41" s="3254"/>
      <c r="AT41" s="3256"/>
      <c r="AU41" s="3254"/>
      <c r="AV41" s="3256"/>
      <c r="AW41" s="3254"/>
      <c r="AX41" s="3256"/>
      <c r="AY41" s="3254"/>
      <c r="AZ41" s="3256"/>
      <c r="BA41" s="3254"/>
      <c r="BB41" s="3256"/>
      <c r="BC41" s="3254"/>
      <c r="BD41" s="3256"/>
      <c r="BE41" s="3254"/>
      <c r="BF41" s="2359"/>
      <c r="BG41" s="2359"/>
      <c r="BH41" s="2359"/>
      <c r="BI41" s="2369"/>
      <c r="BJ41" s="2346"/>
      <c r="BK41" s="2372"/>
      <c r="BL41" s="2380"/>
      <c r="BM41" s="2362"/>
      <c r="BN41" s="2380"/>
      <c r="BO41" s="2362"/>
      <c r="BP41" s="2331"/>
    </row>
    <row r="42" spans="1:68" s="1" customFormat="1" ht="71.25" customHeight="1" x14ac:dyDescent="0.2">
      <c r="A42" s="124"/>
      <c r="C42" s="3"/>
      <c r="G42" s="2701">
        <v>3602029</v>
      </c>
      <c r="H42" s="2701" t="s">
        <v>25</v>
      </c>
      <c r="I42" s="2493" t="s">
        <v>138</v>
      </c>
      <c r="J42" s="2508" t="s">
        <v>26</v>
      </c>
      <c r="K42" s="2634">
        <v>5</v>
      </c>
      <c r="L42" s="2701">
        <v>3</v>
      </c>
      <c r="M42" s="2331"/>
      <c r="N42" s="2343"/>
      <c r="O42" s="2413"/>
      <c r="P42" s="3197">
        <f>(U42+U43+U44)/(Q37)</f>
        <v>2.7838810052723793E-2</v>
      </c>
      <c r="Q42" s="2705"/>
      <c r="R42" s="2372"/>
      <c r="S42" s="3210"/>
      <c r="T42" s="76" t="s">
        <v>139</v>
      </c>
      <c r="U42" s="122">
        <v>15400000</v>
      </c>
      <c r="V42" s="122">
        <v>15400000</v>
      </c>
      <c r="W42" s="122">
        <v>15400000</v>
      </c>
      <c r="X42" s="121">
        <v>20</v>
      </c>
      <c r="Y42" s="72" t="s">
        <v>7</v>
      </c>
      <c r="Z42" s="2357"/>
      <c r="AA42" s="3254"/>
      <c r="AB42" s="3256"/>
      <c r="AC42" s="3254"/>
      <c r="AD42" s="3256"/>
      <c r="AE42" s="3254"/>
      <c r="AF42" s="3256"/>
      <c r="AG42" s="3254"/>
      <c r="AH42" s="3256"/>
      <c r="AI42" s="3254"/>
      <c r="AJ42" s="3256"/>
      <c r="AK42" s="3254"/>
      <c r="AL42" s="3256"/>
      <c r="AM42" s="3254"/>
      <c r="AN42" s="3256"/>
      <c r="AO42" s="3254"/>
      <c r="AP42" s="3256"/>
      <c r="AQ42" s="3254"/>
      <c r="AR42" s="3256"/>
      <c r="AS42" s="3254"/>
      <c r="AT42" s="3256"/>
      <c r="AU42" s="3254"/>
      <c r="AV42" s="3256"/>
      <c r="AW42" s="3254"/>
      <c r="AX42" s="3256"/>
      <c r="AY42" s="3254"/>
      <c r="AZ42" s="3256"/>
      <c r="BA42" s="3254"/>
      <c r="BB42" s="3256"/>
      <c r="BC42" s="3254"/>
      <c r="BD42" s="3256"/>
      <c r="BE42" s="3254"/>
      <c r="BF42" s="2359"/>
      <c r="BG42" s="2359"/>
      <c r="BH42" s="2359"/>
      <c r="BI42" s="2369"/>
      <c r="BJ42" s="2346"/>
      <c r="BK42" s="2372"/>
      <c r="BL42" s="2380"/>
      <c r="BM42" s="2362"/>
      <c r="BN42" s="2380"/>
      <c r="BO42" s="2362"/>
      <c r="BP42" s="2331"/>
    </row>
    <row r="43" spans="1:68" s="1" customFormat="1" ht="86.25" customHeight="1" x14ac:dyDescent="0.2">
      <c r="A43" s="124"/>
      <c r="C43" s="3"/>
      <c r="G43" s="2636"/>
      <c r="H43" s="3261"/>
      <c r="I43" s="2526"/>
      <c r="J43" s="2509"/>
      <c r="K43" s="2634"/>
      <c r="L43" s="2636"/>
      <c r="M43" s="2331"/>
      <c r="N43" s="2343"/>
      <c r="O43" s="2413"/>
      <c r="P43" s="3197"/>
      <c r="Q43" s="2705"/>
      <c r="R43" s="2372"/>
      <c r="S43" s="3210"/>
      <c r="T43" s="76" t="s">
        <v>140</v>
      </c>
      <c r="U43" s="122">
        <v>14000000</v>
      </c>
      <c r="V43" s="122">
        <v>11666666</v>
      </c>
      <c r="W43" s="120">
        <v>2800000</v>
      </c>
      <c r="X43" s="121">
        <v>88</v>
      </c>
      <c r="Y43" s="72" t="s">
        <v>4</v>
      </c>
      <c r="Z43" s="2357"/>
      <c r="AA43" s="3254"/>
      <c r="AB43" s="3256"/>
      <c r="AC43" s="3254"/>
      <c r="AD43" s="3256"/>
      <c r="AE43" s="3254"/>
      <c r="AF43" s="3256"/>
      <c r="AG43" s="3254"/>
      <c r="AH43" s="3256"/>
      <c r="AI43" s="3254"/>
      <c r="AJ43" s="3256"/>
      <c r="AK43" s="3254"/>
      <c r="AL43" s="3256"/>
      <c r="AM43" s="3254"/>
      <c r="AN43" s="3256"/>
      <c r="AO43" s="3254"/>
      <c r="AP43" s="3256"/>
      <c r="AQ43" s="3254"/>
      <c r="AR43" s="3256"/>
      <c r="AS43" s="3254"/>
      <c r="AT43" s="3256"/>
      <c r="AU43" s="3254"/>
      <c r="AV43" s="3256"/>
      <c r="AW43" s="3254"/>
      <c r="AX43" s="3256"/>
      <c r="AY43" s="3254"/>
      <c r="AZ43" s="3256"/>
      <c r="BA43" s="3254"/>
      <c r="BB43" s="3256"/>
      <c r="BC43" s="3254"/>
      <c r="BD43" s="3256"/>
      <c r="BE43" s="3254"/>
      <c r="BF43" s="2359"/>
      <c r="BG43" s="2359"/>
      <c r="BH43" s="2359"/>
      <c r="BI43" s="2369"/>
      <c r="BJ43" s="2346"/>
      <c r="BK43" s="2372"/>
      <c r="BL43" s="2380"/>
      <c r="BM43" s="2362"/>
      <c r="BN43" s="2380"/>
      <c r="BO43" s="2362"/>
      <c r="BP43" s="2331"/>
    </row>
    <row r="44" spans="1:68" s="1" customFormat="1" ht="73.5" customHeight="1" x14ac:dyDescent="0.2">
      <c r="A44" s="124"/>
      <c r="C44" s="3"/>
      <c r="G44" s="2702"/>
      <c r="H44" s="3262"/>
      <c r="I44" s="2492"/>
      <c r="J44" s="2510"/>
      <c r="K44" s="2634"/>
      <c r="L44" s="2702"/>
      <c r="M44" s="2331"/>
      <c r="N44" s="2343"/>
      <c r="O44" s="2413"/>
      <c r="P44" s="3197"/>
      <c r="Q44" s="2705"/>
      <c r="R44" s="2372"/>
      <c r="S44" s="3210"/>
      <c r="T44" s="76" t="s">
        <v>141</v>
      </c>
      <c r="U44" s="122">
        <v>5000000</v>
      </c>
      <c r="V44" s="122">
        <v>0</v>
      </c>
      <c r="W44" s="120"/>
      <c r="X44" s="121">
        <v>88</v>
      </c>
      <c r="Y44" s="72" t="s">
        <v>4</v>
      </c>
      <c r="Z44" s="2357"/>
      <c r="AA44" s="3254"/>
      <c r="AB44" s="3256"/>
      <c r="AC44" s="3254"/>
      <c r="AD44" s="3256"/>
      <c r="AE44" s="3254"/>
      <c r="AF44" s="3256"/>
      <c r="AG44" s="3254"/>
      <c r="AH44" s="3256"/>
      <c r="AI44" s="3254"/>
      <c r="AJ44" s="3256"/>
      <c r="AK44" s="3254"/>
      <c r="AL44" s="3256"/>
      <c r="AM44" s="3254"/>
      <c r="AN44" s="3256"/>
      <c r="AO44" s="3254"/>
      <c r="AP44" s="3256"/>
      <c r="AQ44" s="3254"/>
      <c r="AR44" s="3256"/>
      <c r="AS44" s="3254"/>
      <c r="AT44" s="3256"/>
      <c r="AU44" s="3254"/>
      <c r="AV44" s="3256"/>
      <c r="AW44" s="3254"/>
      <c r="AX44" s="3256"/>
      <c r="AY44" s="3254"/>
      <c r="AZ44" s="3256"/>
      <c r="BA44" s="3254"/>
      <c r="BB44" s="3256"/>
      <c r="BC44" s="3254"/>
      <c r="BD44" s="3256"/>
      <c r="BE44" s="3254"/>
      <c r="BF44" s="2359"/>
      <c r="BG44" s="2359"/>
      <c r="BH44" s="2359"/>
      <c r="BI44" s="2369"/>
      <c r="BJ44" s="2346"/>
      <c r="BK44" s="2372"/>
      <c r="BL44" s="2380"/>
      <c r="BM44" s="2362"/>
      <c r="BN44" s="2380"/>
      <c r="BO44" s="2362"/>
      <c r="BP44" s="2331"/>
    </row>
    <row r="45" spans="1:68" s="1" customFormat="1" ht="84.75" customHeight="1" x14ac:dyDescent="0.2">
      <c r="A45" s="124"/>
      <c r="C45" s="3"/>
      <c r="G45" s="2634">
        <v>3602030</v>
      </c>
      <c r="H45" s="3260" t="s">
        <v>27</v>
      </c>
      <c r="I45" s="2413" t="s">
        <v>142</v>
      </c>
      <c r="J45" s="3215" t="s">
        <v>28</v>
      </c>
      <c r="K45" s="2634">
        <v>1</v>
      </c>
      <c r="L45" s="2701">
        <v>0.15</v>
      </c>
      <c r="M45" s="2331"/>
      <c r="N45" s="2343"/>
      <c r="O45" s="2413"/>
      <c r="P45" s="3197">
        <f>(U45+U46)/(Q37)</f>
        <v>1.537608694772535E-2</v>
      </c>
      <c r="Q45" s="2705"/>
      <c r="R45" s="2372"/>
      <c r="S45" s="3210"/>
      <c r="T45" s="76" t="s">
        <v>143</v>
      </c>
      <c r="U45" s="122">
        <v>14000000</v>
      </c>
      <c r="V45" s="122">
        <v>12040000</v>
      </c>
      <c r="W45" s="120">
        <v>2800000</v>
      </c>
      <c r="X45" s="121">
        <v>88</v>
      </c>
      <c r="Y45" s="72" t="s">
        <v>4</v>
      </c>
      <c r="Z45" s="2357"/>
      <c r="AA45" s="3254"/>
      <c r="AB45" s="3256"/>
      <c r="AC45" s="3254"/>
      <c r="AD45" s="3256"/>
      <c r="AE45" s="3254"/>
      <c r="AF45" s="3256"/>
      <c r="AG45" s="3254"/>
      <c r="AH45" s="3256"/>
      <c r="AI45" s="3254"/>
      <c r="AJ45" s="3256"/>
      <c r="AK45" s="3254"/>
      <c r="AL45" s="3256"/>
      <c r="AM45" s="3254"/>
      <c r="AN45" s="3256"/>
      <c r="AO45" s="3254"/>
      <c r="AP45" s="3256"/>
      <c r="AQ45" s="3254"/>
      <c r="AR45" s="3256"/>
      <c r="AS45" s="3254"/>
      <c r="AT45" s="3256"/>
      <c r="AU45" s="3254"/>
      <c r="AV45" s="3256"/>
      <c r="AW45" s="3254"/>
      <c r="AX45" s="3256"/>
      <c r="AY45" s="3254"/>
      <c r="AZ45" s="3256"/>
      <c r="BA45" s="3254"/>
      <c r="BB45" s="3256"/>
      <c r="BC45" s="3254"/>
      <c r="BD45" s="3256"/>
      <c r="BE45" s="3254"/>
      <c r="BF45" s="2359"/>
      <c r="BG45" s="2359"/>
      <c r="BH45" s="2359"/>
      <c r="BI45" s="2369"/>
      <c r="BJ45" s="2346"/>
      <c r="BK45" s="2372"/>
      <c r="BL45" s="2380"/>
      <c r="BM45" s="2362"/>
      <c r="BN45" s="2380"/>
      <c r="BO45" s="2362"/>
      <c r="BP45" s="2331"/>
    </row>
    <row r="46" spans="1:68" s="1" customFormat="1" ht="75" customHeight="1" x14ac:dyDescent="0.2">
      <c r="A46" s="124"/>
      <c r="C46" s="3"/>
      <c r="D46" s="125"/>
      <c r="E46" s="125"/>
      <c r="F46" s="125"/>
      <c r="G46" s="2634"/>
      <c r="H46" s="3260"/>
      <c r="I46" s="2413"/>
      <c r="J46" s="3215"/>
      <c r="K46" s="2634"/>
      <c r="L46" s="2702"/>
      <c r="M46" s="2331"/>
      <c r="N46" s="2343"/>
      <c r="O46" s="2413"/>
      <c r="P46" s="3197"/>
      <c r="Q46" s="2705"/>
      <c r="R46" s="2344"/>
      <c r="S46" s="3211"/>
      <c r="T46" s="76" t="s">
        <v>144</v>
      </c>
      <c r="U46" s="122">
        <v>5000000</v>
      </c>
      <c r="V46" s="122">
        <v>0</v>
      </c>
      <c r="W46" s="122">
        <v>0</v>
      </c>
      <c r="X46" s="121">
        <v>88</v>
      </c>
      <c r="Y46" s="72" t="s">
        <v>4</v>
      </c>
      <c r="Z46" s="2357"/>
      <c r="AA46" s="3255"/>
      <c r="AB46" s="3256"/>
      <c r="AC46" s="3255"/>
      <c r="AD46" s="3256"/>
      <c r="AE46" s="3255"/>
      <c r="AF46" s="3256"/>
      <c r="AG46" s="3255"/>
      <c r="AH46" s="3256"/>
      <c r="AI46" s="3255"/>
      <c r="AJ46" s="3256"/>
      <c r="AK46" s="3255"/>
      <c r="AL46" s="3256"/>
      <c r="AM46" s="3255"/>
      <c r="AN46" s="3256"/>
      <c r="AO46" s="3255"/>
      <c r="AP46" s="3256"/>
      <c r="AQ46" s="3255"/>
      <c r="AR46" s="3256"/>
      <c r="AS46" s="3255"/>
      <c r="AT46" s="3256"/>
      <c r="AU46" s="3255"/>
      <c r="AV46" s="3256"/>
      <c r="AW46" s="3255"/>
      <c r="AX46" s="3256"/>
      <c r="AY46" s="3255"/>
      <c r="AZ46" s="3256"/>
      <c r="BA46" s="3255"/>
      <c r="BB46" s="3256"/>
      <c r="BC46" s="3255"/>
      <c r="BD46" s="3256"/>
      <c r="BE46" s="3255"/>
      <c r="BF46" s="2360"/>
      <c r="BG46" s="2360"/>
      <c r="BH46" s="2360"/>
      <c r="BI46" s="2370"/>
      <c r="BJ46" s="2347"/>
      <c r="BK46" s="2344"/>
      <c r="BL46" s="2380"/>
      <c r="BM46" s="2363"/>
      <c r="BN46" s="2380"/>
      <c r="BO46" s="2363"/>
      <c r="BP46" s="2331"/>
    </row>
    <row r="47" spans="1:68" s="1" customFormat="1" ht="33" customHeight="1" x14ac:dyDescent="0.2">
      <c r="A47" s="126"/>
      <c r="B47" s="127"/>
      <c r="C47" s="128"/>
      <c r="D47" s="129"/>
      <c r="E47" s="129"/>
      <c r="F47" s="130"/>
      <c r="G47" s="7"/>
      <c r="H47" s="7"/>
      <c r="I47" s="131"/>
      <c r="J47" s="131"/>
      <c r="K47" s="132"/>
      <c r="L47" s="132"/>
      <c r="M47" s="131"/>
      <c r="N47" s="133"/>
      <c r="O47" s="131"/>
      <c r="P47" s="134"/>
      <c r="Q47" s="904">
        <f>SUM(Q12:Q46)</f>
        <v>2722170340.8499999</v>
      </c>
      <c r="R47" s="66"/>
      <c r="S47" s="66"/>
      <c r="T47" s="66"/>
      <c r="U47" s="135">
        <f>SUM(U12:U46)</f>
        <v>2722170340.8499999</v>
      </c>
      <c r="V47" s="135">
        <f>SUM(V12:V46)</f>
        <v>1621949989</v>
      </c>
      <c r="W47" s="135">
        <f>SUM(W12:W46)</f>
        <v>420679998</v>
      </c>
      <c r="X47" s="136"/>
      <c r="Y47" s="13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135">
        <f>SUM(BG12:BG46)</f>
        <v>1621949989</v>
      </c>
      <c r="BH47" s="135">
        <f>SUM(BH12:BH46)</f>
        <v>420679998</v>
      </c>
      <c r="BI47" s="7"/>
      <c r="BJ47" s="7"/>
      <c r="BK47" s="7"/>
      <c r="BL47" s="138"/>
      <c r="BM47" s="138"/>
      <c r="BN47" s="139"/>
      <c r="BO47" s="139"/>
      <c r="BP47" s="140"/>
    </row>
    <row r="48" spans="1:68" s="1" customFormat="1" ht="33" customHeight="1" x14ac:dyDescent="0.2">
      <c r="A48" s="141"/>
      <c r="B48" s="141"/>
      <c r="C48" s="141"/>
      <c r="D48" s="141"/>
      <c r="E48" s="141"/>
      <c r="F48" s="141"/>
      <c r="G48" s="142"/>
      <c r="H48" s="142"/>
      <c r="I48" s="143"/>
      <c r="J48" s="143"/>
      <c r="K48" s="18"/>
      <c r="L48" s="18"/>
      <c r="M48" s="143"/>
      <c r="N48" s="144"/>
      <c r="O48" s="143"/>
      <c r="P48" s="145"/>
      <c r="Q48" s="146"/>
      <c r="R48" s="2"/>
      <c r="S48" s="2"/>
      <c r="T48" s="2"/>
      <c r="U48" s="146"/>
      <c r="V48" s="146"/>
      <c r="W48" s="146"/>
      <c r="X48" s="147"/>
      <c r="Y48" s="148"/>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9"/>
      <c r="BM48" s="149"/>
      <c r="BN48" s="150"/>
      <c r="BO48" s="150"/>
      <c r="BP48" s="151"/>
    </row>
    <row r="49" spans="1:68" s="1" customFormat="1" ht="33" customHeight="1" x14ac:dyDescent="0.2">
      <c r="A49" s="141"/>
      <c r="B49" s="141"/>
      <c r="C49" s="141"/>
      <c r="D49" s="141"/>
      <c r="E49" s="141"/>
      <c r="F49" s="141"/>
      <c r="G49" s="142"/>
      <c r="H49" s="142"/>
      <c r="I49" s="143"/>
      <c r="J49" s="143"/>
      <c r="K49" s="18"/>
      <c r="L49" s="18"/>
      <c r="M49" s="143"/>
      <c r="N49" s="144"/>
      <c r="O49" s="143"/>
      <c r="P49" s="145"/>
      <c r="Q49" s="146"/>
      <c r="R49" s="2"/>
      <c r="S49" s="2"/>
      <c r="T49" s="2"/>
      <c r="U49" s="146"/>
      <c r="V49" s="146"/>
      <c r="W49" s="146"/>
      <c r="X49" s="147"/>
      <c r="Y49" s="148"/>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9"/>
      <c r="BM49" s="149"/>
      <c r="BN49" s="150"/>
      <c r="BO49" s="150"/>
      <c r="BP49" s="151"/>
    </row>
    <row r="50" spans="1:68" ht="15.75" x14ac:dyDescent="0.25">
      <c r="A50" s="152"/>
      <c r="B50" s="153"/>
      <c r="C50" s="151"/>
      <c r="D50" s="1"/>
      <c r="E50" s="1"/>
      <c r="F50" s="1"/>
      <c r="G50" s="142"/>
      <c r="H50" s="142"/>
      <c r="I50" s="2"/>
      <c r="J50" s="2"/>
      <c r="K50" s="1"/>
      <c r="L50" s="1"/>
      <c r="M50" s="2"/>
      <c r="N50" s="142"/>
      <c r="O50" s="2"/>
      <c r="P50" s="152"/>
      <c r="Q50" s="153"/>
      <c r="R50" s="2"/>
      <c r="S50" s="2"/>
      <c r="T50" s="2"/>
      <c r="U50" s="154"/>
      <c r="V50" s="154"/>
      <c r="W50" s="154"/>
      <c r="X50" s="155"/>
      <c r="Y50" s="1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9"/>
      <c r="BM50" s="149"/>
      <c r="BN50" s="150"/>
      <c r="BO50" s="150"/>
      <c r="BP50" s="151"/>
    </row>
    <row r="51" spans="1:68" ht="15.75" x14ac:dyDescent="0.25">
      <c r="A51" s="152"/>
      <c r="B51" s="156"/>
      <c r="C51" s="151"/>
      <c r="D51" s="1"/>
      <c r="E51" s="1"/>
      <c r="F51" s="1"/>
      <c r="G51" s="142"/>
      <c r="H51" s="142"/>
      <c r="I51" s="2"/>
      <c r="J51" s="2"/>
      <c r="K51" s="1"/>
      <c r="L51" s="1"/>
      <c r="M51" s="2"/>
      <c r="N51" s="142"/>
      <c r="O51" s="2"/>
      <c r="P51" s="152"/>
      <c r="Q51" s="153"/>
      <c r="R51" s="2"/>
      <c r="S51" s="2"/>
      <c r="T51" s="2"/>
      <c r="U51" s="157"/>
      <c r="V51" s="157"/>
      <c r="W51" s="157"/>
      <c r="X51" s="155"/>
      <c r="Y51" s="1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9"/>
      <c r="BM51" s="149"/>
      <c r="BN51" s="150"/>
      <c r="BO51" s="150"/>
      <c r="BP51" s="151"/>
    </row>
    <row r="52" spans="1:68" ht="15.75" x14ac:dyDescent="0.25">
      <c r="A52" s="145"/>
      <c r="B52" s="156"/>
      <c r="C52" s="158"/>
      <c r="D52" s="1"/>
      <c r="E52" s="1"/>
      <c r="F52" s="1"/>
      <c r="G52" s="142"/>
      <c r="H52" s="142"/>
      <c r="I52" s="143"/>
      <c r="J52" s="143"/>
      <c r="K52" s="18"/>
      <c r="L52" s="18"/>
      <c r="M52" s="143"/>
      <c r="N52" s="144"/>
      <c r="O52" s="143"/>
      <c r="P52" s="145"/>
      <c r="Q52" s="153"/>
      <c r="R52" s="2"/>
      <c r="S52" s="2"/>
      <c r="T52" s="2"/>
      <c r="U52" s="154"/>
      <c r="V52" s="154"/>
      <c r="W52" s="154"/>
      <c r="X52" s="147"/>
      <c r="Y52" s="148"/>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9"/>
      <c r="BM52" s="149"/>
      <c r="BN52" s="150"/>
      <c r="BO52" s="150"/>
      <c r="BP52" s="151"/>
    </row>
    <row r="53" spans="1:68" ht="30" customHeight="1" x14ac:dyDescent="0.25">
      <c r="A53" s="145"/>
      <c r="B53" s="159" t="s">
        <v>145</v>
      </c>
      <c r="C53" s="160"/>
      <c r="D53" s="161"/>
      <c r="E53" s="161"/>
      <c r="F53" s="161"/>
      <c r="G53" s="162"/>
      <c r="H53" s="162"/>
      <c r="I53" s="143"/>
      <c r="J53" s="143"/>
      <c r="K53" s="18"/>
      <c r="L53" s="18"/>
      <c r="M53" s="143"/>
      <c r="N53" s="144"/>
      <c r="O53" s="143"/>
      <c r="P53" s="145"/>
      <c r="Q53" s="163"/>
      <c r="R53" s="143"/>
      <c r="S53" s="143"/>
      <c r="T53" s="143"/>
      <c r="U53" s="164"/>
      <c r="V53" s="164"/>
      <c r="W53" s="164"/>
      <c r="X53" s="147"/>
      <c r="Y53" s="148"/>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9"/>
      <c r="BM53" s="149"/>
      <c r="BN53" s="150"/>
      <c r="BO53" s="150"/>
      <c r="BP53" s="151"/>
    </row>
    <row r="54" spans="1:68" ht="18.75" customHeight="1" x14ac:dyDescent="0.25">
      <c r="B54" s="156" t="s">
        <v>146</v>
      </c>
      <c r="C54" s="158"/>
      <c r="D54" s="1"/>
      <c r="E54" s="1"/>
      <c r="F54" s="1"/>
      <c r="G54" s="142"/>
      <c r="H54" s="142"/>
      <c r="M54" s="165"/>
      <c r="U54" s="167"/>
      <c r="V54" s="167"/>
      <c r="W54" s="167"/>
      <c r="BL54" s="168"/>
      <c r="BM54" s="168"/>
    </row>
    <row r="55" spans="1:68" x14ac:dyDescent="0.25">
      <c r="G55" s="169"/>
      <c r="H55" s="169"/>
      <c r="M55" s="165"/>
      <c r="U55" s="170"/>
      <c r="V55" s="170"/>
      <c r="W55" s="170"/>
      <c r="BG55" s="157"/>
      <c r="BH55" s="157"/>
      <c r="BL55" s="168"/>
      <c r="BM55" s="168"/>
    </row>
    <row r="56" spans="1:68" x14ac:dyDescent="0.25">
      <c r="G56" s="169"/>
      <c r="H56" s="169"/>
      <c r="M56" s="165"/>
      <c r="BL56" s="168"/>
      <c r="BM56" s="168"/>
    </row>
    <row r="57" spans="1:68" x14ac:dyDescent="0.25">
      <c r="G57" s="169"/>
      <c r="H57" s="169"/>
      <c r="M57" s="165"/>
      <c r="BL57" s="168"/>
      <c r="BM57" s="168"/>
    </row>
  </sheetData>
  <sheetProtection password="A60F" sheet="1" objects="1" scenarios="1"/>
  <mergeCells count="376">
    <mergeCell ref="G45:G46"/>
    <mergeCell ref="H45:H46"/>
    <mergeCell ref="I45:I46"/>
    <mergeCell ref="J45:J46"/>
    <mergeCell ref="K45:K46"/>
    <mergeCell ref="L45:L46"/>
    <mergeCell ref="G42:G44"/>
    <mergeCell ref="H42:H44"/>
    <mergeCell ref="I42:I44"/>
    <mergeCell ref="J42:J44"/>
    <mergeCell ref="K42:K44"/>
    <mergeCell ref="L42:L44"/>
    <mergeCell ref="G40:G41"/>
    <mergeCell ref="H40:H41"/>
    <mergeCell ref="I40:I41"/>
    <mergeCell ref="J40:J41"/>
    <mergeCell ref="K40:K41"/>
    <mergeCell ref="L40:L41"/>
    <mergeCell ref="BK37:BK46"/>
    <mergeCell ref="BL37:BL46"/>
    <mergeCell ref="BM37:BM46"/>
    <mergeCell ref="AY37:AY46"/>
    <mergeCell ref="AZ37:AZ46"/>
    <mergeCell ref="BA37:BA46"/>
    <mergeCell ref="BB37:BB46"/>
    <mergeCell ref="BC37:BC46"/>
    <mergeCell ref="BD37:BD46"/>
    <mergeCell ref="AS37:AS46"/>
    <mergeCell ref="AT37:AT46"/>
    <mergeCell ref="AU37:AU46"/>
    <mergeCell ref="AV37:AV46"/>
    <mergeCell ref="AW37:AW46"/>
    <mergeCell ref="AX37:AX46"/>
    <mergeCell ref="AM37:AM46"/>
    <mergeCell ref="AN37:AN46"/>
    <mergeCell ref="AO37:AO46"/>
    <mergeCell ref="BN37:BN46"/>
    <mergeCell ref="BO37:BO46"/>
    <mergeCell ref="BP37:BP46"/>
    <mergeCell ref="BE37:BE46"/>
    <mergeCell ref="BF37:BF46"/>
    <mergeCell ref="BG37:BG46"/>
    <mergeCell ref="BH37:BH46"/>
    <mergeCell ref="BI37:BI46"/>
    <mergeCell ref="BJ37:BJ46"/>
    <mergeCell ref="AP37:AP46"/>
    <mergeCell ref="AQ37:AQ46"/>
    <mergeCell ref="AR37:AR46"/>
    <mergeCell ref="AG37:AG46"/>
    <mergeCell ref="AH37:AH46"/>
    <mergeCell ref="AI37:AI46"/>
    <mergeCell ref="AJ37:AJ46"/>
    <mergeCell ref="AK37:AK46"/>
    <mergeCell ref="AL37:AL46"/>
    <mergeCell ref="AA37:AA46"/>
    <mergeCell ref="AB37:AB46"/>
    <mergeCell ref="AC37:AC46"/>
    <mergeCell ref="AD37:AD46"/>
    <mergeCell ref="AE37:AE46"/>
    <mergeCell ref="AF37:AF46"/>
    <mergeCell ref="O37:O46"/>
    <mergeCell ref="P37:P39"/>
    <mergeCell ref="Q37:Q46"/>
    <mergeCell ref="R37:R46"/>
    <mergeCell ref="S37:S46"/>
    <mergeCell ref="Z37:Z46"/>
    <mergeCell ref="T38:T39"/>
    <mergeCell ref="P40:P41"/>
    <mergeCell ref="P42:P44"/>
    <mergeCell ref="P45:P46"/>
    <mergeCell ref="I37:I39"/>
    <mergeCell ref="J37:J39"/>
    <mergeCell ref="K37:K39"/>
    <mergeCell ref="L37:L39"/>
    <mergeCell ref="M37:M46"/>
    <mergeCell ref="N37:N46"/>
    <mergeCell ref="BO28:BO35"/>
    <mergeCell ref="BP28:BP35"/>
    <mergeCell ref="T29:T30"/>
    <mergeCell ref="T31:T32"/>
    <mergeCell ref="T34:T35"/>
    <mergeCell ref="BM28:BM35"/>
    <mergeCell ref="BN28:BN35"/>
    <mergeCell ref="AT28:AT35"/>
    <mergeCell ref="AU28:AU35"/>
    <mergeCell ref="AV28:AV35"/>
    <mergeCell ref="AK28:AK35"/>
    <mergeCell ref="AL28:AL35"/>
    <mergeCell ref="AM28:AM35"/>
    <mergeCell ref="AN28:AN35"/>
    <mergeCell ref="AO28:AO35"/>
    <mergeCell ref="AP28:AP35"/>
    <mergeCell ref="AE28:AE35"/>
    <mergeCell ref="AF28:AF35"/>
    <mergeCell ref="D37:D39"/>
    <mergeCell ref="E37:E39"/>
    <mergeCell ref="F37:F39"/>
    <mergeCell ref="G37:G39"/>
    <mergeCell ref="H37:H39"/>
    <mergeCell ref="BI28:BI35"/>
    <mergeCell ref="BJ28:BJ35"/>
    <mergeCell ref="BK28:BK35"/>
    <mergeCell ref="BL28:BL35"/>
    <mergeCell ref="BC28:BC35"/>
    <mergeCell ref="BD28:BD35"/>
    <mergeCell ref="BE28:BE35"/>
    <mergeCell ref="BF28:BF35"/>
    <mergeCell ref="BG28:BG35"/>
    <mergeCell ref="BH28:BH35"/>
    <mergeCell ref="AW28:AW35"/>
    <mergeCell ref="AX28:AX35"/>
    <mergeCell ref="AY28:AY35"/>
    <mergeCell ref="AZ28:AZ35"/>
    <mergeCell ref="BA28:BA35"/>
    <mergeCell ref="BB28:BB35"/>
    <mergeCell ref="AQ28:AQ35"/>
    <mergeCell ref="AR28:AR35"/>
    <mergeCell ref="AS28:AS35"/>
    <mergeCell ref="AG28:AG35"/>
    <mergeCell ref="AH28:AH35"/>
    <mergeCell ref="AI28:AI35"/>
    <mergeCell ref="AJ28:AJ35"/>
    <mergeCell ref="S28:S35"/>
    <mergeCell ref="Z28:Z35"/>
    <mergeCell ref="AA28:AA35"/>
    <mergeCell ref="AB28:AB35"/>
    <mergeCell ref="AC28:AC35"/>
    <mergeCell ref="AD28:AD35"/>
    <mergeCell ref="M28:M35"/>
    <mergeCell ref="N28:N35"/>
    <mergeCell ref="O28:O35"/>
    <mergeCell ref="P28:P35"/>
    <mergeCell ref="Q28:Q35"/>
    <mergeCell ref="R28:R35"/>
    <mergeCell ref="G28:G35"/>
    <mergeCell ref="H28:H35"/>
    <mergeCell ref="I28:I35"/>
    <mergeCell ref="J28:J35"/>
    <mergeCell ref="K28:K35"/>
    <mergeCell ref="L28:L35"/>
    <mergeCell ref="BN21:BN27"/>
    <mergeCell ref="BO21:BO27"/>
    <mergeCell ref="BP21:BP27"/>
    <mergeCell ref="H25:H26"/>
    <mergeCell ref="J25:J26"/>
    <mergeCell ref="K25:K26"/>
    <mergeCell ref="L25:L26"/>
    <mergeCell ref="P25:P26"/>
    <mergeCell ref="T25:T26"/>
    <mergeCell ref="BH21:BH27"/>
    <mergeCell ref="BI21:BI27"/>
    <mergeCell ref="BJ21:BJ27"/>
    <mergeCell ref="BK21:BK27"/>
    <mergeCell ref="BL21:BL27"/>
    <mergeCell ref="BM21:BM27"/>
    <mergeCell ref="BB21:BB27"/>
    <mergeCell ref="BC21:BC27"/>
    <mergeCell ref="BD21:BD27"/>
    <mergeCell ref="BE21:BE27"/>
    <mergeCell ref="BF21:BF27"/>
    <mergeCell ref="BG21:BG27"/>
    <mergeCell ref="AV21:AV27"/>
    <mergeCell ref="AW21:AW27"/>
    <mergeCell ref="AX21:AX27"/>
    <mergeCell ref="AY21:AY27"/>
    <mergeCell ref="AZ21:AZ27"/>
    <mergeCell ref="BA21:BA27"/>
    <mergeCell ref="AP21:AP27"/>
    <mergeCell ref="AQ21:AQ27"/>
    <mergeCell ref="AR21:AR27"/>
    <mergeCell ref="AS21:AS27"/>
    <mergeCell ref="AT21:AT27"/>
    <mergeCell ref="AU21:AU27"/>
    <mergeCell ref="AJ21:AJ27"/>
    <mergeCell ref="AK21:AK27"/>
    <mergeCell ref="AL21:AL27"/>
    <mergeCell ref="AM21:AM27"/>
    <mergeCell ref="AN21:AN27"/>
    <mergeCell ref="AO21:AO27"/>
    <mergeCell ref="AD21:AD27"/>
    <mergeCell ref="AE21:AE27"/>
    <mergeCell ref="AF21:AF27"/>
    <mergeCell ref="AG21:AG27"/>
    <mergeCell ref="AH21:AH27"/>
    <mergeCell ref="AI21:AI27"/>
    <mergeCell ref="R21:R27"/>
    <mergeCell ref="S21:S27"/>
    <mergeCell ref="Z21:Z27"/>
    <mergeCell ref="AA21:AA27"/>
    <mergeCell ref="AB21:AB27"/>
    <mergeCell ref="AC21:AC27"/>
    <mergeCell ref="L21:L24"/>
    <mergeCell ref="M21:M27"/>
    <mergeCell ref="N21:N27"/>
    <mergeCell ref="O21:O27"/>
    <mergeCell ref="P21:P24"/>
    <mergeCell ref="Q21:Q27"/>
    <mergeCell ref="BL17:BL20"/>
    <mergeCell ref="BM17:BM20"/>
    <mergeCell ref="BN17:BN20"/>
    <mergeCell ref="BO17:BO20"/>
    <mergeCell ref="BP17:BP20"/>
    <mergeCell ref="G21:G26"/>
    <mergeCell ref="H21:H24"/>
    <mergeCell ref="I21:I26"/>
    <mergeCell ref="J21:J24"/>
    <mergeCell ref="K21:K24"/>
    <mergeCell ref="BF17:BF20"/>
    <mergeCell ref="BG17:BG20"/>
    <mergeCell ref="BH17:BH20"/>
    <mergeCell ref="BI17:BI20"/>
    <mergeCell ref="BJ17:BJ20"/>
    <mergeCell ref="BK17:BK20"/>
    <mergeCell ref="AZ17:AZ20"/>
    <mergeCell ref="BA17:BA20"/>
    <mergeCell ref="BB17:BB20"/>
    <mergeCell ref="BC17:BC20"/>
    <mergeCell ref="BD17:BD20"/>
    <mergeCell ref="BE17:BE20"/>
    <mergeCell ref="AT17:AT20"/>
    <mergeCell ref="AU17:AU20"/>
    <mergeCell ref="AV17:AV20"/>
    <mergeCell ref="AW17:AW20"/>
    <mergeCell ref="AX17:AX20"/>
    <mergeCell ref="AY17:AY20"/>
    <mergeCell ref="AN17:AN20"/>
    <mergeCell ref="AO17:AO20"/>
    <mergeCell ref="AP17:AP20"/>
    <mergeCell ref="AQ17:AQ20"/>
    <mergeCell ref="AR17:AR20"/>
    <mergeCell ref="AS17:AS20"/>
    <mergeCell ref="AH17:AH20"/>
    <mergeCell ref="AI17:AI20"/>
    <mergeCell ref="AJ17:AJ20"/>
    <mergeCell ref="AK17:AK20"/>
    <mergeCell ref="AL17:AL20"/>
    <mergeCell ref="AM17:AM20"/>
    <mergeCell ref="AB17:AB20"/>
    <mergeCell ref="AC17:AC20"/>
    <mergeCell ref="AD17:AD20"/>
    <mergeCell ref="AE17:AE20"/>
    <mergeCell ref="AF17:AF20"/>
    <mergeCell ref="AG17:AG20"/>
    <mergeCell ref="P17:P19"/>
    <mergeCell ref="Q17:Q20"/>
    <mergeCell ref="R17:R20"/>
    <mergeCell ref="S17:S20"/>
    <mergeCell ref="Z17:Z20"/>
    <mergeCell ref="AA17:AA20"/>
    <mergeCell ref="T14:T15"/>
    <mergeCell ref="G17:G19"/>
    <mergeCell ref="H17:H19"/>
    <mergeCell ref="I17:I19"/>
    <mergeCell ref="J17:J19"/>
    <mergeCell ref="K17:K19"/>
    <mergeCell ref="L17:L19"/>
    <mergeCell ref="M17:M20"/>
    <mergeCell ref="N17:N20"/>
    <mergeCell ref="O17:O20"/>
    <mergeCell ref="Z12:Z16"/>
    <mergeCell ref="AA12:AA16"/>
    <mergeCell ref="N12:N16"/>
    <mergeCell ref="O12:O16"/>
    <mergeCell ref="P12:P13"/>
    <mergeCell ref="Q12:Q16"/>
    <mergeCell ref="R12:R16"/>
    <mergeCell ref="S12:S16"/>
    <mergeCell ref="BM12:BM16"/>
    <mergeCell ref="BN12:BN16"/>
    <mergeCell ref="BO12:BO16"/>
    <mergeCell ref="BP12:BP16"/>
    <mergeCell ref="G14:G16"/>
    <mergeCell ref="H14:H16"/>
    <mergeCell ref="I14:I16"/>
    <mergeCell ref="J14:J16"/>
    <mergeCell ref="K14:K16"/>
    <mergeCell ref="L14:L16"/>
    <mergeCell ref="BG12:BG16"/>
    <mergeCell ref="BH12:BH16"/>
    <mergeCell ref="BI12:BI16"/>
    <mergeCell ref="BJ12:BJ16"/>
    <mergeCell ref="BK12:BK16"/>
    <mergeCell ref="BL12:BL16"/>
    <mergeCell ref="AW12:AW16"/>
    <mergeCell ref="AX12:AX16"/>
    <mergeCell ref="AZ12:AZ16"/>
    <mergeCell ref="BB12:BB16"/>
    <mergeCell ref="BD12:BD16"/>
    <mergeCell ref="BF12:BF16"/>
    <mergeCell ref="AL12:AL16"/>
    <mergeCell ref="AM12:AM16"/>
    <mergeCell ref="AN12:AN16"/>
    <mergeCell ref="AP12:AP16"/>
    <mergeCell ref="AR12:AR16"/>
    <mergeCell ref="AT12:AT16"/>
    <mergeCell ref="AF12:AF16"/>
    <mergeCell ref="AG12:AG16"/>
    <mergeCell ref="AH12:AH16"/>
    <mergeCell ref="AI12:AI16"/>
    <mergeCell ref="AJ12:AJ16"/>
    <mergeCell ref="AK12:AK16"/>
    <mergeCell ref="AB12:AB16"/>
    <mergeCell ref="AC12:AC16"/>
    <mergeCell ref="AD12:AD16"/>
    <mergeCell ref="AE12:AE16"/>
    <mergeCell ref="T12:T13"/>
    <mergeCell ref="U12:U13"/>
    <mergeCell ref="V12:V13"/>
    <mergeCell ref="W12:W13"/>
    <mergeCell ref="X12:X13"/>
    <mergeCell ref="Y12:Y13"/>
    <mergeCell ref="P14:P16"/>
    <mergeCell ref="BI8:BI9"/>
    <mergeCell ref="BJ8:BJ9"/>
    <mergeCell ref="BK8:BK9"/>
    <mergeCell ref="G12:G13"/>
    <mergeCell ref="H12:H13"/>
    <mergeCell ref="I12:I13"/>
    <mergeCell ref="J12:J13"/>
    <mergeCell ref="K12:K13"/>
    <mergeCell ref="L12:L13"/>
    <mergeCell ref="M12:M16"/>
    <mergeCell ref="AZ8:BA8"/>
    <mergeCell ref="BB8:BC8"/>
    <mergeCell ref="BD8:BE8"/>
    <mergeCell ref="BF8:BF9"/>
    <mergeCell ref="BG8:BG9"/>
    <mergeCell ref="BH8:BH9"/>
    <mergeCell ref="AN8:AO8"/>
    <mergeCell ref="AP8:AQ8"/>
    <mergeCell ref="AR8:AS8"/>
    <mergeCell ref="AT8:AU8"/>
    <mergeCell ref="AV8:AW8"/>
    <mergeCell ref="AX8:AY8"/>
    <mergeCell ref="P7:P9"/>
    <mergeCell ref="BN7:BO8"/>
    <mergeCell ref="BP7:BP8"/>
    <mergeCell ref="U8:U9"/>
    <mergeCell ref="V8:V9"/>
    <mergeCell ref="W8:W9"/>
    <mergeCell ref="AB8:AC8"/>
    <mergeCell ref="AD8:AE8"/>
    <mergeCell ref="X7:X9"/>
    <mergeCell ref="Y7:Y9"/>
    <mergeCell ref="Z7:AC7"/>
    <mergeCell ref="AD7:AK7"/>
    <mergeCell ref="AL7:AW7"/>
    <mergeCell ref="AX7:BC7"/>
    <mergeCell ref="AF8:AG8"/>
    <mergeCell ref="AH8:AI8"/>
    <mergeCell ref="AJ8:AK8"/>
    <mergeCell ref="AL8:AM8"/>
    <mergeCell ref="A1:BN4"/>
    <mergeCell ref="A5:K6"/>
    <mergeCell ref="M5:BP5"/>
    <mergeCell ref="Z6:BE6"/>
    <mergeCell ref="A7:A9"/>
    <mergeCell ref="B7:C9"/>
    <mergeCell ref="D7:D9"/>
    <mergeCell ref="E7:F9"/>
    <mergeCell ref="G7:G9"/>
    <mergeCell ref="H7:H9"/>
    <mergeCell ref="Q7:Q9"/>
    <mergeCell ref="R7:R9"/>
    <mergeCell ref="S7:S9"/>
    <mergeCell ref="T7:T9"/>
    <mergeCell ref="U7:W7"/>
    <mergeCell ref="I7:I9"/>
    <mergeCell ref="J7:J9"/>
    <mergeCell ref="K7:L8"/>
    <mergeCell ref="M7:M9"/>
    <mergeCell ref="N7:N9"/>
    <mergeCell ref="O7:O9"/>
    <mergeCell ref="BD7:BE7"/>
    <mergeCell ref="BF7:BK7"/>
    <mergeCell ref="BL7:BM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V102"/>
  <sheetViews>
    <sheetView showGridLines="0" zoomScale="50" zoomScaleNormal="50" workbookViewId="0">
      <selection activeCell="I15" sqref="I15:I19"/>
    </sheetView>
  </sheetViews>
  <sheetFormatPr baseColWidth="10" defaultRowHeight="12.75" x14ac:dyDescent="0.2"/>
  <cols>
    <col min="1" max="1" width="11.7109375" style="309" bestFit="1" customWidth="1"/>
    <col min="2" max="2" width="8.28515625" style="309" customWidth="1"/>
    <col min="3" max="3" width="3.140625" style="309" customWidth="1"/>
    <col min="4" max="4" width="11.7109375" style="309" bestFit="1" customWidth="1"/>
    <col min="5" max="5" width="7.85546875" style="309" customWidth="1"/>
    <col min="6" max="6" width="5.7109375" style="309" customWidth="1"/>
    <col min="7" max="7" width="11.7109375" style="480" bestFit="1" customWidth="1"/>
    <col min="8" max="8" width="11.5703125" style="480" bestFit="1" customWidth="1"/>
    <col min="9" max="9" width="36.5703125" style="481" customWidth="1"/>
    <col min="10" max="10" width="26.85546875" style="481" customWidth="1"/>
    <col min="11" max="12" width="11.5703125" style="480" bestFit="1" customWidth="1"/>
    <col min="13" max="13" width="37.140625" style="481" customWidth="1"/>
    <col min="14" max="14" width="23.28515625" style="309" customWidth="1"/>
    <col min="15" max="15" width="34.42578125" style="481" customWidth="1"/>
    <col min="16" max="16" width="13" style="309" customWidth="1"/>
    <col min="17" max="17" width="32" style="309" customWidth="1"/>
    <col min="18" max="18" width="47.140625" style="481" customWidth="1"/>
    <col min="19" max="19" width="95.28515625" style="481" customWidth="1"/>
    <col min="20" max="20" width="110.28515625" style="481" customWidth="1"/>
    <col min="21" max="21" width="26.85546875" style="309" customWidth="1"/>
    <col min="22" max="22" width="30.5703125" style="309" customWidth="1"/>
    <col min="23" max="23" width="26.140625" style="309" customWidth="1"/>
    <col min="24" max="24" width="11.7109375" style="309" bestFit="1" customWidth="1"/>
    <col min="25" max="25" width="28.140625" style="481" customWidth="1"/>
    <col min="26" max="55" width="12.85546875" style="309" customWidth="1"/>
    <col min="56" max="56" width="10.28515625" style="309" customWidth="1"/>
    <col min="57" max="57" width="10.7109375" style="309" customWidth="1"/>
    <col min="58" max="58" width="18.28515625" style="309" customWidth="1"/>
    <col min="59" max="59" width="28.140625" style="309" customWidth="1"/>
    <col min="60" max="60" width="26.28515625" style="309" customWidth="1"/>
    <col min="61" max="61" width="16.140625" style="309" customWidth="1"/>
    <col min="62" max="62" width="18.28515625" style="309" customWidth="1"/>
    <col min="63" max="63" width="28" style="309" customWidth="1"/>
    <col min="64" max="64" width="17.28515625" style="309" customWidth="1"/>
    <col min="65" max="65" width="17.42578125" style="309" customWidth="1"/>
    <col min="66" max="66" width="18.140625" style="309" customWidth="1"/>
    <col min="67" max="67" width="18.85546875" style="309" customWidth="1"/>
    <col min="68" max="68" width="26.85546875" style="309" customWidth="1"/>
    <col min="69" max="16384" width="11.42578125" style="309"/>
  </cols>
  <sheetData>
    <row r="1" spans="1:74" ht="18" customHeight="1" x14ac:dyDescent="0.2">
      <c r="A1" s="3263" t="s">
        <v>338</v>
      </c>
      <c r="B1" s="3264"/>
      <c r="C1" s="3264"/>
      <c r="D1" s="3264"/>
      <c r="E1" s="3264"/>
      <c r="F1" s="3264"/>
      <c r="G1" s="3264"/>
      <c r="H1" s="3264"/>
      <c r="I1" s="3264"/>
      <c r="J1" s="3264"/>
      <c r="K1" s="3264"/>
      <c r="L1" s="3264"/>
      <c r="M1" s="3264"/>
      <c r="N1" s="3264"/>
      <c r="O1" s="3264"/>
      <c r="P1" s="3264"/>
      <c r="Q1" s="3264"/>
      <c r="R1" s="3264"/>
      <c r="S1" s="3264"/>
      <c r="T1" s="3264"/>
      <c r="U1" s="3264"/>
      <c r="V1" s="3264"/>
      <c r="W1" s="3264"/>
      <c r="X1" s="3264"/>
      <c r="Y1" s="3264"/>
      <c r="Z1" s="3264"/>
      <c r="AA1" s="3264"/>
      <c r="AB1" s="3264"/>
      <c r="AC1" s="3264"/>
      <c r="AD1" s="3264"/>
      <c r="AE1" s="3264"/>
      <c r="AF1" s="3264"/>
      <c r="AG1" s="3264"/>
      <c r="AH1" s="3264"/>
      <c r="AI1" s="3264"/>
      <c r="AJ1" s="3264"/>
      <c r="AK1" s="3264"/>
      <c r="AL1" s="3264"/>
      <c r="AM1" s="3264"/>
      <c r="AN1" s="3264"/>
      <c r="AO1" s="3264"/>
      <c r="AP1" s="3264"/>
      <c r="AQ1" s="3264"/>
      <c r="AR1" s="3264"/>
      <c r="AS1" s="3264"/>
      <c r="AT1" s="3264"/>
      <c r="AU1" s="3264"/>
      <c r="AV1" s="3264"/>
      <c r="AW1" s="3264"/>
      <c r="AX1" s="3264"/>
      <c r="AY1" s="3264"/>
      <c r="AZ1" s="3264"/>
      <c r="BA1" s="3264"/>
      <c r="BB1" s="3264"/>
      <c r="BC1" s="3264"/>
      <c r="BD1" s="3264"/>
      <c r="BE1" s="3264"/>
      <c r="BF1" s="3264"/>
      <c r="BG1" s="3264"/>
      <c r="BH1" s="3264"/>
      <c r="BI1" s="3264"/>
      <c r="BJ1" s="3264"/>
      <c r="BK1" s="3264"/>
      <c r="BL1" s="3264"/>
      <c r="BM1" s="308"/>
      <c r="BO1" s="310" t="s">
        <v>29</v>
      </c>
      <c r="BP1" s="311" t="s">
        <v>336</v>
      </c>
      <c r="BQ1" s="312"/>
      <c r="BR1" s="312"/>
      <c r="BS1" s="312"/>
      <c r="BT1" s="312"/>
      <c r="BU1" s="312"/>
      <c r="BV1" s="312"/>
    </row>
    <row r="2" spans="1:74" x14ac:dyDescent="0.2">
      <c r="A2" s="3265"/>
      <c r="B2" s="3266"/>
      <c r="C2" s="3266"/>
      <c r="D2" s="3266"/>
      <c r="E2" s="3266"/>
      <c r="F2" s="3266"/>
      <c r="G2" s="3266"/>
      <c r="H2" s="3266"/>
      <c r="I2" s="3266"/>
      <c r="J2" s="3266"/>
      <c r="K2" s="3266"/>
      <c r="L2" s="3266"/>
      <c r="M2" s="3266"/>
      <c r="N2" s="3266"/>
      <c r="O2" s="3266"/>
      <c r="P2" s="3266"/>
      <c r="Q2" s="3266"/>
      <c r="R2" s="3266"/>
      <c r="S2" s="3266"/>
      <c r="T2" s="3266"/>
      <c r="U2" s="3266"/>
      <c r="V2" s="3266"/>
      <c r="W2" s="3266"/>
      <c r="X2" s="3266"/>
      <c r="Y2" s="3266"/>
      <c r="Z2" s="3266"/>
      <c r="AA2" s="3266"/>
      <c r="AB2" s="3266"/>
      <c r="AC2" s="3266"/>
      <c r="AD2" s="3266"/>
      <c r="AE2" s="3266"/>
      <c r="AF2" s="3266"/>
      <c r="AG2" s="3266"/>
      <c r="AH2" s="3266"/>
      <c r="AI2" s="3266"/>
      <c r="AJ2" s="3266"/>
      <c r="AK2" s="3266"/>
      <c r="AL2" s="3266"/>
      <c r="AM2" s="3266"/>
      <c r="AN2" s="3266"/>
      <c r="AO2" s="3266"/>
      <c r="AP2" s="3266"/>
      <c r="AQ2" s="3266"/>
      <c r="AR2" s="3266"/>
      <c r="AS2" s="3266"/>
      <c r="AT2" s="3266"/>
      <c r="AU2" s="3266"/>
      <c r="AV2" s="3266"/>
      <c r="AW2" s="3266"/>
      <c r="AX2" s="3266"/>
      <c r="AY2" s="3266"/>
      <c r="AZ2" s="3266"/>
      <c r="BA2" s="3266"/>
      <c r="BB2" s="3266"/>
      <c r="BC2" s="3266"/>
      <c r="BD2" s="3266"/>
      <c r="BE2" s="3266"/>
      <c r="BF2" s="3266"/>
      <c r="BG2" s="3266"/>
      <c r="BH2" s="3266"/>
      <c r="BI2" s="3266"/>
      <c r="BJ2" s="3266"/>
      <c r="BK2" s="3266"/>
      <c r="BL2" s="3266"/>
      <c r="BM2" s="313"/>
      <c r="BO2" s="314" t="s">
        <v>30</v>
      </c>
      <c r="BP2" s="315">
        <v>6</v>
      </c>
      <c r="BQ2" s="312"/>
      <c r="BR2" s="312"/>
      <c r="BS2" s="312"/>
      <c r="BT2" s="312"/>
      <c r="BU2" s="312"/>
      <c r="BV2" s="312"/>
    </row>
    <row r="3" spans="1:74" x14ac:dyDescent="0.2">
      <c r="A3" s="3265"/>
      <c r="B3" s="3266"/>
      <c r="C3" s="3266"/>
      <c r="D3" s="3266"/>
      <c r="E3" s="3266"/>
      <c r="F3" s="3266"/>
      <c r="G3" s="3266"/>
      <c r="H3" s="3266"/>
      <c r="I3" s="3266"/>
      <c r="J3" s="3266"/>
      <c r="K3" s="3266"/>
      <c r="L3" s="3266"/>
      <c r="M3" s="3266"/>
      <c r="N3" s="3266"/>
      <c r="O3" s="3266"/>
      <c r="P3" s="3266"/>
      <c r="Q3" s="3266"/>
      <c r="R3" s="3266"/>
      <c r="S3" s="3266"/>
      <c r="T3" s="3266"/>
      <c r="U3" s="3266"/>
      <c r="V3" s="3266"/>
      <c r="W3" s="3266"/>
      <c r="X3" s="3266"/>
      <c r="Y3" s="3266"/>
      <c r="Z3" s="3266"/>
      <c r="AA3" s="3266"/>
      <c r="AB3" s="3266"/>
      <c r="AC3" s="3266"/>
      <c r="AD3" s="3266"/>
      <c r="AE3" s="3266"/>
      <c r="AF3" s="3266"/>
      <c r="AG3" s="3266"/>
      <c r="AH3" s="3266"/>
      <c r="AI3" s="3266"/>
      <c r="AJ3" s="3266"/>
      <c r="AK3" s="3266"/>
      <c r="AL3" s="3266"/>
      <c r="AM3" s="3266"/>
      <c r="AN3" s="3266"/>
      <c r="AO3" s="3266"/>
      <c r="AP3" s="3266"/>
      <c r="AQ3" s="3266"/>
      <c r="AR3" s="3266"/>
      <c r="AS3" s="3266"/>
      <c r="AT3" s="3266"/>
      <c r="AU3" s="3266"/>
      <c r="AV3" s="3266"/>
      <c r="AW3" s="3266"/>
      <c r="AX3" s="3266"/>
      <c r="AY3" s="3266"/>
      <c r="AZ3" s="3266"/>
      <c r="BA3" s="3266"/>
      <c r="BB3" s="3266"/>
      <c r="BC3" s="3266"/>
      <c r="BD3" s="3266"/>
      <c r="BE3" s="3266"/>
      <c r="BF3" s="3266"/>
      <c r="BG3" s="3266"/>
      <c r="BH3" s="3266"/>
      <c r="BI3" s="3266"/>
      <c r="BJ3" s="3266"/>
      <c r="BK3" s="3266"/>
      <c r="BL3" s="3266"/>
      <c r="BM3" s="313"/>
      <c r="BO3" s="314" t="s">
        <v>32</v>
      </c>
      <c r="BP3" s="316" t="s">
        <v>33</v>
      </c>
      <c r="BQ3" s="312"/>
      <c r="BR3" s="312"/>
      <c r="BS3" s="312"/>
      <c r="BT3" s="312"/>
      <c r="BU3" s="312"/>
      <c r="BV3" s="312"/>
    </row>
    <row r="4" spans="1:74" x14ac:dyDescent="0.2">
      <c r="A4" s="3267"/>
      <c r="B4" s="3268"/>
      <c r="C4" s="3268"/>
      <c r="D4" s="3268"/>
      <c r="E4" s="3268"/>
      <c r="F4" s="3268"/>
      <c r="G4" s="3268"/>
      <c r="H4" s="3268"/>
      <c r="I4" s="3268"/>
      <c r="J4" s="3268"/>
      <c r="K4" s="3268"/>
      <c r="L4" s="3268"/>
      <c r="M4" s="3268"/>
      <c r="N4" s="3268"/>
      <c r="O4" s="3268"/>
      <c r="P4" s="3268"/>
      <c r="Q4" s="3268"/>
      <c r="R4" s="3268"/>
      <c r="S4" s="3268"/>
      <c r="T4" s="3268"/>
      <c r="U4" s="3268"/>
      <c r="V4" s="3268"/>
      <c r="W4" s="3268"/>
      <c r="X4" s="3268"/>
      <c r="Y4" s="3268"/>
      <c r="Z4" s="3268"/>
      <c r="AA4" s="3268"/>
      <c r="AB4" s="3268"/>
      <c r="AC4" s="3268"/>
      <c r="AD4" s="3268"/>
      <c r="AE4" s="3268"/>
      <c r="AF4" s="3268"/>
      <c r="AG4" s="3268"/>
      <c r="AH4" s="3268"/>
      <c r="AI4" s="3268"/>
      <c r="AJ4" s="3268"/>
      <c r="AK4" s="3268"/>
      <c r="AL4" s="3268"/>
      <c r="AM4" s="3268"/>
      <c r="AN4" s="3268"/>
      <c r="AO4" s="3268"/>
      <c r="AP4" s="3268"/>
      <c r="AQ4" s="3268"/>
      <c r="AR4" s="3268"/>
      <c r="AS4" s="3268"/>
      <c r="AT4" s="3268"/>
      <c r="AU4" s="3268"/>
      <c r="AV4" s="3268"/>
      <c r="AW4" s="3268"/>
      <c r="AX4" s="3268"/>
      <c r="AY4" s="3268"/>
      <c r="AZ4" s="3268"/>
      <c r="BA4" s="3268"/>
      <c r="BB4" s="3268"/>
      <c r="BC4" s="3268"/>
      <c r="BD4" s="3268"/>
      <c r="BE4" s="3268"/>
      <c r="BF4" s="3268"/>
      <c r="BG4" s="3268"/>
      <c r="BH4" s="3268"/>
      <c r="BI4" s="3268"/>
      <c r="BJ4" s="3268"/>
      <c r="BK4" s="3268"/>
      <c r="BL4" s="3268"/>
      <c r="BM4" s="317"/>
      <c r="BN4" s="318"/>
      <c r="BO4" s="314" t="s">
        <v>34</v>
      </c>
      <c r="BP4" s="319" t="s">
        <v>339</v>
      </c>
      <c r="BQ4" s="312"/>
      <c r="BR4" s="312"/>
      <c r="BS4" s="312"/>
      <c r="BT4" s="312"/>
      <c r="BU4" s="312"/>
      <c r="BV4" s="312"/>
    </row>
    <row r="5" spans="1:74" x14ac:dyDescent="0.2">
      <c r="A5" s="3269" t="s">
        <v>340</v>
      </c>
      <c r="B5" s="3270"/>
      <c r="C5" s="3270"/>
      <c r="D5" s="3270"/>
      <c r="E5" s="3270"/>
      <c r="F5" s="3270"/>
      <c r="G5" s="3270"/>
      <c r="H5" s="3270"/>
      <c r="I5" s="3270"/>
      <c r="J5" s="3270"/>
      <c r="K5" s="3270"/>
      <c r="L5" s="320"/>
      <c r="M5" s="3273" t="s">
        <v>37</v>
      </c>
      <c r="N5" s="3273"/>
      <c r="O5" s="3273"/>
      <c r="P5" s="3273"/>
      <c r="Q5" s="3273"/>
      <c r="R5" s="3273"/>
      <c r="S5" s="3273"/>
      <c r="T5" s="3273"/>
      <c r="U5" s="3273"/>
      <c r="V5" s="3273"/>
      <c r="W5" s="3273"/>
      <c r="X5" s="3273"/>
      <c r="Y5" s="3273"/>
      <c r="Z5" s="3273"/>
      <c r="AA5" s="3273"/>
      <c r="AB5" s="3273"/>
      <c r="AC5" s="3273"/>
      <c r="AD5" s="3273"/>
      <c r="AE5" s="3273"/>
      <c r="AF5" s="3273"/>
      <c r="AG5" s="3273"/>
      <c r="AH5" s="3273"/>
      <c r="AI5" s="3273"/>
      <c r="AJ5" s="3273"/>
      <c r="AK5" s="3273"/>
      <c r="AL5" s="3273"/>
      <c r="AM5" s="3273"/>
      <c r="AN5" s="3273"/>
      <c r="AO5" s="3273"/>
      <c r="AP5" s="3273"/>
      <c r="AQ5" s="3273"/>
      <c r="AR5" s="3273"/>
      <c r="AS5" s="3273"/>
      <c r="AT5" s="3273"/>
      <c r="AU5" s="3273"/>
      <c r="AV5" s="3273"/>
      <c r="AW5" s="3273"/>
      <c r="AX5" s="3273"/>
      <c r="AY5" s="3273"/>
      <c r="AZ5" s="3273"/>
      <c r="BA5" s="3273"/>
      <c r="BB5" s="3273"/>
      <c r="BC5" s="3273"/>
      <c r="BD5" s="3273"/>
      <c r="BE5" s="3273"/>
      <c r="BF5" s="3273"/>
      <c r="BG5" s="3273"/>
      <c r="BH5" s="3273"/>
      <c r="BI5" s="3273"/>
      <c r="BJ5" s="3273"/>
      <c r="BK5" s="3273"/>
      <c r="BL5" s="3273"/>
      <c r="BM5" s="3273"/>
      <c r="BN5" s="3273"/>
      <c r="BO5" s="3274"/>
      <c r="BP5" s="3275"/>
      <c r="BQ5" s="312"/>
      <c r="BR5" s="312"/>
      <c r="BS5" s="312"/>
      <c r="BT5" s="312"/>
      <c r="BU5" s="312"/>
      <c r="BV5" s="312"/>
    </row>
    <row r="6" spans="1:74" ht="13.5" thickBot="1" x14ac:dyDescent="0.25">
      <c r="A6" s="3271"/>
      <c r="B6" s="3272"/>
      <c r="C6" s="3272"/>
      <c r="D6" s="3272"/>
      <c r="E6" s="3272"/>
      <c r="F6" s="3272"/>
      <c r="G6" s="3272"/>
      <c r="H6" s="3272"/>
      <c r="I6" s="3272"/>
      <c r="J6" s="3272"/>
      <c r="K6" s="3272"/>
      <c r="L6" s="321"/>
      <c r="M6" s="322"/>
      <c r="N6" s="321"/>
      <c r="O6" s="323"/>
      <c r="P6" s="324"/>
      <c r="Q6" s="325"/>
      <c r="R6" s="323"/>
      <c r="S6" s="323"/>
      <c r="T6" s="323"/>
      <c r="U6" s="324"/>
      <c r="V6" s="324"/>
      <c r="W6" s="324"/>
      <c r="X6" s="324"/>
      <c r="Y6" s="323"/>
      <c r="Z6" s="3276" t="s">
        <v>38</v>
      </c>
      <c r="AA6" s="3272"/>
      <c r="AB6" s="3272"/>
      <c r="AC6" s="3272"/>
      <c r="AD6" s="3272"/>
      <c r="AE6" s="3272"/>
      <c r="AF6" s="3272"/>
      <c r="AG6" s="3272"/>
      <c r="AH6" s="3272"/>
      <c r="AI6" s="3272"/>
      <c r="AJ6" s="3272"/>
      <c r="AK6" s="3272"/>
      <c r="AL6" s="3272"/>
      <c r="AM6" s="3272"/>
      <c r="AN6" s="3272"/>
      <c r="AO6" s="3272"/>
      <c r="AP6" s="3272"/>
      <c r="AQ6" s="3272"/>
      <c r="AR6" s="3272"/>
      <c r="AS6" s="3272"/>
      <c r="AT6" s="3272"/>
      <c r="AU6" s="3272"/>
      <c r="AV6" s="3272"/>
      <c r="AW6" s="3272"/>
      <c r="AX6" s="3272"/>
      <c r="AY6" s="3272"/>
      <c r="AZ6" s="3272"/>
      <c r="BA6" s="3272"/>
      <c r="BB6" s="3272"/>
      <c r="BC6" s="324"/>
      <c r="BD6" s="326"/>
      <c r="BE6" s="326"/>
      <c r="BF6" s="326"/>
      <c r="BG6" s="326"/>
      <c r="BH6" s="326"/>
      <c r="BI6" s="326"/>
      <c r="BJ6" s="326"/>
      <c r="BK6" s="326"/>
      <c r="BL6" s="327"/>
      <c r="BM6" s="327"/>
      <c r="BN6" s="327"/>
      <c r="BO6" s="327"/>
      <c r="BP6" s="328"/>
      <c r="BQ6" s="312"/>
      <c r="BR6" s="312"/>
      <c r="BS6" s="312"/>
      <c r="BT6" s="312"/>
      <c r="BU6" s="312"/>
      <c r="BV6" s="312"/>
    </row>
    <row r="7" spans="1:74" ht="26.25" customHeight="1" x14ac:dyDescent="0.2">
      <c r="A7" s="3277" t="s">
        <v>39</v>
      </c>
      <c r="B7" s="3278" t="s">
        <v>40</v>
      </c>
      <c r="C7" s="3278"/>
      <c r="D7" s="3278" t="s">
        <v>39</v>
      </c>
      <c r="E7" s="3278" t="s">
        <v>41</v>
      </c>
      <c r="F7" s="3278"/>
      <c r="G7" s="3278" t="s">
        <v>39</v>
      </c>
      <c r="H7" s="329"/>
      <c r="I7" s="3279" t="s">
        <v>43</v>
      </c>
      <c r="J7" s="3279" t="s">
        <v>44</v>
      </c>
      <c r="K7" s="3278" t="s">
        <v>45</v>
      </c>
      <c r="L7" s="3278"/>
      <c r="M7" s="3279" t="s">
        <v>46</v>
      </c>
      <c r="N7" s="3278" t="s">
        <v>47</v>
      </c>
      <c r="O7" s="3279" t="s">
        <v>37</v>
      </c>
      <c r="P7" s="3327" t="s">
        <v>48</v>
      </c>
      <c r="Q7" s="3317" t="s">
        <v>49</v>
      </c>
      <c r="R7" s="3279" t="s">
        <v>50</v>
      </c>
      <c r="S7" s="3279" t="s">
        <v>51</v>
      </c>
      <c r="T7" s="3279" t="s">
        <v>52</v>
      </c>
      <c r="U7" s="3317" t="s">
        <v>49</v>
      </c>
      <c r="V7" s="3317"/>
      <c r="W7" s="3317"/>
      <c r="X7" s="3318" t="s">
        <v>39</v>
      </c>
      <c r="Y7" s="3296" t="s">
        <v>53</v>
      </c>
      <c r="Z7" s="3298" t="s">
        <v>54</v>
      </c>
      <c r="AA7" s="3299"/>
      <c r="AB7" s="3299"/>
      <c r="AC7" s="3300"/>
      <c r="AD7" s="3301" t="s">
        <v>55</v>
      </c>
      <c r="AE7" s="3302"/>
      <c r="AF7" s="3302"/>
      <c r="AG7" s="3302"/>
      <c r="AH7" s="3302"/>
      <c r="AI7" s="3302"/>
      <c r="AJ7" s="3302"/>
      <c r="AK7" s="3303"/>
      <c r="AL7" s="3320" t="s">
        <v>56</v>
      </c>
      <c r="AM7" s="3321"/>
      <c r="AN7" s="3321"/>
      <c r="AO7" s="3321"/>
      <c r="AP7" s="3321"/>
      <c r="AQ7" s="3321"/>
      <c r="AR7" s="3321"/>
      <c r="AS7" s="3321"/>
      <c r="AT7" s="3321"/>
      <c r="AU7" s="3321"/>
      <c r="AV7" s="3321"/>
      <c r="AW7" s="3322"/>
      <c r="AX7" s="3301" t="s">
        <v>57</v>
      </c>
      <c r="AY7" s="3302"/>
      <c r="AZ7" s="3302"/>
      <c r="BA7" s="3302"/>
      <c r="BB7" s="3302"/>
      <c r="BC7" s="3303"/>
      <c r="BD7" s="3323" t="s">
        <v>58</v>
      </c>
      <c r="BE7" s="3324"/>
      <c r="BF7" s="3284" t="s">
        <v>335</v>
      </c>
      <c r="BG7" s="3285"/>
      <c r="BH7" s="3285"/>
      <c r="BI7" s="3285"/>
      <c r="BJ7" s="3285"/>
      <c r="BK7" s="3286"/>
      <c r="BL7" s="3287" t="s">
        <v>59</v>
      </c>
      <c r="BM7" s="3288"/>
      <c r="BN7" s="3287" t="s">
        <v>60</v>
      </c>
      <c r="BO7" s="3288"/>
      <c r="BP7" s="3291" t="s">
        <v>61</v>
      </c>
      <c r="BQ7" s="312"/>
      <c r="BR7" s="312"/>
      <c r="BS7" s="312"/>
      <c r="BT7" s="312"/>
      <c r="BU7" s="312"/>
      <c r="BV7" s="312"/>
    </row>
    <row r="8" spans="1:74" ht="113.25" customHeight="1" x14ac:dyDescent="0.2">
      <c r="A8" s="3277"/>
      <c r="B8" s="3278"/>
      <c r="C8" s="3278"/>
      <c r="D8" s="3278"/>
      <c r="E8" s="3278"/>
      <c r="F8" s="3278"/>
      <c r="G8" s="3278"/>
      <c r="H8" s="329" t="s">
        <v>341</v>
      </c>
      <c r="I8" s="3279"/>
      <c r="J8" s="3279"/>
      <c r="K8" s="329" t="s">
        <v>158</v>
      </c>
      <c r="L8" s="329" t="s">
        <v>159</v>
      </c>
      <c r="M8" s="3279"/>
      <c r="N8" s="3278"/>
      <c r="O8" s="3279"/>
      <c r="P8" s="3327"/>
      <c r="Q8" s="3317"/>
      <c r="R8" s="3279"/>
      <c r="S8" s="3279"/>
      <c r="T8" s="3279"/>
      <c r="U8" s="330" t="s">
        <v>62</v>
      </c>
      <c r="V8" s="330" t="s">
        <v>150</v>
      </c>
      <c r="W8" s="330" t="s">
        <v>151</v>
      </c>
      <c r="X8" s="3319"/>
      <c r="Y8" s="3297"/>
      <c r="Z8" s="3292" t="s">
        <v>63</v>
      </c>
      <c r="AA8" s="3293"/>
      <c r="AB8" s="3294" t="s">
        <v>64</v>
      </c>
      <c r="AC8" s="3295"/>
      <c r="AD8" s="3292" t="s">
        <v>65</v>
      </c>
      <c r="AE8" s="3293"/>
      <c r="AF8" s="3292" t="s">
        <v>66</v>
      </c>
      <c r="AG8" s="3293"/>
      <c r="AH8" s="3292" t="s">
        <v>67</v>
      </c>
      <c r="AI8" s="3293"/>
      <c r="AJ8" s="3292" t="s">
        <v>68</v>
      </c>
      <c r="AK8" s="3293"/>
      <c r="AL8" s="3292" t="s">
        <v>69</v>
      </c>
      <c r="AM8" s="3293"/>
      <c r="AN8" s="3292" t="s">
        <v>70</v>
      </c>
      <c r="AO8" s="3293"/>
      <c r="AP8" s="3292" t="s">
        <v>71</v>
      </c>
      <c r="AQ8" s="3293"/>
      <c r="AR8" s="3292" t="s">
        <v>72</v>
      </c>
      <c r="AS8" s="3293"/>
      <c r="AT8" s="3292" t="s">
        <v>73</v>
      </c>
      <c r="AU8" s="3293"/>
      <c r="AV8" s="3292" t="s">
        <v>342</v>
      </c>
      <c r="AW8" s="3293"/>
      <c r="AX8" s="3292" t="s">
        <v>75</v>
      </c>
      <c r="AY8" s="3293"/>
      <c r="AZ8" s="3292" t="s">
        <v>76</v>
      </c>
      <c r="BA8" s="3293"/>
      <c r="BB8" s="3292" t="s">
        <v>77</v>
      </c>
      <c r="BC8" s="3293"/>
      <c r="BD8" s="3325"/>
      <c r="BE8" s="3326"/>
      <c r="BF8" s="3171" t="s">
        <v>152</v>
      </c>
      <c r="BG8" s="3174" t="s">
        <v>153</v>
      </c>
      <c r="BH8" s="3171" t="s">
        <v>154</v>
      </c>
      <c r="BI8" s="3175" t="s">
        <v>155</v>
      </c>
      <c r="BJ8" s="3171" t="s">
        <v>156</v>
      </c>
      <c r="BK8" s="3172" t="s">
        <v>157</v>
      </c>
      <c r="BL8" s="3289"/>
      <c r="BM8" s="3290"/>
      <c r="BN8" s="3289"/>
      <c r="BO8" s="3290"/>
      <c r="BP8" s="3291"/>
      <c r="BQ8" s="312"/>
      <c r="BR8" s="312"/>
      <c r="BS8" s="312"/>
      <c r="BT8" s="312"/>
      <c r="BU8" s="312"/>
      <c r="BV8" s="312"/>
    </row>
    <row r="9" spans="1:74" ht="27" customHeight="1" x14ac:dyDescent="0.2">
      <c r="A9" s="331"/>
      <c r="B9" s="3315"/>
      <c r="C9" s="3316"/>
      <c r="D9" s="329"/>
      <c r="E9" s="3315"/>
      <c r="F9" s="3316"/>
      <c r="G9" s="329"/>
      <c r="H9" s="329"/>
      <c r="I9" s="332"/>
      <c r="J9" s="332"/>
      <c r="K9" s="329"/>
      <c r="L9" s="333"/>
      <c r="M9" s="332"/>
      <c r="N9" s="329"/>
      <c r="O9" s="332"/>
      <c r="P9" s="334"/>
      <c r="Q9" s="330"/>
      <c r="R9" s="332"/>
      <c r="S9" s="332"/>
      <c r="T9" s="332"/>
      <c r="U9" s="335"/>
      <c r="V9" s="330"/>
      <c r="W9" s="330"/>
      <c r="X9" s="336"/>
      <c r="Y9" s="337"/>
      <c r="Z9" s="338" t="s">
        <v>158</v>
      </c>
      <c r="AA9" s="338" t="s">
        <v>159</v>
      </c>
      <c r="AB9" s="338" t="s">
        <v>158</v>
      </c>
      <c r="AC9" s="338" t="s">
        <v>159</v>
      </c>
      <c r="AD9" s="338" t="s">
        <v>158</v>
      </c>
      <c r="AE9" s="338" t="s">
        <v>159</v>
      </c>
      <c r="AF9" s="338" t="s">
        <v>158</v>
      </c>
      <c r="AG9" s="338" t="s">
        <v>159</v>
      </c>
      <c r="AH9" s="338" t="s">
        <v>158</v>
      </c>
      <c r="AI9" s="338" t="s">
        <v>159</v>
      </c>
      <c r="AJ9" s="338" t="s">
        <v>158</v>
      </c>
      <c r="AK9" s="338" t="s">
        <v>159</v>
      </c>
      <c r="AL9" s="338" t="s">
        <v>158</v>
      </c>
      <c r="AM9" s="338" t="s">
        <v>159</v>
      </c>
      <c r="AN9" s="338" t="s">
        <v>158</v>
      </c>
      <c r="AO9" s="338" t="s">
        <v>159</v>
      </c>
      <c r="AP9" s="338" t="s">
        <v>158</v>
      </c>
      <c r="AQ9" s="338" t="s">
        <v>159</v>
      </c>
      <c r="AR9" s="338" t="s">
        <v>158</v>
      </c>
      <c r="AS9" s="338" t="s">
        <v>159</v>
      </c>
      <c r="AT9" s="338" t="s">
        <v>158</v>
      </c>
      <c r="AU9" s="338" t="s">
        <v>159</v>
      </c>
      <c r="AV9" s="338" t="s">
        <v>158</v>
      </c>
      <c r="AW9" s="338" t="s">
        <v>159</v>
      </c>
      <c r="AX9" s="338" t="s">
        <v>158</v>
      </c>
      <c r="AY9" s="338" t="s">
        <v>159</v>
      </c>
      <c r="AZ9" s="338" t="s">
        <v>158</v>
      </c>
      <c r="BA9" s="338" t="s">
        <v>159</v>
      </c>
      <c r="BB9" s="338" t="s">
        <v>158</v>
      </c>
      <c r="BC9" s="338" t="s">
        <v>159</v>
      </c>
      <c r="BD9" s="338" t="s">
        <v>158</v>
      </c>
      <c r="BE9" s="338" t="s">
        <v>159</v>
      </c>
      <c r="BF9" s="3171"/>
      <c r="BG9" s="3174"/>
      <c r="BH9" s="3171"/>
      <c r="BI9" s="3175"/>
      <c r="BJ9" s="3171"/>
      <c r="BK9" s="3173"/>
      <c r="BL9" s="338" t="s">
        <v>158</v>
      </c>
      <c r="BM9" s="338" t="s">
        <v>159</v>
      </c>
      <c r="BN9" s="338" t="s">
        <v>158</v>
      </c>
      <c r="BO9" s="338" t="s">
        <v>159</v>
      </c>
      <c r="BP9" s="339"/>
      <c r="BQ9" s="312"/>
      <c r="BR9" s="312"/>
      <c r="BS9" s="312"/>
      <c r="BT9" s="312"/>
      <c r="BU9" s="312"/>
      <c r="BV9" s="312"/>
    </row>
    <row r="10" spans="1:74" s="344" customFormat="1" ht="15.75" x14ac:dyDescent="0.25">
      <c r="A10" s="340">
        <v>2</v>
      </c>
      <c r="B10" s="341" t="s">
        <v>78</v>
      </c>
      <c r="C10" s="341"/>
      <c r="D10" s="283"/>
      <c r="E10" s="283"/>
      <c r="F10" s="283"/>
      <c r="G10" s="276"/>
      <c r="H10" s="276"/>
      <c r="I10" s="275"/>
      <c r="J10" s="275"/>
      <c r="K10" s="276"/>
      <c r="L10" s="342"/>
      <c r="M10" s="275"/>
      <c r="N10" s="276"/>
      <c r="O10" s="275"/>
      <c r="P10" s="282"/>
      <c r="Q10" s="281"/>
      <c r="R10" s="275"/>
      <c r="S10" s="275"/>
      <c r="T10" s="275"/>
      <c r="U10" s="343"/>
      <c r="V10" s="343"/>
      <c r="W10" s="343"/>
      <c r="X10" s="277"/>
      <c r="Y10" s="280"/>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4"/>
      <c r="BM10" s="274"/>
      <c r="BN10" s="274"/>
      <c r="BO10" s="274"/>
      <c r="BP10" s="280"/>
      <c r="BQ10" s="18"/>
      <c r="BR10" s="18"/>
      <c r="BS10" s="18"/>
      <c r="BT10" s="18"/>
      <c r="BU10" s="18"/>
      <c r="BV10" s="18"/>
    </row>
    <row r="11" spans="1:74" s="344" customFormat="1" ht="15.75" x14ac:dyDescent="0.25">
      <c r="A11" s="2295"/>
      <c r="B11" s="2296"/>
      <c r="C11" s="2297"/>
      <c r="D11" s="44">
        <v>4</v>
      </c>
      <c r="E11" s="2572" t="s">
        <v>343</v>
      </c>
      <c r="F11" s="2572"/>
      <c r="G11" s="2573"/>
      <c r="H11" s="2573"/>
      <c r="I11" s="2573"/>
      <c r="J11" s="2573"/>
      <c r="K11" s="2573"/>
      <c r="L11" s="2573"/>
      <c r="M11" s="2573"/>
      <c r="N11" s="2573"/>
      <c r="O11" s="345"/>
      <c r="P11" s="346"/>
      <c r="Q11" s="347"/>
      <c r="R11" s="345"/>
      <c r="S11" s="345"/>
      <c r="T11" s="345"/>
      <c r="U11" s="348"/>
      <c r="V11" s="348"/>
      <c r="W11" s="348"/>
      <c r="X11" s="349"/>
      <c r="Y11" s="350"/>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2"/>
      <c r="BM11" s="352"/>
      <c r="BN11" s="352"/>
      <c r="BO11" s="352"/>
      <c r="BP11" s="350"/>
      <c r="BQ11" s="18"/>
      <c r="BR11" s="18"/>
      <c r="BS11" s="18"/>
      <c r="BT11" s="18"/>
      <c r="BU11" s="18"/>
      <c r="BV11" s="18"/>
    </row>
    <row r="12" spans="1:74" s="344" customFormat="1" ht="15.75" x14ac:dyDescent="0.25">
      <c r="A12" s="118"/>
      <c r="B12" s="353"/>
      <c r="C12" s="353"/>
      <c r="D12" s="3245"/>
      <c r="E12" s="3304"/>
      <c r="F12" s="3247"/>
      <c r="G12" s="3305">
        <v>1702011</v>
      </c>
      <c r="H12" s="3307" t="s">
        <v>344</v>
      </c>
      <c r="I12" s="2452" t="s">
        <v>345</v>
      </c>
      <c r="J12" s="2751" t="s">
        <v>346</v>
      </c>
      <c r="K12" s="2342">
        <v>30</v>
      </c>
      <c r="L12" s="2761">
        <v>15</v>
      </c>
      <c r="M12" s="3310" t="s">
        <v>347</v>
      </c>
      <c r="N12" s="3312" t="s">
        <v>348</v>
      </c>
      <c r="O12" s="2452" t="s">
        <v>349</v>
      </c>
      <c r="P12" s="2444">
        <v>0.85600760159770095</v>
      </c>
      <c r="Q12" s="3313">
        <v>303794030</v>
      </c>
      <c r="R12" s="2610" t="s">
        <v>350</v>
      </c>
      <c r="S12" s="2344" t="s">
        <v>351</v>
      </c>
      <c r="T12" s="354" t="s">
        <v>352</v>
      </c>
      <c r="U12" s="913">
        <v>160049999</v>
      </c>
      <c r="V12" s="913">
        <v>160049999</v>
      </c>
      <c r="W12" s="913">
        <v>160049999</v>
      </c>
      <c r="X12" s="355">
        <v>20</v>
      </c>
      <c r="Y12" s="226" t="s">
        <v>7</v>
      </c>
      <c r="Z12" s="3309">
        <v>170</v>
      </c>
      <c r="AA12" s="2960">
        <v>30</v>
      </c>
      <c r="AB12" s="2960">
        <v>200</v>
      </c>
      <c r="AC12" s="2960">
        <v>45</v>
      </c>
      <c r="AD12" s="2960">
        <v>0</v>
      </c>
      <c r="AE12" s="2960">
        <v>0</v>
      </c>
      <c r="AF12" s="2960">
        <v>0</v>
      </c>
      <c r="AG12" s="2960">
        <v>0</v>
      </c>
      <c r="AH12" s="2960">
        <v>300</v>
      </c>
      <c r="AI12" s="2960">
        <v>0</v>
      </c>
      <c r="AJ12" s="2960">
        <v>10</v>
      </c>
      <c r="AK12" s="2960">
        <v>10</v>
      </c>
      <c r="AL12" s="2960">
        <v>0</v>
      </c>
      <c r="AM12" s="2960">
        <v>0</v>
      </c>
      <c r="AN12" s="2960">
        <v>0</v>
      </c>
      <c r="AO12" s="2960">
        <v>0</v>
      </c>
      <c r="AP12" s="2960">
        <v>0</v>
      </c>
      <c r="AQ12" s="2960"/>
      <c r="AR12" s="2960">
        <v>0</v>
      </c>
      <c r="AS12" s="2960"/>
      <c r="AT12" s="2960">
        <v>0</v>
      </c>
      <c r="AU12" s="2960"/>
      <c r="AV12" s="2960">
        <v>0</v>
      </c>
      <c r="AW12" s="2960"/>
      <c r="AX12" s="2960">
        <v>0</v>
      </c>
      <c r="AY12" s="2960"/>
      <c r="AZ12" s="2960">
        <v>0</v>
      </c>
      <c r="BA12" s="2960"/>
      <c r="BB12" s="2960">
        <v>0</v>
      </c>
      <c r="BC12" s="2960"/>
      <c r="BD12" s="2960">
        <v>370</v>
      </c>
      <c r="BE12" s="2960">
        <v>75</v>
      </c>
      <c r="BF12" s="2868">
        <v>16</v>
      </c>
      <c r="BG12" s="2595">
        <v>160049999</v>
      </c>
      <c r="BH12" s="2595">
        <v>160049999</v>
      </c>
      <c r="BI12" s="2598">
        <f>+BH12/BG12</f>
        <v>1</v>
      </c>
      <c r="BJ12" s="2868" t="s">
        <v>353</v>
      </c>
      <c r="BK12" s="2868" t="s">
        <v>354</v>
      </c>
      <c r="BL12" s="3335">
        <v>43832</v>
      </c>
      <c r="BM12" s="3335">
        <v>43857</v>
      </c>
      <c r="BN12" s="3335">
        <v>44195</v>
      </c>
      <c r="BO12" s="3335">
        <v>44009</v>
      </c>
      <c r="BP12" s="2868" t="s">
        <v>355</v>
      </c>
      <c r="BQ12" s="1"/>
      <c r="BR12" s="1"/>
      <c r="BS12" s="1"/>
      <c r="BT12" s="1"/>
      <c r="BU12" s="1"/>
      <c r="BV12" s="1"/>
    </row>
    <row r="13" spans="1:74" s="344" customFormat="1" ht="60" x14ac:dyDescent="0.25">
      <c r="A13" s="356"/>
      <c r="B13" s="357"/>
      <c r="C13" s="357"/>
      <c r="D13" s="3246"/>
      <c r="E13" s="2622"/>
      <c r="F13" s="3248"/>
      <c r="G13" s="3306"/>
      <c r="H13" s="3308"/>
      <c r="I13" s="2453"/>
      <c r="J13" s="3251"/>
      <c r="K13" s="2343"/>
      <c r="L13" s="2342"/>
      <c r="M13" s="3311"/>
      <c r="N13" s="2605"/>
      <c r="O13" s="2453"/>
      <c r="P13" s="2332"/>
      <c r="Q13" s="3314"/>
      <c r="R13" s="2416"/>
      <c r="S13" s="2331"/>
      <c r="T13" s="358" t="s">
        <v>356</v>
      </c>
      <c r="U13" s="914">
        <v>100000000</v>
      </c>
      <c r="V13" s="914">
        <v>0</v>
      </c>
      <c r="W13" s="913">
        <v>0</v>
      </c>
      <c r="X13" s="359">
        <v>88</v>
      </c>
      <c r="Y13" s="226" t="s">
        <v>357</v>
      </c>
      <c r="Z13" s="3309"/>
      <c r="AA13" s="2935"/>
      <c r="AB13" s="2935"/>
      <c r="AC13" s="2935"/>
      <c r="AD13" s="2935"/>
      <c r="AE13" s="2935"/>
      <c r="AF13" s="2935"/>
      <c r="AG13" s="2935"/>
      <c r="AH13" s="2935"/>
      <c r="AI13" s="2935"/>
      <c r="AJ13" s="2935"/>
      <c r="AK13" s="2935"/>
      <c r="AL13" s="2935"/>
      <c r="AM13" s="2935"/>
      <c r="AN13" s="2935"/>
      <c r="AO13" s="2935"/>
      <c r="AP13" s="2935"/>
      <c r="AQ13" s="2935"/>
      <c r="AR13" s="2935"/>
      <c r="AS13" s="2935"/>
      <c r="AT13" s="2935"/>
      <c r="AU13" s="2935"/>
      <c r="AV13" s="2935"/>
      <c r="AW13" s="2935"/>
      <c r="AX13" s="2935"/>
      <c r="AY13" s="2935"/>
      <c r="AZ13" s="2935"/>
      <c r="BA13" s="2935"/>
      <c r="BB13" s="2935"/>
      <c r="BC13" s="2935"/>
      <c r="BD13" s="2935"/>
      <c r="BE13" s="2935"/>
      <c r="BF13" s="2869"/>
      <c r="BG13" s="2596"/>
      <c r="BH13" s="2596"/>
      <c r="BI13" s="2599"/>
      <c r="BJ13" s="2869"/>
      <c r="BK13" s="2869"/>
      <c r="BL13" s="3336"/>
      <c r="BM13" s="3336"/>
      <c r="BN13" s="3336"/>
      <c r="BO13" s="3336"/>
      <c r="BP13" s="2869"/>
      <c r="BQ13" s="18"/>
      <c r="BR13" s="18"/>
      <c r="BS13" s="18"/>
      <c r="BT13" s="18"/>
      <c r="BU13" s="18"/>
      <c r="BV13" s="18"/>
    </row>
    <row r="14" spans="1:74" s="344" customFormat="1" ht="60" x14ac:dyDescent="0.25">
      <c r="A14" s="356"/>
      <c r="B14" s="357"/>
      <c r="C14" s="357"/>
      <c r="D14" s="356"/>
      <c r="E14" s="2622"/>
      <c r="F14" s="3248"/>
      <c r="G14" s="360">
        <v>1702007</v>
      </c>
      <c r="H14" s="361" t="s">
        <v>358</v>
      </c>
      <c r="I14" s="362" t="s">
        <v>359</v>
      </c>
      <c r="J14" s="363" t="s">
        <v>360</v>
      </c>
      <c r="K14" s="364">
        <v>5</v>
      </c>
      <c r="L14" s="365">
        <v>0</v>
      </c>
      <c r="M14" s="3311"/>
      <c r="N14" s="2605"/>
      <c r="O14" s="2453"/>
      <c r="P14" s="366">
        <v>0.14399239840229908</v>
      </c>
      <c r="Q14" s="3314"/>
      <c r="R14" s="2416"/>
      <c r="S14" s="2331"/>
      <c r="T14" s="358" t="s">
        <v>361</v>
      </c>
      <c r="U14" s="914">
        <v>43744031</v>
      </c>
      <c r="V14" s="914">
        <v>0</v>
      </c>
      <c r="W14" s="914">
        <v>0</v>
      </c>
      <c r="X14" s="359">
        <v>88</v>
      </c>
      <c r="Y14" s="226" t="s">
        <v>357</v>
      </c>
      <c r="Z14" s="3309"/>
      <c r="AA14" s="2935"/>
      <c r="AB14" s="2935"/>
      <c r="AC14" s="2935"/>
      <c r="AD14" s="2935"/>
      <c r="AE14" s="2935"/>
      <c r="AF14" s="2935"/>
      <c r="AG14" s="2935"/>
      <c r="AH14" s="2935"/>
      <c r="AI14" s="2935"/>
      <c r="AJ14" s="2935"/>
      <c r="AK14" s="2935"/>
      <c r="AL14" s="2935"/>
      <c r="AM14" s="2935"/>
      <c r="AN14" s="2935"/>
      <c r="AO14" s="2935"/>
      <c r="AP14" s="2935"/>
      <c r="AQ14" s="2935"/>
      <c r="AR14" s="2935"/>
      <c r="AS14" s="2935"/>
      <c r="AT14" s="2935"/>
      <c r="AU14" s="2935"/>
      <c r="AV14" s="2935"/>
      <c r="AW14" s="2935"/>
      <c r="AX14" s="2935"/>
      <c r="AY14" s="2935"/>
      <c r="AZ14" s="2935"/>
      <c r="BA14" s="2935"/>
      <c r="BB14" s="2935"/>
      <c r="BC14" s="2935"/>
      <c r="BD14" s="2935"/>
      <c r="BE14" s="2935"/>
      <c r="BF14" s="2869"/>
      <c r="BG14" s="2596"/>
      <c r="BH14" s="2596"/>
      <c r="BI14" s="2599"/>
      <c r="BJ14" s="2869"/>
      <c r="BK14" s="2869"/>
      <c r="BL14" s="3336"/>
      <c r="BM14" s="3336"/>
      <c r="BN14" s="3336"/>
      <c r="BO14" s="3336"/>
      <c r="BP14" s="2869"/>
      <c r="BQ14" s="18"/>
      <c r="BR14" s="18"/>
      <c r="BS14" s="18"/>
      <c r="BT14" s="18"/>
      <c r="BU14" s="18"/>
      <c r="BV14" s="18"/>
    </row>
    <row r="15" spans="1:74" s="344" customFormat="1" ht="30" x14ac:dyDescent="0.25">
      <c r="A15" s="356"/>
      <c r="B15" s="357"/>
      <c r="C15" s="357"/>
      <c r="D15" s="356"/>
      <c r="E15" s="357"/>
      <c r="F15" s="367"/>
      <c r="G15" s="3337">
        <v>1702017</v>
      </c>
      <c r="H15" s="3308" t="s">
        <v>362</v>
      </c>
      <c r="I15" s="2453" t="s">
        <v>363</v>
      </c>
      <c r="J15" s="2492" t="s">
        <v>364</v>
      </c>
      <c r="K15" s="3340">
        <v>250</v>
      </c>
      <c r="L15" s="3343">
        <v>240</v>
      </c>
      <c r="M15" s="2416" t="s">
        <v>365</v>
      </c>
      <c r="N15" s="2867" t="s">
        <v>366</v>
      </c>
      <c r="O15" s="3329" t="s">
        <v>367</v>
      </c>
      <c r="P15" s="3331">
        <v>1</v>
      </c>
      <c r="Q15" s="3314">
        <v>110000000</v>
      </c>
      <c r="R15" s="2331" t="s">
        <v>368</v>
      </c>
      <c r="S15" s="2416" t="s">
        <v>369</v>
      </c>
      <c r="T15" s="2453" t="s">
        <v>370</v>
      </c>
      <c r="U15" s="913">
        <v>533334</v>
      </c>
      <c r="V15" s="913"/>
      <c r="W15" s="913"/>
      <c r="X15" s="359" t="s">
        <v>110</v>
      </c>
      <c r="Y15" s="226" t="s">
        <v>7</v>
      </c>
      <c r="Z15" s="3328">
        <v>2608</v>
      </c>
      <c r="AA15" s="3328">
        <v>125</v>
      </c>
      <c r="AB15" s="3328">
        <v>2992</v>
      </c>
      <c r="AC15" s="3328">
        <v>225</v>
      </c>
      <c r="AD15" s="3328">
        <v>1100</v>
      </c>
      <c r="AE15" s="2357">
        <v>0</v>
      </c>
      <c r="AF15" s="2357">
        <v>465</v>
      </c>
      <c r="AG15" s="2357">
        <v>0</v>
      </c>
      <c r="AH15" s="2357">
        <v>3441</v>
      </c>
      <c r="AI15" s="2357">
        <v>0</v>
      </c>
      <c r="AJ15" s="2357">
        <v>594</v>
      </c>
      <c r="AK15" s="2357">
        <v>0</v>
      </c>
      <c r="AL15" s="2357">
        <v>40</v>
      </c>
      <c r="AM15" s="2357">
        <v>0</v>
      </c>
      <c r="AN15" s="2357">
        <v>50</v>
      </c>
      <c r="AO15" s="2357"/>
      <c r="AP15" s="2357">
        <v>0</v>
      </c>
      <c r="AQ15" s="2357"/>
      <c r="AR15" s="2357">
        <v>0</v>
      </c>
      <c r="AS15" s="2357"/>
      <c r="AT15" s="2357">
        <v>0</v>
      </c>
      <c r="AU15" s="2357"/>
      <c r="AV15" s="2357">
        <v>0</v>
      </c>
      <c r="AW15" s="2357"/>
      <c r="AX15" s="2357">
        <v>80</v>
      </c>
      <c r="AY15" s="2357"/>
      <c r="AZ15" s="2357">
        <v>10</v>
      </c>
      <c r="BA15" s="2357"/>
      <c r="BB15" s="2357">
        <v>0</v>
      </c>
      <c r="BC15" s="2357"/>
      <c r="BD15" s="2357">
        <v>5600</v>
      </c>
      <c r="BE15" s="2357">
        <v>350</v>
      </c>
      <c r="BF15" s="3328">
        <v>6</v>
      </c>
      <c r="BG15" s="3349">
        <v>58633332</v>
      </c>
      <c r="BH15" s="3349">
        <v>51466666</v>
      </c>
      <c r="BI15" s="3331">
        <f>+BH15/BG15</f>
        <v>0.87777146964801522</v>
      </c>
      <c r="BJ15" s="2348" t="s">
        <v>353</v>
      </c>
      <c r="BK15" s="2348" t="s">
        <v>371</v>
      </c>
      <c r="BL15" s="3347">
        <v>43832</v>
      </c>
      <c r="BM15" s="3347">
        <v>43864</v>
      </c>
      <c r="BN15" s="3347">
        <v>44195</v>
      </c>
      <c r="BO15" s="3347">
        <v>43984</v>
      </c>
      <c r="BP15" s="2348"/>
      <c r="BQ15" s="1"/>
      <c r="BR15" s="1"/>
      <c r="BS15" s="1"/>
      <c r="BT15" s="1"/>
      <c r="BU15" s="1"/>
      <c r="BV15" s="1"/>
    </row>
    <row r="16" spans="1:74" s="344" customFormat="1" ht="60" x14ac:dyDescent="0.25">
      <c r="A16" s="356"/>
      <c r="B16" s="357"/>
      <c r="C16" s="357"/>
      <c r="D16" s="356"/>
      <c r="E16" s="357"/>
      <c r="F16" s="367"/>
      <c r="G16" s="3337"/>
      <c r="H16" s="3308"/>
      <c r="I16" s="2453"/>
      <c r="J16" s="2413"/>
      <c r="K16" s="3341"/>
      <c r="L16" s="2521"/>
      <c r="M16" s="2416"/>
      <c r="N16" s="2867"/>
      <c r="O16" s="3329"/>
      <c r="P16" s="3331"/>
      <c r="Q16" s="3314"/>
      <c r="R16" s="2331"/>
      <c r="S16" s="2416"/>
      <c r="T16" s="2453"/>
      <c r="U16" s="913">
        <v>8000000</v>
      </c>
      <c r="V16" s="913">
        <v>7166666</v>
      </c>
      <c r="W16" s="913"/>
      <c r="X16" s="359">
        <v>88</v>
      </c>
      <c r="Y16" s="226" t="s">
        <v>357</v>
      </c>
      <c r="Z16" s="3328"/>
      <c r="AA16" s="3328"/>
      <c r="AB16" s="3328"/>
      <c r="AC16" s="3328"/>
      <c r="AD16" s="3328"/>
      <c r="AE16" s="2357"/>
      <c r="AF16" s="2357"/>
      <c r="AG16" s="2357"/>
      <c r="AH16" s="2357"/>
      <c r="AI16" s="2357"/>
      <c r="AJ16" s="2357"/>
      <c r="AK16" s="2357"/>
      <c r="AL16" s="2357"/>
      <c r="AM16" s="2357"/>
      <c r="AN16" s="2357"/>
      <c r="AO16" s="2357"/>
      <c r="AP16" s="2357"/>
      <c r="AQ16" s="2357"/>
      <c r="AR16" s="2357"/>
      <c r="AS16" s="2357"/>
      <c r="AT16" s="2357"/>
      <c r="AU16" s="2357"/>
      <c r="AV16" s="2357"/>
      <c r="AW16" s="2357"/>
      <c r="AX16" s="2357"/>
      <c r="AY16" s="2357"/>
      <c r="AZ16" s="2357"/>
      <c r="BA16" s="2357"/>
      <c r="BB16" s="2357"/>
      <c r="BC16" s="2357"/>
      <c r="BD16" s="2357"/>
      <c r="BE16" s="2357"/>
      <c r="BF16" s="3328"/>
      <c r="BG16" s="3349"/>
      <c r="BH16" s="3349"/>
      <c r="BI16" s="3331"/>
      <c r="BJ16" s="3328"/>
      <c r="BK16" s="2348"/>
      <c r="BL16" s="3347"/>
      <c r="BM16" s="3347"/>
      <c r="BN16" s="3347"/>
      <c r="BO16" s="3347"/>
      <c r="BP16" s="2348"/>
      <c r="BQ16" s="1"/>
      <c r="BR16" s="1"/>
      <c r="BS16" s="1"/>
      <c r="BT16" s="1"/>
      <c r="BU16" s="1"/>
      <c r="BV16" s="1"/>
    </row>
    <row r="17" spans="1:68" s="344" customFormat="1" ht="45" x14ac:dyDescent="0.25">
      <c r="A17" s="356"/>
      <c r="B17" s="357"/>
      <c r="C17" s="357"/>
      <c r="D17" s="356"/>
      <c r="E17" s="357"/>
      <c r="F17" s="367"/>
      <c r="G17" s="3337"/>
      <c r="H17" s="3308"/>
      <c r="I17" s="2453"/>
      <c r="J17" s="2413"/>
      <c r="K17" s="3341"/>
      <c r="L17" s="2521"/>
      <c r="M17" s="2416"/>
      <c r="N17" s="2867"/>
      <c r="O17" s="3329"/>
      <c r="P17" s="3331"/>
      <c r="Q17" s="3314"/>
      <c r="R17" s="2331"/>
      <c r="S17" s="2416"/>
      <c r="T17" s="369" t="s">
        <v>372</v>
      </c>
      <c r="U17" s="913">
        <v>51466666</v>
      </c>
      <c r="V17" s="913">
        <v>51466666</v>
      </c>
      <c r="W17" s="913">
        <v>51466666</v>
      </c>
      <c r="X17" s="359" t="s">
        <v>110</v>
      </c>
      <c r="Y17" s="226" t="s">
        <v>7</v>
      </c>
      <c r="Z17" s="3328"/>
      <c r="AA17" s="3328"/>
      <c r="AB17" s="3328"/>
      <c r="AC17" s="3328"/>
      <c r="AD17" s="3328"/>
      <c r="AE17" s="2357"/>
      <c r="AF17" s="2357"/>
      <c r="AG17" s="2357"/>
      <c r="AH17" s="2357"/>
      <c r="AI17" s="2357"/>
      <c r="AJ17" s="2357"/>
      <c r="AK17" s="2357"/>
      <c r="AL17" s="2357"/>
      <c r="AM17" s="2357"/>
      <c r="AN17" s="2357"/>
      <c r="AO17" s="2357"/>
      <c r="AP17" s="2357"/>
      <c r="AQ17" s="2357"/>
      <c r="AR17" s="2357"/>
      <c r="AS17" s="2357"/>
      <c r="AT17" s="2357"/>
      <c r="AU17" s="2357"/>
      <c r="AV17" s="2357"/>
      <c r="AW17" s="2357"/>
      <c r="AX17" s="2357"/>
      <c r="AY17" s="2357"/>
      <c r="AZ17" s="2357"/>
      <c r="BA17" s="2357"/>
      <c r="BB17" s="2357"/>
      <c r="BC17" s="2357"/>
      <c r="BD17" s="2357"/>
      <c r="BE17" s="2357"/>
      <c r="BF17" s="3328"/>
      <c r="BG17" s="3349"/>
      <c r="BH17" s="3349"/>
      <c r="BI17" s="3331"/>
      <c r="BJ17" s="3328"/>
      <c r="BK17" s="2348"/>
      <c r="BL17" s="3347"/>
      <c r="BM17" s="3347"/>
      <c r="BN17" s="3347"/>
      <c r="BO17" s="3347"/>
      <c r="BP17" s="2348"/>
    </row>
    <row r="18" spans="1:68" s="344" customFormat="1" ht="60" x14ac:dyDescent="0.25">
      <c r="A18" s="356"/>
      <c r="B18" s="357"/>
      <c r="C18" s="357"/>
      <c r="D18" s="356"/>
      <c r="E18" s="357"/>
      <c r="F18" s="367"/>
      <c r="G18" s="3337"/>
      <c r="H18" s="3308"/>
      <c r="I18" s="2453"/>
      <c r="J18" s="2413"/>
      <c r="K18" s="3341"/>
      <c r="L18" s="2521"/>
      <c r="M18" s="2416"/>
      <c r="N18" s="2867"/>
      <c r="O18" s="3329"/>
      <c r="P18" s="3331"/>
      <c r="Q18" s="3314"/>
      <c r="R18" s="2331"/>
      <c r="S18" s="3311"/>
      <c r="T18" s="2453" t="s">
        <v>356</v>
      </c>
      <c r="U18" s="915">
        <v>30000000</v>
      </c>
      <c r="V18" s="913"/>
      <c r="W18" s="913"/>
      <c r="X18" s="359">
        <v>88</v>
      </c>
      <c r="Y18" s="226" t="s">
        <v>357</v>
      </c>
      <c r="Z18" s="3328"/>
      <c r="AA18" s="3328"/>
      <c r="AB18" s="3328"/>
      <c r="AC18" s="3328"/>
      <c r="AD18" s="3328"/>
      <c r="AE18" s="2357"/>
      <c r="AF18" s="2357"/>
      <c r="AG18" s="2357"/>
      <c r="AH18" s="2357"/>
      <c r="AI18" s="2357"/>
      <c r="AJ18" s="2357"/>
      <c r="AK18" s="2357"/>
      <c r="AL18" s="2357"/>
      <c r="AM18" s="2357"/>
      <c r="AN18" s="2357"/>
      <c r="AO18" s="2357"/>
      <c r="AP18" s="2357"/>
      <c r="AQ18" s="2357"/>
      <c r="AR18" s="2357"/>
      <c r="AS18" s="2357"/>
      <c r="AT18" s="2357"/>
      <c r="AU18" s="2357"/>
      <c r="AV18" s="2357"/>
      <c r="AW18" s="2357"/>
      <c r="AX18" s="2357"/>
      <c r="AY18" s="2357"/>
      <c r="AZ18" s="2357"/>
      <c r="BA18" s="2357"/>
      <c r="BB18" s="2357"/>
      <c r="BC18" s="2357"/>
      <c r="BD18" s="2357"/>
      <c r="BE18" s="2357"/>
      <c r="BF18" s="3328"/>
      <c r="BG18" s="3349"/>
      <c r="BH18" s="3349"/>
      <c r="BI18" s="3331"/>
      <c r="BJ18" s="3328"/>
      <c r="BK18" s="2348"/>
      <c r="BL18" s="3347"/>
      <c r="BM18" s="3347"/>
      <c r="BN18" s="3347"/>
      <c r="BO18" s="3347"/>
      <c r="BP18" s="2348"/>
    </row>
    <row r="19" spans="1:68" s="344" customFormat="1" ht="29.25" customHeight="1" x14ac:dyDescent="0.25">
      <c r="A19" s="356"/>
      <c r="B19" s="357"/>
      <c r="C19" s="357"/>
      <c r="D19" s="356"/>
      <c r="E19" s="357"/>
      <c r="F19" s="367"/>
      <c r="G19" s="3338"/>
      <c r="H19" s="3339"/>
      <c r="I19" s="3149"/>
      <c r="J19" s="2493"/>
      <c r="K19" s="3342"/>
      <c r="L19" s="2520"/>
      <c r="M19" s="2584"/>
      <c r="N19" s="2868"/>
      <c r="O19" s="3330"/>
      <c r="P19" s="3332"/>
      <c r="Q19" s="3333"/>
      <c r="R19" s="2371"/>
      <c r="S19" s="3334"/>
      <c r="T19" s="3149"/>
      <c r="U19" s="916">
        <v>20000000</v>
      </c>
      <c r="V19" s="917"/>
      <c r="W19" s="917"/>
      <c r="X19" s="370">
        <v>20</v>
      </c>
      <c r="Y19" s="226" t="s">
        <v>7</v>
      </c>
      <c r="Z19" s="2519"/>
      <c r="AA19" s="2519"/>
      <c r="AB19" s="2519"/>
      <c r="AC19" s="2519"/>
      <c r="AD19" s="2519"/>
      <c r="AE19" s="2358"/>
      <c r="AF19" s="2358"/>
      <c r="AG19" s="2358"/>
      <c r="AH19" s="2358"/>
      <c r="AI19" s="2358"/>
      <c r="AJ19" s="2358"/>
      <c r="AK19" s="2358"/>
      <c r="AL19" s="2358"/>
      <c r="AM19" s="2358"/>
      <c r="AN19" s="2358"/>
      <c r="AO19" s="2358"/>
      <c r="AP19" s="2358"/>
      <c r="AQ19" s="2358"/>
      <c r="AR19" s="2358"/>
      <c r="AS19" s="2358"/>
      <c r="AT19" s="2358"/>
      <c r="AU19" s="2358"/>
      <c r="AV19" s="2358"/>
      <c r="AW19" s="2358"/>
      <c r="AX19" s="2358"/>
      <c r="AY19" s="2358"/>
      <c r="AZ19" s="2358"/>
      <c r="BA19" s="2358"/>
      <c r="BB19" s="2358"/>
      <c r="BC19" s="2358"/>
      <c r="BD19" s="2358"/>
      <c r="BE19" s="2358"/>
      <c r="BF19" s="2519"/>
      <c r="BG19" s="3350"/>
      <c r="BH19" s="3350"/>
      <c r="BI19" s="3332"/>
      <c r="BJ19" s="2519"/>
      <c r="BK19" s="2522"/>
      <c r="BL19" s="3348"/>
      <c r="BM19" s="3348"/>
      <c r="BN19" s="3348"/>
      <c r="BO19" s="3348"/>
      <c r="BP19" s="2522"/>
    </row>
    <row r="20" spans="1:68" s="344" customFormat="1" ht="45" x14ac:dyDescent="0.25">
      <c r="A20" s="356"/>
      <c r="B20" s="357"/>
      <c r="C20" s="357"/>
      <c r="D20" s="356"/>
      <c r="E20" s="357"/>
      <c r="F20" s="367"/>
      <c r="G20" s="3346">
        <v>1702038</v>
      </c>
      <c r="H20" s="3308" t="s">
        <v>373</v>
      </c>
      <c r="I20" s="2453" t="s">
        <v>374</v>
      </c>
      <c r="J20" s="2413" t="s">
        <v>375</v>
      </c>
      <c r="K20" s="2519">
        <v>30</v>
      </c>
      <c r="L20" s="2519">
        <v>15</v>
      </c>
      <c r="M20" s="2416" t="s">
        <v>376</v>
      </c>
      <c r="N20" s="2343" t="s">
        <v>377</v>
      </c>
      <c r="O20" s="2453" t="s">
        <v>378</v>
      </c>
      <c r="P20" s="3331">
        <f>+(U20+U21+U22)/(114200000)</f>
        <v>0.18739054290718038</v>
      </c>
      <c r="Q20" s="3344">
        <v>61400000</v>
      </c>
      <c r="R20" s="2416" t="s">
        <v>379</v>
      </c>
      <c r="S20" s="2416" t="s">
        <v>380</v>
      </c>
      <c r="T20" s="358" t="s">
        <v>381</v>
      </c>
      <c r="U20" s="913">
        <v>6400000</v>
      </c>
      <c r="V20" s="913">
        <v>6400000</v>
      </c>
      <c r="W20" s="913"/>
      <c r="X20" s="355">
        <v>88</v>
      </c>
      <c r="Y20" s="226" t="s">
        <v>382</v>
      </c>
      <c r="Z20" s="3328">
        <v>100</v>
      </c>
      <c r="AA20" s="3328">
        <v>20</v>
      </c>
      <c r="AB20" s="3328">
        <v>60</v>
      </c>
      <c r="AC20" s="3328">
        <v>15</v>
      </c>
      <c r="AD20" s="3328">
        <v>0</v>
      </c>
      <c r="AE20" s="2357"/>
      <c r="AF20" s="2357">
        <v>0</v>
      </c>
      <c r="AG20" s="2357"/>
      <c r="AH20" s="2357">
        <v>110</v>
      </c>
      <c r="AI20" s="2357"/>
      <c r="AJ20" s="2357">
        <v>50</v>
      </c>
      <c r="AK20" s="2357"/>
      <c r="AL20" s="2357">
        <v>0</v>
      </c>
      <c r="AM20" s="2357"/>
      <c r="AN20" s="2357">
        <v>0</v>
      </c>
      <c r="AO20" s="2357"/>
      <c r="AP20" s="2357">
        <v>0</v>
      </c>
      <c r="AQ20" s="2357"/>
      <c r="AR20" s="2357">
        <v>0</v>
      </c>
      <c r="AS20" s="2357"/>
      <c r="AT20" s="2357">
        <v>0</v>
      </c>
      <c r="AU20" s="2357"/>
      <c r="AV20" s="2357">
        <v>0</v>
      </c>
      <c r="AW20" s="2357"/>
      <c r="AX20" s="2357">
        <v>0</v>
      </c>
      <c r="AY20" s="2357"/>
      <c r="AZ20" s="2357">
        <v>0</v>
      </c>
      <c r="BA20" s="2357"/>
      <c r="BB20" s="2357">
        <v>0</v>
      </c>
      <c r="BC20" s="2357"/>
      <c r="BD20" s="2357">
        <v>160</v>
      </c>
      <c r="BE20" s="2357">
        <v>35</v>
      </c>
      <c r="BF20" s="3328">
        <v>4</v>
      </c>
      <c r="BG20" s="3349">
        <v>39000000</v>
      </c>
      <c r="BH20" s="3349">
        <v>26400000</v>
      </c>
      <c r="BI20" s="3331">
        <f>+BH20/BG20</f>
        <v>0.67692307692307696</v>
      </c>
      <c r="BJ20" s="2348" t="s">
        <v>353</v>
      </c>
      <c r="BK20" s="3328" t="s">
        <v>354</v>
      </c>
      <c r="BL20" s="3347">
        <v>43832</v>
      </c>
      <c r="BM20" s="3347">
        <v>43874</v>
      </c>
      <c r="BN20" s="3347">
        <v>44195</v>
      </c>
      <c r="BO20" s="3347">
        <v>44186</v>
      </c>
      <c r="BP20" s="2348" t="s">
        <v>355</v>
      </c>
    </row>
    <row r="21" spans="1:68" s="344" customFormat="1" ht="15.75" x14ac:dyDescent="0.25">
      <c r="A21" s="356"/>
      <c r="B21" s="357"/>
      <c r="C21" s="357"/>
      <c r="D21" s="356"/>
      <c r="E21" s="357"/>
      <c r="F21" s="367"/>
      <c r="G21" s="3346"/>
      <c r="H21" s="3308"/>
      <c r="I21" s="2453"/>
      <c r="J21" s="2413"/>
      <c r="K21" s="2521"/>
      <c r="L21" s="2521"/>
      <c r="M21" s="2416"/>
      <c r="N21" s="2343"/>
      <c r="O21" s="2453"/>
      <c r="P21" s="3331"/>
      <c r="Q21" s="3344"/>
      <c r="R21" s="2416"/>
      <c r="S21" s="2416"/>
      <c r="T21" s="358" t="s">
        <v>383</v>
      </c>
      <c r="U21" s="913">
        <v>5000000</v>
      </c>
      <c r="V21" s="913">
        <v>5000000</v>
      </c>
      <c r="W21" s="913">
        <v>5000000</v>
      </c>
      <c r="X21" s="355">
        <v>20</v>
      </c>
      <c r="Y21" s="226" t="s">
        <v>384</v>
      </c>
      <c r="Z21" s="3328"/>
      <c r="AA21" s="3328"/>
      <c r="AB21" s="3328"/>
      <c r="AC21" s="3328"/>
      <c r="AD21" s="3328"/>
      <c r="AE21" s="2357"/>
      <c r="AF21" s="2357"/>
      <c r="AG21" s="2357"/>
      <c r="AH21" s="2357"/>
      <c r="AI21" s="2357"/>
      <c r="AJ21" s="2357"/>
      <c r="AK21" s="2357"/>
      <c r="AL21" s="2357"/>
      <c r="AM21" s="2357"/>
      <c r="AN21" s="2357"/>
      <c r="AO21" s="2357"/>
      <c r="AP21" s="2357"/>
      <c r="AQ21" s="2357"/>
      <c r="AR21" s="2357"/>
      <c r="AS21" s="2357"/>
      <c r="AT21" s="2357"/>
      <c r="AU21" s="2357"/>
      <c r="AV21" s="2357"/>
      <c r="AW21" s="2357"/>
      <c r="AX21" s="2357"/>
      <c r="AY21" s="2357"/>
      <c r="AZ21" s="2357"/>
      <c r="BA21" s="2357"/>
      <c r="BB21" s="2357"/>
      <c r="BC21" s="2357"/>
      <c r="BD21" s="2357"/>
      <c r="BE21" s="2357"/>
      <c r="BF21" s="3328"/>
      <c r="BG21" s="3349"/>
      <c r="BH21" s="3349"/>
      <c r="BI21" s="3331"/>
      <c r="BJ21" s="3328"/>
      <c r="BK21" s="3328"/>
      <c r="BL21" s="3347"/>
      <c r="BM21" s="3347"/>
      <c r="BN21" s="3347"/>
      <c r="BO21" s="3347"/>
      <c r="BP21" s="2348"/>
    </row>
    <row r="22" spans="1:68" s="344" customFormat="1" ht="45" x14ac:dyDescent="0.25">
      <c r="A22" s="356"/>
      <c r="B22" s="357"/>
      <c r="C22" s="357"/>
      <c r="D22" s="356"/>
      <c r="E22" s="357"/>
      <c r="F22" s="367"/>
      <c r="G22" s="3346"/>
      <c r="H22" s="3308"/>
      <c r="I22" s="2453"/>
      <c r="J22" s="2413"/>
      <c r="K22" s="2520"/>
      <c r="L22" s="2520"/>
      <c r="M22" s="2416"/>
      <c r="N22" s="2343"/>
      <c r="O22" s="2453"/>
      <c r="P22" s="3331"/>
      <c r="Q22" s="3344"/>
      <c r="R22" s="2416"/>
      <c r="S22" s="2416"/>
      <c r="T22" s="358" t="s">
        <v>385</v>
      </c>
      <c r="U22" s="913">
        <v>10000000</v>
      </c>
      <c r="V22" s="913"/>
      <c r="W22" s="913"/>
      <c r="X22" s="355">
        <v>88</v>
      </c>
      <c r="Y22" s="226" t="s">
        <v>382</v>
      </c>
      <c r="Z22" s="3328"/>
      <c r="AA22" s="3328"/>
      <c r="AB22" s="3328"/>
      <c r="AC22" s="3328"/>
      <c r="AD22" s="3328"/>
      <c r="AE22" s="2357"/>
      <c r="AF22" s="2357"/>
      <c r="AG22" s="2357"/>
      <c r="AH22" s="2357"/>
      <c r="AI22" s="2357"/>
      <c r="AJ22" s="2357"/>
      <c r="AK22" s="2357"/>
      <c r="AL22" s="2357"/>
      <c r="AM22" s="2357"/>
      <c r="AN22" s="2357"/>
      <c r="AO22" s="2357"/>
      <c r="AP22" s="2357"/>
      <c r="AQ22" s="2357"/>
      <c r="AR22" s="2357"/>
      <c r="AS22" s="2357"/>
      <c r="AT22" s="2357"/>
      <c r="AU22" s="2357"/>
      <c r="AV22" s="2357"/>
      <c r="AW22" s="2357"/>
      <c r="AX22" s="2357"/>
      <c r="AY22" s="2357"/>
      <c r="AZ22" s="2357"/>
      <c r="BA22" s="2357"/>
      <c r="BB22" s="2357"/>
      <c r="BC22" s="2357"/>
      <c r="BD22" s="2357"/>
      <c r="BE22" s="2357"/>
      <c r="BF22" s="3328"/>
      <c r="BG22" s="3349"/>
      <c r="BH22" s="3349"/>
      <c r="BI22" s="3331"/>
      <c r="BJ22" s="3328"/>
      <c r="BK22" s="3328"/>
      <c r="BL22" s="3347"/>
      <c r="BM22" s="3347"/>
      <c r="BN22" s="3347"/>
      <c r="BO22" s="3347"/>
      <c r="BP22" s="2348"/>
    </row>
    <row r="23" spans="1:68" s="344" customFormat="1" ht="45" x14ac:dyDescent="0.25">
      <c r="A23" s="356"/>
      <c r="B23" s="357"/>
      <c r="C23" s="357"/>
      <c r="D23" s="356"/>
      <c r="E23" s="357"/>
      <c r="F23" s="367"/>
      <c r="G23" s="3346"/>
      <c r="H23" s="3308" t="s">
        <v>373</v>
      </c>
      <c r="I23" s="2453"/>
      <c r="J23" s="2413" t="s">
        <v>386</v>
      </c>
      <c r="K23" s="2519">
        <v>60</v>
      </c>
      <c r="L23" s="2519">
        <v>40</v>
      </c>
      <c r="M23" s="2416"/>
      <c r="N23" s="2343"/>
      <c r="O23" s="2453"/>
      <c r="P23" s="3331">
        <f>+(U23+U24+U25)/(114200000)</f>
        <v>0.35026269702276708</v>
      </c>
      <c r="Q23" s="3344"/>
      <c r="R23" s="2416"/>
      <c r="S23" s="2416"/>
      <c r="T23" s="358" t="s">
        <v>387</v>
      </c>
      <c r="U23" s="913">
        <v>9300000</v>
      </c>
      <c r="V23" s="913">
        <v>6200000</v>
      </c>
      <c r="W23" s="913"/>
      <c r="X23" s="355">
        <v>88</v>
      </c>
      <c r="Y23" s="226" t="s">
        <v>382</v>
      </c>
      <c r="Z23" s="3328"/>
      <c r="AA23" s="3328"/>
      <c r="AB23" s="3328"/>
      <c r="AC23" s="3328"/>
      <c r="AD23" s="3328"/>
      <c r="AE23" s="2357"/>
      <c r="AF23" s="2357"/>
      <c r="AG23" s="2357"/>
      <c r="AH23" s="2357"/>
      <c r="AI23" s="2357"/>
      <c r="AJ23" s="2357"/>
      <c r="AK23" s="2357"/>
      <c r="AL23" s="2357"/>
      <c r="AM23" s="2357"/>
      <c r="AN23" s="2357"/>
      <c r="AO23" s="2357"/>
      <c r="AP23" s="2357"/>
      <c r="AQ23" s="2357"/>
      <c r="AR23" s="2357"/>
      <c r="AS23" s="2357"/>
      <c r="AT23" s="2357"/>
      <c r="AU23" s="2357"/>
      <c r="AV23" s="2357"/>
      <c r="AW23" s="2357"/>
      <c r="AX23" s="2357"/>
      <c r="AY23" s="2357"/>
      <c r="AZ23" s="2357"/>
      <c r="BA23" s="2357"/>
      <c r="BB23" s="2357"/>
      <c r="BC23" s="2357"/>
      <c r="BD23" s="2357"/>
      <c r="BE23" s="2357"/>
      <c r="BF23" s="3328"/>
      <c r="BG23" s="3349"/>
      <c r="BH23" s="3349"/>
      <c r="BI23" s="3331"/>
      <c r="BJ23" s="3328"/>
      <c r="BK23" s="3328"/>
      <c r="BL23" s="3347"/>
      <c r="BM23" s="3347"/>
      <c r="BN23" s="3347"/>
      <c r="BO23" s="3347"/>
      <c r="BP23" s="2348"/>
    </row>
    <row r="24" spans="1:68" s="344" customFormat="1" ht="15.75" x14ac:dyDescent="0.25">
      <c r="A24" s="356"/>
      <c r="B24" s="357"/>
      <c r="C24" s="357"/>
      <c r="D24" s="356"/>
      <c r="E24" s="357"/>
      <c r="F24" s="367"/>
      <c r="G24" s="3346"/>
      <c r="H24" s="3308"/>
      <c r="I24" s="2453"/>
      <c r="J24" s="2413"/>
      <c r="K24" s="2521"/>
      <c r="L24" s="2521"/>
      <c r="M24" s="2416"/>
      <c r="N24" s="2343"/>
      <c r="O24" s="2453"/>
      <c r="P24" s="3331"/>
      <c r="Q24" s="3344"/>
      <c r="R24" s="2416"/>
      <c r="S24" s="2416"/>
      <c r="T24" s="358" t="s">
        <v>383</v>
      </c>
      <c r="U24" s="913">
        <v>21400000</v>
      </c>
      <c r="V24" s="913">
        <v>21400000</v>
      </c>
      <c r="W24" s="913">
        <v>21400000</v>
      </c>
      <c r="X24" s="355">
        <v>20</v>
      </c>
      <c r="Y24" s="226" t="s">
        <v>384</v>
      </c>
      <c r="Z24" s="3328"/>
      <c r="AA24" s="3328"/>
      <c r="AB24" s="3328"/>
      <c r="AC24" s="3328"/>
      <c r="AD24" s="3328"/>
      <c r="AE24" s="2357"/>
      <c r="AF24" s="2357"/>
      <c r="AG24" s="2357"/>
      <c r="AH24" s="2357"/>
      <c r="AI24" s="2357"/>
      <c r="AJ24" s="2357"/>
      <c r="AK24" s="2357"/>
      <c r="AL24" s="2357"/>
      <c r="AM24" s="2357"/>
      <c r="AN24" s="2357"/>
      <c r="AO24" s="2357"/>
      <c r="AP24" s="2357"/>
      <c r="AQ24" s="2357"/>
      <c r="AR24" s="2357"/>
      <c r="AS24" s="2357"/>
      <c r="AT24" s="2357"/>
      <c r="AU24" s="2357"/>
      <c r="AV24" s="2357"/>
      <c r="AW24" s="2357"/>
      <c r="AX24" s="2357"/>
      <c r="AY24" s="2357"/>
      <c r="AZ24" s="2357"/>
      <c r="BA24" s="2357"/>
      <c r="BB24" s="2357"/>
      <c r="BC24" s="2357"/>
      <c r="BD24" s="2357"/>
      <c r="BE24" s="2357"/>
      <c r="BF24" s="3328"/>
      <c r="BG24" s="3349"/>
      <c r="BH24" s="3349"/>
      <c r="BI24" s="3331"/>
      <c r="BJ24" s="3328"/>
      <c r="BK24" s="3328"/>
      <c r="BL24" s="3347"/>
      <c r="BM24" s="3347"/>
      <c r="BN24" s="3347"/>
      <c r="BO24" s="3347"/>
      <c r="BP24" s="2348"/>
    </row>
    <row r="25" spans="1:68" s="344" customFormat="1" ht="45" x14ac:dyDescent="0.25">
      <c r="A25" s="356"/>
      <c r="B25" s="357"/>
      <c r="C25" s="357"/>
      <c r="D25" s="356"/>
      <c r="E25" s="357"/>
      <c r="F25" s="367"/>
      <c r="G25" s="3346"/>
      <c r="H25" s="3339"/>
      <c r="I25" s="3149"/>
      <c r="J25" s="2493"/>
      <c r="K25" s="3351"/>
      <c r="L25" s="3351"/>
      <c r="M25" s="2584"/>
      <c r="N25" s="2491"/>
      <c r="O25" s="3149"/>
      <c r="P25" s="3332"/>
      <c r="Q25" s="3345"/>
      <c r="R25" s="2416"/>
      <c r="S25" s="2416"/>
      <c r="T25" s="358" t="s">
        <v>388</v>
      </c>
      <c r="U25" s="913">
        <v>9300000</v>
      </c>
      <c r="V25" s="917">
        <v>0</v>
      </c>
      <c r="W25" s="917">
        <v>0</v>
      </c>
      <c r="X25" s="370">
        <v>88</v>
      </c>
      <c r="Y25" s="226" t="s">
        <v>382</v>
      </c>
      <c r="Z25" s="3328"/>
      <c r="AA25" s="3328"/>
      <c r="AB25" s="3328"/>
      <c r="AC25" s="3328"/>
      <c r="AD25" s="3328"/>
      <c r="AE25" s="2357"/>
      <c r="AF25" s="2357"/>
      <c r="AG25" s="2357"/>
      <c r="AH25" s="2357"/>
      <c r="AI25" s="2357"/>
      <c r="AJ25" s="2357"/>
      <c r="AK25" s="2357"/>
      <c r="AL25" s="2357"/>
      <c r="AM25" s="2357"/>
      <c r="AN25" s="2357"/>
      <c r="AO25" s="2357"/>
      <c r="AP25" s="2357"/>
      <c r="AQ25" s="2357"/>
      <c r="AR25" s="2357"/>
      <c r="AS25" s="2357"/>
      <c r="AT25" s="2357"/>
      <c r="AU25" s="2357"/>
      <c r="AV25" s="2357"/>
      <c r="AW25" s="2357"/>
      <c r="AX25" s="2357"/>
      <c r="AY25" s="2357"/>
      <c r="AZ25" s="2357"/>
      <c r="BA25" s="2357"/>
      <c r="BB25" s="2357"/>
      <c r="BC25" s="2357"/>
      <c r="BD25" s="2357"/>
      <c r="BE25" s="2357"/>
      <c r="BF25" s="3328"/>
      <c r="BG25" s="3349"/>
      <c r="BH25" s="3349"/>
      <c r="BI25" s="3331"/>
      <c r="BJ25" s="3328"/>
      <c r="BK25" s="3328"/>
      <c r="BL25" s="3347"/>
      <c r="BM25" s="3347"/>
      <c r="BN25" s="3347"/>
      <c r="BO25" s="3347"/>
      <c r="BP25" s="2348"/>
    </row>
    <row r="26" spans="1:68" s="344" customFormat="1" ht="45" x14ac:dyDescent="0.25">
      <c r="A26" s="356"/>
      <c r="B26" s="357"/>
      <c r="C26" s="357"/>
      <c r="D26" s="356"/>
      <c r="E26" s="357"/>
      <c r="F26" s="367"/>
      <c r="G26" s="371">
        <v>1702023</v>
      </c>
      <c r="H26" s="372" t="s">
        <v>389</v>
      </c>
      <c r="I26" s="373" t="s">
        <v>12</v>
      </c>
      <c r="J26" s="9" t="s">
        <v>390</v>
      </c>
      <c r="K26" s="374">
        <v>1</v>
      </c>
      <c r="L26" s="374">
        <v>0.2</v>
      </c>
      <c r="M26" s="2464" t="s">
        <v>391</v>
      </c>
      <c r="N26" s="2315" t="s">
        <v>392</v>
      </c>
      <c r="O26" s="2316" t="s">
        <v>393</v>
      </c>
      <c r="P26" s="375">
        <f>+U26/100000000</f>
        <v>0.15</v>
      </c>
      <c r="Q26" s="3352">
        <v>50000000</v>
      </c>
      <c r="R26" s="3353" t="s">
        <v>394</v>
      </c>
      <c r="S26" s="2440" t="s">
        <v>395</v>
      </c>
      <c r="T26" s="376" t="s">
        <v>396</v>
      </c>
      <c r="U26" s="918">
        <v>15000000</v>
      </c>
      <c r="V26" s="913">
        <v>8400000</v>
      </c>
      <c r="W26" s="913">
        <v>0</v>
      </c>
      <c r="X26" s="370">
        <v>88</v>
      </c>
      <c r="Y26" s="226" t="s">
        <v>382</v>
      </c>
      <c r="Z26" s="2486">
        <v>65000</v>
      </c>
      <c r="AA26" s="2486"/>
      <c r="AB26" s="2486">
        <v>65000</v>
      </c>
      <c r="AC26" s="2486"/>
      <c r="AD26" s="2486">
        <v>22000</v>
      </c>
      <c r="AE26" s="2486"/>
      <c r="AF26" s="2486">
        <v>14000</v>
      </c>
      <c r="AG26" s="2486"/>
      <c r="AH26" s="2486">
        <v>79000</v>
      </c>
      <c r="AI26" s="2486"/>
      <c r="AJ26" s="2486">
        <v>15000</v>
      </c>
      <c r="AK26" s="2486"/>
      <c r="AL26" s="2486"/>
      <c r="AM26" s="2486"/>
      <c r="AN26" s="2486"/>
      <c r="AO26" s="2486"/>
      <c r="AP26" s="2486"/>
      <c r="AQ26" s="2486"/>
      <c r="AR26" s="2486"/>
      <c r="AS26" s="2486"/>
      <c r="AT26" s="2486"/>
      <c r="AU26" s="2486"/>
      <c r="AV26" s="2486"/>
      <c r="AW26" s="2486"/>
      <c r="AX26" s="2486"/>
      <c r="AY26" s="2486"/>
      <c r="AZ26" s="2486"/>
      <c r="BA26" s="2486"/>
      <c r="BB26" s="2486"/>
      <c r="BC26" s="2486"/>
      <c r="BD26" s="2486">
        <v>130000</v>
      </c>
      <c r="BE26" s="2486"/>
      <c r="BF26" s="2321">
        <v>4</v>
      </c>
      <c r="BG26" s="3359">
        <v>33600000</v>
      </c>
      <c r="BH26" s="3359">
        <v>0</v>
      </c>
      <c r="BI26" s="2719">
        <f>+BH26/BG26</f>
        <v>0</v>
      </c>
      <c r="BJ26" s="2319" t="s">
        <v>4</v>
      </c>
      <c r="BK26" s="2321" t="s">
        <v>397</v>
      </c>
      <c r="BL26" s="3355">
        <v>44033</v>
      </c>
      <c r="BM26" s="3355">
        <v>44096</v>
      </c>
      <c r="BN26" s="3355">
        <v>44195</v>
      </c>
      <c r="BO26" s="3355">
        <v>44186</v>
      </c>
      <c r="BP26" s="2319" t="s">
        <v>355</v>
      </c>
    </row>
    <row r="27" spans="1:68" s="344" customFormat="1" ht="217.5" customHeight="1" x14ac:dyDescent="0.25">
      <c r="A27" s="356"/>
      <c r="B27" s="357"/>
      <c r="C27" s="357"/>
      <c r="D27" s="356"/>
      <c r="E27" s="357"/>
      <c r="F27" s="367"/>
      <c r="G27" s="377">
        <v>1702024</v>
      </c>
      <c r="H27" s="372" t="s">
        <v>398</v>
      </c>
      <c r="I27" s="373" t="s">
        <v>399</v>
      </c>
      <c r="J27" s="9" t="s">
        <v>400</v>
      </c>
      <c r="K27" s="374">
        <v>12</v>
      </c>
      <c r="L27" s="374">
        <v>0</v>
      </c>
      <c r="M27" s="2464"/>
      <c r="N27" s="2315"/>
      <c r="O27" s="2316"/>
      <c r="P27" s="375">
        <f>+U27/100000000</f>
        <v>0.35</v>
      </c>
      <c r="Q27" s="3352"/>
      <c r="R27" s="3354"/>
      <c r="S27" s="2441"/>
      <c r="T27" s="373" t="s">
        <v>401</v>
      </c>
      <c r="U27" s="919">
        <v>35000000</v>
      </c>
      <c r="V27" s="917">
        <v>25200000</v>
      </c>
      <c r="W27" s="913">
        <v>0</v>
      </c>
      <c r="X27" s="370">
        <v>88</v>
      </c>
      <c r="Y27" s="368" t="s">
        <v>382</v>
      </c>
      <c r="Z27" s="2487"/>
      <c r="AA27" s="2487"/>
      <c r="AB27" s="2487"/>
      <c r="AC27" s="2487"/>
      <c r="AD27" s="2487"/>
      <c r="AE27" s="2487"/>
      <c r="AF27" s="2487"/>
      <c r="AG27" s="2487"/>
      <c r="AH27" s="2487"/>
      <c r="AI27" s="2487"/>
      <c r="AJ27" s="2487"/>
      <c r="AK27" s="2487"/>
      <c r="AL27" s="2487"/>
      <c r="AM27" s="2487"/>
      <c r="AN27" s="2487"/>
      <c r="AO27" s="2487"/>
      <c r="AP27" s="2487"/>
      <c r="AQ27" s="2487"/>
      <c r="AR27" s="2487"/>
      <c r="AS27" s="2487"/>
      <c r="AT27" s="2487"/>
      <c r="AU27" s="2487"/>
      <c r="AV27" s="2487"/>
      <c r="AW27" s="2487"/>
      <c r="AX27" s="2487"/>
      <c r="AY27" s="2487"/>
      <c r="AZ27" s="2487"/>
      <c r="BA27" s="2487"/>
      <c r="BB27" s="2487"/>
      <c r="BC27" s="2487"/>
      <c r="BD27" s="2487"/>
      <c r="BE27" s="2487"/>
      <c r="BF27" s="2736"/>
      <c r="BG27" s="3360"/>
      <c r="BH27" s="3360"/>
      <c r="BI27" s="2720"/>
      <c r="BJ27" s="2465"/>
      <c r="BK27" s="2736"/>
      <c r="BL27" s="3356"/>
      <c r="BM27" s="3356"/>
      <c r="BN27" s="3356"/>
      <c r="BO27" s="3356"/>
      <c r="BP27" s="2465"/>
    </row>
    <row r="28" spans="1:68" s="344" customFormat="1" ht="84" customHeight="1" x14ac:dyDescent="0.25">
      <c r="A28" s="356"/>
      <c r="B28" s="357"/>
      <c r="C28" s="357"/>
      <c r="D28" s="356"/>
      <c r="E28" s="357"/>
      <c r="F28" s="367"/>
      <c r="G28" s="379">
        <v>1702014</v>
      </c>
      <c r="H28" s="380" t="s">
        <v>402</v>
      </c>
      <c r="I28" s="373" t="s">
        <v>403</v>
      </c>
      <c r="J28" s="9" t="s">
        <v>404</v>
      </c>
      <c r="K28" s="374">
        <v>25</v>
      </c>
      <c r="L28" s="374">
        <v>0</v>
      </c>
      <c r="M28" s="2464" t="s">
        <v>405</v>
      </c>
      <c r="N28" s="2315" t="s">
        <v>406</v>
      </c>
      <c r="O28" s="2464" t="s">
        <v>407</v>
      </c>
      <c r="P28" s="375">
        <f>+U28/79000000</f>
        <v>0.12658227848101267</v>
      </c>
      <c r="Q28" s="3357">
        <v>39000000</v>
      </c>
      <c r="R28" s="3358" t="s">
        <v>408</v>
      </c>
      <c r="S28" s="2439" t="s">
        <v>409</v>
      </c>
      <c r="T28" s="373" t="s">
        <v>410</v>
      </c>
      <c r="U28" s="919">
        <v>10000000</v>
      </c>
      <c r="V28" s="913">
        <v>0</v>
      </c>
      <c r="W28" s="913">
        <v>0</v>
      </c>
      <c r="X28" s="370">
        <v>88</v>
      </c>
      <c r="Y28" s="368" t="s">
        <v>382</v>
      </c>
      <c r="Z28" s="3361">
        <v>25000</v>
      </c>
      <c r="AA28" s="3361"/>
      <c r="AB28" s="3361">
        <v>25000</v>
      </c>
      <c r="AC28" s="3361"/>
      <c r="AD28" s="3361">
        <v>10000</v>
      </c>
      <c r="AE28" s="3361"/>
      <c r="AF28" s="3361">
        <v>10000</v>
      </c>
      <c r="AG28" s="3361"/>
      <c r="AH28" s="3361">
        <v>20000</v>
      </c>
      <c r="AI28" s="3361"/>
      <c r="AJ28" s="3361">
        <v>10000</v>
      </c>
      <c r="AK28" s="3361"/>
      <c r="AL28" s="3361"/>
      <c r="AM28" s="3361"/>
      <c r="AN28" s="3361"/>
      <c r="AO28" s="3361"/>
      <c r="AP28" s="3361"/>
      <c r="AQ28" s="3361"/>
      <c r="AR28" s="3361"/>
      <c r="AS28" s="3361"/>
      <c r="AT28" s="3361"/>
      <c r="AU28" s="3361"/>
      <c r="AV28" s="3361"/>
      <c r="AW28" s="3361"/>
      <c r="AX28" s="3361"/>
      <c r="AY28" s="3361"/>
      <c r="AZ28" s="3361"/>
      <c r="BA28" s="3361"/>
      <c r="BB28" s="3361"/>
      <c r="BC28" s="3361"/>
      <c r="BD28" s="3361">
        <v>50000</v>
      </c>
      <c r="BE28" s="3361"/>
      <c r="BF28" s="3367"/>
      <c r="BG28" s="3371">
        <v>0</v>
      </c>
      <c r="BH28" s="3371">
        <v>0</v>
      </c>
      <c r="BI28" s="3374"/>
      <c r="BJ28" s="2576" t="s">
        <v>4</v>
      </c>
      <c r="BK28" s="3367" t="s">
        <v>397</v>
      </c>
      <c r="BL28" s="3368">
        <v>44033</v>
      </c>
      <c r="BM28" s="3368">
        <v>44091</v>
      </c>
      <c r="BN28" s="3368">
        <v>44195</v>
      </c>
      <c r="BO28" s="3368">
        <v>44185</v>
      </c>
      <c r="BP28" s="2576" t="s">
        <v>355</v>
      </c>
    </row>
    <row r="29" spans="1:68" s="344" customFormat="1" ht="84" customHeight="1" x14ac:dyDescent="0.25">
      <c r="A29" s="356"/>
      <c r="B29" s="357"/>
      <c r="C29" s="357"/>
      <c r="D29" s="356"/>
      <c r="E29" s="357"/>
      <c r="F29" s="367"/>
      <c r="G29" s="379">
        <v>1702017</v>
      </c>
      <c r="H29" s="381" t="s">
        <v>362</v>
      </c>
      <c r="I29" s="373" t="s">
        <v>363</v>
      </c>
      <c r="J29" s="373" t="s">
        <v>364</v>
      </c>
      <c r="K29" s="374">
        <v>250</v>
      </c>
      <c r="L29" s="374">
        <v>0</v>
      </c>
      <c r="M29" s="2464"/>
      <c r="N29" s="2315"/>
      <c r="O29" s="2464"/>
      <c r="P29" s="375">
        <f>+U29/79000000</f>
        <v>0.24050632911392406</v>
      </c>
      <c r="Q29" s="3357"/>
      <c r="R29" s="3353"/>
      <c r="S29" s="2440"/>
      <c r="T29" s="373" t="s">
        <v>370</v>
      </c>
      <c r="U29" s="919">
        <v>19000000</v>
      </c>
      <c r="V29" s="913">
        <v>0</v>
      </c>
      <c r="W29" s="913">
        <v>0</v>
      </c>
      <c r="X29" s="370">
        <v>88</v>
      </c>
      <c r="Y29" s="368" t="s">
        <v>382</v>
      </c>
      <c r="Z29" s="3362"/>
      <c r="AA29" s="3362"/>
      <c r="AB29" s="3362"/>
      <c r="AC29" s="3362"/>
      <c r="AD29" s="3362"/>
      <c r="AE29" s="3362"/>
      <c r="AF29" s="3362"/>
      <c r="AG29" s="3362"/>
      <c r="AH29" s="3362"/>
      <c r="AI29" s="3362"/>
      <c r="AJ29" s="3362"/>
      <c r="AK29" s="3362"/>
      <c r="AL29" s="3362"/>
      <c r="AM29" s="3362"/>
      <c r="AN29" s="3362"/>
      <c r="AO29" s="3362"/>
      <c r="AP29" s="3362"/>
      <c r="AQ29" s="3362"/>
      <c r="AR29" s="3362"/>
      <c r="AS29" s="3362"/>
      <c r="AT29" s="3362"/>
      <c r="AU29" s="3362"/>
      <c r="AV29" s="3362"/>
      <c r="AW29" s="3362"/>
      <c r="AX29" s="3362"/>
      <c r="AY29" s="3362"/>
      <c r="AZ29" s="3362"/>
      <c r="BA29" s="3362"/>
      <c r="BB29" s="3362"/>
      <c r="BC29" s="3362"/>
      <c r="BD29" s="3362"/>
      <c r="BE29" s="3362"/>
      <c r="BF29" s="2323"/>
      <c r="BG29" s="3372"/>
      <c r="BH29" s="3372"/>
      <c r="BI29" s="3375"/>
      <c r="BJ29" s="2323"/>
      <c r="BK29" s="2323"/>
      <c r="BL29" s="3369"/>
      <c r="BM29" s="3369"/>
      <c r="BN29" s="3369"/>
      <c r="BO29" s="3369"/>
      <c r="BP29" s="2516"/>
    </row>
    <row r="30" spans="1:68" s="344" customFormat="1" ht="84" customHeight="1" x14ac:dyDescent="0.25">
      <c r="A30" s="356"/>
      <c r="B30" s="357"/>
      <c r="C30" s="357"/>
      <c r="D30" s="356"/>
      <c r="E30" s="357"/>
      <c r="F30" s="367"/>
      <c r="G30" s="379">
        <v>1702021</v>
      </c>
      <c r="H30" s="381" t="s">
        <v>411</v>
      </c>
      <c r="I30" s="373" t="s">
        <v>412</v>
      </c>
      <c r="J30" s="9" t="s">
        <v>413</v>
      </c>
      <c r="K30" s="374">
        <v>50</v>
      </c>
      <c r="L30" s="374">
        <v>0</v>
      </c>
      <c r="M30" s="2464"/>
      <c r="N30" s="2315"/>
      <c r="O30" s="2464"/>
      <c r="P30" s="375">
        <f>+U30/79000000</f>
        <v>0.12658227848101267</v>
      </c>
      <c r="Q30" s="3357"/>
      <c r="R30" s="3354"/>
      <c r="S30" s="2441"/>
      <c r="T30" s="373" t="s">
        <v>414</v>
      </c>
      <c r="U30" s="919">
        <v>10000000</v>
      </c>
      <c r="V30" s="913">
        <v>0</v>
      </c>
      <c r="W30" s="913">
        <v>0</v>
      </c>
      <c r="X30" s="370">
        <v>88</v>
      </c>
      <c r="Y30" s="368" t="s">
        <v>382</v>
      </c>
      <c r="Z30" s="3363"/>
      <c r="AA30" s="3363"/>
      <c r="AB30" s="3363"/>
      <c r="AC30" s="3363"/>
      <c r="AD30" s="3363"/>
      <c r="AE30" s="3363"/>
      <c r="AF30" s="3363"/>
      <c r="AG30" s="3363"/>
      <c r="AH30" s="3363"/>
      <c r="AI30" s="3363"/>
      <c r="AJ30" s="3363"/>
      <c r="AK30" s="3363"/>
      <c r="AL30" s="3363"/>
      <c r="AM30" s="3363"/>
      <c r="AN30" s="3363"/>
      <c r="AO30" s="3363"/>
      <c r="AP30" s="3363"/>
      <c r="AQ30" s="3363"/>
      <c r="AR30" s="3363"/>
      <c r="AS30" s="3363"/>
      <c r="AT30" s="3363"/>
      <c r="AU30" s="3363"/>
      <c r="AV30" s="3363"/>
      <c r="AW30" s="3363"/>
      <c r="AX30" s="3363"/>
      <c r="AY30" s="3363"/>
      <c r="AZ30" s="3363"/>
      <c r="BA30" s="3363"/>
      <c r="BB30" s="3363"/>
      <c r="BC30" s="3363"/>
      <c r="BD30" s="3363"/>
      <c r="BE30" s="3363"/>
      <c r="BF30" s="3366"/>
      <c r="BG30" s="3373"/>
      <c r="BH30" s="3373"/>
      <c r="BI30" s="3376"/>
      <c r="BJ30" s="3366"/>
      <c r="BK30" s="3366"/>
      <c r="BL30" s="3370"/>
      <c r="BM30" s="3370"/>
      <c r="BN30" s="3370"/>
      <c r="BO30" s="3370"/>
      <c r="BP30" s="3086"/>
    </row>
    <row r="31" spans="1:68" s="344" customFormat="1" ht="38.25" customHeight="1" x14ac:dyDescent="0.25">
      <c r="A31" s="356"/>
      <c r="B31" s="357"/>
      <c r="C31" s="357"/>
      <c r="D31" s="356"/>
      <c r="E31" s="357"/>
      <c r="F31" s="367"/>
      <c r="G31" s="3364">
        <v>1702025</v>
      </c>
      <c r="H31" s="2891" t="s">
        <v>415</v>
      </c>
      <c r="I31" s="2894" t="s">
        <v>416</v>
      </c>
      <c r="J31" s="2422" t="s">
        <v>417</v>
      </c>
      <c r="K31" s="2324">
        <v>25</v>
      </c>
      <c r="L31" s="2324">
        <v>0</v>
      </c>
      <c r="M31" s="2439" t="s">
        <v>418</v>
      </c>
      <c r="N31" s="2306" t="s">
        <v>419</v>
      </c>
      <c r="O31" s="2439" t="s">
        <v>420</v>
      </c>
      <c r="P31" s="2718">
        <f>+(U31+U32)/105000000</f>
        <v>0.2857142857142857</v>
      </c>
      <c r="Q31" s="3280">
        <v>30000000</v>
      </c>
      <c r="R31" s="3358" t="s">
        <v>421</v>
      </c>
      <c r="S31" s="2439" t="s">
        <v>422</v>
      </c>
      <c r="T31" s="2894" t="s">
        <v>423</v>
      </c>
      <c r="U31" s="920">
        <v>15000000</v>
      </c>
      <c r="V31" s="921">
        <v>9541665</v>
      </c>
      <c r="W31" s="922">
        <v>0</v>
      </c>
      <c r="X31" s="258">
        <v>20</v>
      </c>
      <c r="Y31" s="72" t="s">
        <v>384</v>
      </c>
      <c r="Z31" s="3377">
        <v>600</v>
      </c>
      <c r="AA31" s="3377"/>
      <c r="AB31" s="3377">
        <v>600</v>
      </c>
      <c r="AC31" s="3377"/>
      <c r="AD31" s="3377">
        <v>125</v>
      </c>
      <c r="AE31" s="3377"/>
      <c r="AF31" s="3377">
        <v>75</v>
      </c>
      <c r="AG31" s="3377"/>
      <c r="AH31" s="3377">
        <v>300</v>
      </c>
      <c r="AI31" s="3377"/>
      <c r="AJ31" s="3377">
        <v>700</v>
      </c>
      <c r="AK31" s="3377"/>
      <c r="AL31" s="3377"/>
      <c r="AM31" s="3377"/>
      <c r="AN31" s="3377"/>
      <c r="AO31" s="3377"/>
      <c r="AP31" s="3377"/>
      <c r="AQ31" s="3377"/>
      <c r="AR31" s="3377"/>
      <c r="AS31" s="3377"/>
      <c r="AT31" s="3377"/>
      <c r="AU31" s="3377"/>
      <c r="AV31" s="3377"/>
      <c r="AW31" s="3377"/>
      <c r="AX31" s="3377"/>
      <c r="AY31" s="3377"/>
      <c r="AZ31" s="3377"/>
      <c r="BA31" s="3377"/>
      <c r="BB31" s="3377"/>
      <c r="BC31" s="3377"/>
      <c r="BD31" s="3377">
        <v>1200</v>
      </c>
      <c r="BE31" s="3377"/>
      <c r="BF31" s="3384">
        <v>3</v>
      </c>
      <c r="BG31" s="3390">
        <v>24541665</v>
      </c>
      <c r="BH31" s="3390">
        <v>0</v>
      </c>
      <c r="BI31" s="3392">
        <f>+BH31/BG31</f>
        <v>0</v>
      </c>
      <c r="BJ31" s="3388" t="s">
        <v>353</v>
      </c>
      <c r="BK31" s="3384" t="s">
        <v>397</v>
      </c>
      <c r="BL31" s="3386">
        <v>44033</v>
      </c>
      <c r="BM31" s="3386">
        <v>44091</v>
      </c>
      <c r="BN31" s="3386">
        <v>44195</v>
      </c>
      <c r="BO31" s="3386">
        <v>44185</v>
      </c>
      <c r="BP31" s="3388" t="s">
        <v>355</v>
      </c>
    </row>
    <row r="32" spans="1:68" s="344" customFormat="1" ht="117.75" customHeight="1" x14ac:dyDescent="0.25">
      <c r="A32" s="356"/>
      <c r="B32" s="357"/>
      <c r="C32" s="357"/>
      <c r="D32" s="383"/>
      <c r="E32" s="384"/>
      <c r="F32" s="385"/>
      <c r="G32" s="3365"/>
      <c r="H32" s="2893"/>
      <c r="I32" s="2895"/>
      <c r="J32" s="2424"/>
      <c r="K32" s="2736"/>
      <c r="L32" s="2736"/>
      <c r="M32" s="2441"/>
      <c r="N32" s="2467"/>
      <c r="O32" s="2441"/>
      <c r="P32" s="2720"/>
      <c r="Q32" s="3281"/>
      <c r="R32" s="3353"/>
      <c r="S32" s="2441"/>
      <c r="T32" s="2895"/>
      <c r="U32" s="920">
        <v>15000000</v>
      </c>
      <c r="V32" s="921">
        <v>15000000</v>
      </c>
      <c r="W32" s="913">
        <v>0</v>
      </c>
      <c r="X32" s="370">
        <v>88</v>
      </c>
      <c r="Y32" s="368" t="s">
        <v>382</v>
      </c>
      <c r="Z32" s="3378"/>
      <c r="AA32" s="3378"/>
      <c r="AB32" s="3378"/>
      <c r="AC32" s="3378"/>
      <c r="AD32" s="3378"/>
      <c r="AE32" s="3378"/>
      <c r="AF32" s="3378"/>
      <c r="AG32" s="3378"/>
      <c r="AH32" s="3378"/>
      <c r="AI32" s="3378"/>
      <c r="AJ32" s="3378"/>
      <c r="AK32" s="3378"/>
      <c r="AL32" s="3378"/>
      <c r="AM32" s="3378"/>
      <c r="AN32" s="3378"/>
      <c r="AO32" s="3378"/>
      <c r="AP32" s="3378"/>
      <c r="AQ32" s="3378"/>
      <c r="AR32" s="3378"/>
      <c r="AS32" s="3378"/>
      <c r="AT32" s="3378"/>
      <c r="AU32" s="3378"/>
      <c r="AV32" s="3378"/>
      <c r="AW32" s="3378"/>
      <c r="AX32" s="3378"/>
      <c r="AY32" s="3378"/>
      <c r="AZ32" s="3378"/>
      <c r="BA32" s="3378"/>
      <c r="BB32" s="3378"/>
      <c r="BC32" s="3378"/>
      <c r="BD32" s="3378"/>
      <c r="BE32" s="3378"/>
      <c r="BF32" s="3385"/>
      <c r="BG32" s="3391"/>
      <c r="BH32" s="3391"/>
      <c r="BI32" s="3393"/>
      <c r="BJ32" s="3385"/>
      <c r="BK32" s="3385"/>
      <c r="BL32" s="3387"/>
      <c r="BM32" s="3387"/>
      <c r="BN32" s="3387"/>
      <c r="BO32" s="3387"/>
      <c r="BP32" s="3389"/>
    </row>
    <row r="33" spans="1:68" s="344" customFormat="1" ht="15.75" x14ac:dyDescent="0.25">
      <c r="A33" s="3379"/>
      <c r="B33" s="3380"/>
      <c r="C33" s="3381"/>
      <c r="D33" s="386">
        <v>5</v>
      </c>
      <c r="E33" s="387" t="s">
        <v>424</v>
      </c>
      <c r="F33" s="388"/>
      <c r="G33" s="389"/>
      <c r="H33" s="389"/>
      <c r="I33" s="390"/>
      <c r="J33" s="390"/>
      <c r="K33" s="389"/>
      <c r="L33" s="389"/>
      <c r="M33" s="390"/>
      <c r="N33" s="389"/>
      <c r="O33" s="390"/>
      <c r="P33" s="391"/>
      <c r="Q33" s="905"/>
      <c r="R33" s="390"/>
      <c r="S33" s="390"/>
      <c r="T33" s="390"/>
      <c r="U33" s="923"/>
      <c r="V33" s="923"/>
      <c r="W33" s="923"/>
      <c r="X33" s="392"/>
      <c r="Y33" s="390"/>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2"/>
      <c r="AY33" s="392"/>
      <c r="AZ33" s="392"/>
      <c r="BA33" s="392"/>
      <c r="BB33" s="392"/>
      <c r="BC33" s="392"/>
      <c r="BD33" s="392"/>
      <c r="BE33" s="392"/>
      <c r="BF33" s="392"/>
      <c r="BG33" s="392"/>
      <c r="BH33" s="392"/>
      <c r="BI33" s="392"/>
      <c r="BJ33" s="392"/>
      <c r="BK33" s="392"/>
      <c r="BL33" s="392"/>
      <c r="BM33" s="392"/>
      <c r="BN33" s="392"/>
      <c r="BO33" s="392"/>
      <c r="BP33" s="392"/>
    </row>
    <row r="34" spans="1:68" s="344" customFormat="1" ht="255" customHeight="1" x14ac:dyDescent="0.25">
      <c r="A34" s="393"/>
      <c r="B34" s="394"/>
      <c r="C34" s="395"/>
      <c r="D34" s="396"/>
      <c r="E34" s="396"/>
      <c r="F34" s="397"/>
      <c r="G34" s="398">
        <v>1703013</v>
      </c>
      <c r="H34" s="398" t="s">
        <v>425</v>
      </c>
      <c r="I34" s="9" t="s">
        <v>426</v>
      </c>
      <c r="J34" s="9" t="s">
        <v>427</v>
      </c>
      <c r="K34" s="6">
        <v>75</v>
      </c>
      <c r="L34" s="6">
        <v>0</v>
      </c>
      <c r="M34" s="68" t="s">
        <v>405</v>
      </c>
      <c r="N34" s="5" t="s">
        <v>406</v>
      </c>
      <c r="O34" s="68" t="s">
        <v>428</v>
      </c>
      <c r="P34" s="375">
        <f>+U34/79000000</f>
        <v>0.50632911392405067</v>
      </c>
      <c r="Q34" s="906">
        <v>40000000</v>
      </c>
      <c r="R34" s="399" t="s">
        <v>429</v>
      </c>
      <c r="S34" s="399" t="s">
        <v>409</v>
      </c>
      <c r="T34" s="9" t="s">
        <v>430</v>
      </c>
      <c r="U34" s="924">
        <v>40000000</v>
      </c>
      <c r="V34" s="924">
        <v>15424999</v>
      </c>
      <c r="W34" s="924">
        <v>0</v>
      </c>
      <c r="X34" s="401">
        <v>0</v>
      </c>
      <c r="Y34" s="80" t="s">
        <v>382</v>
      </c>
      <c r="Z34" s="402">
        <v>25000</v>
      </c>
      <c r="AA34" s="402"/>
      <c r="AB34" s="402">
        <v>25000</v>
      </c>
      <c r="AC34" s="402"/>
      <c r="AD34" s="402">
        <v>10000</v>
      </c>
      <c r="AE34" s="402"/>
      <c r="AF34" s="402">
        <v>10000</v>
      </c>
      <c r="AG34" s="402"/>
      <c r="AH34" s="402">
        <v>20000</v>
      </c>
      <c r="AI34" s="402"/>
      <c r="AJ34" s="402">
        <v>10000</v>
      </c>
      <c r="AK34" s="402"/>
      <c r="AL34" s="402"/>
      <c r="AM34" s="402"/>
      <c r="AN34" s="402"/>
      <c r="AO34" s="402"/>
      <c r="AP34" s="402"/>
      <c r="AQ34" s="402"/>
      <c r="AR34" s="402"/>
      <c r="AS34" s="402"/>
      <c r="AT34" s="402"/>
      <c r="AU34" s="402"/>
      <c r="AV34" s="402"/>
      <c r="AW34" s="402"/>
      <c r="AX34" s="402"/>
      <c r="AY34" s="402"/>
      <c r="AZ34" s="402"/>
      <c r="BA34" s="402"/>
      <c r="BB34" s="402"/>
      <c r="BC34" s="402"/>
      <c r="BD34" s="402">
        <v>50000</v>
      </c>
      <c r="BE34" s="402"/>
      <c r="BF34" s="374">
        <v>2</v>
      </c>
      <c r="BG34" s="382">
        <v>15424999</v>
      </c>
      <c r="BH34" s="382">
        <v>0</v>
      </c>
      <c r="BI34" s="375">
        <v>0</v>
      </c>
      <c r="BJ34" s="403" t="s">
        <v>4</v>
      </c>
      <c r="BK34" s="374" t="s">
        <v>397</v>
      </c>
      <c r="BL34" s="404">
        <v>44033</v>
      </c>
      <c r="BM34" s="404">
        <v>44084</v>
      </c>
      <c r="BN34" s="404">
        <v>44195</v>
      </c>
      <c r="BO34" s="404">
        <v>44185</v>
      </c>
      <c r="BP34" s="403" t="s">
        <v>355</v>
      </c>
    </row>
    <row r="35" spans="1:68" s="344" customFormat="1" ht="15.75" x14ac:dyDescent="0.25">
      <c r="A35" s="3379"/>
      <c r="B35" s="3380"/>
      <c r="C35" s="3381"/>
      <c r="D35" s="386">
        <v>6</v>
      </c>
      <c r="E35" s="3382" t="s">
        <v>431</v>
      </c>
      <c r="F35" s="3382"/>
      <c r="G35" s="2573"/>
      <c r="H35" s="2573"/>
      <c r="I35" s="2573"/>
      <c r="J35" s="2573"/>
      <c r="K35" s="2573"/>
      <c r="L35" s="2573"/>
      <c r="M35" s="2573"/>
      <c r="N35" s="2573"/>
      <c r="O35" s="2573"/>
      <c r="P35" s="391"/>
      <c r="Q35" s="905"/>
      <c r="R35" s="390"/>
      <c r="S35" s="390"/>
      <c r="T35" s="390"/>
      <c r="U35" s="923"/>
      <c r="V35" s="925"/>
      <c r="W35" s="925"/>
      <c r="X35" s="405"/>
      <c r="Y35" s="406"/>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2"/>
      <c r="AY35" s="392"/>
      <c r="AZ35" s="392"/>
      <c r="BA35" s="392"/>
      <c r="BB35" s="392"/>
      <c r="BC35" s="392"/>
      <c r="BD35" s="392"/>
      <c r="BE35" s="392"/>
      <c r="BF35" s="392"/>
      <c r="BG35" s="392"/>
      <c r="BH35" s="392"/>
      <c r="BI35" s="392"/>
      <c r="BJ35" s="392"/>
      <c r="BK35" s="392"/>
      <c r="BL35" s="392"/>
      <c r="BM35" s="392"/>
      <c r="BN35" s="392"/>
      <c r="BO35" s="392"/>
      <c r="BP35" s="392"/>
    </row>
    <row r="36" spans="1:68" s="344" customFormat="1" ht="60" x14ac:dyDescent="0.25">
      <c r="A36" s="356"/>
      <c r="B36" s="357"/>
      <c r="C36" s="367"/>
      <c r="D36" s="407"/>
      <c r="E36" s="407"/>
      <c r="F36" s="408"/>
      <c r="G36" s="379">
        <v>1704002</v>
      </c>
      <c r="H36" s="398" t="s">
        <v>432</v>
      </c>
      <c r="I36" s="373" t="s">
        <v>433</v>
      </c>
      <c r="J36" s="9" t="s">
        <v>434</v>
      </c>
      <c r="K36" s="374">
        <v>1</v>
      </c>
      <c r="L36" s="374">
        <v>0</v>
      </c>
      <c r="M36" s="2439" t="s">
        <v>435</v>
      </c>
      <c r="N36" s="3383" t="s">
        <v>436</v>
      </c>
      <c r="O36" s="2919" t="s">
        <v>437</v>
      </c>
      <c r="P36" s="375">
        <f>+U36/Q36</f>
        <v>0.24087877499999999</v>
      </c>
      <c r="Q36" s="3394">
        <v>40000000</v>
      </c>
      <c r="R36" s="2439" t="s">
        <v>438</v>
      </c>
      <c r="S36" s="2439" t="s">
        <v>439</v>
      </c>
      <c r="T36" s="373" t="s">
        <v>440</v>
      </c>
      <c r="U36" s="919">
        <v>9635151</v>
      </c>
      <c r="V36" s="913">
        <v>9333333</v>
      </c>
      <c r="W36" s="922">
        <v>0</v>
      </c>
      <c r="X36" s="409">
        <v>88</v>
      </c>
      <c r="Y36" s="221" t="s">
        <v>357</v>
      </c>
      <c r="Z36" s="3361">
        <v>285580</v>
      </c>
      <c r="AA36" s="3361"/>
      <c r="AB36" s="3361">
        <v>285580</v>
      </c>
      <c r="AC36" s="3361"/>
      <c r="AD36" s="3361">
        <v>135545</v>
      </c>
      <c r="AE36" s="3361"/>
      <c r="AF36" s="3361">
        <v>44254</v>
      </c>
      <c r="AG36" s="3361"/>
      <c r="AH36" s="3361">
        <v>309146</v>
      </c>
      <c r="AI36" s="3361"/>
      <c r="AJ36" s="3361">
        <v>92607</v>
      </c>
      <c r="AK36" s="3361"/>
      <c r="AL36" s="3361"/>
      <c r="AM36" s="3361"/>
      <c r="AN36" s="3361"/>
      <c r="AO36" s="3361"/>
      <c r="AP36" s="3361"/>
      <c r="AQ36" s="3361"/>
      <c r="AR36" s="3361"/>
      <c r="AS36" s="3361"/>
      <c r="AT36" s="3361"/>
      <c r="AU36" s="3361"/>
      <c r="AV36" s="3361"/>
      <c r="AW36" s="3361"/>
      <c r="AX36" s="3361"/>
      <c r="AY36" s="3361"/>
      <c r="AZ36" s="3361"/>
      <c r="BA36" s="3361"/>
      <c r="BB36" s="3361"/>
      <c r="BC36" s="3361"/>
      <c r="BD36" s="3361">
        <v>581552</v>
      </c>
      <c r="BE36" s="3361"/>
      <c r="BF36" s="3367">
        <v>3</v>
      </c>
      <c r="BG36" s="3371">
        <v>24666666</v>
      </c>
      <c r="BH36" s="3371">
        <v>0</v>
      </c>
      <c r="BI36" s="3374">
        <v>0</v>
      </c>
      <c r="BJ36" s="2576" t="s">
        <v>4</v>
      </c>
      <c r="BK36" s="3367" t="s">
        <v>397</v>
      </c>
      <c r="BL36" s="3368">
        <v>44033</v>
      </c>
      <c r="BM36" s="3368">
        <v>44084</v>
      </c>
      <c r="BN36" s="3368">
        <v>44195</v>
      </c>
      <c r="BO36" s="3368">
        <v>44188</v>
      </c>
      <c r="BP36" s="2576" t="s">
        <v>355</v>
      </c>
    </row>
    <row r="37" spans="1:68" s="344" customFormat="1" ht="60" x14ac:dyDescent="0.25">
      <c r="A37" s="356"/>
      <c r="B37" s="357"/>
      <c r="C37" s="367"/>
      <c r="D37" s="384"/>
      <c r="E37" s="384"/>
      <c r="F37" s="385"/>
      <c r="G37" s="379">
        <v>1704017</v>
      </c>
      <c r="H37" s="398" t="s">
        <v>441</v>
      </c>
      <c r="I37" s="373" t="s">
        <v>442</v>
      </c>
      <c r="J37" s="9" t="s">
        <v>443</v>
      </c>
      <c r="K37" s="374">
        <v>50</v>
      </c>
      <c r="L37" s="374">
        <v>0</v>
      </c>
      <c r="M37" s="2441"/>
      <c r="N37" s="3383"/>
      <c r="O37" s="2919"/>
      <c r="P37" s="375">
        <f>+U37/Q36</f>
        <v>0.75912122500000001</v>
      </c>
      <c r="Q37" s="3394"/>
      <c r="R37" s="2441"/>
      <c r="S37" s="2441"/>
      <c r="T37" s="373" t="s">
        <v>444</v>
      </c>
      <c r="U37" s="919">
        <v>30364849</v>
      </c>
      <c r="V37" s="913">
        <v>15333333</v>
      </c>
      <c r="W37" s="922">
        <v>0</v>
      </c>
      <c r="X37" s="409">
        <v>88</v>
      </c>
      <c r="Y37" s="221" t="s">
        <v>357</v>
      </c>
      <c r="Z37" s="3363"/>
      <c r="AA37" s="3363"/>
      <c r="AB37" s="3363"/>
      <c r="AC37" s="3363"/>
      <c r="AD37" s="3363"/>
      <c r="AE37" s="3363"/>
      <c r="AF37" s="3363"/>
      <c r="AG37" s="3363"/>
      <c r="AH37" s="3363"/>
      <c r="AI37" s="3363"/>
      <c r="AJ37" s="3363"/>
      <c r="AK37" s="3363"/>
      <c r="AL37" s="3363"/>
      <c r="AM37" s="3363"/>
      <c r="AN37" s="3363"/>
      <c r="AO37" s="3363"/>
      <c r="AP37" s="3363"/>
      <c r="AQ37" s="3363"/>
      <c r="AR37" s="3363"/>
      <c r="AS37" s="3363"/>
      <c r="AT37" s="3363"/>
      <c r="AU37" s="3363"/>
      <c r="AV37" s="3363"/>
      <c r="AW37" s="3363"/>
      <c r="AX37" s="3363"/>
      <c r="AY37" s="3363"/>
      <c r="AZ37" s="3363"/>
      <c r="BA37" s="3363"/>
      <c r="BB37" s="3363"/>
      <c r="BC37" s="3363"/>
      <c r="BD37" s="3363"/>
      <c r="BE37" s="3363"/>
      <c r="BF37" s="3366"/>
      <c r="BG37" s="3373"/>
      <c r="BH37" s="3373"/>
      <c r="BI37" s="3376"/>
      <c r="BJ37" s="3086"/>
      <c r="BK37" s="3366"/>
      <c r="BL37" s="3370"/>
      <c r="BM37" s="3370"/>
      <c r="BN37" s="3370"/>
      <c r="BO37" s="3370"/>
      <c r="BP37" s="3086"/>
    </row>
    <row r="38" spans="1:68" s="344" customFormat="1" ht="15.75" x14ac:dyDescent="0.25">
      <c r="A38" s="3379"/>
      <c r="B38" s="3380"/>
      <c r="C38" s="3381"/>
      <c r="D38" s="386">
        <v>7</v>
      </c>
      <c r="E38" s="387" t="s">
        <v>445</v>
      </c>
      <c r="F38" s="388"/>
      <c r="G38" s="389"/>
      <c r="H38" s="389"/>
      <c r="I38" s="390"/>
      <c r="J38" s="390"/>
      <c r="K38" s="389"/>
      <c r="L38" s="389"/>
      <c r="M38" s="390"/>
      <c r="N38" s="389"/>
      <c r="O38" s="390"/>
      <c r="P38" s="391"/>
      <c r="Q38" s="905"/>
      <c r="R38" s="390"/>
      <c r="S38" s="390"/>
      <c r="T38" s="390"/>
      <c r="U38" s="923"/>
      <c r="V38" s="926"/>
      <c r="W38" s="926"/>
      <c r="X38" s="410"/>
      <c r="Y38" s="249"/>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row>
    <row r="39" spans="1:68" s="344" customFormat="1" ht="42.75" customHeight="1" x14ac:dyDescent="0.25">
      <c r="A39" s="411"/>
      <c r="B39" s="412"/>
      <c r="C39" s="413"/>
      <c r="D39" s="3395"/>
      <c r="E39" s="3395"/>
      <c r="F39" s="3396"/>
      <c r="G39" s="3397">
        <v>1706004</v>
      </c>
      <c r="H39" s="3397" t="s">
        <v>446</v>
      </c>
      <c r="I39" s="2894" t="s">
        <v>447</v>
      </c>
      <c r="J39" s="2422" t="s">
        <v>448</v>
      </c>
      <c r="K39" s="2325">
        <v>10</v>
      </c>
      <c r="L39" s="2325">
        <v>0</v>
      </c>
      <c r="M39" s="2439" t="s">
        <v>376</v>
      </c>
      <c r="N39" s="2306" t="s">
        <v>377</v>
      </c>
      <c r="O39" s="2894" t="s">
        <v>378</v>
      </c>
      <c r="P39" s="2718">
        <f>+(U39+U40+U41)/(114200000)</f>
        <v>0.11208406304728546</v>
      </c>
      <c r="Q39" s="2643">
        <v>12800000</v>
      </c>
      <c r="R39" s="2439" t="s">
        <v>379</v>
      </c>
      <c r="S39" s="2439" t="s">
        <v>380</v>
      </c>
      <c r="T39" s="221" t="s">
        <v>383</v>
      </c>
      <c r="U39" s="920">
        <v>5000000</v>
      </c>
      <c r="V39" s="920">
        <v>5000000</v>
      </c>
      <c r="W39" s="920">
        <v>5000000</v>
      </c>
      <c r="X39" s="414">
        <v>20</v>
      </c>
      <c r="Y39" s="399" t="s">
        <v>7</v>
      </c>
      <c r="Z39" s="2325">
        <v>100</v>
      </c>
      <c r="AA39" s="2325">
        <v>20</v>
      </c>
      <c r="AB39" s="2325">
        <v>60</v>
      </c>
      <c r="AC39" s="2325">
        <v>15</v>
      </c>
      <c r="AD39" s="2325">
        <v>0</v>
      </c>
      <c r="AE39" s="2325"/>
      <c r="AF39" s="2325">
        <v>0</v>
      </c>
      <c r="AG39" s="2325"/>
      <c r="AH39" s="2325">
        <v>110</v>
      </c>
      <c r="AI39" s="2325"/>
      <c r="AJ39" s="2325">
        <v>50</v>
      </c>
      <c r="AK39" s="2325"/>
      <c r="AL39" s="2325">
        <v>0</v>
      </c>
      <c r="AM39" s="2325"/>
      <c r="AN39" s="2325">
        <v>0</v>
      </c>
      <c r="AO39" s="2325"/>
      <c r="AP39" s="2325">
        <v>0</v>
      </c>
      <c r="AQ39" s="2325"/>
      <c r="AR39" s="2325">
        <v>0</v>
      </c>
      <c r="AS39" s="2325"/>
      <c r="AT39" s="2325">
        <v>0</v>
      </c>
      <c r="AU39" s="2325"/>
      <c r="AV39" s="2325">
        <v>0</v>
      </c>
      <c r="AW39" s="2325"/>
      <c r="AX39" s="2325">
        <v>0</v>
      </c>
      <c r="AY39" s="2325"/>
      <c r="AZ39" s="2325">
        <v>0</v>
      </c>
      <c r="BA39" s="2325"/>
      <c r="BB39" s="2325">
        <v>0</v>
      </c>
      <c r="BC39" s="2325"/>
      <c r="BD39" s="2325">
        <v>160</v>
      </c>
      <c r="BE39" s="2325">
        <v>35</v>
      </c>
      <c r="BF39" s="2324">
        <v>1</v>
      </c>
      <c r="BG39" s="3400">
        <v>5000000</v>
      </c>
      <c r="BH39" s="3400">
        <v>5000000</v>
      </c>
      <c r="BI39" s="2718">
        <f>+BH39/BG39</f>
        <v>1</v>
      </c>
      <c r="BJ39" s="2318" t="s">
        <v>353</v>
      </c>
      <c r="BK39" s="2324" t="s">
        <v>354</v>
      </c>
      <c r="BL39" s="3401">
        <v>43832</v>
      </c>
      <c r="BM39" s="3401">
        <v>43874</v>
      </c>
      <c r="BN39" s="3401">
        <v>44195</v>
      </c>
      <c r="BO39" s="3401">
        <v>44001</v>
      </c>
      <c r="BP39" s="2318" t="s">
        <v>355</v>
      </c>
    </row>
    <row r="40" spans="1:68" s="344" customFormat="1" ht="32.25" customHeight="1" x14ac:dyDescent="0.25">
      <c r="A40" s="411"/>
      <c r="B40" s="412"/>
      <c r="C40" s="413"/>
      <c r="D40" s="3395"/>
      <c r="E40" s="3395"/>
      <c r="F40" s="3396"/>
      <c r="G40" s="3398"/>
      <c r="H40" s="3398"/>
      <c r="I40" s="2884"/>
      <c r="J40" s="2423"/>
      <c r="K40" s="2326"/>
      <c r="L40" s="2326"/>
      <c r="M40" s="2440"/>
      <c r="N40" s="2307"/>
      <c r="O40" s="2884"/>
      <c r="P40" s="2719"/>
      <c r="Q40" s="2644"/>
      <c r="R40" s="2440"/>
      <c r="S40" s="2440"/>
      <c r="T40" s="2894" t="s">
        <v>385</v>
      </c>
      <c r="U40" s="924">
        <v>2800000</v>
      </c>
      <c r="V40" s="924">
        <v>0</v>
      </c>
      <c r="W40" s="924">
        <v>0</v>
      </c>
      <c r="X40" s="402">
        <v>20</v>
      </c>
      <c r="Y40" s="68" t="s">
        <v>7</v>
      </c>
      <c r="Z40" s="2326"/>
      <c r="AA40" s="2326"/>
      <c r="AB40" s="2326"/>
      <c r="AC40" s="2326"/>
      <c r="AD40" s="2326"/>
      <c r="AE40" s="2326"/>
      <c r="AF40" s="2326"/>
      <c r="AG40" s="2326"/>
      <c r="AH40" s="2326"/>
      <c r="AI40" s="2326"/>
      <c r="AJ40" s="2326"/>
      <c r="AK40" s="2326"/>
      <c r="AL40" s="2326"/>
      <c r="AM40" s="2326"/>
      <c r="AN40" s="2326"/>
      <c r="AO40" s="2326"/>
      <c r="AP40" s="2326"/>
      <c r="AQ40" s="2326"/>
      <c r="AR40" s="2326"/>
      <c r="AS40" s="2326"/>
      <c r="AT40" s="2326"/>
      <c r="AU40" s="2326"/>
      <c r="AV40" s="2326"/>
      <c r="AW40" s="2326"/>
      <c r="AX40" s="2326"/>
      <c r="AY40" s="2326"/>
      <c r="AZ40" s="2326"/>
      <c r="BA40" s="2326"/>
      <c r="BB40" s="2326"/>
      <c r="BC40" s="2326"/>
      <c r="BD40" s="2326"/>
      <c r="BE40" s="2326"/>
      <c r="BF40" s="2321"/>
      <c r="BG40" s="3359"/>
      <c r="BH40" s="3359"/>
      <c r="BI40" s="2719"/>
      <c r="BJ40" s="2321"/>
      <c r="BK40" s="2321"/>
      <c r="BL40" s="3355"/>
      <c r="BM40" s="3355"/>
      <c r="BN40" s="3355"/>
      <c r="BO40" s="3355"/>
      <c r="BP40" s="2319"/>
    </row>
    <row r="41" spans="1:68" s="344" customFormat="1" ht="60" x14ac:dyDescent="0.25">
      <c r="A41" s="356"/>
      <c r="B41" s="357"/>
      <c r="C41" s="367"/>
      <c r="D41" s="2382"/>
      <c r="E41" s="2382"/>
      <c r="F41" s="2385"/>
      <c r="G41" s="3399"/>
      <c r="H41" s="3399"/>
      <c r="I41" s="2884"/>
      <c r="J41" s="2423"/>
      <c r="K41" s="2327"/>
      <c r="L41" s="2327"/>
      <c r="M41" s="2440"/>
      <c r="N41" s="2307"/>
      <c r="O41" s="2884"/>
      <c r="P41" s="2719"/>
      <c r="Q41" s="2644"/>
      <c r="R41" s="2481"/>
      <c r="S41" s="2481"/>
      <c r="T41" s="2884"/>
      <c r="U41" s="927">
        <v>5000000</v>
      </c>
      <c r="V41" s="927">
        <v>0</v>
      </c>
      <c r="W41" s="928">
        <v>0</v>
      </c>
      <c r="X41" s="409">
        <v>88</v>
      </c>
      <c r="Y41" s="221" t="s">
        <v>357</v>
      </c>
      <c r="Z41" s="2326"/>
      <c r="AA41" s="2326"/>
      <c r="AB41" s="2326"/>
      <c r="AC41" s="2326"/>
      <c r="AD41" s="2326"/>
      <c r="AE41" s="2326"/>
      <c r="AF41" s="2326"/>
      <c r="AG41" s="2326"/>
      <c r="AH41" s="2326"/>
      <c r="AI41" s="2326"/>
      <c r="AJ41" s="2326"/>
      <c r="AK41" s="2326"/>
      <c r="AL41" s="2326"/>
      <c r="AM41" s="2326"/>
      <c r="AN41" s="2326"/>
      <c r="AO41" s="2326"/>
      <c r="AP41" s="2326"/>
      <c r="AQ41" s="2326"/>
      <c r="AR41" s="2326"/>
      <c r="AS41" s="2326"/>
      <c r="AT41" s="2326"/>
      <c r="AU41" s="2326"/>
      <c r="AV41" s="2326"/>
      <c r="AW41" s="2326"/>
      <c r="AX41" s="2326"/>
      <c r="AY41" s="2326"/>
      <c r="AZ41" s="2326"/>
      <c r="BA41" s="2326"/>
      <c r="BB41" s="2326"/>
      <c r="BC41" s="2326"/>
      <c r="BD41" s="2326"/>
      <c r="BE41" s="2326"/>
      <c r="BF41" s="2321"/>
      <c r="BG41" s="3359"/>
      <c r="BH41" s="3359"/>
      <c r="BI41" s="2719"/>
      <c r="BJ41" s="2321"/>
      <c r="BK41" s="2321"/>
      <c r="BL41" s="3355"/>
      <c r="BM41" s="3355"/>
      <c r="BN41" s="3355"/>
      <c r="BO41" s="3355"/>
      <c r="BP41" s="2319"/>
    </row>
    <row r="42" spans="1:68" s="344" customFormat="1" ht="15.75" x14ac:dyDescent="0.25">
      <c r="A42" s="3379"/>
      <c r="B42" s="3380"/>
      <c r="C42" s="3381"/>
      <c r="D42" s="386">
        <v>8</v>
      </c>
      <c r="E42" s="387" t="s">
        <v>449</v>
      </c>
      <c r="F42" s="388"/>
      <c r="G42" s="389"/>
      <c r="H42" s="415"/>
      <c r="I42" s="416"/>
      <c r="J42" s="416"/>
      <c r="K42" s="417"/>
      <c r="L42" s="417"/>
      <c r="M42" s="416"/>
      <c r="N42" s="417"/>
      <c r="O42" s="416"/>
      <c r="P42" s="418"/>
      <c r="Q42" s="907"/>
      <c r="R42" s="419"/>
      <c r="S42" s="419"/>
      <c r="T42" s="416"/>
      <c r="U42" s="929"/>
      <c r="V42" s="929"/>
      <c r="W42" s="929"/>
      <c r="X42" s="420"/>
      <c r="Y42" s="416"/>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c r="BP42" s="417"/>
    </row>
    <row r="43" spans="1:68" s="344" customFormat="1" ht="60" x14ac:dyDescent="0.25">
      <c r="A43" s="356"/>
      <c r="B43" s="357"/>
      <c r="C43" s="367"/>
      <c r="D43" s="3402"/>
      <c r="E43" s="3402"/>
      <c r="F43" s="2476"/>
      <c r="G43" s="3397">
        <v>1707069</v>
      </c>
      <c r="H43" s="3044" t="s">
        <v>450</v>
      </c>
      <c r="I43" s="2453" t="s">
        <v>451</v>
      </c>
      <c r="J43" s="2413" t="s">
        <v>452</v>
      </c>
      <c r="K43" s="2519">
        <v>5</v>
      </c>
      <c r="L43" s="2519">
        <v>0</v>
      </c>
      <c r="M43" s="2416" t="s">
        <v>391</v>
      </c>
      <c r="N43" s="2343" t="s">
        <v>392</v>
      </c>
      <c r="O43" s="2331" t="s">
        <v>453</v>
      </c>
      <c r="P43" s="3331">
        <f>+(U43+U44+U45)/100000000</f>
        <v>0.5</v>
      </c>
      <c r="Q43" s="2415">
        <v>50000000</v>
      </c>
      <c r="R43" s="2584" t="s">
        <v>394</v>
      </c>
      <c r="S43" s="2584" t="s">
        <v>395</v>
      </c>
      <c r="T43" s="3149" t="s">
        <v>454</v>
      </c>
      <c r="U43" s="913">
        <v>25000000</v>
      </c>
      <c r="V43" s="913">
        <v>7933333</v>
      </c>
      <c r="W43" s="913">
        <v>0</v>
      </c>
      <c r="X43" s="355">
        <v>88</v>
      </c>
      <c r="Y43" s="221" t="s">
        <v>357</v>
      </c>
      <c r="Z43" s="3403">
        <v>65000</v>
      </c>
      <c r="AA43" s="3403"/>
      <c r="AB43" s="3403">
        <v>65000</v>
      </c>
      <c r="AC43" s="3403"/>
      <c r="AD43" s="3403">
        <v>22000</v>
      </c>
      <c r="AE43" s="3403"/>
      <c r="AF43" s="3403">
        <v>14000</v>
      </c>
      <c r="AG43" s="3403"/>
      <c r="AH43" s="3403">
        <v>79000</v>
      </c>
      <c r="AI43" s="3403"/>
      <c r="AJ43" s="3403">
        <v>15000</v>
      </c>
      <c r="AK43" s="3403"/>
      <c r="AL43" s="3403"/>
      <c r="AM43" s="3403"/>
      <c r="AN43" s="3403"/>
      <c r="AO43" s="3403"/>
      <c r="AP43" s="3403"/>
      <c r="AQ43" s="3403"/>
      <c r="AR43" s="3403"/>
      <c r="AS43" s="3403"/>
      <c r="AT43" s="3403"/>
      <c r="AU43" s="3403"/>
      <c r="AV43" s="3403"/>
      <c r="AW43" s="3403"/>
      <c r="AX43" s="3403"/>
      <c r="AY43" s="3403"/>
      <c r="AZ43" s="3403"/>
      <c r="BA43" s="3403"/>
      <c r="BB43" s="3403"/>
      <c r="BC43" s="3403"/>
      <c r="BD43" s="3403">
        <v>130000</v>
      </c>
      <c r="BE43" s="3403"/>
      <c r="BF43" s="3328">
        <v>1</v>
      </c>
      <c r="BG43" s="3349">
        <v>7933333</v>
      </c>
      <c r="BH43" s="3349">
        <v>0</v>
      </c>
      <c r="BI43" s="3331">
        <f>+BH43/BG43</f>
        <v>0</v>
      </c>
      <c r="BJ43" s="2348" t="s">
        <v>353</v>
      </c>
      <c r="BK43" s="3328" t="s">
        <v>397</v>
      </c>
      <c r="BL43" s="3347">
        <v>44033</v>
      </c>
      <c r="BM43" s="3347">
        <v>44096</v>
      </c>
      <c r="BN43" s="3347">
        <v>44195</v>
      </c>
      <c r="BO43" s="3347">
        <v>44186</v>
      </c>
      <c r="BP43" s="2348" t="s">
        <v>355</v>
      </c>
    </row>
    <row r="44" spans="1:68" s="344" customFormat="1" ht="46.5" customHeight="1" x14ac:dyDescent="0.25">
      <c r="A44" s="356"/>
      <c r="B44" s="357"/>
      <c r="C44" s="367"/>
      <c r="D44" s="2374"/>
      <c r="E44" s="2374"/>
      <c r="F44" s="2375"/>
      <c r="G44" s="3398"/>
      <c r="H44" s="3045"/>
      <c r="I44" s="2453"/>
      <c r="J44" s="2413"/>
      <c r="K44" s="2521"/>
      <c r="L44" s="2521"/>
      <c r="M44" s="2416"/>
      <c r="N44" s="2343"/>
      <c r="O44" s="2331"/>
      <c r="P44" s="3331"/>
      <c r="Q44" s="2415"/>
      <c r="R44" s="2609"/>
      <c r="S44" s="2609"/>
      <c r="T44" s="2452"/>
      <c r="U44" s="913">
        <v>5000000</v>
      </c>
      <c r="V44" s="913">
        <v>0</v>
      </c>
      <c r="W44" s="913">
        <v>0</v>
      </c>
      <c r="X44" s="355">
        <v>20</v>
      </c>
      <c r="Y44" s="68" t="s">
        <v>7</v>
      </c>
      <c r="Z44" s="3403"/>
      <c r="AA44" s="3403"/>
      <c r="AB44" s="3403"/>
      <c r="AC44" s="3403"/>
      <c r="AD44" s="3403"/>
      <c r="AE44" s="3403"/>
      <c r="AF44" s="3403"/>
      <c r="AG44" s="3403"/>
      <c r="AH44" s="3403"/>
      <c r="AI44" s="3403"/>
      <c r="AJ44" s="3403"/>
      <c r="AK44" s="3403"/>
      <c r="AL44" s="3403"/>
      <c r="AM44" s="3403"/>
      <c r="AN44" s="3403"/>
      <c r="AO44" s="3403"/>
      <c r="AP44" s="3403"/>
      <c r="AQ44" s="3403"/>
      <c r="AR44" s="3403"/>
      <c r="AS44" s="3403"/>
      <c r="AT44" s="3403"/>
      <c r="AU44" s="3403"/>
      <c r="AV44" s="3403"/>
      <c r="AW44" s="3403"/>
      <c r="AX44" s="3403"/>
      <c r="AY44" s="3403"/>
      <c r="AZ44" s="3403"/>
      <c r="BA44" s="3403"/>
      <c r="BB44" s="3403"/>
      <c r="BC44" s="3403"/>
      <c r="BD44" s="3403"/>
      <c r="BE44" s="3403"/>
      <c r="BF44" s="3328"/>
      <c r="BG44" s="3349"/>
      <c r="BH44" s="3349"/>
      <c r="BI44" s="3331"/>
      <c r="BJ44" s="3328"/>
      <c r="BK44" s="3328"/>
      <c r="BL44" s="3347"/>
      <c r="BM44" s="3347"/>
      <c r="BN44" s="3347"/>
      <c r="BO44" s="3347"/>
      <c r="BP44" s="2348"/>
    </row>
    <row r="45" spans="1:68" s="344" customFormat="1" ht="159" customHeight="1" x14ac:dyDescent="0.25">
      <c r="A45" s="356"/>
      <c r="B45" s="357"/>
      <c r="C45" s="367"/>
      <c r="D45" s="2374"/>
      <c r="E45" s="2374"/>
      <c r="F45" s="2375"/>
      <c r="G45" s="3399"/>
      <c r="H45" s="3046"/>
      <c r="I45" s="2453"/>
      <c r="J45" s="2413"/>
      <c r="K45" s="2520"/>
      <c r="L45" s="2520"/>
      <c r="M45" s="2416"/>
      <c r="N45" s="2343"/>
      <c r="O45" s="2331"/>
      <c r="P45" s="3331"/>
      <c r="Q45" s="2415"/>
      <c r="R45" s="2610"/>
      <c r="S45" s="2610"/>
      <c r="T45" s="358" t="s">
        <v>455</v>
      </c>
      <c r="U45" s="913">
        <v>20000000</v>
      </c>
      <c r="V45" s="913">
        <v>0</v>
      </c>
      <c r="W45" s="913">
        <v>0</v>
      </c>
      <c r="X45" s="355">
        <v>20</v>
      </c>
      <c r="Y45" s="68" t="s">
        <v>7</v>
      </c>
      <c r="Z45" s="3403"/>
      <c r="AA45" s="3403"/>
      <c r="AB45" s="3403"/>
      <c r="AC45" s="3403"/>
      <c r="AD45" s="3403"/>
      <c r="AE45" s="3403"/>
      <c r="AF45" s="3403"/>
      <c r="AG45" s="3403"/>
      <c r="AH45" s="3403"/>
      <c r="AI45" s="3403"/>
      <c r="AJ45" s="3403"/>
      <c r="AK45" s="3403"/>
      <c r="AL45" s="3403"/>
      <c r="AM45" s="3403"/>
      <c r="AN45" s="3403"/>
      <c r="AO45" s="3403"/>
      <c r="AP45" s="3403"/>
      <c r="AQ45" s="3403"/>
      <c r="AR45" s="3403"/>
      <c r="AS45" s="3403"/>
      <c r="AT45" s="3403"/>
      <c r="AU45" s="3403"/>
      <c r="AV45" s="3403"/>
      <c r="AW45" s="3403"/>
      <c r="AX45" s="3403"/>
      <c r="AY45" s="3403"/>
      <c r="AZ45" s="3403"/>
      <c r="BA45" s="3403"/>
      <c r="BB45" s="3403"/>
      <c r="BC45" s="3403"/>
      <c r="BD45" s="3403"/>
      <c r="BE45" s="3403"/>
      <c r="BF45" s="3328"/>
      <c r="BG45" s="3349"/>
      <c r="BH45" s="3349"/>
      <c r="BI45" s="3331"/>
      <c r="BJ45" s="3328"/>
      <c r="BK45" s="3328"/>
      <c r="BL45" s="3347"/>
      <c r="BM45" s="3347"/>
      <c r="BN45" s="3347"/>
      <c r="BO45" s="3347"/>
      <c r="BP45" s="2348"/>
    </row>
    <row r="46" spans="1:68" s="344" customFormat="1" ht="15.75" x14ac:dyDescent="0.25">
      <c r="A46" s="3379"/>
      <c r="B46" s="3380"/>
      <c r="C46" s="3381"/>
      <c r="D46" s="386">
        <v>9</v>
      </c>
      <c r="E46" s="387" t="s">
        <v>456</v>
      </c>
      <c r="F46" s="388"/>
      <c r="G46" s="421"/>
      <c r="H46" s="421"/>
      <c r="I46" s="422"/>
      <c r="J46" s="422"/>
      <c r="K46" s="423"/>
      <c r="L46" s="423"/>
      <c r="M46" s="422"/>
      <c r="N46" s="423"/>
      <c r="O46" s="422"/>
      <c r="P46" s="422"/>
      <c r="Q46" s="908"/>
      <c r="R46" s="422"/>
      <c r="S46" s="422"/>
      <c r="T46" s="422"/>
      <c r="U46" s="930"/>
      <c r="V46" s="930"/>
      <c r="W46" s="930"/>
      <c r="X46" s="424"/>
      <c r="Y46" s="422"/>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row>
    <row r="47" spans="1:68" s="344" customFormat="1" ht="171.75" customHeight="1" x14ac:dyDescent="0.25">
      <c r="A47" s="126"/>
      <c r="B47" s="625"/>
      <c r="C47" s="626"/>
      <c r="D47" s="624"/>
      <c r="E47" s="425"/>
      <c r="F47" s="426"/>
      <c r="G47" s="427">
        <v>1708016</v>
      </c>
      <c r="H47" s="8" t="s">
        <v>457</v>
      </c>
      <c r="I47" s="373" t="s">
        <v>433</v>
      </c>
      <c r="J47" s="9" t="s">
        <v>458</v>
      </c>
      <c r="K47" s="374">
        <v>2</v>
      </c>
      <c r="L47" s="374">
        <v>0</v>
      </c>
      <c r="M47" s="3282" t="s">
        <v>459</v>
      </c>
      <c r="N47" s="2566" t="s">
        <v>460</v>
      </c>
      <c r="O47" s="2316" t="s">
        <v>461</v>
      </c>
      <c r="P47" s="375">
        <f>+U47/Q47</f>
        <v>0.50850723193927094</v>
      </c>
      <c r="Q47" s="3280">
        <v>30519269</v>
      </c>
      <c r="R47" s="2316" t="s">
        <v>462</v>
      </c>
      <c r="S47" s="2316" t="s">
        <v>463</v>
      </c>
      <c r="T47" s="373" t="s">
        <v>464</v>
      </c>
      <c r="U47" s="920">
        <v>15519269</v>
      </c>
      <c r="V47" s="920">
        <v>10366666</v>
      </c>
      <c r="W47" s="920">
        <v>0</v>
      </c>
      <c r="X47" s="414">
        <v>88</v>
      </c>
      <c r="Y47" s="399" t="s">
        <v>357</v>
      </c>
      <c r="Z47" s="2485">
        <v>3000</v>
      </c>
      <c r="AA47" s="2485"/>
      <c r="AB47" s="2485">
        <v>3000</v>
      </c>
      <c r="AC47" s="2485"/>
      <c r="AD47" s="2485">
        <v>2000</v>
      </c>
      <c r="AE47" s="2485"/>
      <c r="AF47" s="2485">
        <v>1000</v>
      </c>
      <c r="AG47" s="2485"/>
      <c r="AH47" s="2485">
        <v>2500</v>
      </c>
      <c r="AI47" s="2485"/>
      <c r="AJ47" s="2485">
        <v>500</v>
      </c>
      <c r="AK47" s="2485"/>
      <c r="AL47" s="2485"/>
      <c r="AM47" s="2485"/>
      <c r="AN47" s="2485"/>
      <c r="AO47" s="2485"/>
      <c r="AP47" s="2485"/>
      <c r="AQ47" s="2485"/>
      <c r="AR47" s="2485"/>
      <c r="AS47" s="2485"/>
      <c r="AT47" s="2485"/>
      <c r="AU47" s="2485"/>
      <c r="AV47" s="2485"/>
      <c r="AW47" s="2485"/>
      <c r="AX47" s="2485"/>
      <c r="AY47" s="2485"/>
      <c r="AZ47" s="2485"/>
      <c r="BA47" s="2485"/>
      <c r="BB47" s="2485"/>
      <c r="BC47" s="2485"/>
      <c r="BD47" s="2485">
        <v>6000</v>
      </c>
      <c r="BE47" s="2485"/>
      <c r="BF47" s="2324">
        <v>3</v>
      </c>
      <c r="BG47" s="3400">
        <v>25366665</v>
      </c>
      <c r="BH47" s="3400">
        <v>0</v>
      </c>
      <c r="BI47" s="2718">
        <v>0</v>
      </c>
      <c r="BJ47" s="2318" t="s">
        <v>4</v>
      </c>
      <c r="BK47" s="2324" t="s">
        <v>397</v>
      </c>
      <c r="BL47" s="3401">
        <v>44033</v>
      </c>
      <c r="BM47" s="3401">
        <v>44084</v>
      </c>
      <c r="BN47" s="3401">
        <v>44195</v>
      </c>
      <c r="BO47" s="3401">
        <v>44185</v>
      </c>
      <c r="BP47" s="2318" t="s">
        <v>355</v>
      </c>
    </row>
    <row r="48" spans="1:68" s="623" customFormat="1" ht="60" x14ac:dyDescent="0.25">
      <c r="A48" s="615"/>
      <c r="B48" s="627"/>
      <c r="C48" s="617"/>
      <c r="D48" s="615"/>
      <c r="E48" s="616"/>
      <c r="F48" s="617"/>
      <c r="G48" s="8">
        <v>1708051</v>
      </c>
      <c r="H48" s="8" t="s">
        <v>465</v>
      </c>
      <c r="I48" s="618" t="s">
        <v>466</v>
      </c>
      <c r="J48" s="618" t="s">
        <v>467</v>
      </c>
      <c r="K48" s="619">
        <v>1</v>
      </c>
      <c r="L48" s="619"/>
      <c r="M48" s="3283"/>
      <c r="N48" s="2969"/>
      <c r="O48" s="2316"/>
      <c r="P48" s="620">
        <f>U48/Q47</f>
        <v>0.49149276806072911</v>
      </c>
      <c r="Q48" s="3281"/>
      <c r="R48" s="2316"/>
      <c r="S48" s="2316"/>
      <c r="T48" s="618" t="s">
        <v>468</v>
      </c>
      <c r="U48" s="882">
        <v>15000000</v>
      </c>
      <c r="V48" s="882">
        <v>14999999</v>
      </c>
      <c r="W48" s="882">
        <v>0</v>
      </c>
      <c r="X48" s="622">
        <v>88</v>
      </c>
      <c r="Y48" s="621" t="s">
        <v>357</v>
      </c>
      <c r="Z48" s="2487"/>
      <c r="AA48" s="2487"/>
      <c r="AB48" s="2487"/>
      <c r="AC48" s="2487"/>
      <c r="AD48" s="2487"/>
      <c r="AE48" s="2487"/>
      <c r="AF48" s="2487"/>
      <c r="AG48" s="2487"/>
      <c r="AH48" s="2487"/>
      <c r="AI48" s="2487"/>
      <c r="AJ48" s="2487"/>
      <c r="AK48" s="2487"/>
      <c r="AL48" s="2487"/>
      <c r="AM48" s="2487"/>
      <c r="AN48" s="2487"/>
      <c r="AO48" s="2487"/>
      <c r="AP48" s="2487"/>
      <c r="AQ48" s="2487"/>
      <c r="AR48" s="2487"/>
      <c r="AS48" s="2487"/>
      <c r="AT48" s="2487"/>
      <c r="AU48" s="2487"/>
      <c r="AV48" s="2487"/>
      <c r="AW48" s="2487"/>
      <c r="AX48" s="2487"/>
      <c r="AY48" s="2487"/>
      <c r="AZ48" s="2487"/>
      <c r="BA48" s="2487"/>
      <c r="BB48" s="2487"/>
      <c r="BC48" s="2487"/>
      <c r="BD48" s="2487"/>
      <c r="BE48" s="2487"/>
      <c r="BF48" s="2736"/>
      <c r="BG48" s="3360"/>
      <c r="BH48" s="3360"/>
      <c r="BI48" s="2720"/>
      <c r="BJ48" s="2465"/>
      <c r="BK48" s="2736"/>
      <c r="BL48" s="3356"/>
      <c r="BM48" s="3356"/>
      <c r="BN48" s="3356"/>
      <c r="BO48" s="3356"/>
      <c r="BP48" s="2465"/>
    </row>
    <row r="49" spans="1:68" s="344" customFormat="1" ht="15.75" x14ac:dyDescent="0.25">
      <c r="A49" s="3379"/>
      <c r="B49" s="3380"/>
      <c r="C49" s="3381"/>
      <c r="D49" s="386">
        <v>10</v>
      </c>
      <c r="E49" s="3382" t="s">
        <v>469</v>
      </c>
      <c r="F49" s="3382"/>
      <c r="G49" s="3404"/>
      <c r="H49" s="3382"/>
      <c r="I49" s="3404"/>
      <c r="J49" s="3404"/>
      <c r="K49" s="3404"/>
      <c r="L49" s="253"/>
      <c r="M49" s="249"/>
      <c r="N49" s="429"/>
      <c r="O49" s="249"/>
      <c r="P49" s="430"/>
      <c r="Q49" s="909"/>
      <c r="R49" s="249"/>
      <c r="S49" s="249"/>
      <c r="T49" s="249"/>
      <c r="U49" s="926"/>
      <c r="V49" s="930"/>
      <c r="W49" s="930"/>
      <c r="X49" s="424"/>
      <c r="Y49" s="422"/>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row>
    <row r="50" spans="1:68" s="344" customFormat="1" ht="60" x14ac:dyDescent="0.25">
      <c r="A50" s="356"/>
      <c r="B50" s="357"/>
      <c r="C50" s="357"/>
      <c r="D50" s="431"/>
      <c r="E50" s="407"/>
      <c r="F50" s="408"/>
      <c r="G50" s="377">
        <v>1709019</v>
      </c>
      <c r="H50" s="432" t="s">
        <v>470</v>
      </c>
      <c r="I50" s="433" t="s">
        <v>471</v>
      </c>
      <c r="J50" s="9" t="s">
        <v>471</v>
      </c>
      <c r="K50" s="374">
        <v>2</v>
      </c>
      <c r="L50" s="374">
        <v>0</v>
      </c>
      <c r="M50" s="2439" t="s">
        <v>577</v>
      </c>
      <c r="N50" s="2315" t="s">
        <v>419</v>
      </c>
      <c r="O50" s="2316" t="s">
        <v>472</v>
      </c>
      <c r="P50" s="375">
        <f>+U50/105000000</f>
        <v>0.47619047619047616</v>
      </c>
      <c r="Q50" s="3394">
        <v>75000000</v>
      </c>
      <c r="R50" s="2439" t="s">
        <v>421</v>
      </c>
      <c r="S50" s="2439" t="s">
        <v>422</v>
      </c>
      <c r="T50" s="373" t="s">
        <v>473</v>
      </c>
      <c r="U50" s="919">
        <v>50000000</v>
      </c>
      <c r="V50" s="913">
        <v>0</v>
      </c>
      <c r="W50" s="913">
        <v>0</v>
      </c>
      <c r="X50" s="355">
        <v>88</v>
      </c>
      <c r="Y50" s="221" t="s">
        <v>357</v>
      </c>
      <c r="Z50" s="3361">
        <v>600</v>
      </c>
      <c r="AA50" s="3361"/>
      <c r="AB50" s="3361">
        <v>600</v>
      </c>
      <c r="AC50" s="3361"/>
      <c r="AD50" s="3361">
        <v>125</v>
      </c>
      <c r="AE50" s="3361"/>
      <c r="AF50" s="3361">
        <v>75</v>
      </c>
      <c r="AG50" s="3361"/>
      <c r="AH50" s="3361">
        <v>300</v>
      </c>
      <c r="AI50" s="3361"/>
      <c r="AJ50" s="3361">
        <v>700</v>
      </c>
      <c r="AK50" s="3361"/>
      <c r="AL50" s="3361"/>
      <c r="AM50" s="3361"/>
      <c r="AN50" s="3361"/>
      <c r="AO50" s="3361"/>
      <c r="AP50" s="3361"/>
      <c r="AQ50" s="3361"/>
      <c r="AR50" s="3361"/>
      <c r="AS50" s="3361"/>
      <c r="AT50" s="3361"/>
      <c r="AU50" s="3361"/>
      <c r="AV50" s="3361"/>
      <c r="AW50" s="3361"/>
      <c r="AX50" s="3361"/>
      <c r="AY50" s="3361"/>
      <c r="AZ50" s="3361"/>
      <c r="BA50" s="3361"/>
      <c r="BB50" s="3361"/>
      <c r="BC50" s="3361"/>
      <c r="BD50" s="3361">
        <v>1200</v>
      </c>
      <c r="BE50" s="3361"/>
      <c r="BF50" s="3367"/>
      <c r="BG50" s="3371">
        <v>0</v>
      </c>
      <c r="BH50" s="3371">
        <v>0</v>
      </c>
      <c r="BI50" s="3374"/>
      <c r="BJ50" s="3367"/>
      <c r="BK50" s="3367"/>
      <c r="BL50" s="3368">
        <v>44033</v>
      </c>
      <c r="BM50" s="3368"/>
      <c r="BN50" s="3368">
        <v>44195</v>
      </c>
      <c r="BO50" s="3368"/>
      <c r="BP50" s="2576" t="s">
        <v>355</v>
      </c>
    </row>
    <row r="51" spans="1:68" s="344" customFormat="1" ht="15.75" x14ac:dyDescent="0.25">
      <c r="A51" s="356"/>
      <c r="B51" s="357"/>
      <c r="C51" s="357"/>
      <c r="D51" s="356"/>
      <c r="E51" s="357"/>
      <c r="F51" s="367"/>
      <c r="G51" s="3411">
        <v>1709034</v>
      </c>
      <c r="H51" s="3413" t="s">
        <v>474</v>
      </c>
      <c r="I51" s="2453" t="s">
        <v>475</v>
      </c>
      <c r="J51" s="3007" t="s">
        <v>475</v>
      </c>
      <c r="K51" s="2324">
        <v>1</v>
      </c>
      <c r="L51" s="2324">
        <v>0</v>
      </c>
      <c r="M51" s="2440"/>
      <c r="N51" s="2315"/>
      <c r="O51" s="2316"/>
      <c r="P51" s="2718">
        <f>+(U51+U52)/(105000000)</f>
        <v>0.23809523809523808</v>
      </c>
      <c r="Q51" s="3394"/>
      <c r="R51" s="2440"/>
      <c r="S51" s="2440"/>
      <c r="T51" s="373" t="s">
        <v>476</v>
      </c>
      <c r="U51" s="919">
        <v>0</v>
      </c>
      <c r="V51" s="913">
        <v>0</v>
      </c>
      <c r="W51" s="913">
        <v>0</v>
      </c>
      <c r="X51" s="355"/>
      <c r="Y51" s="221"/>
      <c r="Z51" s="3362"/>
      <c r="AA51" s="3362"/>
      <c r="AB51" s="3362"/>
      <c r="AC51" s="3362"/>
      <c r="AD51" s="3362"/>
      <c r="AE51" s="3362"/>
      <c r="AF51" s="3362"/>
      <c r="AG51" s="3362"/>
      <c r="AH51" s="3362"/>
      <c r="AI51" s="3362"/>
      <c r="AJ51" s="3362"/>
      <c r="AK51" s="3362"/>
      <c r="AL51" s="3362"/>
      <c r="AM51" s="3362"/>
      <c r="AN51" s="3362"/>
      <c r="AO51" s="3362"/>
      <c r="AP51" s="3362"/>
      <c r="AQ51" s="3362"/>
      <c r="AR51" s="3362"/>
      <c r="AS51" s="3362"/>
      <c r="AT51" s="3362"/>
      <c r="AU51" s="3362"/>
      <c r="AV51" s="3362"/>
      <c r="AW51" s="3362"/>
      <c r="AX51" s="3362"/>
      <c r="AY51" s="3362"/>
      <c r="AZ51" s="3362"/>
      <c r="BA51" s="3362"/>
      <c r="BB51" s="3362"/>
      <c r="BC51" s="3362"/>
      <c r="BD51" s="3362"/>
      <c r="BE51" s="3362"/>
      <c r="BF51" s="2323"/>
      <c r="BG51" s="3372"/>
      <c r="BH51" s="3372"/>
      <c r="BI51" s="3375"/>
      <c r="BJ51" s="2323"/>
      <c r="BK51" s="2323"/>
      <c r="BL51" s="3369"/>
      <c r="BM51" s="3369"/>
      <c r="BN51" s="3369"/>
      <c r="BO51" s="3369"/>
      <c r="BP51" s="2516"/>
    </row>
    <row r="52" spans="1:68" s="344" customFormat="1" ht="60" x14ac:dyDescent="0.25">
      <c r="A52" s="356"/>
      <c r="B52" s="357"/>
      <c r="C52" s="357"/>
      <c r="D52" s="356"/>
      <c r="E52" s="357"/>
      <c r="F52" s="367"/>
      <c r="G52" s="3412"/>
      <c r="H52" s="3413"/>
      <c r="I52" s="2453"/>
      <c r="J52" s="3009"/>
      <c r="K52" s="2736"/>
      <c r="L52" s="2736"/>
      <c r="M52" s="2440"/>
      <c r="N52" s="2315"/>
      <c r="O52" s="2316"/>
      <c r="P52" s="2720"/>
      <c r="Q52" s="3394"/>
      <c r="R52" s="2440"/>
      <c r="S52" s="2440"/>
      <c r="T52" s="373" t="s">
        <v>477</v>
      </c>
      <c r="U52" s="919">
        <v>25000000</v>
      </c>
      <c r="V52" s="913">
        <v>0</v>
      </c>
      <c r="W52" s="913">
        <v>0</v>
      </c>
      <c r="X52" s="355">
        <v>88</v>
      </c>
      <c r="Y52" s="221" t="s">
        <v>357</v>
      </c>
      <c r="Z52" s="3362"/>
      <c r="AA52" s="3362"/>
      <c r="AB52" s="3362"/>
      <c r="AC52" s="3362"/>
      <c r="AD52" s="3362"/>
      <c r="AE52" s="3362"/>
      <c r="AF52" s="3362"/>
      <c r="AG52" s="3362"/>
      <c r="AH52" s="3362"/>
      <c r="AI52" s="3362"/>
      <c r="AJ52" s="3362"/>
      <c r="AK52" s="3362"/>
      <c r="AL52" s="3362"/>
      <c r="AM52" s="3362"/>
      <c r="AN52" s="3362"/>
      <c r="AO52" s="3362"/>
      <c r="AP52" s="3362"/>
      <c r="AQ52" s="3362"/>
      <c r="AR52" s="3362"/>
      <c r="AS52" s="3362"/>
      <c r="AT52" s="3362"/>
      <c r="AU52" s="3362"/>
      <c r="AV52" s="3362"/>
      <c r="AW52" s="3362"/>
      <c r="AX52" s="3362"/>
      <c r="AY52" s="3362"/>
      <c r="AZ52" s="3362"/>
      <c r="BA52" s="3362"/>
      <c r="BB52" s="3362"/>
      <c r="BC52" s="3362"/>
      <c r="BD52" s="3362"/>
      <c r="BE52" s="3362"/>
      <c r="BF52" s="2323"/>
      <c r="BG52" s="3372"/>
      <c r="BH52" s="3372"/>
      <c r="BI52" s="3375"/>
      <c r="BJ52" s="2323"/>
      <c r="BK52" s="2323"/>
      <c r="BL52" s="3369"/>
      <c r="BM52" s="3369"/>
      <c r="BN52" s="3369"/>
      <c r="BO52" s="3369"/>
      <c r="BP52" s="2516"/>
    </row>
    <row r="53" spans="1:68" s="344" customFormat="1" ht="15.75" x14ac:dyDescent="0.25">
      <c r="A53" s="3379"/>
      <c r="B53" s="3380"/>
      <c r="C53" s="3381"/>
      <c r="D53" s="386">
        <v>27</v>
      </c>
      <c r="E53" s="387" t="s">
        <v>79</v>
      </c>
      <c r="F53" s="388"/>
      <c r="G53" s="421"/>
      <c r="H53" s="423"/>
      <c r="I53" s="406"/>
      <c r="J53" s="406"/>
      <c r="K53" s="421"/>
      <c r="L53" s="421"/>
      <c r="M53" s="406"/>
      <c r="N53" s="389"/>
      <c r="O53" s="390"/>
      <c r="P53" s="391"/>
      <c r="Q53" s="905"/>
      <c r="R53" s="390"/>
      <c r="S53" s="390"/>
      <c r="T53" s="406"/>
      <c r="U53" s="925"/>
      <c r="V53" s="930"/>
      <c r="W53" s="930"/>
      <c r="X53" s="424"/>
      <c r="Y53" s="422"/>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5"/>
      <c r="AZ53" s="405"/>
      <c r="BA53" s="405"/>
      <c r="BB53" s="405"/>
      <c r="BC53" s="405"/>
      <c r="BD53" s="405"/>
      <c r="BE53" s="405"/>
      <c r="BF53" s="405"/>
      <c r="BG53" s="405"/>
      <c r="BH53" s="405"/>
      <c r="BI53" s="405"/>
      <c r="BJ53" s="405"/>
      <c r="BK53" s="405"/>
      <c r="BL53" s="405"/>
      <c r="BM53" s="405"/>
      <c r="BN53" s="405"/>
      <c r="BO53" s="405"/>
      <c r="BP53" s="405"/>
    </row>
    <row r="54" spans="1:68" s="344" customFormat="1" ht="15.75" x14ac:dyDescent="0.25">
      <c r="A54" s="411"/>
      <c r="B54" s="412"/>
      <c r="C54" s="412"/>
      <c r="D54" s="3405"/>
      <c r="E54" s="3408"/>
      <c r="F54" s="3408"/>
      <c r="G54" s="3308">
        <v>3502017</v>
      </c>
      <c r="H54" s="3308" t="s">
        <v>478</v>
      </c>
      <c r="I54" s="2758" t="s">
        <v>479</v>
      </c>
      <c r="J54" s="2453" t="s">
        <v>480</v>
      </c>
      <c r="K54" s="2358">
        <v>6</v>
      </c>
      <c r="L54" s="2358">
        <v>2</v>
      </c>
      <c r="M54" s="2416" t="s">
        <v>376</v>
      </c>
      <c r="N54" s="2495" t="s">
        <v>377</v>
      </c>
      <c r="O54" s="2894" t="s">
        <v>378</v>
      </c>
      <c r="P54" s="2718">
        <f>+(U54+U55+U56)/(114200000)</f>
        <v>0.19385989492119091</v>
      </c>
      <c r="Q54" s="2643">
        <v>40000000</v>
      </c>
      <c r="R54" s="2439" t="s">
        <v>379</v>
      </c>
      <c r="S54" s="2724" t="s">
        <v>380</v>
      </c>
      <c r="T54" s="226" t="s">
        <v>481</v>
      </c>
      <c r="U54" s="913">
        <v>5000000</v>
      </c>
      <c r="V54" s="913">
        <v>5000000</v>
      </c>
      <c r="W54" s="913">
        <v>5000000</v>
      </c>
      <c r="X54" s="434">
        <v>20</v>
      </c>
      <c r="Y54" s="226" t="s">
        <v>7</v>
      </c>
      <c r="Z54" s="3414">
        <v>100</v>
      </c>
      <c r="AA54" s="3414">
        <v>18</v>
      </c>
      <c r="AB54" s="3414">
        <v>60</v>
      </c>
      <c r="AC54" s="3414">
        <v>15</v>
      </c>
      <c r="AD54" s="3414">
        <v>0</v>
      </c>
      <c r="AE54" s="3414"/>
      <c r="AF54" s="3414">
        <v>0</v>
      </c>
      <c r="AG54" s="3414"/>
      <c r="AH54" s="3414">
        <v>110</v>
      </c>
      <c r="AI54" s="3414"/>
      <c r="AJ54" s="3414">
        <v>50</v>
      </c>
      <c r="AK54" s="3414"/>
      <c r="AL54" s="3414">
        <v>0</v>
      </c>
      <c r="AM54" s="3414"/>
      <c r="AN54" s="3414">
        <v>0</v>
      </c>
      <c r="AO54" s="3414"/>
      <c r="AP54" s="3414">
        <v>0</v>
      </c>
      <c r="AQ54" s="3414"/>
      <c r="AR54" s="3414">
        <v>0</v>
      </c>
      <c r="AS54" s="3414"/>
      <c r="AT54" s="3414">
        <v>0</v>
      </c>
      <c r="AU54" s="3414"/>
      <c r="AV54" s="3414">
        <v>0</v>
      </c>
      <c r="AW54" s="3414"/>
      <c r="AX54" s="3414">
        <v>0</v>
      </c>
      <c r="AY54" s="3414"/>
      <c r="AZ54" s="3414">
        <v>0</v>
      </c>
      <c r="BA54" s="3414"/>
      <c r="BB54" s="3414">
        <v>0</v>
      </c>
      <c r="BC54" s="3414"/>
      <c r="BD54" s="3414">
        <v>160</v>
      </c>
      <c r="BE54" s="3414">
        <v>33</v>
      </c>
      <c r="BF54" s="2519">
        <v>5</v>
      </c>
      <c r="BG54" s="3350">
        <v>38933333</v>
      </c>
      <c r="BH54" s="3350">
        <v>7800000</v>
      </c>
      <c r="BI54" s="3332">
        <f>+BH54/BG54</f>
        <v>0.2003424674686855</v>
      </c>
      <c r="BJ54" s="2522" t="s">
        <v>353</v>
      </c>
      <c r="BK54" s="2519" t="s">
        <v>482</v>
      </c>
      <c r="BL54" s="3348">
        <v>43832</v>
      </c>
      <c r="BM54" s="3348">
        <v>43874</v>
      </c>
      <c r="BN54" s="3348">
        <v>44195</v>
      </c>
      <c r="BO54" s="3348">
        <v>44186</v>
      </c>
      <c r="BP54" s="2522" t="s">
        <v>355</v>
      </c>
    </row>
    <row r="55" spans="1:68" s="344" customFormat="1" ht="30" x14ac:dyDescent="0.25">
      <c r="A55" s="411"/>
      <c r="B55" s="412"/>
      <c r="C55" s="412"/>
      <c r="D55" s="3406"/>
      <c r="E55" s="3395"/>
      <c r="F55" s="3395"/>
      <c r="G55" s="3308"/>
      <c r="H55" s="3308"/>
      <c r="I55" s="2758"/>
      <c r="J55" s="2453"/>
      <c r="K55" s="2359"/>
      <c r="L55" s="2359"/>
      <c r="M55" s="2416"/>
      <c r="N55" s="2496"/>
      <c r="O55" s="2884"/>
      <c r="P55" s="2719"/>
      <c r="Q55" s="2644"/>
      <c r="R55" s="2440"/>
      <c r="S55" s="2470"/>
      <c r="T55" s="2309" t="s">
        <v>483</v>
      </c>
      <c r="U55" s="931">
        <v>10000000</v>
      </c>
      <c r="V55" s="932">
        <v>10000000</v>
      </c>
      <c r="W55" s="932">
        <v>0</v>
      </c>
      <c r="X55" s="435">
        <v>88</v>
      </c>
      <c r="Y55" s="72" t="s">
        <v>4</v>
      </c>
      <c r="Z55" s="3415"/>
      <c r="AA55" s="3415"/>
      <c r="AB55" s="3415"/>
      <c r="AC55" s="3415"/>
      <c r="AD55" s="3415"/>
      <c r="AE55" s="3415"/>
      <c r="AF55" s="3415"/>
      <c r="AG55" s="3415"/>
      <c r="AH55" s="3415"/>
      <c r="AI55" s="3415"/>
      <c r="AJ55" s="3415"/>
      <c r="AK55" s="3415"/>
      <c r="AL55" s="3415"/>
      <c r="AM55" s="3415"/>
      <c r="AN55" s="3415"/>
      <c r="AO55" s="3415"/>
      <c r="AP55" s="3415"/>
      <c r="AQ55" s="3415"/>
      <c r="AR55" s="3415"/>
      <c r="AS55" s="3415"/>
      <c r="AT55" s="3415"/>
      <c r="AU55" s="3415"/>
      <c r="AV55" s="3415"/>
      <c r="AW55" s="3415"/>
      <c r="AX55" s="3415"/>
      <c r="AY55" s="3415"/>
      <c r="AZ55" s="3415"/>
      <c r="BA55" s="3415"/>
      <c r="BB55" s="3415"/>
      <c r="BC55" s="3415"/>
      <c r="BD55" s="3415"/>
      <c r="BE55" s="3415"/>
      <c r="BF55" s="2521"/>
      <c r="BG55" s="3420"/>
      <c r="BH55" s="3420"/>
      <c r="BI55" s="2698"/>
      <c r="BJ55" s="2521"/>
      <c r="BK55" s="2521"/>
      <c r="BL55" s="3418"/>
      <c r="BM55" s="3418"/>
      <c r="BN55" s="3418"/>
      <c r="BO55" s="3418"/>
      <c r="BP55" s="2456"/>
    </row>
    <row r="56" spans="1:68" s="344" customFormat="1" ht="15.75" x14ac:dyDescent="0.25">
      <c r="A56" s="356"/>
      <c r="B56" s="357"/>
      <c r="C56" s="357"/>
      <c r="D56" s="3406"/>
      <c r="E56" s="3395"/>
      <c r="F56" s="3395"/>
      <c r="G56" s="3308"/>
      <c r="H56" s="3308"/>
      <c r="I56" s="2758"/>
      <c r="J56" s="2453"/>
      <c r="K56" s="2360"/>
      <c r="L56" s="2360"/>
      <c r="M56" s="2416"/>
      <c r="N56" s="2496"/>
      <c r="O56" s="2884"/>
      <c r="P56" s="2719"/>
      <c r="Q56" s="2644"/>
      <c r="R56" s="2440"/>
      <c r="S56" s="2470"/>
      <c r="T56" s="3202"/>
      <c r="U56" s="919">
        <v>7138800</v>
      </c>
      <c r="V56" s="913">
        <v>7138800</v>
      </c>
      <c r="W56" s="879">
        <v>0</v>
      </c>
      <c r="X56" s="434">
        <v>20</v>
      </c>
      <c r="Y56" s="226" t="s">
        <v>7</v>
      </c>
      <c r="Z56" s="3415"/>
      <c r="AA56" s="3415"/>
      <c r="AB56" s="3415"/>
      <c r="AC56" s="3415"/>
      <c r="AD56" s="3415"/>
      <c r="AE56" s="3415"/>
      <c r="AF56" s="3415"/>
      <c r="AG56" s="3415"/>
      <c r="AH56" s="3415"/>
      <c r="AI56" s="3415"/>
      <c r="AJ56" s="3415"/>
      <c r="AK56" s="3415"/>
      <c r="AL56" s="3415"/>
      <c r="AM56" s="3415"/>
      <c r="AN56" s="3415"/>
      <c r="AO56" s="3415"/>
      <c r="AP56" s="3415"/>
      <c r="AQ56" s="3415"/>
      <c r="AR56" s="3415"/>
      <c r="AS56" s="3415"/>
      <c r="AT56" s="3415"/>
      <c r="AU56" s="3415"/>
      <c r="AV56" s="3415"/>
      <c r="AW56" s="3415"/>
      <c r="AX56" s="3415"/>
      <c r="AY56" s="3415"/>
      <c r="AZ56" s="3415"/>
      <c r="BA56" s="3415"/>
      <c r="BB56" s="3415"/>
      <c r="BC56" s="3415"/>
      <c r="BD56" s="3415"/>
      <c r="BE56" s="3415"/>
      <c r="BF56" s="2521"/>
      <c r="BG56" s="3420"/>
      <c r="BH56" s="3420"/>
      <c r="BI56" s="2698"/>
      <c r="BJ56" s="2521"/>
      <c r="BK56" s="2521"/>
      <c r="BL56" s="3418"/>
      <c r="BM56" s="3418"/>
      <c r="BN56" s="3418"/>
      <c r="BO56" s="3418"/>
      <c r="BP56" s="2456"/>
    </row>
    <row r="57" spans="1:68" s="344" customFormat="1" ht="45" x14ac:dyDescent="0.25">
      <c r="A57" s="383"/>
      <c r="B57" s="384"/>
      <c r="C57" s="384"/>
      <c r="D57" s="3407"/>
      <c r="E57" s="3409"/>
      <c r="F57" s="3410"/>
      <c r="G57" s="361">
        <v>3502007</v>
      </c>
      <c r="H57" s="361" t="s">
        <v>5</v>
      </c>
      <c r="I57" s="436" t="s">
        <v>484</v>
      </c>
      <c r="J57" s="76" t="s">
        <v>6</v>
      </c>
      <c r="K57" s="437">
        <v>5</v>
      </c>
      <c r="L57" s="437">
        <v>3</v>
      </c>
      <c r="M57" s="2416"/>
      <c r="N57" s="2497"/>
      <c r="O57" s="2907"/>
      <c r="P57" s="438">
        <f>+U57/114200000</f>
        <v>0.15640280210157617</v>
      </c>
      <c r="Q57" s="3417"/>
      <c r="R57" s="2441"/>
      <c r="S57" s="2725"/>
      <c r="T57" s="373" t="s">
        <v>485</v>
      </c>
      <c r="U57" s="919">
        <v>17861200</v>
      </c>
      <c r="V57" s="913">
        <v>16794533</v>
      </c>
      <c r="W57" s="879">
        <v>2800000</v>
      </c>
      <c r="X57" s="434">
        <v>20</v>
      </c>
      <c r="Y57" s="226" t="s">
        <v>7</v>
      </c>
      <c r="Z57" s="3416"/>
      <c r="AA57" s="3416"/>
      <c r="AB57" s="3416"/>
      <c r="AC57" s="3416"/>
      <c r="AD57" s="3416"/>
      <c r="AE57" s="3416"/>
      <c r="AF57" s="3416"/>
      <c r="AG57" s="3416"/>
      <c r="AH57" s="3416"/>
      <c r="AI57" s="3416"/>
      <c r="AJ57" s="3416"/>
      <c r="AK57" s="3416"/>
      <c r="AL57" s="3416"/>
      <c r="AM57" s="3416"/>
      <c r="AN57" s="3416"/>
      <c r="AO57" s="3416"/>
      <c r="AP57" s="3416"/>
      <c r="AQ57" s="3416"/>
      <c r="AR57" s="3416"/>
      <c r="AS57" s="3416"/>
      <c r="AT57" s="3416"/>
      <c r="AU57" s="3416"/>
      <c r="AV57" s="3416"/>
      <c r="AW57" s="3416"/>
      <c r="AX57" s="3416"/>
      <c r="AY57" s="3416"/>
      <c r="AZ57" s="3416"/>
      <c r="BA57" s="3416"/>
      <c r="BB57" s="3416"/>
      <c r="BC57" s="3416"/>
      <c r="BD57" s="3416"/>
      <c r="BE57" s="3416"/>
      <c r="BF57" s="2520"/>
      <c r="BG57" s="3421"/>
      <c r="BH57" s="3421"/>
      <c r="BI57" s="3422"/>
      <c r="BJ57" s="2520"/>
      <c r="BK57" s="2520"/>
      <c r="BL57" s="3419"/>
      <c r="BM57" s="3419"/>
      <c r="BN57" s="3419"/>
      <c r="BO57" s="3419"/>
      <c r="BP57" s="2457"/>
    </row>
    <row r="58" spans="1:68" s="344" customFormat="1" ht="15.75" x14ac:dyDescent="0.25">
      <c r="A58" s="439">
        <v>3</v>
      </c>
      <c r="B58" s="440" t="s">
        <v>486</v>
      </c>
      <c r="C58" s="441"/>
      <c r="D58" s="442"/>
      <c r="E58" s="442"/>
      <c r="F58" s="442"/>
      <c r="G58" s="443"/>
      <c r="H58" s="443"/>
      <c r="I58" s="444"/>
      <c r="J58" s="444"/>
      <c r="K58" s="443"/>
      <c r="L58" s="443"/>
      <c r="M58" s="444"/>
      <c r="N58" s="342"/>
      <c r="O58" s="445"/>
      <c r="P58" s="446"/>
      <c r="Q58" s="910"/>
      <c r="R58" s="445"/>
      <c r="S58" s="445"/>
      <c r="T58" s="445"/>
      <c r="U58" s="933"/>
      <c r="V58" s="934"/>
      <c r="W58" s="934"/>
      <c r="X58" s="447"/>
      <c r="Y58" s="444"/>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c r="AW58" s="447"/>
      <c r="AX58" s="447"/>
      <c r="AY58" s="447"/>
      <c r="AZ58" s="447"/>
      <c r="BA58" s="447"/>
      <c r="BB58" s="447"/>
      <c r="BC58" s="447"/>
      <c r="BD58" s="447"/>
      <c r="BE58" s="447"/>
      <c r="BF58" s="447"/>
      <c r="BG58" s="447"/>
      <c r="BH58" s="447"/>
      <c r="BI58" s="447"/>
      <c r="BJ58" s="447"/>
      <c r="BK58" s="447"/>
      <c r="BL58" s="447"/>
      <c r="BM58" s="447"/>
      <c r="BN58" s="447"/>
      <c r="BO58" s="447"/>
      <c r="BP58" s="447"/>
    </row>
    <row r="59" spans="1:68" s="344" customFormat="1" ht="15.75" x14ac:dyDescent="0.25">
      <c r="A59" s="3423"/>
      <c r="B59" s="3424"/>
      <c r="C59" s="3425"/>
      <c r="D59" s="448">
        <v>20</v>
      </c>
      <c r="E59" s="45" t="s">
        <v>487</v>
      </c>
      <c r="F59" s="449"/>
      <c r="G59" s="389"/>
      <c r="H59" s="389"/>
      <c r="I59" s="390"/>
      <c r="J59" s="390"/>
      <c r="K59" s="389"/>
      <c r="L59" s="389"/>
      <c r="M59" s="390"/>
      <c r="N59" s="389"/>
      <c r="O59" s="390"/>
      <c r="P59" s="391"/>
      <c r="Q59" s="905"/>
      <c r="R59" s="390"/>
      <c r="S59" s="390"/>
      <c r="T59" s="390"/>
      <c r="U59" s="923"/>
      <c r="V59" s="923"/>
      <c r="W59" s="923"/>
      <c r="X59" s="392"/>
      <c r="Y59" s="390"/>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2"/>
      <c r="AY59" s="392"/>
      <c r="AZ59" s="392"/>
      <c r="BA59" s="392"/>
      <c r="BB59" s="392"/>
      <c r="BC59" s="392"/>
      <c r="BD59" s="392"/>
      <c r="BE59" s="392"/>
      <c r="BF59" s="392"/>
      <c r="BG59" s="392"/>
      <c r="BH59" s="392"/>
      <c r="BI59" s="392"/>
      <c r="BJ59" s="392"/>
      <c r="BK59" s="392"/>
      <c r="BL59" s="392"/>
      <c r="BM59" s="392"/>
      <c r="BN59" s="392"/>
      <c r="BO59" s="392"/>
      <c r="BP59" s="392"/>
    </row>
    <row r="60" spans="1:68" s="344" customFormat="1" ht="30" x14ac:dyDescent="0.25">
      <c r="A60" s="356"/>
      <c r="B60" s="357"/>
      <c r="C60" s="357"/>
      <c r="D60" s="431"/>
      <c r="E60" s="407"/>
      <c r="F60" s="408"/>
      <c r="G60" s="3364">
        <v>3201013</v>
      </c>
      <c r="H60" s="2891" t="s">
        <v>488</v>
      </c>
      <c r="I60" s="2894" t="s">
        <v>489</v>
      </c>
      <c r="J60" s="2422" t="s">
        <v>490</v>
      </c>
      <c r="K60" s="2324">
        <v>1</v>
      </c>
      <c r="L60" s="2324">
        <v>0</v>
      </c>
      <c r="M60" s="2439" t="s">
        <v>491</v>
      </c>
      <c r="N60" s="2566" t="s">
        <v>492</v>
      </c>
      <c r="O60" s="2894" t="s">
        <v>493</v>
      </c>
      <c r="P60" s="2718">
        <f>+(U60+U61)/Q60</f>
        <v>1</v>
      </c>
      <c r="Q60" s="3280">
        <v>40000000</v>
      </c>
      <c r="R60" s="2439" t="s">
        <v>494</v>
      </c>
      <c r="S60" s="2439" t="s">
        <v>495</v>
      </c>
      <c r="T60" s="373" t="s">
        <v>496</v>
      </c>
      <c r="U60" s="920">
        <v>10000000</v>
      </c>
      <c r="V60" s="920">
        <v>0</v>
      </c>
      <c r="W60" s="920">
        <v>0</v>
      </c>
      <c r="X60" s="435">
        <v>88</v>
      </c>
      <c r="Y60" s="72" t="s">
        <v>4</v>
      </c>
      <c r="Z60" s="2485">
        <v>39408</v>
      </c>
      <c r="AA60" s="2485"/>
      <c r="AB60" s="2485">
        <v>38892</v>
      </c>
      <c r="AC60" s="2485"/>
      <c r="AD60" s="2485">
        <v>15324</v>
      </c>
      <c r="AE60" s="2485"/>
      <c r="AF60" s="2485">
        <v>7104</v>
      </c>
      <c r="AG60" s="2485"/>
      <c r="AH60" s="2485">
        <v>40867</v>
      </c>
      <c r="AI60" s="2485"/>
      <c r="AJ60" s="2485">
        <v>15005</v>
      </c>
      <c r="AK60" s="2485"/>
      <c r="AL60" s="2485"/>
      <c r="AM60" s="2485"/>
      <c r="AN60" s="2485"/>
      <c r="AO60" s="2485"/>
      <c r="AP60" s="2485"/>
      <c r="AQ60" s="2485"/>
      <c r="AR60" s="2485"/>
      <c r="AS60" s="2485"/>
      <c r="AT60" s="2485"/>
      <c r="AU60" s="2485"/>
      <c r="AV60" s="2485"/>
      <c r="AW60" s="2485"/>
      <c r="AX60" s="2485"/>
      <c r="AY60" s="2485"/>
      <c r="AZ60" s="2485"/>
      <c r="BA60" s="2485"/>
      <c r="BB60" s="2485"/>
      <c r="BC60" s="2485"/>
      <c r="BD60" s="2485">
        <v>78300</v>
      </c>
      <c r="BE60" s="2485"/>
      <c r="BF60" s="2324"/>
      <c r="BG60" s="3400">
        <v>0</v>
      </c>
      <c r="BH60" s="3400">
        <v>0</v>
      </c>
      <c r="BI60" s="2718"/>
      <c r="BJ60" s="2318" t="s">
        <v>4</v>
      </c>
      <c r="BK60" s="2324"/>
      <c r="BL60" s="3401">
        <v>44033</v>
      </c>
      <c r="BM60" s="3401"/>
      <c r="BN60" s="3401">
        <v>44195</v>
      </c>
      <c r="BO60" s="3401"/>
      <c r="BP60" s="2318" t="s">
        <v>355</v>
      </c>
    </row>
    <row r="61" spans="1:68" s="344" customFormat="1" ht="30" x14ac:dyDescent="0.25">
      <c r="A61" s="356"/>
      <c r="B61" s="357"/>
      <c r="C61" s="357"/>
      <c r="D61" s="383"/>
      <c r="E61" s="384"/>
      <c r="F61" s="385"/>
      <c r="G61" s="3365"/>
      <c r="H61" s="2893"/>
      <c r="I61" s="2895"/>
      <c r="J61" s="2424"/>
      <c r="K61" s="2736"/>
      <c r="L61" s="2736"/>
      <c r="M61" s="2441"/>
      <c r="N61" s="2969"/>
      <c r="O61" s="2895"/>
      <c r="P61" s="2720"/>
      <c r="Q61" s="3281"/>
      <c r="R61" s="2441"/>
      <c r="S61" s="2441"/>
      <c r="T61" s="450" t="s">
        <v>497</v>
      </c>
      <c r="U61" s="927">
        <v>30000000</v>
      </c>
      <c r="V61" s="927">
        <v>0</v>
      </c>
      <c r="W61" s="927">
        <v>0</v>
      </c>
      <c r="X61" s="435">
        <v>88</v>
      </c>
      <c r="Y61" s="72" t="s">
        <v>4</v>
      </c>
      <c r="Z61" s="2487"/>
      <c r="AA61" s="2487"/>
      <c r="AB61" s="2487"/>
      <c r="AC61" s="2487"/>
      <c r="AD61" s="2487"/>
      <c r="AE61" s="2487"/>
      <c r="AF61" s="2487"/>
      <c r="AG61" s="2487"/>
      <c r="AH61" s="2487"/>
      <c r="AI61" s="2487"/>
      <c r="AJ61" s="2487"/>
      <c r="AK61" s="2487"/>
      <c r="AL61" s="2487"/>
      <c r="AM61" s="2487"/>
      <c r="AN61" s="2487"/>
      <c r="AO61" s="2487"/>
      <c r="AP61" s="2487"/>
      <c r="AQ61" s="2487"/>
      <c r="AR61" s="2487"/>
      <c r="AS61" s="2487"/>
      <c r="AT61" s="2487"/>
      <c r="AU61" s="2487"/>
      <c r="AV61" s="2487"/>
      <c r="AW61" s="2487"/>
      <c r="AX61" s="2487"/>
      <c r="AY61" s="2487"/>
      <c r="AZ61" s="2487"/>
      <c r="BA61" s="2487"/>
      <c r="BB61" s="2487"/>
      <c r="BC61" s="2487"/>
      <c r="BD61" s="2487"/>
      <c r="BE61" s="2487"/>
      <c r="BF61" s="2736"/>
      <c r="BG61" s="3360"/>
      <c r="BH61" s="3360"/>
      <c r="BI61" s="2720"/>
      <c r="BJ61" s="2465"/>
      <c r="BK61" s="2736"/>
      <c r="BL61" s="3356"/>
      <c r="BM61" s="3356"/>
      <c r="BN61" s="3356"/>
      <c r="BO61" s="3356"/>
      <c r="BP61" s="2465"/>
    </row>
    <row r="62" spans="1:68" s="344" customFormat="1" ht="15.75" x14ac:dyDescent="0.25">
      <c r="A62" s="3379"/>
      <c r="B62" s="3380"/>
      <c r="C62" s="3381"/>
      <c r="D62" s="386">
        <v>21</v>
      </c>
      <c r="E62" s="387" t="s">
        <v>498</v>
      </c>
      <c r="F62" s="388"/>
      <c r="G62" s="421"/>
      <c r="H62" s="421"/>
      <c r="I62" s="406"/>
      <c r="J62" s="406"/>
      <c r="K62" s="389"/>
      <c r="L62" s="389"/>
      <c r="M62" s="390"/>
      <c r="N62" s="389"/>
      <c r="O62" s="390"/>
      <c r="P62" s="391"/>
      <c r="Q62" s="905"/>
      <c r="R62" s="390"/>
      <c r="S62" s="390"/>
      <c r="T62" s="406"/>
      <c r="U62" s="925"/>
      <c r="V62" s="925"/>
      <c r="W62" s="925"/>
      <c r="X62" s="405"/>
      <c r="Y62" s="406"/>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392"/>
      <c r="BA62" s="392"/>
      <c r="BB62" s="392"/>
      <c r="BC62" s="392"/>
      <c r="BD62" s="392"/>
      <c r="BE62" s="392"/>
      <c r="BF62" s="392"/>
      <c r="BG62" s="392"/>
      <c r="BH62" s="392"/>
      <c r="BI62" s="392"/>
      <c r="BJ62" s="392"/>
      <c r="BK62" s="392"/>
      <c r="BL62" s="392"/>
      <c r="BM62" s="392"/>
      <c r="BN62" s="392"/>
      <c r="BO62" s="392"/>
      <c r="BP62" s="392"/>
    </row>
    <row r="63" spans="1:68" s="344" customFormat="1" ht="15.75" x14ac:dyDescent="0.25">
      <c r="A63" s="3379"/>
      <c r="B63" s="3380"/>
      <c r="C63" s="3380"/>
      <c r="D63" s="2678"/>
      <c r="E63" s="2251"/>
      <c r="F63" s="3428"/>
      <c r="G63" s="3346">
        <v>3202017</v>
      </c>
      <c r="H63" s="3346" t="s">
        <v>499</v>
      </c>
      <c r="I63" s="2453" t="s">
        <v>500</v>
      </c>
      <c r="J63" s="2413" t="s">
        <v>501</v>
      </c>
      <c r="K63" s="3426">
        <v>1</v>
      </c>
      <c r="L63" s="2325">
        <v>0.45</v>
      </c>
      <c r="M63" s="2439" t="s">
        <v>502</v>
      </c>
      <c r="N63" s="2566" t="s">
        <v>503</v>
      </c>
      <c r="O63" s="2894" t="s">
        <v>504</v>
      </c>
      <c r="P63" s="2718">
        <f>+(U63+U64+U65+U66+U67+U68)/Q63</f>
        <v>1</v>
      </c>
      <c r="Q63" s="2643">
        <v>80000000</v>
      </c>
      <c r="R63" s="2422" t="s">
        <v>505</v>
      </c>
      <c r="S63" s="2929" t="s">
        <v>506</v>
      </c>
      <c r="T63" s="2371" t="s">
        <v>507</v>
      </c>
      <c r="U63" s="879">
        <v>25466667</v>
      </c>
      <c r="V63" s="935">
        <v>19599333</v>
      </c>
      <c r="W63" s="922">
        <v>0</v>
      </c>
      <c r="X63" s="355">
        <v>20</v>
      </c>
      <c r="Y63" s="226" t="s">
        <v>7</v>
      </c>
      <c r="Z63" s="2726">
        <v>252568</v>
      </c>
      <c r="AA63" s="2726">
        <v>150</v>
      </c>
      <c r="AB63" s="2726">
        <v>243650</v>
      </c>
      <c r="AC63" s="2726">
        <v>230</v>
      </c>
      <c r="AD63" s="2726">
        <v>97896</v>
      </c>
      <c r="AE63" s="2726"/>
      <c r="AF63" s="2726">
        <v>53351</v>
      </c>
      <c r="AG63" s="2726"/>
      <c r="AH63" s="2726">
        <v>140316</v>
      </c>
      <c r="AI63" s="2726"/>
      <c r="AJ63" s="2726">
        <v>30825</v>
      </c>
      <c r="AK63" s="2726"/>
      <c r="AL63" s="2726">
        <v>0</v>
      </c>
      <c r="AM63" s="2726"/>
      <c r="AN63" s="2726">
        <v>0</v>
      </c>
      <c r="AO63" s="2726"/>
      <c r="AP63" s="2726">
        <v>0</v>
      </c>
      <c r="AQ63" s="2726"/>
      <c r="AR63" s="2726">
        <v>0</v>
      </c>
      <c r="AS63" s="2726"/>
      <c r="AT63" s="2726">
        <v>0</v>
      </c>
      <c r="AU63" s="2726"/>
      <c r="AV63" s="2726">
        <v>0</v>
      </c>
      <c r="AW63" s="2726"/>
      <c r="AX63" s="2726">
        <v>0</v>
      </c>
      <c r="AY63" s="2726"/>
      <c r="AZ63" s="2726">
        <v>0</v>
      </c>
      <c r="BA63" s="2726"/>
      <c r="BB63" s="2726">
        <v>0</v>
      </c>
      <c r="BC63" s="2726"/>
      <c r="BD63" s="2726">
        <v>496218</v>
      </c>
      <c r="BE63" s="2726">
        <v>380</v>
      </c>
      <c r="BF63" s="3384">
        <v>4</v>
      </c>
      <c r="BG63" s="3390">
        <v>49132666</v>
      </c>
      <c r="BH63" s="3390">
        <v>29533333</v>
      </c>
      <c r="BI63" s="3392">
        <f>+BH63/BG63</f>
        <v>0.60109363900587032</v>
      </c>
      <c r="BJ63" s="3388" t="s">
        <v>353</v>
      </c>
      <c r="BK63" s="3384" t="s">
        <v>508</v>
      </c>
      <c r="BL63" s="3386">
        <v>43832</v>
      </c>
      <c r="BM63" s="3386">
        <v>43857</v>
      </c>
      <c r="BN63" s="3386">
        <v>44195</v>
      </c>
      <c r="BO63" s="3386">
        <v>44183</v>
      </c>
      <c r="BP63" s="3388" t="s">
        <v>355</v>
      </c>
    </row>
    <row r="64" spans="1:68" s="344" customFormat="1" ht="30" x14ac:dyDescent="0.25">
      <c r="A64" s="3379"/>
      <c r="B64" s="3380"/>
      <c r="C64" s="3380"/>
      <c r="D64" s="2679"/>
      <c r="E64" s="2711"/>
      <c r="F64" s="2712"/>
      <c r="G64" s="3346"/>
      <c r="H64" s="3346"/>
      <c r="I64" s="2453"/>
      <c r="J64" s="2413"/>
      <c r="K64" s="3427"/>
      <c r="L64" s="2326"/>
      <c r="M64" s="2440"/>
      <c r="N64" s="2567"/>
      <c r="O64" s="2884"/>
      <c r="P64" s="2719"/>
      <c r="Q64" s="2644"/>
      <c r="R64" s="2423"/>
      <c r="S64" s="2993"/>
      <c r="T64" s="2344"/>
      <c r="U64" s="936">
        <v>1284000</v>
      </c>
      <c r="V64" s="937">
        <v>0</v>
      </c>
      <c r="W64" s="922">
        <v>0</v>
      </c>
      <c r="X64" s="355">
        <v>88</v>
      </c>
      <c r="Y64" s="72" t="s">
        <v>4</v>
      </c>
      <c r="Z64" s="2727"/>
      <c r="AA64" s="2727"/>
      <c r="AB64" s="2727"/>
      <c r="AC64" s="2727"/>
      <c r="AD64" s="2727"/>
      <c r="AE64" s="2727"/>
      <c r="AF64" s="2727"/>
      <c r="AG64" s="2727"/>
      <c r="AH64" s="2727"/>
      <c r="AI64" s="2727"/>
      <c r="AJ64" s="2727"/>
      <c r="AK64" s="2727"/>
      <c r="AL64" s="2727"/>
      <c r="AM64" s="2727"/>
      <c r="AN64" s="2727"/>
      <c r="AO64" s="2727"/>
      <c r="AP64" s="2727"/>
      <c r="AQ64" s="2727"/>
      <c r="AR64" s="2727"/>
      <c r="AS64" s="2727"/>
      <c r="AT64" s="2727"/>
      <c r="AU64" s="2727"/>
      <c r="AV64" s="2727"/>
      <c r="AW64" s="2727"/>
      <c r="AX64" s="2727"/>
      <c r="AY64" s="2727"/>
      <c r="AZ64" s="2727"/>
      <c r="BA64" s="2727"/>
      <c r="BB64" s="2727"/>
      <c r="BC64" s="2727"/>
      <c r="BD64" s="2727"/>
      <c r="BE64" s="2727"/>
      <c r="BF64" s="2778"/>
      <c r="BG64" s="3436"/>
      <c r="BH64" s="3436"/>
      <c r="BI64" s="3437"/>
      <c r="BJ64" s="2778"/>
      <c r="BK64" s="2778"/>
      <c r="BL64" s="3435"/>
      <c r="BM64" s="3435"/>
      <c r="BN64" s="3435"/>
      <c r="BO64" s="3435"/>
      <c r="BP64" s="2458"/>
    </row>
    <row r="65" spans="1:68" s="344" customFormat="1" ht="15.75" x14ac:dyDescent="0.25">
      <c r="A65" s="3379"/>
      <c r="B65" s="3380"/>
      <c r="C65" s="3380"/>
      <c r="D65" s="2679"/>
      <c r="E65" s="2711"/>
      <c r="F65" s="2712"/>
      <c r="G65" s="3346"/>
      <c r="H65" s="3346"/>
      <c r="I65" s="2453"/>
      <c r="J65" s="2413"/>
      <c r="K65" s="3427"/>
      <c r="L65" s="2326"/>
      <c r="M65" s="2440"/>
      <c r="N65" s="2567"/>
      <c r="O65" s="2884"/>
      <c r="P65" s="2719"/>
      <c r="Q65" s="2644"/>
      <c r="R65" s="2423"/>
      <c r="S65" s="2993"/>
      <c r="T65" s="368" t="s">
        <v>509</v>
      </c>
      <c r="U65" s="917">
        <v>29533333</v>
      </c>
      <c r="V65" s="938">
        <v>29533333</v>
      </c>
      <c r="W65" s="922">
        <v>29533333</v>
      </c>
      <c r="X65" s="355">
        <v>20</v>
      </c>
      <c r="Y65" s="226" t="s">
        <v>7</v>
      </c>
      <c r="Z65" s="2727"/>
      <c r="AA65" s="2727"/>
      <c r="AB65" s="2727"/>
      <c r="AC65" s="2727"/>
      <c r="AD65" s="2727"/>
      <c r="AE65" s="2727"/>
      <c r="AF65" s="2727"/>
      <c r="AG65" s="2727"/>
      <c r="AH65" s="2727"/>
      <c r="AI65" s="2727"/>
      <c r="AJ65" s="2727"/>
      <c r="AK65" s="2727"/>
      <c r="AL65" s="2727"/>
      <c r="AM65" s="2727"/>
      <c r="AN65" s="2727"/>
      <c r="AO65" s="2727"/>
      <c r="AP65" s="2727"/>
      <c r="AQ65" s="2727"/>
      <c r="AR65" s="2727"/>
      <c r="AS65" s="2727"/>
      <c r="AT65" s="2727"/>
      <c r="AU65" s="2727"/>
      <c r="AV65" s="2727"/>
      <c r="AW65" s="2727"/>
      <c r="AX65" s="2727"/>
      <c r="AY65" s="2727"/>
      <c r="AZ65" s="2727"/>
      <c r="BA65" s="2727"/>
      <c r="BB65" s="2727"/>
      <c r="BC65" s="2727"/>
      <c r="BD65" s="2727"/>
      <c r="BE65" s="2727"/>
      <c r="BF65" s="2778"/>
      <c r="BG65" s="3436"/>
      <c r="BH65" s="3436"/>
      <c r="BI65" s="3437"/>
      <c r="BJ65" s="2778"/>
      <c r="BK65" s="2778"/>
      <c r="BL65" s="3435"/>
      <c r="BM65" s="3435"/>
      <c r="BN65" s="3435"/>
      <c r="BO65" s="3435"/>
      <c r="BP65" s="2458"/>
    </row>
    <row r="66" spans="1:68" s="344" customFormat="1" ht="30" x14ac:dyDescent="0.25">
      <c r="A66" s="3379"/>
      <c r="B66" s="3380"/>
      <c r="C66" s="3380"/>
      <c r="D66" s="2679"/>
      <c r="E66" s="2711"/>
      <c r="F66" s="2712"/>
      <c r="G66" s="3346"/>
      <c r="H66" s="3346"/>
      <c r="I66" s="2453"/>
      <c r="J66" s="2413"/>
      <c r="K66" s="3427"/>
      <c r="L66" s="2326"/>
      <c r="M66" s="2440"/>
      <c r="N66" s="2567"/>
      <c r="O66" s="2884"/>
      <c r="P66" s="2719"/>
      <c r="Q66" s="2644"/>
      <c r="R66" s="2423"/>
      <c r="S66" s="2993"/>
      <c r="T66" s="368" t="s">
        <v>510</v>
      </c>
      <c r="U66" s="917">
        <v>23716000</v>
      </c>
      <c r="V66" s="938">
        <v>0</v>
      </c>
      <c r="W66" s="922">
        <v>0</v>
      </c>
      <c r="X66" s="355">
        <v>88</v>
      </c>
      <c r="Y66" s="72" t="s">
        <v>4</v>
      </c>
      <c r="Z66" s="2727"/>
      <c r="AA66" s="2727"/>
      <c r="AB66" s="2727"/>
      <c r="AC66" s="2727"/>
      <c r="AD66" s="2727"/>
      <c r="AE66" s="2727"/>
      <c r="AF66" s="2727"/>
      <c r="AG66" s="2727"/>
      <c r="AH66" s="2727"/>
      <c r="AI66" s="2727"/>
      <c r="AJ66" s="2727"/>
      <c r="AK66" s="2727"/>
      <c r="AL66" s="2727"/>
      <c r="AM66" s="2727"/>
      <c r="AN66" s="2727"/>
      <c r="AO66" s="2727"/>
      <c r="AP66" s="2727"/>
      <c r="AQ66" s="2727"/>
      <c r="AR66" s="2727"/>
      <c r="AS66" s="2727"/>
      <c r="AT66" s="2727"/>
      <c r="AU66" s="2727"/>
      <c r="AV66" s="2727"/>
      <c r="AW66" s="2727"/>
      <c r="AX66" s="2727"/>
      <c r="AY66" s="2727"/>
      <c r="AZ66" s="2727"/>
      <c r="BA66" s="2727"/>
      <c r="BB66" s="2727"/>
      <c r="BC66" s="2727"/>
      <c r="BD66" s="2727"/>
      <c r="BE66" s="2727"/>
      <c r="BF66" s="2778"/>
      <c r="BG66" s="3436"/>
      <c r="BH66" s="3436"/>
      <c r="BI66" s="3437"/>
      <c r="BJ66" s="2778"/>
      <c r="BK66" s="2778"/>
      <c r="BL66" s="3435"/>
      <c r="BM66" s="3435"/>
      <c r="BN66" s="3435"/>
      <c r="BO66" s="3435"/>
      <c r="BP66" s="2458"/>
    </row>
    <row r="67" spans="1:68" s="344" customFormat="1" ht="15.75" x14ac:dyDescent="0.25">
      <c r="A67" s="3379"/>
      <c r="B67" s="3380"/>
      <c r="C67" s="3380"/>
      <c r="D67" s="2679"/>
      <c r="E67" s="2711"/>
      <c r="F67" s="2712"/>
      <c r="G67" s="3429"/>
      <c r="H67" s="3429"/>
      <c r="I67" s="3149"/>
      <c r="J67" s="2493"/>
      <c r="K67" s="3427"/>
      <c r="L67" s="2326"/>
      <c r="M67" s="2440"/>
      <c r="N67" s="2567"/>
      <c r="O67" s="2884"/>
      <c r="P67" s="2719"/>
      <c r="Q67" s="2644"/>
      <c r="R67" s="2423"/>
      <c r="S67" s="2993"/>
      <c r="T67" s="2416" t="s">
        <v>511</v>
      </c>
      <c r="U67" s="913">
        <v>0</v>
      </c>
      <c r="V67" s="913">
        <v>0</v>
      </c>
      <c r="W67" s="939">
        <v>0</v>
      </c>
      <c r="X67" s="355">
        <v>20</v>
      </c>
      <c r="Y67" s="226" t="s">
        <v>7</v>
      </c>
      <c r="Z67" s="2727"/>
      <c r="AA67" s="2727"/>
      <c r="AB67" s="2727"/>
      <c r="AC67" s="2727"/>
      <c r="AD67" s="2727"/>
      <c r="AE67" s="2727"/>
      <c r="AF67" s="2727"/>
      <c r="AG67" s="2727"/>
      <c r="AH67" s="2727"/>
      <c r="AI67" s="2727"/>
      <c r="AJ67" s="2727"/>
      <c r="AK67" s="2727"/>
      <c r="AL67" s="2727"/>
      <c r="AM67" s="2727"/>
      <c r="AN67" s="2727"/>
      <c r="AO67" s="2727"/>
      <c r="AP67" s="2727"/>
      <c r="AQ67" s="2727"/>
      <c r="AR67" s="2727"/>
      <c r="AS67" s="2727"/>
      <c r="AT67" s="2727"/>
      <c r="AU67" s="2727"/>
      <c r="AV67" s="2727"/>
      <c r="AW67" s="2727"/>
      <c r="AX67" s="2727"/>
      <c r="AY67" s="2727"/>
      <c r="AZ67" s="2727"/>
      <c r="BA67" s="2727"/>
      <c r="BB67" s="2727"/>
      <c r="BC67" s="2727"/>
      <c r="BD67" s="2727"/>
      <c r="BE67" s="2727"/>
      <c r="BF67" s="2778"/>
      <c r="BG67" s="3436"/>
      <c r="BH67" s="3436"/>
      <c r="BI67" s="3437"/>
      <c r="BJ67" s="2778"/>
      <c r="BK67" s="2778"/>
      <c r="BL67" s="3435"/>
      <c r="BM67" s="3435"/>
      <c r="BN67" s="3435"/>
      <c r="BO67" s="3435"/>
      <c r="BP67" s="2458"/>
    </row>
    <row r="68" spans="1:68" s="344" customFormat="1" ht="30" x14ac:dyDescent="0.25">
      <c r="A68" s="3379"/>
      <c r="B68" s="3380"/>
      <c r="C68" s="3380"/>
      <c r="D68" s="2679"/>
      <c r="E68" s="2711"/>
      <c r="F68" s="2712"/>
      <c r="G68" s="3429"/>
      <c r="H68" s="3429"/>
      <c r="I68" s="3149"/>
      <c r="J68" s="2493"/>
      <c r="K68" s="3427"/>
      <c r="L68" s="2327"/>
      <c r="M68" s="2440"/>
      <c r="N68" s="2567"/>
      <c r="O68" s="2884"/>
      <c r="P68" s="2719"/>
      <c r="Q68" s="2644"/>
      <c r="R68" s="2424"/>
      <c r="S68" s="2930"/>
      <c r="T68" s="2584"/>
      <c r="U68" s="917">
        <v>0</v>
      </c>
      <c r="V68" s="917">
        <v>0</v>
      </c>
      <c r="W68" s="940">
        <v>0</v>
      </c>
      <c r="X68" s="355">
        <v>88</v>
      </c>
      <c r="Y68" s="72" t="s">
        <v>4</v>
      </c>
      <c r="Z68" s="2728"/>
      <c r="AA68" s="2728"/>
      <c r="AB68" s="2728"/>
      <c r="AC68" s="2728"/>
      <c r="AD68" s="2728"/>
      <c r="AE68" s="2728"/>
      <c r="AF68" s="2728"/>
      <c r="AG68" s="2728"/>
      <c r="AH68" s="2728"/>
      <c r="AI68" s="2728"/>
      <c r="AJ68" s="2728"/>
      <c r="AK68" s="2728"/>
      <c r="AL68" s="2728"/>
      <c r="AM68" s="2728"/>
      <c r="AN68" s="2728"/>
      <c r="AO68" s="2728"/>
      <c r="AP68" s="2728"/>
      <c r="AQ68" s="2728"/>
      <c r="AR68" s="2728"/>
      <c r="AS68" s="2728"/>
      <c r="AT68" s="2728"/>
      <c r="AU68" s="2728"/>
      <c r="AV68" s="2728"/>
      <c r="AW68" s="2728"/>
      <c r="AX68" s="2728"/>
      <c r="AY68" s="2728"/>
      <c r="AZ68" s="2728"/>
      <c r="BA68" s="2728"/>
      <c r="BB68" s="2728"/>
      <c r="BC68" s="2728"/>
      <c r="BD68" s="2728"/>
      <c r="BE68" s="2728"/>
      <c r="BF68" s="3385"/>
      <c r="BG68" s="3391"/>
      <c r="BH68" s="3391"/>
      <c r="BI68" s="3393"/>
      <c r="BJ68" s="3385"/>
      <c r="BK68" s="3385"/>
      <c r="BL68" s="3387"/>
      <c r="BM68" s="3387"/>
      <c r="BN68" s="3387"/>
      <c r="BO68" s="3387"/>
      <c r="BP68" s="3389"/>
    </row>
    <row r="69" spans="1:68" s="344" customFormat="1" ht="15.75" x14ac:dyDescent="0.25">
      <c r="A69" s="411"/>
      <c r="B69" s="412"/>
      <c r="C69" s="412"/>
      <c r="D69" s="451"/>
      <c r="E69" s="452"/>
      <c r="F69" s="453"/>
      <c r="G69" s="3346">
        <v>3202037</v>
      </c>
      <c r="H69" s="3308" t="s">
        <v>512</v>
      </c>
      <c r="I69" s="2453" t="s">
        <v>513</v>
      </c>
      <c r="J69" s="2413" t="s">
        <v>514</v>
      </c>
      <c r="K69" s="2358">
        <v>30</v>
      </c>
      <c r="L69" s="2358">
        <v>5</v>
      </c>
      <c r="M69" s="2416" t="s">
        <v>515</v>
      </c>
      <c r="N69" s="2867" t="s">
        <v>516</v>
      </c>
      <c r="O69" s="2453" t="s">
        <v>517</v>
      </c>
      <c r="P69" s="3331">
        <f>+(U69+U70)/Q69</f>
        <v>0.22545649591315178</v>
      </c>
      <c r="Q69" s="3433">
        <v>450049867</v>
      </c>
      <c r="R69" s="3019" t="s">
        <v>518</v>
      </c>
      <c r="S69" s="2929" t="s">
        <v>519</v>
      </c>
      <c r="T69" s="454" t="s">
        <v>520</v>
      </c>
      <c r="U69" s="913">
        <v>48666666</v>
      </c>
      <c r="V69" s="913">
        <v>48666666</v>
      </c>
      <c r="W69" s="913">
        <v>48666666</v>
      </c>
      <c r="X69" s="455">
        <v>20</v>
      </c>
      <c r="Y69" s="226" t="s">
        <v>7</v>
      </c>
      <c r="Z69" s="3430">
        <v>35373</v>
      </c>
      <c r="AA69" s="3430"/>
      <c r="AB69" s="3430">
        <v>33985</v>
      </c>
      <c r="AC69" s="3430"/>
      <c r="AD69" s="3430">
        <v>16632</v>
      </c>
      <c r="AE69" s="3430"/>
      <c r="AF69" s="3430">
        <v>3361</v>
      </c>
      <c r="AG69" s="3430"/>
      <c r="AH69" s="3430">
        <v>39432</v>
      </c>
      <c r="AI69" s="3430"/>
      <c r="AJ69" s="3430">
        <v>9933</v>
      </c>
      <c r="AK69" s="3430"/>
      <c r="AL69" s="3430">
        <v>0</v>
      </c>
      <c r="AM69" s="3430"/>
      <c r="AN69" s="3430">
        <v>0</v>
      </c>
      <c r="AO69" s="3430"/>
      <c r="AP69" s="3430">
        <v>0</v>
      </c>
      <c r="AQ69" s="3430"/>
      <c r="AR69" s="3430">
        <v>0</v>
      </c>
      <c r="AS69" s="3430"/>
      <c r="AT69" s="3430">
        <v>0</v>
      </c>
      <c r="AU69" s="3430"/>
      <c r="AV69" s="3430">
        <v>0</v>
      </c>
      <c r="AW69" s="3430"/>
      <c r="AX69" s="3430">
        <v>0</v>
      </c>
      <c r="AY69" s="3430"/>
      <c r="AZ69" s="3430">
        <v>0</v>
      </c>
      <c r="BA69" s="3430"/>
      <c r="BB69" s="3430">
        <v>0</v>
      </c>
      <c r="BC69" s="3430"/>
      <c r="BD69" s="3430">
        <v>69358</v>
      </c>
      <c r="BE69" s="3430"/>
      <c r="BF69" s="3438">
        <v>21</v>
      </c>
      <c r="BG69" s="3440">
        <v>152666664</v>
      </c>
      <c r="BH69" s="3440">
        <v>51466666</v>
      </c>
      <c r="BI69" s="3443">
        <f>+BH69/BG69</f>
        <v>0.33711790545184112</v>
      </c>
      <c r="BJ69" s="3446" t="s">
        <v>353</v>
      </c>
      <c r="BK69" s="3438" t="s">
        <v>521</v>
      </c>
      <c r="BL69" s="3453">
        <v>43832</v>
      </c>
      <c r="BM69" s="3453">
        <v>43885</v>
      </c>
      <c r="BN69" s="3453">
        <v>44195</v>
      </c>
      <c r="BO69" s="3453">
        <v>44190</v>
      </c>
      <c r="BP69" s="2475" t="s">
        <v>355</v>
      </c>
    </row>
    <row r="70" spans="1:68" s="344" customFormat="1" ht="52.5" customHeight="1" x14ac:dyDescent="0.25">
      <c r="A70" s="356"/>
      <c r="B70" s="357"/>
      <c r="C70" s="357"/>
      <c r="D70" s="356"/>
      <c r="E70" s="357"/>
      <c r="F70" s="367"/>
      <c r="G70" s="3346"/>
      <c r="H70" s="3308"/>
      <c r="I70" s="2453"/>
      <c r="J70" s="2413"/>
      <c r="K70" s="2360"/>
      <c r="L70" s="2359"/>
      <c r="M70" s="2416"/>
      <c r="N70" s="2867"/>
      <c r="O70" s="2453"/>
      <c r="P70" s="3331"/>
      <c r="Q70" s="3434"/>
      <c r="R70" s="3020"/>
      <c r="S70" s="2993"/>
      <c r="T70" s="358" t="s">
        <v>385</v>
      </c>
      <c r="U70" s="941">
        <v>52800000</v>
      </c>
      <c r="V70" s="942">
        <v>0</v>
      </c>
      <c r="W70" s="943">
        <v>0</v>
      </c>
      <c r="X70" s="456">
        <v>88</v>
      </c>
      <c r="Y70" s="72" t="s">
        <v>4</v>
      </c>
      <c r="Z70" s="3431"/>
      <c r="AA70" s="3431"/>
      <c r="AB70" s="3431"/>
      <c r="AC70" s="3431"/>
      <c r="AD70" s="3431"/>
      <c r="AE70" s="3431"/>
      <c r="AF70" s="3431"/>
      <c r="AG70" s="3431"/>
      <c r="AH70" s="3431"/>
      <c r="AI70" s="3431"/>
      <c r="AJ70" s="3431"/>
      <c r="AK70" s="3431"/>
      <c r="AL70" s="3431"/>
      <c r="AM70" s="3431"/>
      <c r="AN70" s="3431"/>
      <c r="AO70" s="3431"/>
      <c r="AP70" s="3431"/>
      <c r="AQ70" s="3431"/>
      <c r="AR70" s="3431"/>
      <c r="AS70" s="3431"/>
      <c r="AT70" s="3431"/>
      <c r="AU70" s="3431"/>
      <c r="AV70" s="3431"/>
      <c r="AW70" s="3431"/>
      <c r="AX70" s="3431"/>
      <c r="AY70" s="3431"/>
      <c r="AZ70" s="3431"/>
      <c r="BA70" s="3431"/>
      <c r="BB70" s="3431"/>
      <c r="BC70" s="3431"/>
      <c r="BD70" s="3431"/>
      <c r="BE70" s="3431"/>
      <c r="BF70" s="3439"/>
      <c r="BG70" s="3441"/>
      <c r="BH70" s="3441"/>
      <c r="BI70" s="3444"/>
      <c r="BJ70" s="3439"/>
      <c r="BK70" s="3439"/>
      <c r="BL70" s="3454"/>
      <c r="BM70" s="3454"/>
      <c r="BN70" s="3454"/>
      <c r="BO70" s="3454"/>
      <c r="BP70" s="2475"/>
    </row>
    <row r="71" spans="1:68" s="344" customFormat="1" ht="30" x14ac:dyDescent="0.25">
      <c r="A71" s="356"/>
      <c r="B71" s="357"/>
      <c r="C71" s="357"/>
      <c r="D71" s="356"/>
      <c r="E71" s="357"/>
      <c r="F71" s="367"/>
      <c r="G71" s="3452" t="s">
        <v>208</v>
      </c>
      <c r="H71" s="2867" t="s">
        <v>522</v>
      </c>
      <c r="I71" s="2453" t="s">
        <v>523</v>
      </c>
      <c r="J71" s="2413" t="s">
        <v>524</v>
      </c>
      <c r="K71" s="3341">
        <v>20</v>
      </c>
      <c r="L71" s="3451">
        <v>3</v>
      </c>
      <c r="M71" s="2745"/>
      <c r="N71" s="2867"/>
      <c r="O71" s="2453"/>
      <c r="P71" s="3331">
        <f>+(U71+U72+U73+U74+U75)/Q69</f>
        <v>0.77454350408684824</v>
      </c>
      <c r="Q71" s="3434"/>
      <c r="R71" s="3020"/>
      <c r="S71" s="2993"/>
      <c r="T71" s="376" t="s">
        <v>525</v>
      </c>
      <c r="U71" s="921">
        <v>97200000</v>
      </c>
      <c r="V71" s="918">
        <v>0</v>
      </c>
      <c r="W71" s="922">
        <v>0</v>
      </c>
      <c r="X71" s="456">
        <v>88</v>
      </c>
      <c r="Y71" s="72" t="s">
        <v>4</v>
      </c>
      <c r="Z71" s="3431"/>
      <c r="AA71" s="3431"/>
      <c r="AB71" s="3431"/>
      <c r="AC71" s="3431"/>
      <c r="AD71" s="3431"/>
      <c r="AE71" s="3431"/>
      <c r="AF71" s="3431"/>
      <c r="AG71" s="3431"/>
      <c r="AH71" s="3431"/>
      <c r="AI71" s="3431"/>
      <c r="AJ71" s="3431"/>
      <c r="AK71" s="3431"/>
      <c r="AL71" s="3431"/>
      <c r="AM71" s="3431"/>
      <c r="AN71" s="3431"/>
      <c r="AO71" s="3431"/>
      <c r="AP71" s="3431"/>
      <c r="AQ71" s="3431"/>
      <c r="AR71" s="3431"/>
      <c r="AS71" s="3431"/>
      <c r="AT71" s="3431"/>
      <c r="AU71" s="3431"/>
      <c r="AV71" s="3431"/>
      <c r="AW71" s="3431"/>
      <c r="AX71" s="3431"/>
      <c r="AY71" s="3431"/>
      <c r="AZ71" s="3431"/>
      <c r="BA71" s="3431"/>
      <c r="BB71" s="3431"/>
      <c r="BC71" s="3431"/>
      <c r="BD71" s="3431"/>
      <c r="BE71" s="3431"/>
      <c r="BF71" s="3439"/>
      <c r="BG71" s="3441"/>
      <c r="BH71" s="3441"/>
      <c r="BI71" s="3444"/>
      <c r="BJ71" s="3439"/>
      <c r="BK71" s="3439"/>
      <c r="BL71" s="3454"/>
      <c r="BM71" s="3454"/>
      <c r="BN71" s="3454"/>
      <c r="BO71" s="3454"/>
      <c r="BP71" s="2475"/>
    </row>
    <row r="72" spans="1:68" s="344" customFormat="1" ht="45" x14ac:dyDescent="0.25">
      <c r="A72" s="356"/>
      <c r="B72" s="357"/>
      <c r="C72" s="357"/>
      <c r="D72" s="356"/>
      <c r="E72" s="357"/>
      <c r="F72" s="367"/>
      <c r="G72" s="3452"/>
      <c r="H72" s="2867"/>
      <c r="I72" s="2453"/>
      <c r="J72" s="2413"/>
      <c r="K72" s="3341"/>
      <c r="L72" s="3451"/>
      <c r="M72" s="2745"/>
      <c r="N72" s="2867"/>
      <c r="O72" s="2453"/>
      <c r="P72" s="3331"/>
      <c r="Q72" s="3434"/>
      <c r="R72" s="3020"/>
      <c r="S72" s="2993"/>
      <c r="T72" s="376" t="s">
        <v>526</v>
      </c>
      <c r="U72" s="921">
        <v>15000000</v>
      </c>
      <c r="V72" s="918">
        <v>0</v>
      </c>
      <c r="W72" s="922">
        <v>0</v>
      </c>
      <c r="X72" s="456">
        <v>88</v>
      </c>
      <c r="Y72" s="72" t="s">
        <v>4</v>
      </c>
      <c r="Z72" s="3431"/>
      <c r="AA72" s="3431"/>
      <c r="AB72" s="3431"/>
      <c r="AC72" s="3431"/>
      <c r="AD72" s="3431"/>
      <c r="AE72" s="3431"/>
      <c r="AF72" s="3431"/>
      <c r="AG72" s="3431"/>
      <c r="AH72" s="3431"/>
      <c r="AI72" s="3431"/>
      <c r="AJ72" s="3431"/>
      <c r="AK72" s="3431"/>
      <c r="AL72" s="3431"/>
      <c r="AM72" s="3431"/>
      <c r="AN72" s="3431"/>
      <c r="AO72" s="3431"/>
      <c r="AP72" s="3431"/>
      <c r="AQ72" s="3431"/>
      <c r="AR72" s="3431"/>
      <c r="AS72" s="3431"/>
      <c r="AT72" s="3431"/>
      <c r="AU72" s="3431"/>
      <c r="AV72" s="3431"/>
      <c r="AW72" s="3431"/>
      <c r="AX72" s="3431"/>
      <c r="AY72" s="3431"/>
      <c r="AZ72" s="3431"/>
      <c r="BA72" s="3431"/>
      <c r="BB72" s="3431"/>
      <c r="BC72" s="3431"/>
      <c r="BD72" s="3431"/>
      <c r="BE72" s="3431"/>
      <c r="BF72" s="3439"/>
      <c r="BG72" s="3441"/>
      <c r="BH72" s="3441"/>
      <c r="BI72" s="3444"/>
      <c r="BJ72" s="3439"/>
      <c r="BK72" s="3439"/>
      <c r="BL72" s="3454"/>
      <c r="BM72" s="3454"/>
      <c r="BN72" s="3454"/>
      <c r="BO72" s="3454"/>
      <c r="BP72" s="2475"/>
    </row>
    <row r="73" spans="1:68" s="344" customFormat="1" ht="30" x14ac:dyDescent="0.25">
      <c r="A73" s="356"/>
      <c r="B73" s="357"/>
      <c r="C73" s="357"/>
      <c r="D73" s="356"/>
      <c r="E73" s="357"/>
      <c r="F73" s="367"/>
      <c r="G73" s="3452"/>
      <c r="H73" s="2867"/>
      <c r="I73" s="2453"/>
      <c r="J73" s="2413"/>
      <c r="K73" s="3341"/>
      <c r="L73" s="3451"/>
      <c r="M73" s="2745"/>
      <c r="N73" s="2867"/>
      <c r="O73" s="2453"/>
      <c r="P73" s="3331"/>
      <c r="Q73" s="3434"/>
      <c r="R73" s="3020"/>
      <c r="S73" s="2993"/>
      <c r="T73" s="376" t="s">
        <v>385</v>
      </c>
      <c r="U73" s="921">
        <v>50000000</v>
      </c>
      <c r="V73" s="918">
        <v>0</v>
      </c>
      <c r="W73" s="922">
        <v>0</v>
      </c>
      <c r="X73" s="456">
        <v>88</v>
      </c>
      <c r="Y73" s="72" t="s">
        <v>4</v>
      </c>
      <c r="Z73" s="3431"/>
      <c r="AA73" s="3431"/>
      <c r="AB73" s="3431"/>
      <c r="AC73" s="3431"/>
      <c r="AD73" s="3431"/>
      <c r="AE73" s="3431"/>
      <c r="AF73" s="3431"/>
      <c r="AG73" s="3431"/>
      <c r="AH73" s="3431"/>
      <c r="AI73" s="3431"/>
      <c r="AJ73" s="3431"/>
      <c r="AK73" s="3431"/>
      <c r="AL73" s="3431"/>
      <c r="AM73" s="3431"/>
      <c r="AN73" s="3431"/>
      <c r="AO73" s="3431"/>
      <c r="AP73" s="3431"/>
      <c r="AQ73" s="3431"/>
      <c r="AR73" s="3431"/>
      <c r="AS73" s="3431"/>
      <c r="AT73" s="3431"/>
      <c r="AU73" s="3431"/>
      <c r="AV73" s="3431"/>
      <c r="AW73" s="3431"/>
      <c r="AX73" s="3431"/>
      <c r="AY73" s="3431"/>
      <c r="AZ73" s="3431"/>
      <c r="BA73" s="3431"/>
      <c r="BB73" s="3431"/>
      <c r="BC73" s="3431"/>
      <c r="BD73" s="3431"/>
      <c r="BE73" s="3431"/>
      <c r="BF73" s="3439"/>
      <c r="BG73" s="3441"/>
      <c r="BH73" s="3441"/>
      <c r="BI73" s="3444"/>
      <c r="BJ73" s="3439"/>
      <c r="BK73" s="3439"/>
      <c r="BL73" s="3454"/>
      <c r="BM73" s="3454"/>
      <c r="BN73" s="3454"/>
      <c r="BO73" s="3454"/>
      <c r="BP73" s="2475"/>
    </row>
    <row r="74" spans="1:68" s="344" customFormat="1" ht="30" x14ac:dyDescent="0.25">
      <c r="A74" s="356"/>
      <c r="B74" s="357"/>
      <c r="C74" s="357"/>
      <c r="D74" s="356"/>
      <c r="E74" s="357"/>
      <c r="F74" s="367"/>
      <c r="G74" s="3452"/>
      <c r="H74" s="2867"/>
      <c r="I74" s="2453"/>
      <c r="J74" s="2413"/>
      <c r="K74" s="3341"/>
      <c r="L74" s="3451"/>
      <c r="M74" s="2745"/>
      <c r="N74" s="2867"/>
      <c r="O74" s="2453"/>
      <c r="P74" s="3331"/>
      <c r="Q74" s="3434"/>
      <c r="R74" s="3020"/>
      <c r="S74" s="2993"/>
      <c r="T74" s="376" t="s">
        <v>523</v>
      </c>
      <c r="U74" s="921">
        <v>138383201</v>
      </c>
      <c r="V74" s="918">
        <v>103999998</v>
      </c>
      <c r="W74" s="922">
        <v>2800000</v>
      </c>
      <c r="X74" s="456">
        <v>88</v>
      </c>
      <c r="Y74" s="72" t="s">
        <v>4</v>
      </c>
      <c r="Z74" s="3431"/>
      <c r="AA74" s="3431"/>
      <c r="AB74" s="3431"/>
      <c r="AC74" s="3431"/>
      <c r="AD74" s="3431"/>
      <c r="AE74" s="3431"/>
      <c r="AF74" s="3431"/>
      <c r="AG74" s="3431"/>
      <c r="AH74" s="3431"/>
      <c r="AI74" s="3431"/>
      <c r="AJ74" s="3431"/>
      <c r="AK74" s="3431"/>
      <c r="AL74" s="3431"/>
      <c r="AM74" s="3431"/>
      <c r="AN74" s="3431"/>
      <c r="AO74" s="3431"/>
      <c r="AP74" s="3431"/>
      <c r="AQ74" s="3431"/>
      <c r="AR74" s="3431"/>
      <c r="AS74" s="3431"/>
      <c r="AT74" s="3431"/>
      <c r="AU74" s="3431"/>
      <c r="AV74" s="3431"/>
      <c r="AW74" s="3431"/>
      <c r="AX74" s="3431"/>
      <c r="AY74" s="3431"/>
      <c r="AZ74" s="3431"/>
      <c r="BA74" s="3431"/>
      <c r="BB74" s="3431"/>
      <c r="BC74" s="3431"/>
      <c r="BD74" s="3431"/>
      <c r="BE74" s="3431"/>
      <c r="BF74" s="3439"/>
      <c r="BG74" s="3441"/>
      <c r="BH74" s="3441"/>
      <c r="BI74" s="3444"/>
      <c r="BJ74" s="3439"/>
      <c r="BK74" s="3439"/>
      <c r="BL74" s="3454"/>
      <c r="BM74" s="3454"/>
      <c r="BN74" s="3454"/>
      <c r="BO74" s="3454"/>
      <c r="BP74" s="2475"/>
    </row>
    <row r="75" spans="1:68" s="344" customFormat="1" ht="30" x14ac:dyDescent="0.25">
      <c r="A75" s="356"/>
      <c r="B75" s="357"/>
      <c r="C75" s="357"/>
      <c r="D75" s="356"/>
      <c r="E75" s="357"/>
      <c r="F75" s="367"/>
      <c r="G75" s="3452"/>
      <c r="H75" s="2867"/>
      <c r="I75" s="2453"/>
      <c r="J75" s="2413"/>
      <c r="K75" s="3342"/>
      <c r="L75" s="3451"/>
      <c r="M75" s="2745"/>
      <c r="N75" s="2867"/>
      <c r="O75" s="2453"/>
      <c r="P75" s="3332"/>
      <c r="Q75" s="3434"/>
      <c r="R75" s="3021"/>
      <c r="S75" s="2930"/>
      <c r="T75" s="457" t="s">
        <v>527</v>
      </c>
      <c r="U75" s="944">
        <v>48000000</v>
      </c>
      <c r="V75" s="945">
        <v>0</v>
      </c>
      <c r="W75" s="938">
        <v>0</v>
      </c>
      <c r="X75" s="458">
        <v>88</v>
      </c>
      <c r="Y75" s="72" t="s">
        <v>4</v>
      </c>
      <c r="Z75" s="3432"/>
      <c r="AA75" s="3432"/>
      <c r="AB75" s="3432"/>
      <c r="AC75" s="3432"/>
      <c r="AD75" s="3432"/>
      <c r="AE75" s="3432"/>
      <c r="AF75" s="3432"/>
      <c r="AG75" s="3432"/>
      <c r="AH75" s="3432"/>
      <c r="AI75" s="3432"/>
      <c r="AJ75" s="3432"/>
      <c r="AK75" s="3432"/>
      <c r="AL75" s="3432"/>
      <c r="AM75" s="3432"/>
      <c r="AN75" s="3432"/>
      <c r="AO75" s="3432"/>
      <c r="AP75" s="3432"/>
      <c r="AQ75" s="3432"/>
      <c r="AR75" s="3432"/>
      <c r="AS75" s="3432"/>
      <c r="AT75" s="3432"/>
      <c r="AU75" s="3432"/>
      <c r="AV75" s="3432"/>
      <c r="AW75" s="3432"/>
      <c r="AX75" s="3432"/>
      <c r="AY75" s="3432"/>
      <c r="AZ75" s="3432"/>
      <c r="BA75" s="3432"/>
      <c r="BB75" s="3432"/>
      <c r="BC75" s="3432"/>
      <c r="BD75" s="3432"/>
      <c r="BE75" s="3432"/>
      <c r="BF75" s="3340"/>
      <c r="BG75" s="3442"/>
      <c r="BH75" s="3442"/>
      <c r="BI75" s="3445"/>
      <c r="BJ75" s="3340"/>
      <c r="BK75" s="3340"/>
      <c r="BL75" s="3455"/>
      <c r="BM75" s="3455"/>
      <c r="BN75" s="3455"/>
      <c r="BO75" s="3455"/>
      <c r="BP75" s="2475"/>
    </row>
    <row r="76" spans="1:68" s="344" customFormat="1" ht="30" x14ac:dyDescent="0.25">
      <c r="A76" s="356"/>
      <c r="B76" s="357"/>
      <c r="C76" s="357"/>
      <c r="D76" s="356"/>
      <c r="E76" s="357"/>
      <c r="F76" s="367"/>
      <c r="G76" s="3447" t="s">
        <v>208</v>
      </c>
      <c r="H76" s="3448" t="s">
        <v>528</v>
      </c>
      <c r="I76" s="3449" t="s">
        <v>529</v>
      </c>
      <c r="J76" s="3450" t="s">
        <v>530</v>
      </c>
      <c r="K76" s="3451">
        <v>1</v>
      </c>
      <c r="L76" s="3451">
        <v>0</v>
      </c>
      <c r="M76" s="3460" t="s">
        <v>531</v>
      </c>
      <c r="N76" s="3448" t="s">
        <v>532</v>
      </c>
      <c r="O76" s="3461" t="s">
        <v>533</v>
      </c>
      <c r="P76" s="3331">
        <f>+(U76+U77)/Q76</f>
        <v>1</v>
      </c>
      <c r="Q76" s="3462">
        <v>30000000</v>
      </c>
      <c r="R76" s="3463" t="s">
        <v>534</v>
      </c>
      <c r="S76" s="3458" t="s">
        <v>535</v>
      </c>
      <c r="T76" s="358" t="s">
        <v>536</v>
      </c>
      <c r="U76" s="913">
        <v>15000000</v>
      </c>
      <c r="V76" s="913">
        <v>11874999</v>
      </c>
      <c r="W76" s="938">
        <v>0</v>
      </c>
      <c r="X76" s="355">
        <v>88</v>
      </c>
      <c r="Y76" s="72" t="s">
        <v>4</v>
      </c>
      <c r="Z76" s="3456">
        <v>5060</v>
      </c>
      <c r="AA76" s="3456"/>
      <c r="AB76" s="3456">
        <v>6100</v>
      </c>
      <c r="AC76" s="3456"/>
      <c r="AD76" s="3456">
        <v>2550</v>
      </c>
      <c r="AE76" s="3456"/>
      <c r="AF76" s="3456">
        <v>2150</v>
      </c>
      <c r="AG76" s="3456"/>
      <c r="AH76" s="3456">
        <v>5500</v>
      </c>
      <c r="AI76" s="3456"/>
      <c r="AJ76" s="3456">
        <v>960</v>
      </c>
      <c r="AK76" s="3456"/>
      <c r="AL76" s="3456"/>
      <c r="AM76" s="3456"/>
      <c r="AN76" s="3456"/>
      <c r="AO76" s="3456"/>
      <c r="AP76" s="3456"/>
      <c r="AQ76" s="3456"/>
      <c r="AR76" s="3456"/>
      <c r="AS76" s="3456"/>
      <c r="AT76" s="3456"/>
      <c r="AU76" s="3456"/>
      <c r="AV76" s="3456"/>
      <c r="AW76" s="3456"/>
      <c r="AX76" s="3456"/>
      <c r="AY76" s="3456"/>
      <c r="AZ76" s="3456"/>
      <c r="BA76" s="3456"/>
      <c r="BB76" s="3456"/>
      <c r="BC76" s="3456"/>
      <c r="BD76" s="3456">
        <v>11160</v>
      </c>
      <c r="BE76" s="3456"/>
      <c r="BF76" s="2519">
        <v>2</v>
      </c>
      <c r="BG76" s="3350">
        <v>11874999</v>
      </c>
      <c r="BH76" s="3350">
        <v>0</v>
      </c>
      <c r="BI76" s="3332">
        <f>+BH76/BG76</f>
        <v>0</v>
      </c>
      <c r="BJ76" s="2522" t="s">
        <v>4</v>
      </c>
      <c r="BK76" s="2519" t="s">
        <v>521</v>
      </c>
      <c r="BL76" s="3348">
        <v>44033</v>
      </c>
      <c r="BM76" s="3348">
        <v>44091</v>
      </c>
      <c r="BN76" s="3348">
        <v>44195</v>
      </c>
      <c r="BO76" s="3348">
        <v>44185</v>
      </c>
      <c r="BP76" s="2456" t="s">
        <v>355</v>
      </c>
    </row>
    <row r="77" spans="1:68" s="344" customFormat="1" ht="30" x14ac:dyDescent="0.25">
      <c r="A77" s="356"/>
      <c r="B77" s="357"/>
      <c r="C77" s="357"/>
      <c r="D77" s="356"/>
      <c r="E77" s="357"/>
      <c r="F77" s="367"/>
      <c r="G77" s="2880"/>
      <c r="H77" s="2969"/>
      <c r="I77" s="2895"/>
      <c r="J77" s="2424"/>
      <c r="K77" s="3451"/>
      <c r="L77" s="3451"/>
      <c r="M77" s="2441"/>
      <c r="N77" s="2969"/>
      <c r="O77" s="2907"/>
      <c r="P77" s="3331"/>
      <c r="Q77" s="3462"/>
      <c r="R77" s="3464"/>
      <c r="S77" s="3459"/>
      <c r="T77" s="358" t="s">
        <v>537</v>
      </c>
      <c r="U77" s="913">
        <v>15000000</v>
      </c>
      <c r="V77" s="922">
        <v>0</v>
      </c>
      <c r="W77" s="913">
        <v>0</v>
      </c>
      <c r="X77" s="459">
        <v>88</v>
      </c>
      <c r="Y77" s="72" t="s">
        <v>4</v>
      </c>
      <c r="Z77" s="3457"/>
      <c r="AA77" s="3457"/>
      <c r="AB77" s="3457"/>
      <c r="AC77" s="3457"/>
      <c r="AD77" s="3457"/>
      <c r="AE77" s="3457"/>
      <c r="AF77" s="3457"/>
      <c r="AG77" s="3457"/>
      <c r="AH77" s="3457"/>
      <c r="AI77" s="3457"/>
      <c r="AJ77" s="3457"/>
      <c r="AK77" s="3457"/>
      <c r="AL77" s="3457"/>
      <c r="AM77" s="3457"/>
      <c r="AN77" s="3457"/>
      <c r="AO77" s="3457"/>
      <c r="AP77" s="3457"/>
      <c r="AQ77" s="3457"/>
      <c r="AR77" s="3457"/>
      <c r="AS77" s="3457"/>
      <c r="AT77" s="3457"/>
      <c r="AU77" s="3457"/>
      <c r="AV77" s="3457"/>
      <c r="AW77" s="3457"/>
      <c r="AX77" s="3457"/>
      <c r="AY77" s="3457"/>
      <c r="AZ77" s="3457"/>
      <c r="BA77" s="3457"/>
      <c r="BB77" s="3457"/>
      <c r="BC77" s="3457"/>
      <c r="BD77" s="3457"/>
      <c r="BE77" s="3457"/>
      <c r="BF77" s="2520"/>
      <c r="BG77" s="3421"/>
      <c r="BH77" s="3421"/>
      <c r="BI77" s="3422"/>
      <c r="BJ77" s="2457"/>
      <c r="BK77" s="2520"/>
      <c r="BL77" s="3419"/>
      <c r="BM77" s="3419"/>
      <c r="BN77" s="3419"/>
      <c r="BO77" s="3419"/>
      <c r="BP77" s="2457"/>
    </row>
    <row r="78" spans="1:68" s="344" customFormat="1" ht="15.75" x14ac:dyDescent="0.25">
      <c r="A78" s="356"/>
      <c r="B78" s="357"/>
      <c r="C78" s="357"/>
      <c r="D78" s="356"/>
      <c r="E78" s="357"/>
      <c r="F78" s="367"/>
      <c r="G78" s="3157" t="s">
        <v>208</v>
      </c>
      <c r="H78" s="2566" t="s">
        <v>538</v>
      </c>
      <c r="I78" s="2894" t="s">
        <v>539</v>
      </c>
      <c r="J78" s="2422" t="s">
        <v>540</v>
      </c>
      <c r="K78" s="2324">
        <v>1</v>
      </c>
      <c r="L78" s="2324">
        <v>0.4</v>
      </c>
      <c r="M78" s="2439" t="s">
        <v>541</v>
      </c>
      <c r="N78" s="2306" t="s">
        <v>542</v>
      </c>
      <c r="O78" s="2894" t="s">
        <v>543</v>
      </c>
      <c r="P78" s="2719">
        <f>+(U78+U79+U80)/(90000000)</f>
        <v>0.44444444444444442</v>
      </c>
      <c r="Q78" s="3465">
        <v>40000000</v>
      </c>
      <c r="R78" s="2439" t="s">
        <v>544</v>
      </c>
      <c r="S78" s="2439" t="s">
        <v>545</v>
      </c>
      <c r="T78" s="376" t="s">
        <v>546</v>
      </c>
      <c r="U78" s="921">
        <v>5500000</v>
      </c>
      <c r="V78" s="921">
        <v>5500000</v>
      </c>
      <c r="W78" s="918">
        <v>5500000</v>
      </c>
      <c r="X78" s="456">
        <v>20</v>
      </c>
      <c r="Y78" s="354" t="s">
        <v>7</v>
      </c>
      <c r="Z78" s="2727">
        <v>40906</v>
      </c>
      <c r="AA78" s="2727">
        <v>13</v>
      </c>
      <c r="AB78" s="2727">
        <v>37728</v>
      </c>
      <c r="AC78" s="2727">
        <v>25</v>
      </c>
      <c r="AD78" s="2727">
        <v>16790</v>
      </c>
      <c r="AE78" s="2727"/>
      <c r="AF78" s="2727">
        <v>8871</v>
      </c>
      <c r="AG78" s="2727"/>
      <c r="AH78" s="2727">
        <v>46240</v>
      </c>
      <c r="AI78" s="2727"/>
      <c r="AJ78" s="3466">
        <v>10814</v>
      </c>
      <c r="AK78" s="3466"/>
      <c r="AL78" s="3466">
        <v>0</v>
      </c>
      <c r="AM78" s="3466"/>
      <c r="AN78" s="3466">
        <v>0</v>
      </c>
      <c r="AO78" s="3466"/>
      <c r="AP78" s="3466">
        <v>0</v>
      </c>
      <c r="AQ78" s="3466"/>
      <c r="AR78" s="3466">
        <v>0</v>
      </c>
      <c r="AS78" s="3466"/>
      <c r="AT78" s="3466">
        <v>0</v>
      </c>
      <c r="AU78" s="3466"/>
      <c r="AV78" s="3466">
        <v>0</v>
      </c>
      <c r="AW78" s="3466"/>
      <c r="AX78" s="3466"/>
      <c r="AY78" s="3466"/>
      <c r="AZ78" s="3466"/>
      <c r="BA78" s="3466"/>
      <c r="BB78" s="3466"/>
      <c r="BC78" s="3466"/>
      <c r="BD78" s="3466">
        <v>78634</v>
      </c>
      <c r="BE78" s="3466">
        <v>38</v>
      </c>
      <c r="BF78" s="3468">
        <v>1</v>
      </c>
      <c r="BG78" s="3471">
        <v>16700000</v>
      </c>
      <c r="BH78" s="3471">
        <v>5500000</v>
      </c>
      <c r="BI78" s="3472">
        <f>+BH78/BG78</f>
        <v>0.32934131736526945</v>
      </c>
      <c r="BJ78" s="3470" t="s">
        <v>353</v>
      </c>
      <c r="BK78" s="3468" t="s">
        <v>521</v>
      </c>
      <c r="BL78" s="3469">
        <v>43832</v>
      </c>
      <c r="BM78" s="3469">
        <v>43864</v>
      </c>
      <c r="BN78" s="3469">
        <v>44195</v>
      </c>
      <c r="BO78" s="3469">
        <v>44195</v>
      </c>
      <c r="BP78" s="3470" t="s">
        <v>355</v>
      </c>
    </row>
    <row r="79" spans="1:68" s="344" customFormat="1" ht="30" x14ac:dyDescent="0.25">
      <c r="A79" s="356"/>
      <c r="B79" s="357"/>
      <c r="C79" s="357"/>
      <c r="D79" s="356"/>
      <c r="E79" s="357"/>
      <c r="F79" s="367"/>
      <c r="G79" s="2879"/>
      <c r="H79" s="2567"/>
      <c r="I79" s="2884"/>
      <c r="J79" s="2423"/>
      <c r="K79" s="2321"/>
      <c r="L79" s="2321"/>
      <c r="M79" s="2440"/>
      <c r="N79" s="2307"/>
      <c r="O79" s="2884"/>
      <c r="P79" s="2719"/>
      <c r="Q79" s="3465"/>
      <c r="R79" s="2440"/>
      <c r="S79" s="2440"/>
      <c r="T79" s="373" t="s">
        <v>547</v>
      </c>
      <c r="U79" s="920">
        <v>15000000</v>
      </c>
      <c r="V79" s="920">
        <v>11200000</v>
      </c>
      <c r="W79" s="918">
        <v>0</v>
      </c>
      <c r="X79" s="355">
        <v>20</v>
      </c>
      <c r="Y79" s="226" t="s">
        <v>7</v>
      </c>
      <c r="Z79" s="2727"/>
      <c r="AA79" s="2727"/>
      <c r="AB79" s="2727"/>
      <c r="AC79" s="2727"/>
      <c r="AD79" s="2727"/>
      <c r="AE79" s="2727"/>
      <c r="AF79" s="2727"/>
      <c r="AG79" s="2727"/>
      <c r="AH79" s="2727"/>
      <c r="AI79" s="2727"/>
      <c r="AJ79" s="2326"/>
      <c r="AK79" s="2326"/>
      <c r="AL79" s="2326"/>
      <c r="AM79" s="2326"/>
      <c r="AN79" s="2326"/>
      <c r="AO79" s="2326"/>
      <c r="AP79" s="2326"/>
      <c r="AQ79" s="2326"/>
      <c r="AR79" s="2326"/>
      <c r="AS79" s="2326"/>
      <c r="AT79" s="2326"/>
      <c r="AU79" s="2326"/>
      <c r="AV79" s="2326"/>
      <c r="AW79" s="2326"/>
      <c r="AX79" s="2326"/>
      <c r="AY79" s="2326"/>
      <c r="AZ79" s="2326"/>
      <c r="BA79" s="2326"/>
      <c r="BB79" s="2326"/>
      <c r="BC79" s="2326"/>
      <c r="BD79" s="2326"/>
      <c r="BE79" s="2326"/>
      <c r="BF79" s="2321"/>
      <c r="BG79" s="3359"/>
      <c r="BH79" s="3359"/>
      <c r="BI79" s="2719"/>
      <c r="BJ79" s="2321"/>
      <c r="BK79" s="2321"/>
      <c r="BL79" s="3355"/>
      <c r="BM79" s="3355"/>
      <c r="BN79" s="3355"/>
      <c r="BO79" s="3355"/>
      <c r="BP79" s="2319"/>
    </row>
    <row r="80" spans="1:68" s="344" customFormat="1" ht="30" x14ac:dyDescent="0.25">
      <c r="A80" s="356"/>
      <c r="B80" s="357"/>
      <c r="C80" s="357"/>
      <c r="D80" s="383"/>
      <c r="E80" s="384"/>
      <c r="F80" s="385"/>
      <c r="G80" s="2880"/>
      <c r="H80" s="2969"/>
      <c r="I80" s="2895"/>
      <c r="J80" s="2424"/>
      <c r="K80" s="2736"/>
      <c r="L80" s="2736"/>
      <c r="M80" s="2441"/>
      <c r="N80" s="2467"/>
      <c r="O80" s="2895"/>
      <c r="P80" s="2720"/>
      <c r="Q80" s="3281"/>
      <c r="R80" s="2441"/>
      <c r="S80" s="2441"/>
      <c r="T80" s="373" t="s">
        <v>548</v>
      </c>
      <c r="U80" s="920">
        <v>19500000</v>
      </c>
      <c r="V80" s="920">
        <v>0</v>
      </c>
      <c r="W80" s="918">
        <v>0</v>
      </c>
      <c r="X80" s="355">
        <v>88</v>
      </c>
      <c r="Y80" s="72" t="s">
        <v>4</v>
      </c>
      <c r="Z80" s="2728"/>
      <c r="AA80" s="2728"/>
      <c r="AB80" s="2728"/>
      <c r="AC80" s="2728"/>
      <c r="AD80" s="2728"/>
      <c r="AE80" s="2728"/>
      <c r="AF80" s="2728"/>
      <c r="AG80" s="2728"/>
      <c r="AH80" s="2728"/>
      <c r="AI80" s="2728"/>
      <c r="AJ80" s="3467"/>
      <c r="AK80" s="3467"/>
      <c r="AL80" s="3467"/>
      <c r="AM80" s="3467"/>
      <c r="AN80" s="3467"/>
      <c r="AO80" s="3467"/>
      <c r="AP80" s="3467"/>
      <c r="AQ80" s="3467"/>
      <c r="AR80" s="3467"/>
      <c r="AS80" s="3467"/>
      <c r="AT80" s="3467"/>
      <c r="AU80" s="3467"/>
      <c r="AV80" s="3467"/>
      <c r="AW80" s="3467"/>
      <c r="AX80" s="3467">
        <v>0</v>
      </c>
      <c r="AY80" s="3467"/>
      <c r="AZ80" s="3467">
        <v>0</v>
      </c>
      <c r="BA80" s="3467"/>
      <c r="BB80" s="3467">
        <v>0</v>
      </c>
      <c r="BC80" s="3467"/>
      <c r="BD80" s="3467"/>
      <c r="BE80" s="3467"/>
      <c r="BF80" s="2736"/>
      <c r="BG80" s="3360"/>
      <c r="BH80" s="3360"/>
      <c r="BI80" s="2720"/>
      <c r="BJ80" s="2736"/>
      <c r="BK80" s="2736"/>
      <c r="BL80" s="3356">
        <v>43832</v>
      </c>
      <c r="BM80" s="3356"/>
      <c r="BN80" s="3356">
        <v>44195</v>
      </c>
      <c r="BO80" s="3356"/>
      <c r="BP80" s="2465" t="s">
        <v>355</v>
      </c>
    </row>
    <row r="81" spans="1:68" s="344" customFormat="1" ht="15.75" x14ac:dyDescent="0.25">
      <c r="A81" s="3379"/>
      <c r="B81" s="3380"/>
      <c r="C81" s="3381"/>
      <c r="D81" s="386">
        <v>22</v>
      </c>
      <c r="E81" s="387" t="s">
        <v>549</v>
      </c>
      <c r="F81" s="388"/>
      <c r="G81" s="389"/>
      <c r="H81" s="389"/>
      <c r="I81" s="390"/>
      <c r="J81" s="390"/>
      <c r="K81" s="389"/>
      <c r="L81" s="389"/>
      <c r="M81" s="390"/>
      <c r="N81" s="389"/>
      <c r="O81" s="390"/>
      <c r="P81" s="391"/>
      <c r="Q81" s="905"/>
      <c r="R81" s="390"/>
      <c r="S81" s="390"/>
      <c r="T81" s="390"/>
      <c r="U81" s="923"/>
      <c r="V81" s="923"/>
      <c r="W81" s="923"/>
      <c r="X81" s="410"/>
      <c r="Y81" s="249"/>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460"/>
      <c r="BA81" s="460"/>
      <c r="BB81" s="460"/>
      <c r="BC81" s="460"/>
      <c r="BD81" s="460"/>
      <c r="BE81" s="460"/>
      <c r="BF81" s="460"/>
      <c r="BG81" s="460"/>
      <c r="BH81" s="460"/>
      <c r="BI81" s="460"/>
      <c r="BJ81" s="460"/>
      <c r="BK81" s="460"/>
      <c r="BL81" s="460"/>
      <c r="BM81" s="460"/>
      <c r="BN81" s="460"/>
      <c r="BO81" s="460"/>
      <c r="BP81" s="460"/>
    </row>
    <row r="82" spans="1:68" s="344" customFormat="1" ht="30" x14ac:dyDescent="0.25">
      <c r="A82" s="356"/>
      <c r="B82" s="357"/>
      <c r="C82" s="367"/>
      <c r="D82" s="461"/>
      <c r="E82" s="461"/>
      <c r="F82" s="462"/>
      <c r="G82" s="3397">
        <v>3204012</v>
      </c>
      <c r="H82" s="3397" t="s">
        <v>550</v>
      </c>
      <c r="I82" s="2894" t="s">
        <v>551</v>
      </c>
      <c r="J82" s="2422" t="s">
        <v>552</v>
      </c>
      <c r="K82" s="2324">
        <v>1</v>
      </c>
      <c r="L82" s="2324">
        <v>0</v>
      </c>
      <c r="M82" s="2439" t="s">
        <v>553</v>
      </c>
      <c r="N82" s="2566" t="s">
        <v>554</v>
      </c>
      <c r="O82" s="2894" t="s">
        <v>555</v>
      </c>
      <c r="P82" s="2718">
        <f>+(U82+U83)/(Q82)</f>
        <v>1</v>
      </c>
      <c r="Q82" s="3280">
        <v>26000000</v>
      </c>
      <c r="R82" s="2439" t="s">
        <v>556</v>
      </c>
      <c r="S82" s="2439" t="s">
        <v>557</v>
      </c>
      <c r="T82" s="373" t="s">
        <v>558</v>
      </c>
      <c r="U82" s="920">
        <v>15000000</v>
      </c>
      <c r="V82" s="920">
        <v>9333333</v>
      </c>
      <c r="W82" s="920">
        <v>0</v>
      </c>
      <c r="X82" s="355">
        <v>88</v>
      </c>
      <c r="Y82" s="72" t="s">
        <v>4</v>
      </c>
      <c r="Z82" s="2485">
        <v>250</v>
      </c>
      <c r="AA82" s="2485"/>
      <c r="AB82" s="2485">
        <v>250</v>
      </c>
      <c r="AC82" s="2485"/>
      <c r="AD82" s="2485">
        <v>100</v>
      </c>
      <c r="AE82" s="2485"/>
      <c r="AF82" s="2485">
        <v>100</v>
      </c>
      <c r="AG82" s="2485"/>
      <c r="AH82" s="2485">
        <v>200</v>
      </c>
      <c r="AI82" s="2485"/>
      <c r="AJ82" s="2485">
        <v>100</v>
      </c>
      <c r="AK82" s="2485"/>
      <c r="AL82" s="2485"/>
      <c r="AM82" s="2485"/>
      <c r="AN82" s="2485"/>
      <c r="AO82" s="2485"/>
      <c r="AP82" s="2485"/>
      <c r="AQ82" s="2485"/>
      <c r="AR82" s="2485"/>
      <c r="AS82" s="2485"/>
      <c r="AT82" s="2485"/>
      <c r="AU82" s="2485"/>
      <c r="AV82" s="2485"/>
      <c r="AW82" s="2485"/>
      <c r="AX82" s="2485"/>
      <c r="AY82" s="2485"/>
      <c r="AZ82" s="2485"/>
      <c r="BA82" s="2485"/>
      <c r="BB82" s="2485"/>
      <c r="BC82" s="2485"/>
      <c r="BD82" s="2485">
        <v>500</v>
      </c>
      <c r="BE82" s="2485"/>
      <c r="BF82" s="2324">
        <v>1</v>
      </c>
      <c r="BG82" s="3400">
        <v>9333333</v>
      </c>
      <c r="BH82" s="3400">
        <v>0</v>
      </c>
      <c r="BI82" s="2718">
        <f>+BH82/BG82</f>
        <v>0</v>
      </c>
      <c r="BJ82" s="2318" t="s">
        <v>4</v>
      </c>
      <c r="BK82" s="2324" t="s">
        <v>521</v>
      </c>
      <c r="BL82" s="3401">
        <v>44033</v>
      </c>
      <c r="BM82" s="3401">
        <v>44084</v>
      </c>
      <c r="BN82" s="3401">
        <v>44195</v>
      </c>
      <c r="BO82" s="3401">
        <v>44185</v>
      </c>
      <c r="BP82" s="2318" t="s">
        <v>355</v>
      </c>
    </row>
    <row r="83" spans="1:68" s="344" customFormat="1" ht="179.25" customHeight="1" x14ac:dyDescent="0.25">
      <c r="A83" s="356"/>
      <c r="B83" s="357"/>
      <c r="C83" s="367"/>
      <c r="D83" s="357"/>
      <c r="E83" s="357"/>
      <c r="F83" s="367"/>
      <c r="G83" s="3399"/>
      <c r="H83" s="3399"/>
      <c r="I83" s="2895"/>
      <c r="J83" s="2424"/>
      <c r="K83" s="2736"/>
      <c r="L83" s="2736"/>
      <c r="M83" s="2441"/>
      <c r="N83" s="2969"/>
      <c r="O83" s="2895"/>
      <c r="P83" s="2720"/>
      <c r="Q83" s="3281"/>
      <c r="R83" s="2441"/>
      <c r="S83" s="2441"/>
      <c r="T83" s="373" t="s">
        <v>559</v>
      </c>
      <c r="U83" s="920">
        <v>11000000</v>
      </c>
      <c r="V83" s="920">
        <v>0</v>
      </c>
      <c r="W83" s="920">
        <v>0</v>
      </c>
      <c r="X83" s="355">
        <v>88</v>
      </c>
      <c r="Y83" s="72" t="s">
        <v>4</v>
      </c>
      <c r="Z83" s="2487"/>
      <c r="AA83" s="2487"/>
      <c r="AB83" s="2487"/>
      <c r="AC83" s="2487"/>
      <c r="AD83" s="2487"/>
      <c r="AE83" s="2487"/>
      <c r="AF83" s="2487"/>
      <c r="AG83" s="2487"/>
      <c r="AH83" s="2487"/>
      <c r="AI83" s="2487"/>
      <c r="AJ83" s="2487"/>
      <c r="AK83" s="2487"/>
      <c r="AL83" s="2487"/>
      <c r="AM83" s="2487"/>
      <c r="AN83" s="2487"/>
      <c r="AO83" s="2487"/>
      <c r="AP83" s="2487"/>
      <c r="AQ83" s="2487"/>
      <c r="AR83" s="2487"/>
      <c r="AS83" s="2487"/>
      <c r="AT83" s="2487"/>
      <c r="AU83" s="2487"/>
      <c r="AV83" s="2487"/>
      <c r="AW83" s="2487"/>
      <c r="AX83" s="2487"/>
      <c r="AY83" s="2487"/>
      <c r="AZ83" s="2487"/>
      <c r="BA83" s="2487"/>
      <c r="BB83" s="2487"/>
      <c r="BC83" s="2487"/>
      <c r="BD83" s="2487"/>
      <c r="BE83" s="2487"/>
      <c r="BF83" s="2736"/>
      <c r="BG83" s="3360"/>
      <c r="BH83" s="3360"/>
      <c r="BI83" s="2720"/>
      <c r="BJ83" s="2465"/>
      <c r="BK83" s="2736"/>
      <c r="BL83" s="3356"/>
      <c r="BM83" s="3356"/>
      <c r="BN83" s="3356"/>
      <c r="BO83" s="3356"/>
      <c r="BP83" s="2465"/>
    </row>
    <row r="84" spans="1:68" s="344" customFormat="1" ht="15.75" x14ac:dyDescent="0.25">
      <c r="A84" s="3379"/>
      <c r="B84" s="3380"/>
      <c r="C84" s="3381"/>
      <c r="D84" s="386">
        <v>23</v>
      </c>
      <c r="E84" s="387" t="s">
        <v>560</v>
      </c>
      <c r="F84" s="388"/>
      <c r="G84" s="389"/>
      <c r="H84" s="389"/>
      <c r="I84" s="390"/>
      <c r="J84" s="390"/>
      <c r="K84" s="389"/>
      <c r="L84" s="389"/>
      <c r="M84" s="390"/>
      <c r="N84" s="389"/>
      <c r="O84" s="390"/>
      <c r="P84" s="391"/>
      <c r="Q84" s="905"/>
      <c r="R84" s="390"/>
      <c r="S84" s="390"/>
      <c r="T84" s="390"/>
      <c r="U84" s="923"/>
      <c r="V84" s="923"/>
      <c r="W84" s="923"/>
      <c r="X84" s="392"/>
      <c r="Y84" s="390"/>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2"/>
      <c r="BJ84" s="392"/>
      <c r="BK84" s="392"/>
      <c r="BL84" s="392"/>
      <c r="BM84" s="392"/>
      <c r="BN84" s="392"/>
      <c r="BO84" s="392"/>
      <c r="BP84" s="392"/>
    </row>
    <row r="85" spans="1:68" s="344" customFormat="1" ht="46.5" customHeight="1" x14ac:dyDescent="0.25">
      <c r="A85" s="411"/>
      <c r="B85" s="412"/>
      <c r="C85" s="413"/>
      <c r="D85" s="3395"/>
      <c r="E85" s="2711"/>
      <c r="F85" s="3473"/>
      <c r="G85" s="2891">
        <v>3205010</v>
      </c>
      <c r="H85" s="2891" t="s">
        <v>561</v>
      </c>
      <c r="I85" s="2422" t="s">
        <v>562</v>
      </c>
      <c r="J85" s="2422" t="s">
        <v>563</v>
      </c>
      <c r="K85" s="2325">
        <v>1</v>
      </c>
      <c r="L85" s="2325">
        <v>0</v>
      </c>
      <c r="M85" s="2308" t="s">
        <v>541</v>
      </c>
      <c r="N85" s="2306" t="s">
        <v>542</v>
      </c>
      <c r="O85" s="2422" t="s">
        <v>543</v>
      </c>
      <c r="P85" s="2718">
        <f>+(U85+U86+U87)/(90000000)</f>
        <v>0.55555555555555558</v>
      </c>
      <c r="Q85" s="2643">
        <v>50000000</v>
      </c>
      <c r="R85" s="2308" t="s">
        <v>544</v>
      </c>
      <c r="S85" s="2308" t="s">
        <v>545</v>
      </c>
      <c r="T85" s="2422" t="s">
        <v>564</v>
      </c>
      <c r="U85" s="924">
        <v>20000000</v>
      </c>
      <c r="V85" s="924">
        <v>0</v>
      </c>
      <c r="W85" s="924">
        <v>0</v>
      </c>
      <c r="X85" s="402">
        <v>88</v>
      </c>
      <c r="Y85" s="68" t="s">
        <v>4</v>
      </c>
      <c r="Z85" s="2325">
        <v>40906</v>
      </c>
      <c r="AA85" s="2325">
        <v>92</v>
      </c>
      <c r="AB85" s="2325">
        <v>37728</v>
      </c>
      <c r="AC85" s="2325">
        <v>88</v>
      </c>
      <c r="AD85" s="2325">
        <v>16790</v>
      </c>
      <c r="AE85" s="2325"/>
      <c r="AF85" s="2325">
        <v>8871</v>
      </c>
      <c r="AG85" s="2325"/>
      <c r="AH85" s="2325">
        <v>46240</v>
      </c>
      <c r="AI85" s="2325"/>
      <c r="AJ85" s="2325">
        <v>10814</v>
      </c>
      <c r="AK85" s="2325"/>
      <c r="AL85" s="2325">
        <v>0</v>
      </c>
      <c r="AM85" s="2325"/>
      <c r="AN85" s="2325">
        <v>0</v>
      </c>
      <c r="AO85" s="2325"/>
      <c r="AP85" s="2325">
        <v>0</v>
      </c>
      <c r="AQ85" s="2325"/>
      <c r="AR85" s="2325">
        <v>0</v>
      </c>
      <c r="AS85" s="2325"/>
      <c r="AT85" s="2325">
        <v>0</v>
      </c>
      <c r="AU85" s="2325"/>
      <c r="AV85" s="2325">
        <v>0</v>
      </c>
      <c r="AW85" s="2325"/>
      <c r="AX85" s="2325">
        <v>0</v>
      </c>
      <c r="AY85" s="2325"/>
      <c r="AZ85" s="2325">
        <v>0</v>
      </c>
      <c r="BA85" s="2325"/>
      <c r="BB85" s="2325">
        <v>0</v>
      </c>
      <c r="BC85" s="2325"/>
      <c r="BD85" s="2325">
        <v>78634</v>
      </c>
      <c r="BE85" s="2325">
        <v>180</v>
      </c>
      <c r="BF85" s="2324">
        <v>2</v>
      </c>
      <c r="BG85" s="3400">
        <v>15000000</v>
      </c>
      <c r="BH85" s="3400">
        <v>15000000</v>
      </c>
      <c r="BI85" s="2718">
        <f>+BH85/BG85</f>
        <v>1</v>
      </c>
      <c r="BJ85" s="2318" t="s">
        <v>353</v>
      </c>
      <c r="BK85" s="2324" t="s">
        <v>521</v>
      </c>
      <c r="BL85" s="3401">
        <v>43832</v>
      </c>
      <c r="BM85" s="3401">
        <v>43864</v>
      </c>
      <c r="BN85" s="3401">
        <v>44195</v>
      </c>
      <c r="BO85" s="3401">
        <v>43984</v>
      </c>
      <c r="BP85" s="2318" t="s">
        <v>355</v>
      </c>
    </row>
    <row r="86" spans="1:68" s="344" customFormat="1" ht="46.5" customHeight="1" x14ac:dyDescent="0.25">
      <c r="A86" s="411"/>
      <c r="B86" s="412"/>
      <c r="C86" s="413"/>
      <c r="D86" s="3395"/>
      <c r="E86" s="2711"/>
      <c r="F86" s="3473"/>
      <c r="G86" s="2892"/>
      <c r="H86" s="2892"/>
      <c r="I86" s="2423"/>
      <c r="J86" s="2423"/>
      <c r="K86" s="2326"/>
      <c r="L86" s="2326"/>
      <c r="M86" s="2309"/>
      <c r="N86" s="2307"/>
      <c r="O86" s="2423"/>
      <c r="P86" s="2719"/>
      <c r="Q86" s="2644"/>
      <c r="R86" s="2309"/>
      <c r="S86" s="2309"/>
      <c r="T86" s="2423"/>
      <c r="U86" s="924">
        <v>15000000</v>
      </c>
      <c r="V86" s="924">
        <v>0</v>
      </c>
      <c r="W86" s="924">
        <v>0</v>
      </c>
      <c r="X86" s="402">
        <v>20</v>
      </c>
      <c r="Y86" s="68" t="s">
        <v>7</v>
      </c>
      <c r="Z86" s="2326"/>
      <c r="AA86" s="2326"/>
      <c r="AB86" s="2326"/>
      <c r="AC86" s="2326"/>
      <c r="AD86" s="2326"/>
      <c r="AE86" s="2326"/>
      <c r="AF86" s="2326"/>
      <c r="AG86" s="2326"/>
      <c r="AH86" s="2326"/>
      <c r="AI86" s="2326"/>
      <c r="AJ86" s="2326"/>
      <c r="AK86" s="2326"/>
      <c r="AL86" s="2326"/>
      <c r="AM86" s="2326"/>
      <c r="AN86" s="2326"/>
      <c r="AO86" s="2326"/>
      <c r="AP86" s="2326"/>
      <c r="AQ86" s="2326"/>
      <c r="AR86" s="2326"/>
      <c r="AS86" s="2326"/>
      <c r="AT86" s="2326"/>
      <c r="AU86" s="2326"/>
      <c r="AV86" s="2326"/>
      <c r="AW86" s="2326"/>
      <c r="AX86" s="2326"/>
      <c r="AY86" s="2326"/>
      <c r="AZ86" s="2326"/>
      <c r="BA86" s="2326"/>
      <c r="BB86" s="2326"/>
      <c r="BC86" s="2326"/>
      <c r="BD86" s="2326"/>
      <c r="BE86" s="2326"/>
      <c r="BF86" s="2321"/>
      <c r="BG86" s="3359"/>
      <c r="BH86" s="3359"/>
      <c r="BI86" s="2719"/>
      <c r="BJ86" s="2321"/>
      <c r="BK86" s="2321"/>
      <c r="BL86" s="3355"/>
      <c r="BM86" s="3355"/>
      <c r="BN86" s="3355"/>
      <c r="BO86" s="3355"/>
      <c r="BP86" s="2319"/>
    </row>
    <row r="87" spans="1:68" s="344" customFormat="1" ht="46.5" customHeight="1" x14ac:dyDescent="0.25">
      <c r="A87" s="393"/>
      <c r="B87" s="394"/>
      <c r="C87" s="395"/>
      <c r="D87" s="2382"/>
      <c r="E87" s="2253"/>
      <c r="F87" s="3474"/>
      <c r="G87" s="2893"/>
      <c r="H87" s="2893"/>
      <c r="I87" s="2424"/>
      <c r="J87" s="2424"/>
      <c r="K87" s="3467"/>
      <c r="L87" s="3467"/>
      <c r="M87" s="3202"/>
      <c r="N87" s="2467"/>
      <c r="O87" s="2424"/>
      <c r="P87" s="2720"/>
      <c r="Q87" s="2645"/>
      <c r="R87" s="3202"/>
      <c r="S87" s="3202"/>
      <c r="T87" s="2424"/>
      <c r="U87" s="920">
        <v>15000000</v>
      </c>
      <c r="V87" s="920">
        <v>15000000</v>
      </c>
      <c r="W87" s="920">
        <v>15000000</v>
      </c>
      <c r="X87" s="414">
        <v>20</v>
      </c>
      <c r="Y87" s="399" t="s">
        <v>7</v>
      </c>
      <c r="Z87" s="3467"/>
      <c r="AA87" s="3467"/>
      <c r="AB87" s="3467"/>
      <c r="AC87" s="3467"/>
      <c r="AD87" s="3467"/>
      <c r="AE87" s="3467"/>
      <c r="AF87" s="3467"/>
      <c r="AG87" s="3467"/>
      <c r="AH87" s="3467"/>
      <c r="AI87" s="3467"/>
      <c r="AJ87" s="3467"/>
      <c r="AK87" s="3467"/>
      <c r="AL87" s="3467"/>
      <c r="AM87" s="3467"/>
      <c r="AN87" s="3467"/>
      <c r="AO87" s="3467"/>
      <c r="AP87" s="3467"/>
      <c r="AQ87" s="3467"/>
      <c r="AR87" s="3467"/>
      <c r="AS87" s="3467"/>
      <c r="AT87" s="3467"/>
      <c r="AU87" s="3467"/>
      <c r="AV87" s="3467"/>
      <c r="AW87" s="3467"/>
      <c r="AX87" s="3467"/>
      <c r="AY87" s="3467"/>
      <c r="AZ87" s="3467"/>
      <c r="BA87" s="3467"/>
      <c r="BB87" s="3467"/>
      <c r="BC87" s="3467"/>
      <c r="BD87" s="3467"/>
      <c r="BE87" s="3467"/>
      <c r="BF87" s="2736"/>
      <c r="BG87" s="3360"/>
      <c r="BH87" s="3360"/>
      <c r="BI87" s="2720"/>
      <c r="BJ87" s="2736"/>
      <c r="BK87" s="2736"/>
      <c r="BL87" s="3356"/>
      <c r="BM87" s="3356"/>
      <c r="BN87" s="3356"/>
      <c r="BO87" s="3356"/>
      <c r="BP87" s="2465"/>
    </row>
    <row r="88" spans="1:68" s="344" customFormat="1" ht="15.75" x14ac:dyDescent="0.25">
      <c r="A88" s="3379"/>
      <c r="B88" s="3380"/>
      <c r="C88" s="3381"/>
      <c r="D88" s="386">
        <v>24</v>
      </c>
      <c r="E88" s="387" t="s">
        <v>565</v>
      </c>
      <c r="F88" s="388"/>
      <c r="G88" s="389"/>
      <c r="H88" s="389"/>
      <c r="I88" s="390"/>
      <c r="J88" s="390"/>
      <c r="K88" s="389"/>
      <c r="L88" s="389"/>
      <c r="M88" s="390"/>
      <c r="N88" s="389"/>
      <c r="O88" s="390"/>
      <c r="P88" s="391"/>
      <c r="Q88" s="905"/>
      <c r="R88" s="390"/>
      <c r="S88" s="390"/>
      <c r="T88" s="390"/>
      <c r="U88" s="923"/>
      <c r="V88" s="923"/>
      <c r="W88" s="923"/>
      <c r="X88" s="392"/>
      <c r="Y88" s="390"/>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392"/>
      <c r="BA88" s="392"/>
      <c r="BB88" s="392"/>
      <c r="BC88" s="392"/>
      <c r="BD88" s="392"/>
      <c r="BE88" s="463"/>
      <c r="BF88" s="392"/>
      <c r="BG88" s="463"/>
      <c r="BH88" s="392"/>
      <c r="BI88" s="463"/>
      <c r="BJ88" s="392"/>
      <c r="BK88" s="463"/>
      <c r="BL88" s="392"/>
      <c r="BM88" s="463"/>
      <c r="BN88" s="392"/>
      <c r="BO88" s="463"/>
      <c r="BP88" s="392"/>
    </row>
    <row r="89" spans="1:68" s="344" customFormat="1" ht="105" x14ac:dyDescent="0.25">
      <c r="A89" s="356"/>
      <c r="B89" s="357"/>
      <c r="C89" s="367"/>
      <c r="D89" s="407"/>
      <c r="E89" s="407"/>
      <c r="F89" s="408"/>
      <c r="G89" s="379">
        <v>3206014</v>
      </c>
      <c r="H89" s="379" t="s">
        <v>566</v>
      </c>
      <c r="I89" s="373" t="s">
        <v>567</v>
      </c>
      <c r="J89" s="9" t="s">
        <v>568</v>
      </c>
      <c r="K89" s="374">
        <v>50</v>
      </c>
      <c r="L89" s="374">
        <v>0</v>
      </c>
      <c r="M89" s="399" t="s">
        <v>569</v>
      </c>
      <c r="N89" s="428" t="s">
        <v>570</v>
      </c>
      <c r="O89" s="373" t="s">
        <v>571</v>
      </c>
      <c r="P89" s="375">
        <f>+U89/Q89</f>
        <v>1</v>
      </c>
      <c r="Q89" s="911">
        <v>20000000</v>
      </c>
      <c r="R89" s="399" t="s">
        <v>572</v>
      </c>
      <c r="S89" s="399" t="s">
        <v>573</v>
      </c>
      <c r="T89" s="373" t="s">
        <v>574</v>
      </c>
      <c r="U89" s="920">
        <v>20000000</v>
      </c>
      <c r="V89" s="920">
        <v>0</v>
      </c>
      <c r="W89" s="920">
        <v>0</v>
      </c>
      <c r="X89" s="414">
        <v>88</v>
      </c>
      <c r="Y89" s="399" t="s">
        <v>4</v>
      </c>
      <c r="Z89" s="414">
        <v>285580</v>
      </c>
      <c r="AA89" s="414"/>
      <c r="AB89" s="414">
        <v>285580</v>
      </c>
      <c r="AC89" s="414"/>
      <c r="AD89" s="414">
        <v>135545</v>
      </c>
      <c r="AE89" s="414"/>
      <c r="AF89" s="414">
        <v>44254</v>
      </c>
      <c r="AG89" s="414"/>
      <c r="AH89" s="414">
        <v>309146</v>
      </c>
      <c r="AI89" s="414"/>
      <c r="AJ89" s="414">
        <v>92607</v>
      </c>
      <c r="AK89" s="414"/>
      <c r="AL89" s="414"/>
      <c r="AM89" s="414"/>
      <c r="AN89" s="414"/>
      <c r="AO89" s="414"/>
      <c r="AP89" s="414"/>
      <c r="AQ89" s="414"/>
      <c r="AR89" s="414"/>
      <c r="AS89" s="414"/>
      <c r="AT89" s="414"/>
      <c r="AU89" s="414"/>
      <c r="AV89" s="414"/>
      <c r="AW89" s="414"/>
      <c r="AX89" s="414"/>
      <c r="AY89" s="414"/>
      <c r="AZ89" s="414"/>
      <c r="BA89" s="414"/>
      <c r="BB89" s="414"/>
      <c r="BC89" s="414"/>
      <c r="BD89" s="414">
        <v>581552</v>
      </c>
      <c r="BE89" s="464"/>
      <c r="BF89" s="465"/>
      <c r="BG89" s="378">
        <v>0</v>
      </c>
      <c r="BH89" s="378">
        <v>0</v>
      </c>
      <c r="BI89" s="466"/>
      <c r="BJ89" s="465"/>
      <c r="BK89" s="374"/>
      <c r="BL89" s="404">
        <v>44033</v>
      </c>
      <c r="BM89" s="404"/>
      <c r="BN89" s="404">
        <v>44195</v>
      </c>
      <c r="BO89" s="467"/>
      <c r="BP89" s="364" t="s">
        <v>355</v>
      </c>
    </row>
    <row r="90" spans="1:68" s="344" customFormat="1" ht="15.75" x14ac:dyDescent="0.25">
      <c r="A90" s="126"/>
      <c r="B90" s="125"/>
      <c r="C90" s="206"/>
      <c r="D90" s="468"/>
      <c r="E90" s="468"/>
      <c r="F90" s="469"/>
      <c r="G90" s="470"/>
      <c r="H90" s="470"/>
      <c r="I90" s="68"/>
      <c r="J90" s="68"/>
      <c r="K90" s="6"/>
      <c r="L90" s="6"/>
      <c r="M90" s="68"/>
      <c r="N90" s="6"/>
      <c r="O90" s="68"/>
      <c r="P90" s="471"/>
      <c r="Q90" s="912">
        <f>SUM(Q12:Q89)</f>
        <v>1618563166</v>
      </c>
      <c r="R90" s="68"/>
      <c r="S90" s="68"/>
      <c r="T90" s="68"/>
      <c r="U90" s="912">
        <f>SUM(U12:U89)</f>
        <v>1618563166</v>
      </c>
      <c r="V90" s="912">
        <f t="shared" ref="V90:W90" si="0">SUM(V12:V89)</f>
        <v>687857654</v>
      </c>
      <c r="W90" s="912">
        <f t="shared" si="0"/>
        <v>352216664</v>
      </c>
      <c r="X90" s="402"/>
      <c r="Y90" s="473"/>
      <c r="Z90" s="474"/>
      <c r="AA90" s="474"/>
      <c r="AB90" s="474"/>
      <c r="AC90" s="474"/>
      <c r="AD90" s="474"/>
      <c r="AE90" s="474"/>
      <c r="AF90" s="474"/>
      <c r="AG90" s="474"/>
      <c r="AH90" s="474"/>
      <c r="AI90" s="474"/>
      <c r="AJ90" s="474"/>
      <c r="AK90" s="474"/>
      <c r="AL90" s="474"/>
      <c r="AM90" s="474"/>
      <c r="AN90" s="474"/>
      <c r="AO90" s="474"/>
      <c r="AP90" s="474"/>
      <c r="AQ90" s="474"/>
      <c r="AR90" s="474"/>
      <c r="AS90" s="474"/>
      <c r="AT90" s="474"/>
      <c r="AU90" s="474"/>
      <c r="AV90" s="474"/>
      <c r="AW90" s="474"/>
      <c r="AX90" s="474"/>
      <c r="AY90" s="474"/>
      <c r="AZ90" s="474"/>
      <c r="BA90" s="474"/>
      <c r="BB90" s="474"/>
      <c r="BC90" s="474"/>
      <c r="BD90" s="474"/>
      <c r="BE90" s="474"/>
      <c r="BF90" s="475"/>
      <c r="BG90" s="476">
        <f>SUM(BG12:BG89)</f>
        <v>687857654</v>
      </c>
      <c r="BH90" s="476">
        <f>SUM(BH12:BH89)</f>
        <v>352216664</v>
      </c>
      <c r="BI90" s="475"/>
      <c r="BJ90" s="475"/>
      <c r="BK90" s="133"/>
      <c r="BL90" s="477"/>
      <c r="BM90" s="477"/>
      <c r="BN90" s="478"/>
      <c r="BO90" s="478"/>
      <c r="BP90" s="479"/>
    </row>
    <row r="91" spans="1:68" x14ac:dyDescent="0.2">
      <c r="Q91" s="482"/>
      <c r="R91" s="483"/>
      <c r="S91" s="483"/>
      <c r="T91" s="483"/>
      <c r="U91" s="484"/>
      <c r="V91" s="484"/>
      <c r="W91" s="484"/>
      <c r="BF91" s="485"/>
      <c r="BG91" s="485"/>
      <c r="BH91" s="485"/>
      <c r="BI91" s="485"/>
      <c r="BJ91" s="485"/>
      <c r="BK91" s="485"/>
      <c r="BL91" s="485"/>
      <c r="BM91" s="485"/>
      <c r="BN91" s="485"/>
      <c r="BO91" s="485"/>
      <c r="BP91" s="485"/>
    </row>
    <row r="92" spans="1:68" x14ac:dyDescent="0.2">
      <c r="Q92" s="486"/>
      <c r="T92" s="487"/>
      <c r="U92" s="486"/>
      <c r="BF92" s="485"/>
      <c r="BG92" s="485"/>
      <c r="BH92" s="485"/>
      <c r="BI92" s="485"/>
      <c r="BJ92" s="485"/>
      <c r="BK92" s="485"/>
      <c r="BL92" s="485"/>
      <c r="BM92" s="485"/>
      <c r="BN92" s="485"/>
      <c r="BO92" s="485"/>
      <c r="BP92" s="485"/>
    </row>
    <row r="93" spans="1:68" ht="15.75" x14ac:dyDescent="0.2">
      <c r="B93" s="488"/>
      <c r="C93" s="488"/>
      <c r="D93" s="488"/>
      <c r="E93" s="488"/>
      <c r="F93" s="488"/>
      <c r="G93" s="489"/>
      <c r="H93" s="490"/>
      <c r="P93" s="491"/>
      <c r="Q93" s="492"/>
      <c r="T93" s="491"/>
      <c r="V93" s="499"/>
      <c r="W93" s="500"/>
      <c r="X93" s="501"/>
      <c r="Y93" s="502"/>
      <c r="Z93" s="501"/>
      <c r="AA93" s="501"/>
      <c r="AB93" s="501"/>
      <c r="BF93" s="485"/>
      <c r="BG93" s="485"/>
      <c r="BH93" s="485"/>
      <c r="BI93" s="485"/>
      <c r="BJ93" s="485"/>
      <c r="BK93" s="485"/>
      <c r="BL93" s="485"/>
      <c r="BM93" s="485"/>
      <c r="BN93" s="485"/>
      <c r="BO93" s="485"/>
      <c r="BP93" s="485"/>
    </row>
    <row r="94" spans="1:68" ht="15.75" x14ac:dyDescent="0.2">
      <c r="B94" s="3475" t="s">
        <v>575</v>
      </c>
      <c r="C94" s="3475"/>
      <c r="D94" s="3475"/>
      <c r="E94" s="3475"/>
      <c r="F94" s="3475"/>
      <c r="V94" s="501"/>
      <c r="W94" s="501"/>
      <c r="X94" s="501"/>
      <c r="Y94" s="502"/>
      <c r="Z94" s="501"/>
      <c r="AA94" s="500"/>
      <c r="AB94" s="501"/>
      <c r="BF94" s="485"/>
      <c r="BG94" s="485"/>
      <c r="BH94" s="485"/>
      <c r="BI94" s="485"/>
      <c r="BJ94" s="485"/>
      <c r="BK94" s="485"/>
      <c r="BL94" s="485"/>
      <c r="BM94" s="485"/>
      <c r="BN94" s="485"/>
      <c r="BO94" s="485"/>
      <c r="BP94" s="485"/>
    </row>
    <row r="95" spans="1:68" x14ac:dyDescent="0.2">
      <c r="B95" s="3476" t="s">
        <v>576</v>
      </c>
      <c r="C95" s="3476"/>
      <c r="D95" s="3476"/>
      <c r="E95" s="3476"/>
      <c r="F95" s="3476"/>
      <c r="U95" s="493"/>
      <c r="V95" s="503"/>
      <c r="W95" s="503"/>
      <c r="X95" s="501"/>
      <c r="Y95" s="502"/>
      <c r="Z95" s="501"/>
      <c r="AA95" s="501"/>
      <c r="AB95" s="501"/>
      <c r="BF95" s="485"/>
      <c r="BG95" s="485"/>
      <c r="BH95" s="485"/>
      <c r="BI95" s="485"/>
      <c r="BJ95" s="485"/>
      <c r="BK95" s="485"/>
      <c r="BL95" s="485"/>
      <c r="BM95" s="485"/>
      <c r="BN95" s="485"/>
      <c r="BO95" s="485"/>
      <c r="BP95" s="485"/>
    </row>
    <row r="96" spans="1:68" x14ac:dyDescent="0.2">
      <c r="B96" s="312"/>
      <c r="C96" s="494"/>
      <c r="D96" s="495"/>
      <c r="E96" s="496"/>
      <c r="F96" s="497"/>
      <c r="Q96" s="498"/>
      <c r="V96" s="501"/>
      <c r="W96" s="501"/>
      <c r="X96" s="501"/>
      <c r="Y96" s="502"/>
      <c r="Z96" s="501"/>
      <c r="AA96" s="501"/>
      <c r="AB96" s="501"/>
      <c r="BF96" s="485"/>
      <c r="BG96" s="485"/>
      <c r="BH96" s="485"/>
      <c r="BI96" s="485"/>
      <c r="BJ96" s="485"/>
      <c r="BK96" s="485"/>
      <c r="BL96" s="485"/>
      <c r="BM96" s="485"/>
      <c r="BN96" s="485"/>
      <c r="BO96" s="485"/>
      <c r="BP96" s="485"/>
    </row>
    <row r="102" spans="8:8" x14ac:dyDescent="0.2">
      <c r="H102" s="480">
        <v>4</v>
      </c>
    </row>
  </sheetData>
  <sheetProtection password="A60F" sheet="1" objects="1" scenarios="1"/>
  <mergeCells count="1146">
    <mergeCell ref="A88:C88"/>
    <mergeCell ref="B94:F94"/>
    <mergeCell ref="B95:F95"/>
    <mergeCell ref="BK85:BK87"/>
    <mergeCell ref="BL85:BL87"/>
    <mergeCell ref="BM85:BM87"/>
    <mergeCell ref="BN85:BN87"/>
    <mergeCell ref="BO85:BO87"/>
    <mergeCell ref="BP85:BP87"/>
    <mergeCell ref="BE85:BE87"/>
    <mergeCell ref="BF85:BF87"/>
    <mergeCell ref="BG85:BG87"/>
    <mergeCell ref="BH85:BH87"/>
    <mergeCell ref="BI85:BI87"/>
    <mergeCell ref="BJ85:BJ87"/>
    <mergeCell ref="AY85:AY87"/>
    <mergeCell ref="AZ85:AZ87"/>
    <mergeCell ref="BA85:BA87"/>
    <mergeCell ref="BB85:BB87"/>
    <mergeCell ref="BC85:BC87"/>
    <mergeCell ref="BD85:BD87"/>
    <mergeCell ref="AS85:AS87"/>
    <mergeCell ref="AT85:AT87"/>
    <mergeCell ref="AU85:AU87"/>
    <mergeCell ref="AV85:AV87"/>
    <mergeCell ref="AW85:AW87"/>
    <mergeCell ref="AX85:AX87"/>
    <mergeCell ref="AM85:AM87"/>
    <mergeCell ref="AN85:AN87"/>
    <mergeCell ref="AO85:AO87"/>
    <mergeCell ref="AP85:AP87"/>
    <mergeCell ref="AQ85:AQ87"/>
    <mergeCell ref="AR85:AR87"/>
    <mergeCell ref="AG85:AG87"/>
    <mergeCell ref="AH85:AH87"/>
    <mergeCell ref="AI85:AI87"/>
    <mergeCell ref="AJ85:AJ87"/>
    <mergeCell ref="AK85:AK87"/>
    <mergeCell ref="AL85:AL87"/>
    <mergeCell ref="AA85:AA87"/>
    <mergeCell ref="AB85:AB87"/>
    <mergeCell ref="AC85:AC87"/>
    <mergeCell ref="AD85:AD87"/>
    <mergeCell ref="AE85:AE87"/>
    <mergeCell ref="AF85:AF87"/>
    <mergeCell ref="P85:P87"/>
    <mergeCell ref="Q85:Q87"/>
    <mergeCell ref="R85:R87"/>
    <mergeCell ref="S85:S87"/>
    <mergeCell ref="T85:T87"/>
    <mergeCell ref="Z85:Z87"/>
    <mergeCell ref="J85:J87"/>
    <mergeCell ref="K85:K87"/>
    <mergeCell ref="L85:L87"/>
    <mergeCell ref="M85:M87"/>
    <mergeCell ref="N85:N87"/>
    <mergeCell ref="O85:O87"/>
    <mergeCell ref="BN82:BN83"/>
    <mergeCell ref="BO82:BO83"/>
    <mergeCell ref="BP82:BP83"/>
    <mergeCell ref="A84:C84"/>
    <mergeCell ref="D85:D87"/>
    <mergeCell ref="E85:E87"/>
    <mergeCell ref="F85:F87"/>
    <mergeCell ref="G85:G87"/>
    <mergeCell ref="H85:H87"/>
    <mergeCell ref="I85:I87"/>
    <mergeCell ref="BH82:BH83"/>
    <mergeCell ref="BI82:BI83"/>
    <mergeCell ref="BJ82:BJ83"/>
    <mergeCell ref="BK82:BK83"/>
    <mergeCell ref="BL82:BL83"/>
    <mergeCell ref="BM82:BM83"/>
    <mergeCell ref="BB82:BB83"/>
    <mergeCell ref="BC82:BC83"/>
    <mergeCell ref="BD82:BD83"/>
    <mergeCell ref="BE82:BE83"/>
    <mergeCell ref="BF82:BF83"/>
    <mergeCell ref="BG82:BG83"/>
    <mergeCell ref="AV82:AV83"/>
    <mergeCell ref="AW82:AW83"/>
    <mergeCell ref="AX82:AX83"/>
    <mergeCell ref="AY82:AY83"/>
    <mergeCell ref="AZ82:AZ83"/>
    <mergeCell ref="BA82:BA83"/>
    <mergeCell ref="AP82:AP83"/>
    <mergeCell ref="AQ82:AQ83"/>
    <mergeCell ref="AR82:AR83"/>
    <mergeCell ref="AS82:AS83"/>
    <mergeCell ref="AT82:AT83"/>
    <mergeCell ref="AU82:AU83"/>
    <mergeCell ref="AJ82:AJ83"/>
    <mergeCell ref="AK82:AK83"/>
    <mergeCell ref="AL82:AL83"/>
    <mergeCell ref="AM82:AM83"/>
    <mergeCell ref="AN82:AN83"/>
    <mergeCell ref="AO82:AO83"/>
    <mergeCell ref="AD82:AD83"/>
    <mergeCell ref="AE82:AE83"/>
    <mergeCell ref="AF82:AF83"/>
    <mergeCell ref="AG82:AG83"/>
    <mergeCell ref="AH82:AH83"/>
    <mergeCell ref="AI82:AI83"/>
    <mergeCell ref="R82:R83"/>
    <mergeCell ref="S82:S83"/>
    <mergeCell ref="Z82:Z83"/>
    <mergeCell ref="AA82:AA83"/>
    <mergeCell ref="AB82:AB83"/>
    <mergeCell ref="AC82:AC83"/>
    <mergeCell ref="L82:L83"/>
    <mergeCell ref="M82:M83"/>
    <mergeCell ref="N82:N83"/>
    <mergeCell ref="O82:O83"/>
    <mergeCell ref="P82:P83"/>
    <mergeCell ref="Q82:Q83"/>
    <mergeCell ref="A81:C81"/>
    <mergeCell ref="G82:G83"/>
    <mergeCell ref="H82:H83"/>
    <mergeCell ref="I82:I83"/>
    <mergeCell ref="J82:J83"/>
    <mergeCell ref="K82:K83"/>
    <mergeCell ref="BK78:BK80"/>
    <mergeCell ref="BL78:BL80"/>
    <mergeCell ref="BM78:BM80"/>
    <mergeCell ref="BN78:BN80"/>
    <mergeCell ref="BO78:BO80"/>
    <mergeCell ref="BP78:BP80"/>
    <mergeCell ref="BE78:BE80"/>
    <mergeCell ref="BF78:BF80"/>
    <mergeCell ref="BG78:BG80"/>
    <mergeCell ref="BH78:BH80"/>
    <mergeCell ref="BI78:BI80"/>
    <mergeCell ref="BJ78:BJ80"/>
    <mergeCell ref="AY78:AY80"/>
    <mergeCell ref="AZ78:AZ80"/>
    <mergeCell ref="BA78:BA80"/>
    <mergeCell ref="BB78:BB80"/>
    <mergeCell ref="BC78:BC80"/>
    <mergeCell ref="BD78:BD80"/>
    <mergeCell ref="AS78:AS80"/>
    <mergeCell ref="AT78:AT80"/>
    <mergeCell ref="AU78:AU80"/>
    <mergeCell ref="AV78:AV80"/>
    <mergeCell ref="AW78:AW80"/>
    <mergeCell ref="AX78:AX80"/>
    <mergeCell ref="AM78:AM80"/>
    <mergeCell ref="AN78:AN80"/>
    <mergeCell ref="AO78:AO80"/>
    <mergeCell ref="AP78:AP80"/>
    <mergeCell ref="AQ78:AQ80"/>
    <mergeCell ref="AR78:AR80"/>
    <mergeCell ref="AG78:AG80"/>
    <mergeCell ref="AH78:AH80"/>
    <mergeCell ref="AI78:AI80"/>
    <mergeCell ref="AJ78:AJ80"/>
    <mergeCell ref="AK78:AK80"/>
    <mergeCell ref="AL78:AL80"/>
    <mergeCell ref="AA78:AA80"/>
    <mergeCell ref="AB78:AB80"/>
    <mergeCell ref="AC78:AC80"/>
    <mergeCell ref="AD78:AD80"/>
    <mergeCell ref="AE78:AE80"/>
    <mergeCell ref="AF78:AF80"/>
    <mergeCell ref="O78:O80"/>
    <mergeCell ref="P78:P80"/>
    <mergeCell ref="Q78:Q80"/>
    <mergeCell ref="R78:R80"/>
    <mergeCell ref="S78:S80"/>
    <mergeCell ref="Z78:Z80"/>
    <mergeCell ref="BO76:BO77"/>
    <mergeCell ref="BP76:BP77"/>
    <mergeCell ref="G78:G80"/>
    <mergeCell ref="H78:H80"/>
    <mergeCell ref="I78:I80"/>
    <mergeCell ref="J78:J80"/>
    <mergeCell ref="K78:K80"/>
    <mergeCell ref="L78:L80"/>
    <mergeCell ref="M78:M80"/>
    <mergeCell ref="N78:N80"/>
    <mergeCell ref="BI76:BI77"/>
    <mergeCell ref="BJ76:BJ77"/>
    <mergeCell ref="BK76:BK77"/>
    <mergeCell ref="BL76:BL77"/>
    <mergeCell ref="BM76:BM77"/>
    <mergeCell ref="BN76:BN77"/>
    <mergeCell ref="BC76:BC77"/>
    <mergeCell ref="BD76:BD77"/>
    <mergeCell ref="BE76:BE77"/>
    <mergeCell ref="BF76:BF77"/>
    <mergeCell ref="BG76:BG77"/>
    <mergeCell ref="BH76:BH77"/>
    <mergeCell ref="AW76:AW77"/>
    <mergeCell ref="AX76:AX77"/>
    <mergeCell ref="AY76:AY77"/>
    <mergeCell ref="AZ76:AZ77"/>
    <mergeCell ref="BA76:BA77"/>
    <mergeCell ref="BB76:BB77"/>
    <mergeCell ref="AQ76:AQ77"/>
    <mergeCell ref="AR76:AR77"/>
    <mergeCell ref="AS76:AS77"/>
    <mergeCell ref="AT76:AT77"/>
    <mergeCell ref="AU76:AU77"/>
    <mergeCell ref="AV76:AV77"/>
    <mergeCell ref="AK76:AK77"/>
    <mergeCell ref="AL76:AL77"/>
    <mergeCell ref="AM76:AM77"/>
    <mergeCell ref="AN76:AN77"/>
    <mergeCell ref="AO76:AO77"/>
    <mergeCell ref="AP76:AP77"/>
    <mergeCell ref="AE76:AE77"/>
    <mergeCell ref="AF76:AF77"/>
    <mergeCell ref="AG76:AG77"/>
    <mergeCell ref="AH76:AH77"/>
    <mergeCell ref="AI76:AI77"/>
    <mergeCell ref="AJ76:AJ77"/>
    <mergeCell ref="S76:S77"/>
    <mergeCell ref="Z76:Z77"/>
    <mergeCell ref="AA76:AA77"/>
    <mergeCell ref="AB76:AB77"/>
    <mergeCell ref="AC76:AC77"/>
    <mergeCell ref="AD76:AD77"/>
    <mergeCell ref="M76:M77"/>
    <mergeCell ref="N76:N77"/>
    <mergeCell ref="O76:O77"/>
    <mergeCell ref="P76:P77"/>
    <mergeCell ref="Q76:Q77"/>
    <mergeCell ref="R76:R77"/>
    <mergeCell ref="G76:G77"/>
    <mergeCell ref="H76:H77"/>
    <mergeCell ref="I76:I77"/>
    <mergeCell ref="J76:J77"/>
    <mergeCell ref="K76:K77"/>
    <mergeCell ref="L76:L77"/>
    <mergeCell ref="G71:G75"/>
    <mergeCell ref="H71:H75"/>
    <mergeCell ref="I71:I75"/>
    <mergeCell ref="J71:J75"/>
    <mergeCell ref="K71:K75"/>
    <mergeCell ref="L71:L75"/>
    <mergeCell ref="BK69:BK75"/>
    <mergeCell ref="BL69:BL75"/>
    <mergeCell ref="BM69:BM75"/>
    <mergeCell ref="BN69:BN75"/>
    <mergeCell ref="BO69:BO75"/>
    <mergeCell ref="AM69:AM75"/>
    <mergeCell ref="AN69:AN75"/>
    <mergeCell ref="AO69:AO75"/>
    <mergeCell ref="AP69:AP75"/>
    <mergeCell ref="AQ69:AQ75"/>
    <mergeCell ref="AR69:AR75"/>
    <mergeCell ref="AG69:AG75"/>
    <mergeCell ref="AH69:AH75"/>
    <mergeCell ref="AI69:AI75"/>
    <mergeCell ref="AJ69:AJ75"/>
    <mergeCell ref="AK69:AK75"/>
    <mergeCell ref="AL69:AL75"/>
    <mergeCell ref="AA69:AA75"/>
    <mergeCell ref="AB69:AB75"/>
    <mergeCell ref="AC69:AC75"/>
    <mergeCell ref="BP69:BP75"/>
    <mergeCell ref="BE69:BE75"/>
    <mergeCell ref="BF69:BF75"/>
    <mergeCell ref="BG69:BG75"/>
    <mergeCell ref="BH69:BH75"/>
    <mergeCell ref="BI69:BI75"/>
    <mergeCell ref="BJ69:BJ75"/>
    <mergeCell ref="AY69:AY75"/>
    <mergeCell ref="AZ69:AZ75"/>
    <mergeCell ref="BA69:BA75"/>
    <mergeCell ref="BB69:BB75"/>
    <mergeCell ref="BC69:BC75"/>
    <mergeCell ref="BD69:BD75"/>
    <mergeCell ref="AS69:AS75"/>
    <mergeCell ref="AT69:AT75"/>
    <mergeCell ref="AU69:AU75"/>
    <mergeCell ref="AV69:AV75"/>
    <mergeCell ref="AW69:AW75"/>
    <mergeCell ref="AX69:AX75"/>
    <mergeCell ref="AD69:AD75"/>
    <mergeCell ref="AE69:AE75"/>
    <mergeCell ref="AF69:AF75"/>
    <mergeCell ref="O69:O75"/>
    <mergeCell ref="P69:P70"/>
    <mergeCell ref="Q69:Q75"/>
    <mergeCell ref="R69:R75"/>
    <mergeCell ref="S69:S75"/>
    <mergeCell ref="Z69:Z75"/>
    <mergeCell ref="P71:P75"/>
    <mergeCell ref="BP63:BP68"/>
    <mergeCell ref="T67:T68"/>
    <mergeCell ref="G69:G70"/>
    <mergeCell ref="H69:H70"/>
    <mergeCell ref="I69:I70"/>
    <mergeCell ref="J69:J70"/>
    <mergeCell ref="K69:K70"/>
    <mergeCell ref="L69:L70"/>
    <mergeCell ref="M69:M75"/>
    <mergeCell ref="N69:N75"/>
    <mergeCell ref="BJ63:BJ68"/>
    <mergeCell ref="BK63:BK68"/>
    <mergeCell ref="BL63:BL68"/>
    <mergeCell ref="BM63:BM68"/>
    <mergeCell ref="BN63:BN68"/>
    <mergeCell ref="BO63:BO68"/>
    <mergeCell ref="BD63:BD68"/>
    <mergeCell ref="BE63:BE68"/>
    <mergeCell ref="BF63:BF68"/>
    <mergeCell ref="BG63:BG68"/>
    <mergeCell ref="BH63:BH68"/>
    <mergeCell ref="BI63:BI68"/>
    <mergeCell ref="AX63:AX68"/>
    <mergeCell ref="AY63:AY68"/>
    <mergeCell ref="AZ63:AZ68"/>
    <mergeCell ref="BA63:BA68"/>
    <mergeCell ref="BB63:BB68"/>
    <mergeCell ref="BC63:BC68"/>
    <mergeCell ref="AR63:AR68"/>
    <mergeCell ref="AS63:AS68"/>
    <mergeCell ref="AT63:AT68"/>
    <mergeCell ref="AU63:AU68"/>
    <mergeCell ref="AV63:AV68"/>
    <mergeCell ref="AW63:AW68"/>
    <mergeCell ref="AL63:AL68"/>
    <mergeCell ref="AM63:AM68"/>
    <mergeCell ref="AN63:AN68"/>
    <mergeCell ref="AO63:AO68"/>
    <mergeCell ref="AP63:AP68"/>
    <mergeCell ref="AQ63:AQ68"/>
    <mergeCell ref="AF63:AF68"/>
    <mergeCell ref="AG63:AG68"/>
    <mergeCell ref="AH63:AH68"/>
    <mergeCell ref="AI63:AI68"/>
    <mergeCell ref="AJ63:AJ68"/>
    <mergeCell ref="AK63:AK68"/>
    <mergeCell ref="Z63:Z68"/>
    <mergeCell ref="AA63:AA68"/>
    <mergeCell ref="AB63:AB68"/>
    <mergeCell ref="AC63:AC68"/>
    <mergeCell ref="AD63:AD68"/>
    <mergeCell ref="AE63:AE68"/>
    <mergeCell ref="O63:O68"/>
    <mergeCell ref="P63:P68"/>
    <mergeCell ref="Q63:Q68"/>
    <mergeCell ref="R63:R68"/>
    <mergeCell ref="S63:S68"/>
    <mergeCell ref="T63:T64"/>
    <mergeCell ref="I63:I68"/>
    <mergeCell ref="J63:J68"/>
    <mergeCell ref="K63:K68"/>
    <mergeCell ref="L63:L68"/>
    <mergeCell ref="M63:M68"/>
    <mergeCell ref="N63:N68"/>
    <mergeCell ref="BN60:BN61"/>
    <mergeCell ref="BO60:BO61"/>
    <mergeCell ref="BP60:BP61"/>
    <mergeCell ref="A62:C62"/>
    <mergeCell ref="A63:A68"/>
    <mergeCell ref="B63:C68"/>
    <mergeCell ref="D63:D68"/>
    <mergeCell ref="E63:F68"/>
    <mergeCell ref="G63:G68"/>
    <mergeCell ref="H63:H68"/>
    <mergeCell ref="BH60:BH61"/>
    <mergeCell ref="BI60:BI61"/>
    <mergeCell ref="BJ60:BJ61"/>
    <mergeCell ref="BK60:BK61"/>
    <mergeCell ref="BL60:BL61"/>
    <mergeCell ref="BM60:BM61"/>
    <mergeCell ref="BB60:BB61"/>
    <mergeCell ref="BC60:BC61"/>
    <mergeCell ref="BD60:BD61"/>
    <mergeCell ref="BE60:BE61"/>
    <mergeCell ref="BF60:BF61"/>
    <mergeCell ref="BG60:BG61"/>
    <mergeCell ref="AV60:AV61"/>
    <mergeCell ref="AW60:AW61"/>
    <mergeCell ref="AX60:AX61"/>
    <mergeCell ref="AY60:AY61"/>
    <mergeCell ref="AZ60:AZ61"/>
    <mergeCell ref="BA60:BA61"/>
    <mergeCell ref="AP60:AP61"/>
    <mergeCell ref="AQ60:AQ61"/>
    <mergeCell ref="AR60:AR61"/>
    <mergeCell ref="AS60:AS61"/>
    <mergeCell ref="AT60:AT61"/>
    <mergeCell ref="AU60:AU61"/>
    <mergeCell ref="AJ60:AJ61"/>
    <mergeCell ref="AK60:AK61"/>
    <mergeCell ref="AL60:AL61"/>
    <mergeCell ref="AM60:AM61"/>
    <mergeCell ref="AN60:AN61"/>
    <mergeCell ref="AO60:AO61"/>
    <mergeCell ref="AD60:AD61"/>
    <mergeCell ref="AE60:AE61"/>
    <mergeCell ref="AF60:AF61"/>
    <mergeCell ref="AG60:AG61"/>
    <mergeCell ref="AH60:AH61"/>
    <mergeCell ref="AI60:AI61"/>
    <mergeCell ref="R60:R61"/>
    <mergeCell ref="S60:S61"/>
    <mergeCell ref="Z60:Z61"/>
    <mergeCell ref="AA60:AA61"/>
    <mergeCell ref="AB60:AB61"/>
    <mergeCell ref="AC60:AC61"/>
    <mergeCell ref="L60:L61"/>
    <mergeCell ref="M60:M61"/>
    <mergeCell ref="N60:N61"/>
    <mergeCell ref="O60:O61"/>
    <mergeCell ref="P60:P61"/>
    <mergeCell ref="Q60:Q61"/>
    <mergeCell ref="A59:C59"/>
    <mergeCell ref="G60:G61"/>
    <mergeCell ref="H60:H61"/>
    <mergeCell ref="I60:I61"/>
    <mergeCell ref="J60:J61"/>
    <mergeCell ref="K60:K61"/>
    <mergeCell ref="BK54:BK57"/>
    <mergeCell ref="BL54:BL57"/>
    <mergeCell ref="BM54:BM57"/>
    <mergeCell ref="BN54:BN57"/>
    <mergeCell ref="BO54:BO57"/>
    <mergeCell ref="BP54:BP57"/>
    <mergeCell ref="BE54:BE57"/>
    <mergeCell ref="BF54:BF57"/>
    <mergeCell ref="BG54:BG57"/>
    <mergeCell ref="BH54:BH57"/>
    <mergeCell ref="BI54:BI57"/>
    <mergeCell ref="BJ54:BJ57"/>
    <mergeCell ref="AY54:AY57"/>
    <mergeCell ref="AZ54:AZ57"/>
    <mergeCell ref="BA54:BA57"/>
    <mergeCell ref="BB54:BB57"/>
    <mergeCell ref="BC54:BC57"/>
    <mergeCell ref="BD54:BD57"/>
    <mergeCell ref="AS54:AS57"/>
    <mergeCell ref="AT54:AT57"/>
    <mergeCell ref="AU54:AU57"/>
    <mergeCell ref="AV54:AV57"/>
    <mergeCell ref="AW54:AW57"/>
    <mergeCell ref="AX54:AX57"/>
    <mergeCell ref="AM54:AM57"/>
    <mergeCell ref="AN54:AN57"/>
    <mergeCell ref="AO54:AO57"/>
    <mergeCell ref="AP54:AP57"/>
    <mergeCell ref="AQ54:AQ57"/>
    <mergeCell ref="AR54:AR57"/>
    <mergeCell ref="AG54:AG57"/>
    <mergeCell ref="AH54:AH57"/>
    <mergeCell ref="AI54:AI57"/>
    <mergeCell ref="AJ54:AJ57"/>
    <mergeCell ref="AK54:AK57"/>
    <mergeCell ref="AL54:AL57"/>
    <mergeCell ref="AA54:AA57"/>
    <mergeCell ref="AB54:AB57"/>
    <mergeCell ref="AC54:AC57"/>
    <mergeCell ref="AD54:AD57"/>
    <mergeCell ref="AE54:AE57"/>
    <mergeCell ref="AF54:AF57"/>
    <mergeCell ref="O54:O57"/>
    <mergeCell ref="P54:P56"/>
    <mergeCell ref="Q54:Q57"/>
    <mergeCell ref="R54:R57"/>
    <mergeCell ref="S54:S57"/>
    <mergeCell ref="Z54:Z57"/>
    <mergeCell ref="T55:T56"/>
    <mergeCell ref="I54:I56"/>
    <mergeCell ref="J54:J56"/>
    <mergeCell ref="K54:K56"/>
    <mergeCell ref="L54:L56"/>
    <mergeCell ref="M54:M57"/>
    <mergeCell ref="N54:N57"/>
    <mergeCell ref="A53:C53"/>
    <mergeCell ref="D54:D57"/>
    <mergeCell ref="E54:E57"/>
    <mergeCell ref="F54:F57"/>
    <mergeCell ref="G54:G56"/>
    <mergeCell ref="H54:H56"/>
    <mergeCell ref="BP50:BP52"/>
    <mergeCell ref="G51:G52"/>
    <mergeCell ref="H51:H52"/>
    <mergeCell ref="I51:I52"/>
    <mergeCell ref="J51:J52"/>
    <mergeCell ref="K51:K52"/>
    <mergeCell ref="L51:L52"/>
    <mergeCell ref="P51:P52"/>
    <mergeCell ref="BJ50:BJ52"/>
    <mergeCell ref="BK50:BK52"/>
    <mergeCell ref="BL50:BL52"/>
    <mergeCell ref="BM50:BM52"/>
    <mergeCell ref="BN50:BN52"/>
    <mergeCell ref="BO50:BO52"/>
    <mergeCell ref="BD50:BD52"/>
    <mergeCell ref="BE50:BE52"/>
    <mergeCell ref="BF50:BF52"/>
    <mergeCell ref="BG50:BG52"/>
    <mergeCell ref="BH50:BH52"/>
    <mergeCell ref="BI50:BI52"/>
    <mergeCell ref="AX50:AX52"/>
    <mergeCell ref="AY50:AY52"/>
    <mergeCell ref="AZ50:AZ52"/>
    <mergeCell ref="BA50:BA52"/>
    <mergeCell ref="BB50:BB52"/>
    <mergeCell ref="BC50:BC52"/>
    <mergeCell ref="AR50:AR52"/>
    <mergeCell ref="AS50:AS52"/>
    <mergeCell ref="AT50:AT52"/>
    <mergeCell ref="AU50:AU52"/>
    <mergeCell ref="AV50:AV52"/>
    <mergeCell ref="AW50:AW52"/>
    <mergeCell ref="AL50:AL52"/>
    <mergeCell ref="AM50:AM52"/>
    <mergeCell ref="AN50:AN52"/>
    <mergeCell ref="AO50:AO52"/>
    <mergeCell ref="AP50:AP52"/>
    <mergeCell ref="AQ50:AQ52"/>
    <mergeCell ref="AF50:AF52"/>
    <mergeCell ref="AG50:AG52"/>
    <mergeCell ref="AH50:AH52"/>
    <mergeCell ref="AI50:AI52"/>
    <mergeCell ref="AJ50:AJ52"/>
    <mergeCell ref="AK50:AK52"/>
    <mergeCell ref="Z50:Z52"/>
    <mergeCell ref="AA50:AA52"/>
    <mergeCell ref="AB50:AB52"/>
    <mergeCell ref="AC50:AC52"/>
    <mergeCell ref="AD50:AD52"/>
    <mergeCell ref="AE50:AE52"/>
    <mergeCell ref="BO47:BO48"/>
    <mergeCell ref="BP47:BP48"/>
    <mergeCell ref="A49:C49"/>
    <mergeCell ref="E49:K49"/>
    <mergeCell ref="M50:M52"/>
    <mergeCell ref="N50:N52"/>
    <mergeCell ref="O50:O52"/>
    <mergeCell ref="Q50:Q52"/>
    <mergeCell ref="R50:R52"/>
    <mergeCell ref="S50:S52"/>
    <mergeCell ref="BI47:BI48"/>
    <mergeCell ref="BJ47:BJ48"/>
    <mergeCell ref="BK47:BK48"/>
    <mergeCell ref="BL47:BL48"/>
    <mergeCell ref="BM47:BM48"/>
    <mergeCell ref="BN47:BN48"/>
    <mergeCell ref="BC47:BC48"/>
    <mergeCell ref="BD47:BD48"/>
    <mergeCell ref="BE47:BE48"/>
    <mergeCell ref="BF47:BF48"/>
    <mergeCell ref="BG47:BG48"/>
    <mergeCell ref="BH47:BH48"/>
    <mergeCell ref="AW47:AW48"/>
    <mergeCell ref="AX47:AX48"/>
    <mergeCell ref="AY47:AY48"/>
    <mergeCell ref="AZ47:AZ48"/>
    <mergeCell ref="BA47:BA48"/>
    <mergeCell ref="BB47:BB48"/>
    <mergeCell ref="AQ47:AQ48"/>
    <mergeCell ref="AR47:AR48"/>
    <mergeCell ref="AS47:AS48"/>
    <mergeCell ref="AT47:AT48"/>
    <mergeCell ref="AU47:AU48"/>
    <mergeCell ref="AV47:AV48"/>
    <mergeCell ref="AK47:AK48"/>
    <mergeCell ref="AL47:AL48"/>
    <mergeCell ref="AM47:AM48"/>
    <mergeCell ref="AN47:AN48"/>
    <mergeCell ref="AO47:AO48"/>
    <mergeCell ref="AP47:AP48"/>
    <mergeCell ref="AE47:AE48"/>
    <mergeCell ref="AF47:AF48"/>
    <mergeCell ref="AG47:AG48"/>
    <mergeCell ref="AH47:AH48"/>
    <mergeCell ref="AI47:AI48"/>
    <mergeCell ref="AJ47:AJ48"/>
    <mergeCell ref="A46:C46"/>
    <mergeCell ref="Z47:Z48"/>
    <mergeCell ref="AA47:AA48"/>
    <mergeCell ref="AB47:AB48"/>
    <mergeCell ref="AC47:AC48"/>
    <mergeCell ref="AD47:AD48"/>
    <mergeCell ref="BK43:BK45"/>
    <mergeCell ref="BL43:BL45"/>
    <mergeCell ref="BM43:BM45"/>
    <mergeCell ref="BN43:BN45"/>
    <mergeCell ref="BO43:BO45"/>
    <mergeCell ref="BP43:BP45"/>
    <mergeCell ref="BE43:BE45"/>
    <mergeCell ref="BF43:BF45"/>
    <mergeCell ref="BG43:BG45"/>
    <mergeCell ref="BH43:BH45"/>
    <mergeCell ref="BI43:BI45"/>
    <mergeCell ref="BJ43:BJ45"/>
    <mergeCell ref="AY43:AY45"/>
    <mergeCell ref="AZ43:AZ45"/>
    <mergeCell ref="BA43:BA45"/>
    <mergeCell ref="BB43:BB45"/>
    <mergeCell ref="BC43:BC45"/>
    <mergeCell ref="BD43:BD45"/>
    <mergeCell ref="AS43:AS45"/>
    <mergeCell ref="AT43:AT45"/>
    <mergeCell ref="AU43:AU45"/>
    <mergeCell ref="AV43:AV45"/>
    <mergeCell ref="AW43:AW45"/>
    <mergeCell ref="AX43:AX45"/>
    <mergeCell ref="AM43:AM45"/>
    <mergeCell ref="AN43:AN45"/>
    <mergeCell ref="AO43:AO45"/>
    <mergeCell ref="AP43:AP45"/>
    <mergeCell ref="AQ43:AQ45"/>
    <mergeCell ref="AR43:AR45"/>
    <mergeCell ref="AG43:AG45"/>
    <mergeCell ref="AH43:AH45"/>
    <mergeCell ref="AI43:AI45"/>
    <mergeCell ref="AJ43:AJ45"/>
    <mergeCell ref="AK43:AK45"/>
    <mergeCell ref="AL43:AL45"/>
    <mergeCell ref="AA43:AA45"/>
    <mergeCell ref="AB43:AB45"/>
    <mergeCell ref="AC43:AC45"/>
    <mergeCell ref="AD43:AD45"/>
    <mergeCell ref="AE43:AE45"/>
    <mergeCell ref="AF43:AF45"/>
    <mergeCell ref="P43:P45"/>
    <mergeCell ref="Q43:Q45"/>
    <mergeCell ref="R43:R45"/>
    <mergeCell ref="S43:S45"/>
    <mergeCell ref="T43:T44"/>
    <mergeCell ref="Z43:Z45"/>
    <mergeCell ref="J43:J45"/>
    <mergeCell ref="K43:K45"/>
    <mergeCell ref="L43:L45"/>
    <mergeCell ref="M43:M45"/>
    <mergeCell ref="N43:N45"/>
    <mergeCell ref="O43:O45"/>
    <mergeCell ref="D43:D45"/>
    <mergeCell ref="E43:E45"/>
    <mergeCell ref="F43:F45"/>
    <mergeCell ref="G43:G45"/>
    <mergeCell ref="H43:H45"/>
    <mergeCell ref="I43:I45"/>
    <mergeCell ref="BM39:BM41"/>
    <mergeCell ref="BN39:BN41"/>
    <mergeCell ref="BO39:BO41"/>
    <mergeCell ref="BP39:BP41"/>
    <mergeCell ref="T40:T41"/>
    <mergeCell ref="AD39:AD41"/>
    <mergeCell ref="AE39:AE41"/>
    <mergeCell ref="AF39:AF41"/>
    <mergeCell ref="AG39:AG41"/>
    <mergeCell ref="AH39:AH41"/>
    <mergeCell ref="Q39:Q41"/>
    <mergeCell ref="R39:R41"/>
    <mergeCell ref="S39:S41"/>
    <mergeCell ref="Z39:Z41"/>
    <mergeCell ref="AA39:AA41"/>
    <mergeCell ref="AB39:AB41"/>
    <mergeCell ref="K39:K41"/>
    <mergeCell ref="L39:L41"/>
    <mergeCell ref="M39:M41"/>
    <mergeCell ref="N39:N41"/>
    <mergeCell ref="A42:C42"/>
    <mergeCell ref="BG39:BG41"/>
    <mergeCell ref="BH39:BH41"/>
    <mergeCell ref="BI39:BI41"/>
    <mergeCell ref="BJ39:BJ41"/>
    <mergeCell ref="BK39:BK41"/>
    <mergeCell ref="BL39:BL41"/>
    <mergeCell ref="BA39:BA41"/>
    <mergeCell ref="BB39:BB41"/>
    <mergeCell ref="BC39:BC41"/>
    <mergeCell ref="BD39:BD41"/>
    <mergeCell ref="BE39:BE41"/>
    <mergeCell ref="BF39:BF41"/>
    <mergeCell ref="AU39:AU41"/>
    <mergeCell ref="AV39:AV41"/>
    <mergeCell ref="AW39:AW41"/>
    <mergeCell ref="AX39:AX41"/>
    <mergeCell ref="AY39:AY41"/>
    <mergeCell ref="AZ39:AZ41"/>
    <mergeCell ref="AO39:AO41"/>
    <mergeCell ref="AP39:AP41"/>
    <mergeCell ref="AQ39:AQ41"/>
    <mergeCell ref="AR39:AR41"/>
    <mergeCell ref="AS39:AS41"/>
    <mergeCell ref="AT39:AT41"/>
    <mergeCell ref="AI39:AI41"/>
    <mergeCell ref="AJ39:AJ41"/>
    <mergeCell ref="AK39:AK41"/>
    <mergeCell ref="AL39:AL41"/>
    <mergeCell ref="AM39:AM41"/>
    <mergeCell ref="AN39:AN41"/>
    <mergeCell ref="AC39:AC41"/>
    <mergeCell ref="O39:O41"/>
    <mergeCell ref="P39:P41"/>
    <mergeCell ref="BM36:BM37"/>
    <mergeCell ref="BN36:BN37"/>
    <mergeCell ref="BO36:BO37"/>
    <mergeCell ref="BP36:BP37"/>
    <mergeCell ref="A38:C38"/>
    <mergeCell ref="D39:F41"/>
    <mergeCell ref="G39:G41"/>
    <mergeCell ref="H39:H41"/>
    <mergeCell ref="I39:I41"/>
    <mergeCell ref="J39:J41"/>
    <mergeCell ref="BG36:BG37"/>
    <mergeCell ref="BH36:BH37"/>
    <mergeCell ref="BI36:BI37"/>
    <mergeCell ref="BJ36:BJ37"/>
    <mergeCell ref="BK36:BK37"/>
    <mergeCell ref="BL36:BL37"/>
    <mergeCell ref="BA36:BA37"/>
    <mergeCell ref="BB36:BB37"/>
    <mergeCell ref="BC36:BC37"/>
    <mergeCell ref="BD36:BD37"/>
    <mergeCell ref="BE36:BE37"/>
    <mergeCell ref="BF36:BF37"/>
    <mergeCell ref="AU36:AU37"/>
    <mergeCell ref="AV36:AV37"/>
    <mergeCell ref="AW36:AW37"/>
    <mergeCell ref="AX36:AX37"/>
    <mergeCell ref="AY36:AY37"/>
    <mergeCell ref="AZ36:AZ37"/>
    <mergeCell ref="AO36:AO37"/>
    <mergeCell ref="AP36:AP37"/>
    <mergeCell ref="AQ36:AQ37"/>
    <mergeCell ref="AR36:AR37"/>
    <mergeCell ref="AS36:AS37"/>
    <mergeCell ref="AT36:AT37"/>
    <mergeCell ref="AI36:AI37"/>
    <mergeCell ref="AJ36:AJ37"/>
    <mergeCell ref="AK36:AK37"/>
    <mergeCell ref="AL36:AL37"/>
    <mergeCell ref="AM36:AM37"/>
    <mergeCell ref="AN36:AN37"/>
    <mergeCell ref="AC36:AC37"/>
    <mergeCell ref="AD36:AD37"/>
    <mergeCell ref="AE36:AE37"/>
    <mergeCell ref="AF36:AF37"/>
    <mergeCell ref="AG36:AG37"/>
    <mergeCell ref="AH36:AH37"/>
    <mergeCell ref="Q36:Q37"/>
    <mergeCell ref="R36:R37"/>
    <mergeCell ref="S36:S37"/>
    <mergeCell ref="Z36:Z37"/>
    <mergeCell ref="AA36:AA37"/>
    <mergeCell ref="AB36:AB37"/>
    <mergeCell ref="A33:C33"/>
    <mergeCell ref="A35:C35"/>
    <mergeCell ref="E35:O35"/>
    <mergeCell ref="M36:M37"/>
    <mergeCell ref="N36:N37"/>
    <mergeCell ref="O36:O37"/>
    <mergeCell ref="BK31:BK32"/>
    <mergeCell ref="BL31:BL32"/>
    <mergeCell ref="BM31:BM32"/>
    <mergeCell ref="BN31:BN32"/>
    <mergeCell ref="BO31:BO32"/>
    <mergeCell ref="BP31:BP32"/>
    <mergeCell ref="BE31:BE32"/>
    <mergeCell ref="BF31:BF32"/>
    <mergeCell ref="BG31:BG32"/>
    <mergeCell ref="BH31:BH32"/>
    <mergeCell ref="BI31:BI32"/>
    <mergeCell ref="BJ31:BJ32"/>
    <mergeCell ref="AY31:AY32"/>
    <mergeCell ref="AZ31:AZ32"/>
    <mergeCell ref="BA31:BA32"/>
    <mergeCell ref="BB31:BB32"/>
    <mergeCell ref="BC31:BC32"/>
    <mergeCell ref="BD31:BD32"/>
    <mergeCell ref="AS31:AS32"/>
    <mergeCell ref="AT31:AT32"/>
    <mergeCell ref="AU31:AU32"/>
    <mergeCell ref="AV31:AV32"/>
    <mergeCell ref="AW31:AW32"/>
    <mergeCell ref="AX31:AX32"/>
    <mergeCell ref="AM31:AM32"/>
    <mergeCell ref="AN31:AN32"/>
    <mergeCell ref="AO31:AO32"/>
    <mergeCell ref="AP31:AP32"/>
    <mergeCell ref="AQ31:AQ32"/>
    <mergeCell ref="AR31:AR32"/>
    <mergeCell ref="AG31:AG32"/>
    <mergeCell ref="AH31:AH32"/>
    <mergeCell ref="AI31:AI32"/>
    <mergeCell ref="AJ31:AJ32"/>
    <mergeCell ref="AK31:AK32"/>
    <mergeCell ref="AL31:AL32"/>
    <mergeCell ref="AA31:AA32"/>
    <mergeCell ref="AB31:AB32"/>
    <mergeCell ref="AC31:AC32"/>
    <mergeCell ref="AD31:AD32"/>
    <mergeCell ref="AE31:AE32"/>
    <mergeCell ref="AF31:AF32"/>
    <mergeCell ref="P31:P32"/>
    <mergeCell ref="Q31:Q32"/>
    <mergeCell ref="R31:R32"/>
    <mergeCell ref="S31:S32"/>
    <mergeCell ref="T31:T32"/>
    <mergeCell ref="Z31:Z32"/>
    <mergeCell ref="BP28:BP30"/>
    <mergeCell ref="G31:G32"/>
    <mergeCell ref="H31:H32"/>
    <mergeCell ref="I31:I32"/>
    <mergeCell ref="J31:J32"/>
    <mergeCell ref="K31:K32"/>
    <mergeCell ref="L31:L32"/>
    <mergeCell ref="M31:M32"/>
    <mergeCell ref="N31:N32"/>
    <mergeCell ref="O31:O32"/>
    <mergeCell ref="BJ28:BJ30"/>
    <mergeCell ref="BK28:BK30"/>
    <mergeCell ref="BL28:BL30"/>
    <mergeCell ref="BM28:BM30"/>
    <mergeCell ref="BN28:BN30"/>
    <mergeCell ref="BO28:BO30"/>
    <mergeCell ref="BD28:BD30"/>
    <mergeCell ref="BE28:BE30"/>
    <mergeCell ref="BF28:BF30"/>
    <mergeCell ref="BG28:BG30"/>
    <mergeCell ref="BH28:BH30"/>
    <mergeCell ref="BI28:BI30"/>
    <mergeCell ref="AX28:AX30"/>
    <mergeCell ref="AY28:AY30"/>
    <mergeCell ref="AZ28:AZ30"/>
    <mergeCell ref="BA28:BA30"/>
    <mergeCell ref="BB28:BB30"/>
    <mergeCell ref="BC28:BC30"/>
    <mergeCell ref="AR28:AR30"/>
    <mergeCell ref="AS28:AS30"/>
    <mergeCell ref="AT28:AT30"/>
    <mergeCell ref="AU28:AU30"/>
    <mergeCell ref="AV28:AV30"/>
    <mergeCell ref="AW28:AW30"/>
    <mergeCell ref="AL28:AL30"/>
    <mergeCell ref="AM28:AM30"/>
    <mergeCell ref="AN28:AN30"/>
    <mergeCell ref="AO28:AO30"/>
    <mergeCell ref="AP28:AP30"/>
    <mergeCell ref="AQ28:AQ30"/>
    <mergeCell ref="AF28:AF30"/>
    <mergeCell ref="AG28:AG30"/>
    <mergeCell ref="AH28:AH30"/>
    <mergeCell ref="AI28:AI30"/>
    <mergeCell ref="AJ28:AJ30"/>
    <mergeCell ref="AK28:AK30"/>
    <mergeCell ref="Z28:Z30"/>
    <mergeCell ref="AA28:AA30"/>
    <mergeCell ref="AB28:AB30"/>
    <mergeCell ref="AC28:AC30"/>
    <mergeCell ref="AD28:AD30"/>
    <mergeCell ref="AE28:AE30"/>
    <mergeCell ref="BM26:BM27"/>
    <mergeCell ref="BN26:BN27"/>
    <mergeCell ref="BO26:BO27"/>
    <mergeCell ref="BP26:BP27"/>
    <mergeCell ref="M28:M30"/>
    <mergeCell ref="N28:N30"/>
    <mergeCell ref="O28:O30"/>
    <mergeCell ref="Q28:Q30"/>
    <mergeCell ref="R28:R30"/>
    <mergeCell ref="S28:S30"/>
    <mergeCell ref="BG26:BG27"/>
    <mergeCell ref="BH26:BH27"/>
    <mergeCell ref="BI26:BI27"/>
    <mergeCell ref="BJ26:BJ27"/>
    <mergeCell ref="BK26:BK27"/>
    <mergeCell ref="BL26:BL27"/>
    <mergeCell ref="BA26:BA27"/>
    <mergeCell ref="BB26:BB27"/>
    <mergeCell ref="BC26:BC27"/>
    <mergeCell ref="BD26:BD27"/>
    <mergeCell ref="BE26:BE27"/>
    <mergeCell ref="BF26:BF27"/>
    <mergeCell ref="AU26:AU27"/>
    <mergeCell ref="AV26:AV27"/>
    <mergeCell ref="AW26:AW27"/>
    <mergeCell ref="AX26:AX27"/>
    <mergeCell ref="AY26:AY27"/>
    <mergeCell ref="AZ26:AZ27"/>
    <mergeCell ref="AO26:AO27"/>
    <mergeCell ref="AP26:AP27"/>
    <mergeCell ref="AQ26:AQ27"/>
    <mergeCell ref="AR26:AR27"/>
    <mergeCell ref="AS26:AS27"/>
    <mergeCell ref="AT26:AT27"/>
    <mergeCell ref="AI26:AI27"/>
    <mergeCell ref="AJ26:AJ27"/>
    <mergeCell ref="AK26:AK27"/>
    <mergeCell ref="AL26:AL27"/>
    <mergeCell ref="AM26:AM27"/>
    <mergeCell ref="AN26:AN27"/>
    <mergeCell ref="AC26:AC27"/>
    <mergeCell ref="AD26:AD27"/>
    <mergeCell ref="AE26:AE27"/>
    <mergeCell ref="AF26:AF27"/>
    <mergeCell ref="AG26:AG27"/>
    <mergeCell ref="AH26:AH27"/>
    <mergeCell ref="Q26:Q27"/>
    <mergeCell ref="R26:R27"/>
    <mergeCell ref="S26:S27"/>
    <mergeCell ref="Z26:Z27"/>
    <mergeCell ref="AA26:AA27"/>
    <mergeCell ref="AB26:AB27"/>
    <mergeCell ref="H23:H25"/>
    <mergeCell ref="J23:J25"/>
    <mergeCell ref="K23:K25"/>
    <mergeCell ref="L23:L25"/>
    <mergeCell ref="P23:P25"/>
    <mergeCell ref="M26:M27"/>
    <mergeCell ref="N26:N27"/>
    <mergeCell ref="O26:O27"/>
    <mergeCell ref="BK20:BK25"/>
    <mergeCell ref="BL20:BL25"/>
    <mergeCell ref="BM20:BM25"/>
    <mergeCell ref="BN20:BN25"/>
    <mergeCell ref="BO20:BO25"/>
    <mergeCell ref="BP20:BP25"/>
    <mergeCell ref="BE20:BE25"/>
    <mergeCell ref="BF20:BF25"/>
    <mergeCell ref="BG20:BG25"/>
    <mergeCell ref="BH20:BH25"/>
    <mergeCell ref="BI20:BI25"/>
    <mergeCell ref="BJ20:BJ25"/>
    <mergeCell ref="AY20:AY25"/>
    <mergeCell ref="AZ20:AZ25"/>
    <mergeCell ref="BA20:BA25"/>
    <mergeCell ref="BB20:BB25"/>
    <mergeCell ref="BC20:BC25"/>
    <mergeCell ref="BD20:BD25"/>
    <mergeCell ref="AS20:AS25"/>
    <mergeCell ref="AT20:AT25"/>
    <mergeCell ref="AU20:AU25"/>
    <mergeCell ref="AV20:AV25"/>
    <mergeCell ref="AW20:AW25"/>
    <mergeCell ref="AX20:AX25"/>
    <mergeCell ref="AM20:AM25"/>
    <mergeCell ref="AN20:AN25"/>
    <mergeCell ref="AO20:AO25"/>
    <mergeCell ref="AP20:AP25"/>
    <mergeCell ref="AQ20:AQ25"/>
    <mergeCell ref="AR20:AR25"/>
    <mergeCell ref="AG20:AG25"/>
    <mergeCell ref="AH20:AH25"/>
    <mergeCell ref="AI20:AI25"/>
    <mergeCell ref="AJ20:AJ25"/>
    <mergeCell ref="AK20:AK25"/>
    <mergeCell ref="AL20:AL25"/>
    <mergeCell ref="AA20:AA25"/>
    <mergeCell ref="AB20:AB25"/>
    <mergeCell ref="AC20:AC25"/>
    <mergeCell ref="AD20:AD25"/>
    <mergeCell ref="AE20:AE25"/>
    <mergeCell ref="AF20:AF25"/>
    <mergeCell ref="O20:O25"/>
    <mergeCell ref="P20:P22"/>
    <mergeCell ref="Q20:Q25"/>
    <mergeCell ref="R20:R25"/>
    <mergeCell ref="S20:S25"/>
    <mergeCell ref="Z20:Z25"/>
    <mergeCell ref="BP15:BP19"/>
    <mergeCell ref="T18:T19"/>
    <mergeCell ref="G20:G25"/>
    <mergeCell ref="H20:H22"/>
    <mergeCell ref="I20:I25"/>
    <mergeCell ref="J20:J22"/>
    <mergeCell ref="K20:K22"/>
    <mergeCell ref="L20:L22"/>
    <mergeCell ref="M20:M25"/>
    <mergeCell ref="N20:N25"/>
    <mergeCell ref="BJ15:BJ19"/>
    <mergeCell ref="BK15:BK19"/>
    <mergeCell ref="BL15:BL19"/>
    <mergeCell ref="BM15:BM19"/>
    <mergeCell ref="BN15:BN19"/>
    <mergeCell ref="BO15:BO19"/>
    <mergeCell ref="BD15:BD19"/>
    <mergeCell ref="BE15:BE19"/>
    <mergeCell ref="BF15:BF19"/>
    <mergeCell ref="BG15:BG19"/>
    <mergeCell ref="BH15:BH19"/>
    <mergeCell ref="BI15:BI19"/>
    <mergeCell ref="AX15:AX19"/>
    <mergeCell ref="AY15:AY19"/>
    <mergeCell ref="AZ15:AZ19"/>
    <mergeCell ref="BA15:BA19"/>
    <mergeCell ref="BB15:BB19"/>
    <mergeCell ref="BC15:BC19"/>
    <mergeCell ref="AR15:AR19"/>
    <mergeCell ref="AS15:AS19"/>
    <mergeCell ref="AT15:AT19"/>
    <mergeCell ref="AU15:AU19"/>
    <mergeCell ref="AV15:AV19"/>
    <mergeCell ref="AW15:AW19"/>
    <mergeCell ref="AL15:AL19"/>
    <mergeCell ref="AM15:AM19"/>
    <mergeCell ref="AN15:AN19"/>
    <mergeCell ref="AO15:AO19"/>
    <mergeCell ref="AP15:AP19"/>
    <mergeCell ref="AQ15:AQ19"/>
    <mergeCell ref="AF15:AF19"/>
    <mergeCell ref="AG15:AG19"/>
    <mergeCell ref="AH15:AH19"/>
    <mergeCell ref="AI15:AI19"/>
    <mergeCell ref="AJ15:AJ19"/>
    <mergeCell ref="AK15:AK19"/>
    <mergeCell ref="Z15:Z19"/>
    <mergeCell ref="AA15:AA19"/>
    <mergeCell ref="AB15:AB19"/>
    <mergeCell ref="AC15:AC19"/>
    <mergeCell ref="AD15:AD19"/>
    <mergeCell ref="AE15:AE19"/>
    <mergeCell ref="O15:O19"/>
    <mergeCell ref="P15:P19"/>
    <mergeCell ref="Q15:Q19"/>
    <mergeCell ref="R15:R19"/>
    <mergeCell ref="S15:S19"/>
    <mergeCell ref="T15:T16"/>
    <mergeCell ref="BO12:BO14"/>
    <mergeCell ref="BP12:BP14"/>
    <mergeCell ref="G15:G19"/>
    <mergeCell ref="H15:H19"/>
    <mergeCell ref="I15:I19"/>
    <mergeCell ref="J15:J19"/>
    <mergeCell ref="K15:K19"/>
    <mergeCell ref="L15:L19"/>
    <mergeCell ref="M15:M19"/>
    <mergeCell ref="N15:N19"/>
    <mergeCell ref="BI12:BI14"/>
    <mergeCell ref="BJ12:BJ14"/>
    <mergeCell ref="BK12:BK14"/>
    <mergeCell ref="BL12:BL14"/>
    <mergeCell ref="BM12:BM14"/>
    <mergeCell ref="BN12:BN14"/>
    <mergeCell ref="BC12:BC14"/>
    <mergeCell ref="BD12:BD14"/>
    <mergeCell ref="BE12:BE14"/>
    <mergeCell ref="BF12:BF14"/>
    <mergeCell ref="BG12:BG14"/>
    <mergeCell ref="BH12:BH14"/>
    <mergeCell ref="AW12:AW14"/>
    <mergeCell ref="AX12:AX14"/>
    <mergeCell ref="AY12:AY14"/>
    <mergeCell ref="AZ12:AZ14"/>
    <mergeCell ref="BA12:BA14"/>
    <mergeCell ref="BB12:BB14"/>
    <mergeCell ref="AQ12:AQ14"/>
    <mergeCell ref="AR12:AR14"/>
    <mergeCell ref="AS12:AS14"/>
    <mergeCell ref="AT12:AT14"/>
    <mergeCell ref="AU12:AU14"/>
    <mergeCell ref="AV12:AV14"/>
    <mergeCell ref="AK12:AK14"/>
    <mergeCell ref="AL12:AL14"/>
    <mergeCell ref="AM12:AM14"/>
    <mergeCell ref="AN12:AN14"/>
    <mergeCell ref="AO12:AO14"/>
    <mergeCell ref="AP12:AP14"/>
    <mergeCell ref="BG8:BG9"/>
    <mergeCell ref="BH8:BH9"/>
    <mergeCell ref="BI8:BI9"/>
    <mergeCell ref="BJ8:BJ9"/>
    <mergeCell ref="BK8:BK9"/>
    <mergeCell ref="B9:C9"/>
    <mergeCell ref="E9:F9"/>
    <mergeCell ref="AT8:AU8"/>
    <mergeCell ref="AV8:AW8"/>
    <mergeCell ref="AX8:AY8"/>
    <mergeCell ref="AZ8:BA8"/>
    <mergeCell ref="BB8:BC8"/>
    <mergeCell ref="BF8:BF9"/>
    <mergeCell ref="Q7:Q8"/>
    <mergeCell ref="R7:R8"/>
    <mergeCell ref="S7:S8"/>
    <mergeCell ref="T7:T8"/>
    <mergeCell ref="U7:W7"/>
    <mergeCell ref="X7:X8"/>
    <mergeCell ref="J7:J8"/>
    <mergeCell ref="K7:L7"/>
    <mergeCell ref="M7:M8"/>
    <mergeCell ref="AL7:AW7"/>
    <mergeCell ref="AX7:BC7"/>
    <mergeCell ref="BD7:BE8"/>
    <mergeCell ref="AL8:AM8"/>
    <mergeCell ref="AN8:AO8"/>
    <mergeCell ref="AP8:AQ8"/>
    <mergeCell ref="AR8:AS8"/>
    <mergeCell ref="N7:N8"/>
    <mergeCell ref="O7:O8"/>
    <mergeCell ref="P7:P8"/>
    <mergeCell ref="E12:F14"/>
    <mergeCell ref="G12:G13"/>
    <mergeCell ref="H12:H13"/>
    <mergeCell ref="I12:I13"/>
    <mergeCell ref="J12:J13"/>
    <mergeCell ref="K12:K13"/>
    <mergeCell ref="L12:L13"/>
    <mergeCell ref="AE12:AE14"/>
    <mergeCell ref="AF12:AF14"/>
    <mergeCell ref="AG12:AG14"/>
    <mergeCell ref="AH12:AH14"/>
    <mergeCell ref="AI12:AI14"/>
    <mergeCell ref="AJ12:AJ14"/>
    <mergeCell ref="S12:S14"/>
    <mergeCell ref="Z12:Z14"/>
    <mergeCell ref="AA12:AA14"/>
    <mergeCell ref="AB12:AB14"/>
    <mergeCell ref="AC12:AC14"/>
    <mergeCell ref="AD12:AD14"/>
    <mergeCell ref="M12:M14"/>
    <mergeCell ref="N12:N14"/>
    <mergeCell ref="O12:O14"/>
    <mergeCell ref="P12:P13"/>
    <mergeCell ref="Q12:Q14"/>
    <mergeCell ref="R12:R14"/>
    <mergeCell ref="A1:BL4"/>
    <mergeCell ref="A5:K6"/>
    <mergeCell ref="M5:BP5"/>
    <mergeCell ref="Z6:BB6"/>
    <mergeCell ref="A7:A8"/>
    <mergeCell ref="B7:C8"/>
    <mergeCell ref="D7:D8"/>
    <mergeCell ref="E7:F8"/>
    <mergeCell ref="G7:G8"/>
    <mergeCell ref="I7:I8"/>
    <mergeCell ref="Q47:Q48"/>
    <mergeCell ref="O47:O48"/>
    <mergeCell ref="N47:N48"/>
    <mergeCell ref="M47:M48"/>
    <mergeCell ref="R47:R48"/>
    <mergeCell ref="S47:S48"/>
    <mergeCell ref="BF7:BK7"/>
    <mergeCell ref="BL7:BM8"/>
    <mergeCell ref="BN7:BO8"/>
    <mergeCell ref="BP7:BP8"/>
    <mergeCell ref="Z8:AA8"/>
    <mergeCell ref="AB8:AC8"/>
    <mergeCell ref="AD8:AE8"/>
    <mergeCell ref="AF8:AG8"/>
    <mergeCell ref="AH8:AI8"/>
    <mergeCell ref="AJ8:AK8"/>
    <mergeCell ref="Y7:Y8"/>
    <mergeCell ref="Z7:AC7"/>
    <mergeCell ref="AD7:AK7"/>
    <mergeCell ref="A11:C11"/>
    <mergeCell ref="E11:N11"/>
    <mergeCell ref="D12:D1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J33"/>
  <sheetViews>
    <sheetView showGridLines="0" zoomScale="50" zoomScaleNormal="50" workbookViewId="0">
      <selection sqref="A1:BN4"/>
    </sheetView>
  </sheetViews>
  <sheetFormatPr baseColWidth="10" defaultColWidth="11.42578125" defaultRowHeight="14.25" x14ac:dyDescent="0.2"/>
  <cols>
    <col min="1" max="1" width="13.140625" style="691" customWidth="1"/>
    <col min="2" max="2" width="4" style="630" customWidth="1"/>
    <col min="3" max="3" width="23.5703125" style="630" customWidth="1"/>
    <col min="4" max="4" width="14.7109375" style="630" customWidth="1"/>
    <col min="5" max="5" width="10" style="630" customWidth="1"/>
    <col min="6" max="6" width="16.5703125" style="630" customWidth="1"/>
    <col min="7" max="7" width="22" style="630" customWidth="1"/>
    <col min="8" max="8" width="14" style="630" customWidth="1"/>
    <col min="9" max="9" width="43.5703125" style="692" customWidth="1"/>
    <col min="10" max="10" width="48" style="15" customWidth="1"/>
    <col min="11" max="12" width="21.140625" style="15" customWidth="1"/>
    <col min="13" max="13" width="35.7109375" style="15" customWidth="1"/>
    <col min="14" max="14" width="24.7109375" style="693" customWidth="1"/>
    <col min="15" max="15" width="35.140625" style="692" customWidth="1"/>
    <col min="16" max="16" width="13.7109375" style="694" customWidth="1"/>
    <col min="17" max="17" width="27.85546875" style="695" customWidth="1"/>
    <col min="18" max="18" width="54.85546875" style="692" customWidth="1"/>
    <col min="19" max="19" width="59.28515625" style="692" customWidth="1"/>
    <col min="20" max="20" width="34" style="692" customWidth="1"/>
    <col min="21" max="23" width="28.42578125" style="722" customWidth="1"/>
    <col min="24" max="24" width="17" style="696" customWidth="1"/>
    <col min="25" max="25" width="28.7109375" style="697" customWidth="1"/>
    <col min="26" max="55" width="10.42578125" style="630" customWidth="1"/>
    <col min="56" max="57" width="11.85546875" style="630" customWidth="1"/>
    <col min="58" max="58" width="17.28515625" style="630" customWidth="1"/>
    <col min="59" max="59" width="28.7109375" style="630" bestFit="1" customWidth="1"/>
    <col min="60" max="60" width="23.42578125" style="630" bestFit="1" customWidth="1"/>
    <col min="61" max="61" width="11.85546875" style="630" customWidth="1"/>
    <col min="62" max="63" width="19.28515625" style="630" customWidth="1"/>
    <col min="64" max="65" width="16.140625" style="698" customWidth="1"/>
    <col min="66" max="67" width="21.7109375" style="699" customWidth="1"/>
    <col min="68" max="68" width="27" style="700" customWidth="1"/>
    <col min="69" max="16384" width="11.42578125" style="630"/>
  </cols>
  <sheetData>
    <row r="1" spans="1:88" s="1170" customFormat="1" ht="15" customHeight="1" x14ac:dyDescent="0.2">
      <c r="A1" s="2244" t="s">
        <v>1286</v>
      </c>
      <c r="B1" s="2245"/>
      <c r="C1" s="2245"/>
      <c r="D1" s="2245"/>
      <c r="E1" s="2245"/>
      <c r="F1" s="2245"/>
      <c r="G1" s="2245"/>
      <c r="H1" s="2245"/>
      <c r="I1" s="2245"/>
      <c r="J1" s="2245"/>
      <c r="K1" s="2245"/>
      <c r="L1" s="2245"/>
      <c r="M1" s="2245"/>
      <c r="N1" s="2245"/>
      <c r="O1" s="2245"/>
      <c r="P1" s="2245"/>
      <c r="Q1" s="2245"/>
      <c r="R1" s="2245"/>
      <c r="S1" s="2245"/>
      <c r="T1" s="2245"/>
      <c r="U1" s="2245"/>
      <c r="V1" s="2245"/>
      <c r="W1" s="2245"/>
      <c r="X1" s="2245"/>
      <c r="Y1" s="2245"/>
      <c r="Z1" s="2245"/>
      <c r="AA1" s="2245"/>
      <c r="AB1" s="2245"/>
      <c r="AC1" s="2245"/>
      <c r="AD1" s="2245"/>
      <c r="AE1" s="2245"/>
      <c r="AF1" s="2245"/>
      <c r="AG1" s="2245"/>
      <c r="AH1" s="2245"/>
      <c r="AI1" s="2245"/>
      <c r="AJ1" s="2245"/>
      <c r="AK1" s="2245"/>
      <c r="AL1" s="2245"/>
      <c r="AM1" s="2245"/>
      <c r="AN1" s="2245"/>
      <c r="AO1" s="2245"/>
      <c r="AP1" s="2245"/>
      <c r="AQ1" s="2245"/>
      <c r="AR1" s="2245"/>
      <c r="AS1" s="2245"/>
      <c r="AT1" s="2245"/>
      <c r="AU1" s="2245"/>
      <c r="AV1" s="2245"/>
      <c r="AW1" s="2245"/>
      <c r="AX1" s="2245"/>
      <c r="AY1" s="2245"/>
      <c r="AZ1" s="2245"/>
      <c r="BA1" s="2245"/>
      <c r="BB1" s="2245"/>
      <c r="BC1" s="2245"/>
      <c r="BD1" s="2245"/>
      <c r="BE1" s="2245"/>
      <c r="BF1" s="2245"/>
      <c r="BG1" s="2245"/>
      <c r="BH1" s="2245"/>
      <c r="BI1" s="2245"/>
      <c r="BJ1" s="2245"/>
      <c r="BK1" s="2245"/>
      <c r="BL1" s="2245"/>
      <c r="BM1" s="2245"/>
      <c r="BN1" s="2246"/>
      <c r="BO1" s="628" t="s">
        <v>29</v>
      </c>
      <c r="BP1" s="705" t="s">
        <v>336</v>
      </c>
    </row>
    <row r="2" spans="1:88" s="1170" customFormat="1" ht="15" x14ac:dyDescent="0.2">
      <c r="A2" s="2244"/>
      <c r="B2" s="2245"/>
      <c r="C2" s="2245"/>
      <c r="D2" s="2245"/>
      <c r="E2" s="2245"/>
      <c r="F2" s="2245"/>
      <c r="G2" s="2245"/>
      <c r="H2" s="2245"/>
      <c r="I2" s="2245"/>
      <c r="J2" s="2245"/>
      <c r="K2" s="2245"/>
      <c r="L2" s="2245"/>
      <c r="M2" s="2245"/>
      <c r="N2" s="2245"/>
      <c r="O2" s="2245"/>
      <c r="P2" s="2245"/>
      <c r="Q2" s="2245"/>
      <c r="R2" s="2245"/>
      <c r="S2" s="2245"/>
      <c r="T2" s="2245"/>
      <c r="U2" s="2245"/>
      <c r="V2" s="2245"/>
      <c r="W2" s="2245"/>
      <c r="X2" s="2245"/>
      <c r="Y2" s="2245"/>
      <c r="Z2" s="2245"/>
      <c r="AA2" s="2245"/>
      <c r="AB2" s="2245"/>
      <c r="AC2" s="2245"/>
      <c r="AD2" s="2245"/>
      <c r="AE2" s="2245"/>
      <c r="AF2" s="2245"/>
      <c r="AG2" s="2245"/>
      <c r="AH2" s="2245"/>
      <c r="AI2" s="2245"/>
      <c r="AJ2" s="2245"/>
      <c r="AK2" s="2245"/>
      <c r="AL2" s="2245"/>
      <c r="AM2" s="2245"/>
      <c r="AN2" s="2245"/>
      <c r="AO2" s="2245"/>
      <c r="AP2" s="2245"/>
      <c r="AQ2" s="2245"/>
      <c r="AR2" s="2245"/>
      <c r="AS2" s="2245"/>
      <c r="AT2" s="2245"/>
      <c r="AU2" s="2245"/>
      <c r="AV2" s="2245"/>
      <c r="AW2" s="2245"/>
      <c r="AX2" s="2245"/>
      <c r="AY2" s="2245"/>
      <c r="AZ2" s="2245"/>
      <c r="BA2" s="2245"/>
      <c r="BB2" s="2245"/>
      <c r="BC2" s="2245"/>
      <c r="BD2" s="2245"/>
      <c r="BE2" s="2245"/>
      <c r="BF2" s="2245"/>
      <c r="BG2" s="2245"/>
      <c r="BH2" s="2245"/>
      <c r="BI2" s="2245"/>
      <c r="BJ2" s="2245"/>
      <c r="BK2" s="2245"/>
      <c r="BL2" s="2245"/>
      <c r="BM2" s="2245"/>
      <c r="BN2" s="2246"/>
      <c r="BO2" s="631" t="s">
        <v>30</v>
      </c>
      <c r="BP2" s="707">
        <v>6</v>
      </c>
    </row>
    <row r="3" spans="1:88" s="1170" customFormat="1" ht="15" x14ac:dyDescent="0.2">
      <c r="A3" s="2244"/>
      <c r="B3" s="2245"/>
      <c r="C3" s="2245"/>
      <c r="D3" s="2245"/>
      <c r="E3" s="2245"/>
      <c r="F3" s="2245"/>
      <c r="G3" s="2245"/>
      <c r="H3" s="2245"/>
      <c r="I3" s="2245"/>
      <c r="J3" s="2245"/>
      <c r="K3" s="2245"/>
      <c r="L3" s="2245"/>
      <c r="M3" s="2245"/>
      <c r="N3" s="2245"/>
      <c r="O3" s="2245"/>
      <c r="P3" s="2245"/>
      <c r="Q3" s="2245"/>
      <c r="R3" s="2245"/>
      <c r="S3" s="2245"/>
      <c r="T3" s="2245"/>
      <c r="U3" s="2245"/>
      <c r="V3" s="2245"/>
      <c r="W3" s="2245"/>
      <c r="X3" s="2245"/>
      <c r="Y3" s="2245"/>
      <c r="Z3" s="2245"/>
      <c r="AA3" s="2245"/>
      <c r="AB3" s="2245"/>
      <c r="AC3" s="2245"/>
      <c r="AD3" s="2245"/>
      <c r="AE3" s="2245"/>
      <c r="AF3" s="2245"/>
      <c r="AG3" s="2245"/>
      <c r="AH3" s="2245"/>
      <c r="AI3" s="2245"/>
      <c r="AJ3" s="2245"/>
      <c r="AK3" s="2245"/>
      <c r="AL3" s="2245"/>
      <c r="AM3" s="2245"/>
      <c r="AN3" s="2245"/>
      <c r="AO3" s="2245"/>
      <c r="AP3" s="2245"/>
      <c r="AQ3" s="2245"/>
      <c r="AR3" s="2245"/>
      <c r="AS3" s="2245"/>
      <c r="AT3" s="2245"/>
      <c r="AU3" s="2245"/>
      <c r="AV3" s="2245"/>
      <c r="AW3" s="2245"/>
      <c r="AX3" s="2245"/>
      <c r="AY3" s="2245"/>
      <c r="AZ3" s="2245"/>
      <c r="BA3" s="2245"/>
      <c r="BB3" s="2245"/>
      <c r="BC3" s="2245"/>
      <c r="BD3" s="2245"/>
      <c r="BE3" s="2245"/>
      <c r="BF3" s="2245"/>
      <c r="BG3" s="2245"/>
      <c r="BH3" s="2245"/>
      <c r="BI3" s="2245"/>
      <c r="BJ3" s="2245"/>
      <c r="BK3" s="2245"/>
      <c r="BL3" s="2245"/>
      <c r="BM3" s="2245"/>
      <c r="BN3" s="2246"/>
      <c r="BO3" s="631" t="s">
        <v>32</v>
      </c>
      <c r="BP3" s="708" t="s">
        <v>33</v>
      </c>
    </row>
    <row r="4" spans="1:88" s="950" customFormat="1" ht="15" x14ac:dyDescent="0.2">
      <c r="A4" s="2247"/>
      <c r="B4" s="2248"/>
      <c r="C4" s="2248"/>
      <c r="D4" s="2248"/>
      <c r="E4" s="2248"/>
      <c r="F4" s="2248"/>
      <c r="G4" s="2248"/>
      <c r="H4" s="2248"/>
      <c r="I4" s="2248"/>
      <c r="J4" s="2248"/>
      <c r="K4" s="2248"/>
      <c r="L4" s="2248"/>
      <c r="M4" s="2248"/>
      <c r="N4" s="2248"/>
      <c r="O4" s="2248"/>
      <c r="P4" s="2248"/>
      <c r="Q4" s="2248"/>
      <c r="R4" s="2248"/>
      <c r="S4" s="2248"/>
      <c r="T4" s="2248"/>
      <c r="U4" s="2248"/>
      <c r="V4" s="2248"/>
      <c r="W4" s="2248"/>
      <c r="X4" s="2248"/>
      <c r="Y4" s="2248"/>
      <c r="Z4" s="2248"/>
      <c r="AA4" s="2248"/>
      <c r="AB4" s="2248"/>
      <c r="AC4" s="2248"/>
      <c r="AD4" s="2248"/>
      <c r="AE4" s="2248"/>
      <c r="AF4" s="2248"/>
      <c r="AG4" s="2248"/>
      <c r="AH4" s="2248"/>
      <c r="AI4" s="2248"/>
      <c r="AJ4" s="2248"/>
      <c r="AK4" s="2248"/>
      <c r="AL4" s="2248"/>
      <c r="AM4" s="2248"/>
      <c r="AN4" s="2248"/>
      <c r="AO4" s="2248"/>
      <c r="AP4" s="2248"/>
      <c r="AQ4" s="2248"/>
      <c r="AR4" s="2248"/>
      <c r="AS4" s="2248"/>
      <c r="AT4" s="2248"/>
      <c r="AU4" s="2248"/>
      <c r="AV4" s="2248"/>
      <c r="AW4" s="2248"/>
      <c r="AX4" s="2248"/>
      <c r="AY4" s="2248"/>
      <c r="AZ4" s="2248"/>
      <c r="BA4" s="2248"/>
      <c r="BB4" s="2248"/>
      <c r="BC4" s="2248"/>
      <c r="BD4" s="2248"/>
      <c r="BE4" s="2248"/>
      <c r="BF4" s="2248"/>
      <c r="BG4" s="2248"/>
      <c r="BH4" s="2248"/>
      <c r="BI4" s="2248"/>
      <c r="BJ4" s="2248"/>
      <c r="BK4" s="2248"/>
      <c r="BL4" s="2248"/>
      <c r="BM4" s="2248"/>
      <c r="BN4" s="2249"/>
      <c r="BO4" s="631" t="s">
        <v>34</v>
      </c>
      <c r="BP4" s="710" t="s">
        <v>339</v>
      </c>
    </row>
    <row r="5" spans="1:88" s="768" customFormat="1" ht="15.75" x14ac:dyDescent="0.2">
      <c r="A5" s="2250" t="s">
        <v>340</v>
      </c>
      <c r="B5" s="2251"/>
      <c r="C5" s="2251"/>
      <c r="D5" s="2251"/>
      <c r="E5" s="2251"/>
      <c r="F5" s="2251"/>
      <c r="G5" s="2251"/>
      <c r="H5" s="2251"/>
      <c r="I5" s="2251"/>
      <c r="J5" s="2251"/>
      <c r="K5" s="2251"/>
      <c r="L5" s="574"/>
      <c r="M5" s="2555" t="s">
        <v>37</v>
      </c>
      <c r="N5" s="2555"/>
      <c r="O5" s="2555"/>
      <c r="P5" s="2555"/>
      <c r="Q5" s="2555"/>
      <c r="R5" s="2555"/>
      <c r="S5" s="2555"/>
      <c r="T5" s="2555"/>
      <c r="U5" s="2555"/>
      <c r="V5" s="2555"/>
      <c r="W5" s="2555"/>
      <c r="X5" s="2555"/>
      <c r="Y5" s="2555"/>
      <c r="Z5" s="2555"/>
      <c r="AA5" s="2555"/>
      <c r="AB5" s="2555"/>
      <c r="AC5" s="2555"/>
      <c r="AD5" s="2555"/>
      <c r="AE5" s="2555"/>
      <c r="AF5" s="2555"/>
      <c r="AG5" s="2555"/>
      <c r="AH5" s="2555"/>
      <c r="AI5" s="2555"/>
      <c r="AJ5" s="2555"/>
      <c r="AK5" s="2555"/>
      <c r="AL5" s="2555"/>
      <c r="AM5" s="2555"/>
      <c r="AN5" s="2555"/>
      <c r="AO5" s="2555"/>
      <c r="AP5" s="2555"/>
      <c r="AQ5" s="2555"/>
      <c r="AR5" s="2555"/>
      <c r="AS5" s="2555"/>
      <c r="AT5" s="2555"/>
      <c r="AU5" s="2555"/>
      <c r="AV5" s="2555"/>
      <c r="AW5" s="2555"/>
      <c r="AX5" s="2555"/>
      <c r="AY5" s="2555"/>
      <c r="AZ5" s="2555"/>
      <c r="BA5" s="2555"/>
      <c r="BB5" s="2555"/>
      <c r="BC5" s="2555"/>
      <c r="BD5" s="2555"/>
      <c r="BE5" s="2555"/>
      <c r="BF5" s="2555"/>
      <c r="BG5" s="2555"/>
      <c r="BH5" s="2555"/>
      <c r="BI5" s="2555"/>
      <c r="BJ5" s="2555"/>
      <c r="BK5" s="2555"/>
      <c r="BL5" s="2555"/>
      <c r="BM5" s="2555"/>
      <c r="BN5" s="2555"/>
      <c r="BO5" s="2254"/>
      <c r="BP5" s="2556"/>
      <c r="BQ5" s="1351"/>
      <c r="BR5" s="1351"/>
      <c r="BS5" s="1173"/>
      <c r="BT5" s="1173"/>
      <c r="BU5" s="1173"/>
      <c r="BV5" s="1173"/>
      <c r="BW5" s="1173"/>
      <c r="BX5" s="1173"/>
      <c r="BY5" s="1173"/>
      <c r="BZ5" s="1173"/>
      <c r="CA5" s="1173"/>
      <c r="CB5" s="1173"/>
      <c r="CC5" s="1173"/>
      <c r="CD5" s="1173"/>
      <c r="CE5" s="1173"/>
      <c r="CF5" s="1173"/>
      <c r="CG5" s="1173"/>
      <c r="CH5" s="1173"/>
      <c r="CI5" s="1173"/>
      <c r="CJ5" s="1173"/>
    </row>
    <row r="6" spans="1:88" s="768" customFormat="1" ht="16.5" thickBot="1" x14ac:dyDescent="0.25">
      <c r="A6" s="2252"/>
      <c r="B6" s="2253"/>
      <c r="C6" s="2253"/>
      <c r="D6" s="2253"/>
      <c r="E6" s="2253"/>
      <c r="F6" s="2253"/>
      <c r="G6" s="2253"/>
      <c r="H6" s="2253"/>
      <c r="I6" s="2253"/>
      <c r="J6" s="2253"/>
      <c r="K6" s="2253"/>
      <c r="L6" s="576"/>
      <c r="M6" s="573"/>
      <c r="N6" s="952"/>
      <c r="O6" s="636"/>
      <c r="P6" s="576"/>
      <c r="Q6" s="953"/>
      <c r="R6" s="576"/>
      <c r="S6" s="576"/>
      <c r="T6" s="576"/>
      <c r="U6" s="576"/>
      <c r="V6" s="576"/>
      <c r="W6" s="576"/>
      <c r="X6" s="576"/>
      <c r="Y6" s="576"/>
      <c r="Z6" s="2557" t="s">
        <v>38</v>
      </c>
      <c r="AA6" s="2253"/>
      <c r="AB6" s="2253"/>
      <c r="AC6" s="2253"/>
      <c r="AD6" s="2253"/>
      <c r="AE6" s="2253"/>
      <c r="AF6" s="2253"/>
      <c r="AG6" s="2253"/>
      <c r="AH6" s="2253"/>
      <c r="AI6" s="2253"/>
      <c r="AJ6" s="2253"/>
      <c r="AK6" s="2253"/>
      <c r="AL6" s="2253"/>
      <c r="AM6" s="2253"/>
      <c r="AN6" s="2253"/>
      <c r="AO6" s="2253"/>
      <c r="AP6" s="2253"/>
      <c r="AQ6" s="2253"/>
      <c r="AR6" s="2253"/>
      <c r="AS6" s="2253"/>
      <c r="AT6" s="2253"/>
      <c r="AU6" s="2253"/>
      <c r="AV6" s="2253"/>
      <c r="AW6" s="2253"/>
      <c r="AX6" s="2253"/>
      <c r="AY6" s="2253"/>
      <c r="AZ6" s="2253"/>
      <c r="BA6" s="2253"/>
      <c r="BB6" s="2253"/>
      <c r="BC6" s="576"/>
      <c r="BD6" s="954"/>
      <c r="BE6" s="954"/>
      <c r="BF6" s="954"/>
      <c r="BG6" s="954"/>
      <c r="BH6" s="954"/>
      <c r="BI6" s="954"/>
      <c r="BJ6" s="954"/>
      <c r="BK6" s="954"/>
      <c r="BL6" s="639"/>
      <c r="BM6" s="639"/>
      <c r="BN6" s="639"/>
      <c r="BO6" s="639"/>
      <c r="BP6" s="956"/>
      <c r="BQ6" s="1351"/>
      <c r="BR6" s="1351"/>
      <c r="BS6" s="1173"/>
      <c r="BT6" s="1173"/>
      <c r="BU6" s="1173"/>
      <c r="BV6" s="1173"/>
      <c r="BW6" s="1173"/>
      <c r="BX6" s="1173"/>
      <c r="BY6" s="1173"/>
      <c r="BZ6" s="1173"/>
      <c r="CA6" s="1173"/>
      <c r="CB6" s="1173"/>
      <c r="CC6" s="1173"/>
      <c r="CD6" s="1173"/>
      <c r="CE6" s="1173"/>
      <c r="CF6" s="1173"/>
      <c r="CG6" s="1173"/>
      <c r="CH6" s="1173"/>
      <c r="CI6" s="1173"/>
      <c r="CJ6" s="1173"/>
    </row>
    <row r="7" spans="1:88" s="1255" customFormat="1" ht="15.75" x14ac:dyDescent="0.2">
      <c r="A7" s="3477" t="s">
        <v>39</v>
      </c>
      <c r="B7" s="2829" t="s">
        <v>40</v>
      </c>
      <c r="C7" s="2814"/>
      <c r="D7" s="2814" t="s">
        <v>39</v>
      </c>
      <c r="E7" s="2829" t="s">
        <v>41</v>
      </c>
      <c r="F7" s="2814"/>
      <c r="G7" s="2814" t="s">
        <v>39</v>
      </c>
      <c r="H7" s="2814" t="s">
        <v>39</v>
      </c>
      <c r="I7" s="2829" t="s">
        <v>43</v>
      </c>
      <c r="J7" s="3484" t="s">
        <v>44</v>
      </c>
      <c r="K7" s="2829" t="s">
        <v>876</v>
      </c>
      <c r="L7" s="2814"/>
      <c r="M7" s="3484" t="s">
        <v>46</v>
      </c>
      <c r="N7" s="3484" t="s">
        <v>47</v>
      </c>
      <c r="O7" s="3492" t="s">
        <v>37</v>
      </c>
      <c r="P7" s="3480" t="s">
        <v>48</v>
      </c>
      <c r="Q7" s="3482" t="s">
        <v>49</v>
      </c>
      <c r="R7" s="2829" t="s">
        <v>50</v>
      </c>
      <c r="S7" s="2829" t="s">
        <v>51</v>
      </c>
      <c r="T7" s="3484" t="s">
        <v>52</v>
      </c>
      <c r="U7" s="3486" t="s">
        <v>49</v>
      </c>
      <c r="V7" s="3487"/>
      <c r="W7" s="3488"/>
      <c r="X7" s="3496" t="s">
        <v>39</v>
      </c>
      <c r="Y7" s="3484" t="s">
        <v>53</v>
      </c>
      <c r="Z7" s="3499" t="s">
        <v>54</v>
      </c>
      <c r="AA7" s="3499"/>
      <c r="AB7" s="3499"/>
      <c r="AC7" s="511"/>
      <c r="AD7" s="2278" t="s">
        <v>55</v>
      </c>
      <c r="AE7" s="2278"/>
      <c r="AF7" s="2278"/>
      <c r="AG7" s="2278"/>
      <c r="AH7" s="2278"/>
      <c r="AI7" s="2278"/>
      <c r="AJ7" s="2278"/>
      <c r="AK7" s="2279"/>
      <c r="AL7" s="2542" t="s">
        <v>56</v>
      </c>
      <c r="AM7" s="2543"/>
      <c r="AN7" s="2543"/>
      <c r="AO7" s="2543"/>
      <c r="AP7" s="2543"/>
      <c r="AQ7" s="2543"/>
      <c r="AR7" s="2543"/>
      <c r="AS7" s="2543"/>
      <c r="AT7" s="2543"/>
      <c r="AU7" s="2543"/>
      <c r="AV7" s="2543"/>
      <c r="AW7" s="2544"/>
      <c r="AX7" s="2559" t="s">
        <v>57</v>
      </c>
      <c r="AY7" s="3500"/>
      <c r="AZ7" s="3500"/>
      <c r="BA7" s="3500"/>
      <c r="BB7" s="3500"/>
      <c r="BC7" s="2560"/>
      <c r="BD7" s="2393" t="s">
        <v>58</v>
      </c>
      <c r="BE7" s="2394"/>
      <c r="BF7" s="3501" t="s">
        <v>335</v>
      </c>
      <c r="BG7" s="3502"/>
      <c r="BH7" s="3502"/>
      <c r="BI7" s="3502"/>
      <c r="BJ7" s="3502"/>
      <c r="BK7" s="3503"/>
      <c r="BL7" s="2800" t="s">
        <v>59</v>
      </c>
      <c r="BM7" s="2801"/>
      <c r="BN7" s="2800" t="s">
        <v>60</v>
      </c>
      <c r="BO7" s="2801"/>
      <c r="BP7" s="3494" t="s">
        <v>61</v>
      </c>
      <c r="BQ7" s="1351"/>
      <c r="BR7" s="1351"/>
      <c r="BS7" s="1351"/>
      <c r="BT7" s="1351"/>
      <c r="BU7" s="1351"/>
      <c r="BV7" s="1351"/>
      <c r="BW7" s="1351"/>
      <c r="BX7" s="1351"/>
      <c r="BY7" s="1351"/>
      <c r="BZ7" s="1351"/>
      <c r="CA7" s="1351"/>
      <c r="CB7" s="1351"/>
      <c r="CC7" s="1351"/>
      <c r="CD7" s="1351"/>
      <c r="CE7" s="1351"/>
      <c r="CF7" s="1351"/>
      <c r="CG7" s="1351"/>
      <c r="CH7" s="1351"/>
      <c r="CI7" s="1351"/>
      <c r="CJ7" s="1351"/>
    </row>
    <row r="8" spans="1:88" s="1255" customFormat="1" ht="140.25" customHeight="1" x14ac:dyDescent="0.2">
      <c r="A8" s="3478"/>
      <c r="B8" s="3479"/>
      <c r="C8" s="2815"/>
      <c r="D8" s="2815"/>
      <c r="E8" s="3479"/>
      <c r="F8" s="2815"/>
      <c r="G8" s="2815"/>
      <c r="H8" s="2815"/>
      <c r="I8" s="3479"/>
      <c r="J8" s="3485"/>
      <c r="K8" s="3479"/>
      <c r="L8" s="2815"/>
      <c r="M8" s="3485"/>
      <c r="N8" s="3485"/>
      <c r="O8" s="3493"/>
      <c r="P8" s="3481"/>
      <c r="Q8" s="3483"/>
      <c r="R8" s="3479"/>
      <c r="S8" s="3479"/>
      <c r="T8" s="3485"/>
      <c r="U8" s="3489"/>
      <c r="V8" s="3490"/>
      <c r="W8" s="3491"/>
      <c r="X8" s="3497"/>
      <c r="Y8" s="3485"/>
      <c r="Z8" s="2809" t="s">
        <v>63</v>
      </c>
      <c r="AA8" s="2810"/>
      <c r="AB8" s="2809" t="s">
        <v>64</v>
      </c>
      <c r="AC8" s="2810"/>
      <c r="AD8" s="2809" t="s">
        <v>65</v>
      </c>
      <c r="AE8" s="2810"/>
      <c r="AF8" s="2809" t="s">
        <v>66</v>
      </c>
      <c r="AG8" s="2810"/>
      <c r="AH8" s="2809" t="s">
        <v>331</v>
      </c>
      <c r="AI8" s="2810"/>
      <c r="AJ8" s="2809" t="s">
        <v>68</v>
      </c>
      <c r="AK8" s="2810"/>
      <c r="AL8" s="2809" t="s">
        <v>69</v>
      </c>
      <c r="AM8" s="2810"/>
      <c r="AN8" s="2809" t="s">
        <v>70</v>
      </c>
      <c r="AO8" s="2810"/>
      <c r="AP8" s="2809" t="s">
        <v>71</v>
      </c>
      <c r="AQ8" s="2810"/>
      <c r="AR8" s="2809" t="s">
        <v>72</v>
      </c>
      <c r="AS8" s="2810"/>
      <c r="AT8" s="2809" t="s">
        <v>73</v>
      </c>
      <c r="AU8" s="2810"/>
      <c r="AV8" s="2809" t="s">
        <v>342</v>
      </c>
      <c r="AW8" s="2810"/>
      <c r="AX8" s="2809" t="s">
        <v>75</v>
      </c>
      <c r="AY8" s="2810"/>
      <c r="AZ8" s="2809" t="s">
        <v>76</v>
      </c>
      <c r="BA8" s="2810"/>
      <c r="BB8" s="3512" t="s">
        <v>77</v>
      </c>
      <c r="BC8" s="3512"/>
      <c r="BD8" s="2395"/>
      <c r="BE8" s="2396"/>
      <c r="BF8" s="3171" t="s">
        <v>152</v>
      </c>
      <c r="BG8" s="3174" t="s">
        <v>153</v>
      </c>
      <c r="BH8" s="3171" t="s">
        <v>154</v>
      </c>
      <c r="BI8" s="3175" t="s">
        <v>155</v>
      </c>
      <c r="BJ8" s="3171" t="s">
        <v>156</v>
      </c>
      <c r="BK8" s="3172" t="s">
        <v>157</v>
      </c>
      <c r="BL8" s="2802"/>
      <c r="BM8" s="2803"/>
      <c r="BN8" s="3504"/>
      <c r="BO8" s="3505"/>
      <c r="BP8" s="3495"/>
      <c r="BQ8" s="1351"/>
      <c r="BR8" s="1351"/>
      <c r="BS8" s="1351"/>
      <c r="BT8" s="1351"/>
      <c r="BU8" s="1351"/>
      <c r="BV8" s="1351"/>
      <c r="BW8" s="1351"/>
      <c r="BX8" s="1351"/>
      <c r="BY8" s="1351"/>
      <c r="BZ8" s="1351"/>
      <c r="CA8" s="1351"/>
      <c r="CB8" s="1351"/>
      <c r="CC8" s="1351"/>
      <c r="CD8" s="1351"/>
      <c r="CE8" s="1351"/>
      <c r="CF8" s="1351"/>
      <c r="CG8" s="1351"/>
      <c r="CH8" s="1351"/>
      <c r="CI8" s="1351"/>
      <c r="CJ8" s="1351"/>
    </row>
    <row r="9" spans="1:88" s="1255" customFormat="1" ht="15.75" x14ac:dyDescent="0.2">
      <c r="A9" s="3478"/>
      <c r="B9" s="3479"/>
      <c r="C9" s="2815"/>
      <c r="D9" s="2815"/>
      <c r="E9" s="3479"/>
      <c r="F9" s="2815"/>
      <c r="G9" s="2815"/>
      <c r="H9" s="2815"/>
      <c r="I9" s="3479"/>
      <c r="J9" s="3485"/>
      <c r="K9" s="1180" t="s">
        <v>158</v>
      </c>
      <c r="L9" s="1180" t="s">
        <v>159</v>
      </c>
      <c r="M9" s="3485"/>
      <c r="N9" s="3485"/>
      <c r="O9" s="3493"/>
      <c r="P9" s="3481"/>
      <c r="Q9" s="3483"/>
      <c r="R9" s="3479"/>
      <c r="S9" s="3479"/>
      <c r="T9" s="3485"/>
      <c r="U9" s="1386" t="s">
        <v>62</v>
      </c>
      <c r="V9" s="1386" t="s">
        <v>150</v>
      </c>
      <c r="W9" s="1386" t="s">
        <v>151</v>
      </c>
      <c r="X9" s="3498"/>
      <c r="Y9" s="3485"/>
      <c r="Z9" s="1387" t="s">
        <v>158</v>
      </c>
      <c r="AA9" s="1387" t="s">
        <v>159</v>
      </c>
      <c r="AB9" s="1387" t="s">
        <v>158</v>
      </c>
      <c r="AC9" s="1387" t="s">
        <v>159</v>
      </c>
      <c r="AD9" s="1387" t="s">
        <v>158</v>
      </c>
      <c r="AE9" s="1387" t="s">
        <v>159</v>
      </c>
      <c r="AF9" s="1387" t="s">
        <v>158</v>
      </c>
      <c r="AG9" s="1387" t="s">
        <v>159</v>
      </c>
      <c r="AH9" s="1387" t="s">
        <v>158</v>
      </c>
      <c r="AI9" s="1387" t="s">
        <v>159</v>
      </c>
      <c r="AJ9" s="1387" t="s">
        <v>158</v>
      </c>
      <c r="AK9" s="1387" t="s">
        <v>159</v>
      </c>
      <c r="AL9" s="1387" t="s">
        <v>158</v>
      </c>
      <c r="AM9" s="1387" t="s">
        <v>159</v>
      </c>
      <c r="AN9" s="1387" t="s">
        <v>158</v>
      </c>
      <c r="AO9" s="1387" t="s">
        <v>159</v>
      </c>
      <c r="AP9" s="1387" t="s">
        <v>158</v>
      </c>
      <c r="AQ9" s="1387" t="s">
        <v>159</v>
      </c>
      <c r="AR9" s="1387" t="s">
        <v>158</v>
      </c>
      <c r="AS9" s="1387" t="s">
        <v>159</v>
      </c>
      <c r="AT9" s="1387" t="s">
        <v>158</v>
      </c>
      <c r="AU9" s="1387" t="s">
        <v>159</v>
      </c>
      <c r="AV9" s="1387" t="s">
        <v>158</v>
      </c>
      <c r="AW9" s="1387" t="s">
        <v>159</v>
      </c>
      <c r="AX9" s="1387" t="s">
        <v>158</v>
      </c>
      <c r="AY9" s="1387" t="s">
        <v>159</v>
      </c>
      <c r="AZ9" s="1387" t="s">
        <v>158</v>
      </c>
      <c r="BA9" s="1387" t="s">
        <v>159</v>
      </c>
      <c r="BB9" s="1387" t="s">
        <v>158</v>
      </c>
      <c r="BC9" s="1387" t="s">
        <v>159</v>
      </c>
      <c r="BD9" s="1387" t="s">
        <v>158</v>
      </c>
      <c r="BE9" s="1387" t="s">
        <v>159</v>
      </c>
      <c r="BF9" s="3171"/>
      <c r="BG9" s="3174"/>
      <c r="BH9" s="3171"/>
      <c r="BI9" s="3175"/>
      <c r="BJ9" s="3171"/>
      <c r="BK9" s="3173"/>
      <c r="BL9" s="1388" t="s">
        <v>158</v>
      </c>
      <c r="BM9" s="1388" t="s">
        <v>159</v>
      </c>
      <c r="BN9" s="1388" t="s">
        <v>158</v>
      </c>
      <c r="BO9" s="1389" t="s">
        <v>159</v>
      </c>
      <c r="BP9" s="3495"/>
      <c r="BQ9" s="1351"/>
      <c r="BR9" s="1351"/>
      <c r="BS9" s="1351"/>
      <c r="BT9" s="1351"/>
      <c r="BU9" s="1351"/>
      <c r="BV9" s="1351"/>
      <c r="BW9" s="1351"/>
      <c r="BX9" s="1351"/>
      <c r="BY9" s="1351"/>
      <c r="BZ9" s="1351"/>
      <c r="CA9" s="1351"/>
      <c r="CB9" s="1351"/>
      <c r="CC9" s="1351"/>
      <c r="CD9" s="1351"/>
      <c r="CE9" s="1351"/>
      <c r="CF9" s="1351"/>
      <c r="CG9" s="1351"/>
      <c r="CH9" s="1351"/>
      <c r="CI9" s="1351"/>
      <c r="CJ9" s="1351"/>
    </row>
    <row r="10" spans="1:88" s="1" customFormat="1" ht="15.75" x14ac:dyDescent="0.2">
      <c r="A10" s="340">
        <v>4</v>
      </c>
      <c r="B10" s="341" t="s">
        <v>329</v>
      </c>
      <c r="C10" s="643"/>
      <c r="D10" s="283"/>
      <c r="E10" s="283"/>
      <c r="F10" s="283"/>
      <c r="G10" s="1390"/>
      <c r="H10" s="1391"/>
      <c r="I10" s="40"/>
      <c r="J10" s="283"/>
      <c r="K10" s="283"/>
      <c r="L10" s="283"/>
      <c r="M10" s="283"/>
      <c r="N10" s="276"/>
      <c r="O10" s="280"/>
      <c r="P10" s="282"/>
      <c r="Q10" s="281"/>
      <c r="R10" s="280"/>
      <c r="S10" s="280"/>
      <c r="T10" s="280"/>
      <c r="U10" s="278"/>
      <c r="V10" s="278"/>
      <c r="W10" s="278"/>
      <c r="X10" s="277"/>
      <c r="Y10" s="276"/>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647"/>
      <c r="BM10" s="647"/>
      <c r="BN10" s="647"/>
      <c r="BO10" s="647"/>
      <c r="BP10" s="280"/>
      <c r="BQ10" s="18"/>
      <c r="BR10" s="18"/>
      <c r="BS10" s="18"/>
      <c r="BT10" s="18"/>
      <c r="BU10" s="18"/>
      <c r="BV10" s="18"/>
      <c r="BW10" s="18"/>
      <c r="BX10" s="18"/>
      <c r="BY10" s="18"/>
      <c r="BZ10" s="18"/>
      <c r="CA10" s="18"/>
      <c r="CB10" s="18"/>
      <c r="CC10" s="18"/>
      <c r="CD10" s="18"/>
      <c r="CE10" s="18"/>
      <c r="CF10" s="18"/>
      <c r="CG10" s="18"/>
      <c r="CH10" s="18"/>
      <c r="CI10" s="18"/>
      <c r="CJ10" s="18"/>
    </row>
    <row r="11" spans="1:88" s="18" customFormat="1" ht="15.75" x14ac:dyDescent="0.2">
      <c r="A11" s="2295"/>
      <c r="B11" s="2296"/>
      <c r="C11" s="2297"/>
      <c r="D11" s="44">
        <v>45</v>
      </c>
      <c r="E11" s="2572" t="s">
        <v>308</v>
      </c>
      <c r="F11" s="2572"/>
      <c r="G11" s="2572"/>
      <c r="H11" s="3382"/>
      <c r="I11" s="2572"/>
      <c r="J11" s="2572"/>
      <c r="K11" s="2572"/>
      <c r="L11" s="2572"/>
      <c r="M11" s="2572"/>
      <c r="N11" s="2573"/>
      <c r="O11" s="2572"/>
      <c r="P11" s="2573"/>
      <c r="Q11" s="347"/>
      <c r="R11" s="651"/>
      <c r="S11" s="651"/>
      <c r="T11" s="651"/>
      <c r="U11" s="961"/>
      <c r="V11" s="961"/>
      <c r="W11" s="961"/>
      <c r="X11" s="962"/>
      <c r="Y11" s="650"/>
      <c r="Z11" s="649"/>
      <c r="AA11" s="649"/>
      <c r="AB11" s="649"/>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55"/>
      <c r="BM11" s="655"/>
      <c r="BN11" s="655"/>
      <c r="BO11" s="655"/>
      <c r="BP11" s="651"/>
    </row>
    <row r="12" spans="1:88" s="18" customFormat="1" ht="15" x14ac:dyDescent="0.2">
      <c r="A12" s="356"/>
      <c r="B12" s="357"/>
      <c r="C12" s="357"/>
      <c r="D12" s="431"/>
      <c r="E12" s="407"/>
      <c r="F12" s="407"/>
      <c r="G12" s="2343" t="s">
        <v>208</v>
      </c>
      <c r="H12" s="2343" t="s">
        <v>1287</v>
      </c>
      <c r="I12" s="2413" t="s">
        <v>1288</v>
      </c>
      <c r="J12" s="2512" t="s">
        <v>1289</v>
      </c>
      <c r="K12" s="2315">
        <v>1</v>
      </c>
      <c r="L12" s="2566">
        <v>0.75</v>
      </c>
      <c r="M12" s="3513" t="s">
        <v>1290</v>
      </c>
      <c r="N12" s="3506" t="s">
        <v>1291</v>
      </c>
      <c r="O12" s="2413" t="s">
        <v>1292</v>
      </c>
      <c r="P12" s="3508">
        <f>SUM(U12:U17)/Q12</f>
        <v>1</v>
      </c>
      <c r="Q12" s="3511">
        <f>SUM(U12:U17)</f>
        <v>255021326</v>
      </c>
      <c r="R12" s="2422" t="s">
        <v>1293</v>
      </c>
      <c r="S12" s="2422" t="s">
        <v>1294</v>
      </c>
      <c r="T12" s="2422" t="s">
        <v>1295</v>
      </c>
      <c r="U12" s="1392">
        <v>21120163</v>
      </c>
      <c r="V12" s="1392">
        <v>0</v>
      </c>
      <c r="W12" s="1392">
        <v>0</v>
      </c>
      <c r="X12" s="549">
        <v>20</v>
      </c>
      <c r="Y12" s="551" t="s">
        <v>7</v>
      </c>
      <c r="Z12" s="2426">
        <v>294321</v>
      </c>
      <c r="AA12" s="2426">
        <v>294321</v>
      </c>
      <c r="AB12" s="2426">
        <v>283947</v>
      </c>
      <c r="AC12" s="2426">
        <v>283947</v>
      </c>
      <c r="AD12" s="2426">
        <v>135754</v>
      </c>
      <c r="AE12" s="2426">
        <v>135754</v>
      </c>
      <c r="AF12" s="2426">
        <v>44640</v>
      </c>
      <c r="AG12" s="2426">
        <v>44640</v>
      </c>
      <c r="AH12" s="2426">
        <v>308178</v>
      </c>
      <c r="AI12" s="2426">
        <v>308178</v>
      </c>
      <c r="AJ12" s="2426">
        <v>89696</v>
      </c>
      <c r="AK12" s="2426">
        <v>89696</v>
      </c>
      <c r="AL12" s="2426">
        <v>2145</v>
      </c>
      <c r="AM12" s="2426">
        <v>2145</v>
      </c>
      <c r="AN12" s="2426">
        <v>12718</v>
      </c>
      <c r="AO12" s="2426">
        <v>12718</v>
      </c>
      <c r="AP12" s="2426">
        <v>26</v>
      </c>
      <c r="AQ12" s="2426">
        <v>26</v>
      </c>
      <c r="AR12" s="2426">
        <v>37</v>
      </c>
      <c r="AS12" s="2426">
        <v>37</v>
      </c>
      <c r="AT12" s="2426">
        <v>0</v>
      </c>
      <c r="AU12" s="2426">
        <v>0</v>
      </c>
      <c r="AV12" s="2426">
        <v>0</v>
      </c>
      <c r="AW12" s="2426">
        <v>0</v>
      </c>
      <c r="AX12" s="2426">
        <v>52505</v>
      </c>
      <c r="AY12" s="2426">
        <v>52505</v>
      </c>
      <c r="AZ12" s="2426">
        <v>16897</v>
      </c>
      <c r="BA12" s="2426">
        <v>16897</v>
      </c>
      <c r="BB12" s="2426">
        <v>61646</v>
      </c>
      <c r="BC12" s="2426">
        <v>61646</v>
      </c>
      <c r="BD12" s="2426">
        <v>578268</v>
      </c>
      <c r="BE12" s="2426">
        <v>578268</v>
      </c>
      <c r="BF12" s="2426">
        <v>15</v>
      </c>
      <c r="BG12" s="3523">
        <v>198380333.33000001</v>
      </c>
      <c r="BH12" s="3523">
        <v>134665666.33000001</v>
      </c>
      <c r="BI12" s="2310">
        <f>+BH12/BG12</f>
        <v>0.67882568836088975</v>
      </c>
      <c r="BJ12" s="2426" t="s">
        <v>1296</v>
      </c>
      <c r="BK12" s="2338" t="s">
        <v>1297</v>
      </c>
      <c r="BL12" s="3154">
        <v>44033</v>
      </c>
      <c r="BM12" s="3154">
        <v>43857</v>
      </c>
      <c r="BN12" s="3154">
        <v>44195</v>
      </c>
      <c r="BO12" s="3154">
        <v>44134</v>
      </c>
      <c r="BP12" s="2426" t="s">
        <v>1298</v>
      </c>
      <c r="BQ12" s="660"/>
    </row>
    <row r="13" spans="1:88" s="18" customFormat="1" ht="15" x14ac:dyDescent="0.2">
      <c r="A13" s="356"/>
      <c r="B13" s="357"/>
      <c r="C13" s="357"/>
      <c r="D13" s="356"/>
      <c r="E13" s="357"/>
      <c r="F13" s="357"/>
      <c r="G13" s="2343"/>
      <c r="H13" s="2343"/>
      <c r="I13" s="2413"/>
      <c r="J13" s="2512"/>
      <c r="K13" s="2315"/>
      <c r="L13" s="2567"/>
      <c r="M13" s="3513"/>
      <c r="N13" s="3507"/>
      <c r="O13" s="2413"/>
      <c r="P13" s="3509"/>
      <c r="Q13" s="3042"/>
      <c r="R13" s="2423"/>
      <c r="S13" s="2423"/>
      <c r="T13" s="2423"/>
      <c r="U13" s="1393">
        <v>37000000</v>
      </c>
      <c r="V13" s="1394">
        <v>30533333.329999998</v>
      </c>
      <c r="W13" s="1394">
        <v>20033333.329999998</v>
      </c>
      <c r="X13" s="549">
        <v>20</v>
      </c>
      <c r="Y13" s="551" t="s">
        <v>7</v>
      </c>
      <c r="Z13" s="2427"/>
      <c r="AA13" s="2427"/>
      <c r="AB13" s="2427"/>
      <c r="AC13" s="2427"/>
      <c r="AD13" s="2427"/>
      <c r="AE13" s="2427"/>
      <c r="AF13" s="2427"/>
      <c r="AG13" s="2427"/>
      <c r="AH13" s="2427"/>
      <c r="AI13" s="2427"/>
      <c r="AJ13" s="2427"/>
      <c r="AK13" s="2427"/>
      <c r="AL13" s="2427"/>
      <c r="AM13" s="2427"/>
      <c r="AN13" s="2427"/>
      <c r="AO13" s="2427"/>
      <c r="AP13" s="2427"/>
      <c r="AQ13" s="2427"/>
      <c r="AR13" s="2427"/>
      <c r="AS13" s="2427"/>
      <c r="AT13" s="2427"/>
      <c r="AU13" s="2427"/>
      <c r="AV13" s="2427"/>
      <c r="AW13" s="2427"/>
      <c r="AX13" s="2427"/>
      <c r="AY13" s="2427"/>
      <c r="AZ13" s="2427"/>
      <c r="BA13" s="2427"/>
      <c r="BB13" s="2427"/>
      <c r="BC13" s="2427"/>
      <c r="BD13" s="2427"/>
      <c r="BE13" s="2427"/>
      <c r="BF13" s="2427"/>
      <c r="BG13" s="3524"/>
      <c r="BH13" s="3524"/>
      <c r="BI13" s="2311"/>
      <c r="BJ13" s="2427"/>
      <c r="BK13" s="2339"/>
      <c r="BL13" s="3155"/>
      <c r="BM13" s="3155"/>
      <c r="BN13" s="3155"/>
      <c r="BO13" s="3155"/>
      <c r="BP13" s="2427"/>
      <c r="BQ13" s="660"/>
    </row>
    <row r="14" spans="1:88" s="18" customFormat="1" ht="30" x14ac:dyDescent="0.2">
      <c r="A14" s="356"/>
      <c r="B14" s="357"/>
      <c r="C14" s="357"/>
      <c r="D14" s="356"/>
      <c r="E14" s="357"/>
      <c r="F14" s="357"/>
      <c r="G14" s="2343"/>
      <c r="H14" s="2343"/>
      <c r="I14" s="2413"/>
      <c r="J14" s="2512"/>
      <c r="K14" s="2315"/>
      <c r="L14" s="2567"/>
      <c r="M14" s="3513"/>
      <c r="N14" s="3507"/>
      <c r="O14" s="2413"/>
      <c r="P14" s="3509"/>
      <c r="Q14" s="2307"/>
      <c r="R14" s="2423"/>
      <c r="S14" s="2423"/>
      <c r="T14" s="2423"/>
      <c r="U14" s="1393">
        <f>47000000</f>
        <v>47000000</v>
      </c>
      <c r="V14" s="1394">
        <v>44000000</v>
      </c>
      <c r="W14" s="1394">
        <v>0</v>
      </c>
      <c r="X14" s="549">
        <v>88</v>
      </c>
      <c r="Y14" s="551" t="s">
        <v>4</v>
      </c>
      <c r="Z14" s="2427"/>
      <c r="AA14" s="2427"/>
      <c r="AB14" s="2427"/>
      <c r="AC14" s="2427"/>
      <c r="AD14" s="2427"/>
      <c r="AE14" s="2427"/>
      <c r="AF14" s="2427"/>
      <c r="AG14" s="2427"/>
      <c r="AH14" s="2427"/>
      <c r="AI14" s="2427"/>
      <c r="AJ14" s="2427"/>
      <c r="AK14" s="2427"/>
      <c r="AL14" s="2427"/>
      <c r="AM14" s="2427"/>
      <c r="AN14" s="2427"/>
      <c r="AO14" s="2427"/>
      <c r="AP14" s="2427"/>
      <c r="AQ14" s="2427"/>
      <c r="AR14" s="2427"/>
      <c r="AS14" s="2427"/>
      <c r="AT14" s="2427"/>
      <c r="AU14" s="2427"/>
      <c r="AV14" s="2427"/>
      <c r="AW14" s="2427"/>
      <c r="AX14" s="2427"/>
      <c r="AY14" s="2427"/>
      <c r="AZ14" s="2427"/>
      <c r="BA14" s="2427"/>
      <c r="BB14" s="2427"/>
      <c r="BC14" s="2427"/>
      <c r="BD14" s="2427"/>
      <c r="BE14" s="2427"/>
      <c r="BF14" s="2427"/>
      <c r="BG14" s="3524"/>
      <c r="BH14" s="3524"/>
      <c r="BI14" s="2311"/>
      <c r="BJ14" s="2427"/>
      <c r="BK14" s="2339"/>
      <c r="BL14" s="3155"/>
      <c r="BM14" s="3155"/>
      <c r="BN14" s="3155"/>
      <c r="BO14" s="3155"/>
      <c r="BP14" s="2427"/>
      <c r="BQ14" s="660"/>
    </row>
    <row r="15" spans="1:88" s="18" customFormat="1" ht="15" x14ac:dyDescent="0.2">
      <c r="A15" s="356"/>
      <c r="B15" s="357"/>
      <c r="C15" s="357"/>
      <c r="D15" s="356"/>
      <c r="E15" s="357"/>
      <c r="F15" s="357"/>
      <c r="G15" s="2343"/>
      <c r="H15" s="2343"/>
      <c r="I15" s="2413"/>
      <c r="J15" s="2512"/>
      <c r="K15" s="2315"/>
      <c r="L15" s="2567"/>
      <c r="M15" s="3513"/>
      <c r="N15" s="3507"/>
      <c r="O15" s="2413"/>
      <c r="P15" s="3509"/>
      <c r="Q15" s="2307"/>
      <c r="R15" s="2423"/>
      <c r="S15" s="2993"/>
      <c r="T15" s="2413" t="s">
        <v>1299</v>
      </c>
      <c r="U15" s="1395">
        <v>95781000</v>
      </c>
      <c r="V15" s="1396">
        <v>95781000</v>
      </c>
      <c r="W15" s="1396">
        <v>95781000</v>
      </c>
      <c r="X15" s="549">
        <v>20</v>
      </c>
      <c r="Y15" s="551" t="s">
        <v>7</v>
      </c>
      <c r="Z15" s="2427"/>
      <c r="AA15" s="2427"/>
      <c r="AB15" s="2427"/>
      <c r="AC15" s="2427"/>
      <c r="AD15" s="2427"/>
      <c r="AE15" s="2427"/>
      <c r="AF15" s="2427"/>
      <c r="AG15" s="2427"/>
      <c r="AH15" s="2427"/>
      <c r="AI15" s="2427"/>
      <c r="AJ15" s="2427"/>
      <c r="AK15" s="2427"/>
      <c r="AL15" s="2427"/>
      <c r="AM15" s="2427"/>
      <c r="AN15" s="2427"/>
      <c r="AO15" s="2427"/>
      <c r="AP15" s="2427"/>
      <c r="AQ15" s="2427"/>
      <c r="AR15" s="2427"/>
      <c r="AS15" s="2427"/>
      <c r="AT15" s="2427"/>
      <c r="AU15" s="2427"/>
      <c r="AV15" s="2427"/>
      <c r="AW15" s="2427"/>
      <c r="AX15" s="2427"/>
      <c r="AY15" s="2427"/>
      <c r="AZ15" s="2427"/>
      <c r="BA15" s="2427"/>
      <c r="BB15" s="2427"/>
      <c r="BC15" s="2427"/>
      <c r="BD15" s="2427"/>
      <c r="BE15" s="2427"/>
      <c r="BF15" s="2427"/>
      <c r="BG15" s="3524"/>
      <c r="BH15" s="3524"/>
      <c r="BI15" s="2311"/>
      <c r="BJ15" s="2427"/>
      <c r="BK15" s="2339"/>
      <c r="BL15" s="3155"/>
      <c r="BM15" s="3155"/>
      <c r="BN15" s="3155"/>
      <c r="BO15" s="3155"/>
      <c r="BP15" s="2427"/>
      <c r="BQ15" s="660"/>
    </row>
    <row r="16" spans="1:88" s="18" customFormat="1" ht="15" x14ac:dyDescent="0.2">
      <c r="A16" s="356"/>
      <c r="B16" s="357"/>
      <c r="C16" s="357"/>
      <c r="D16" s="356"/>
      <c r="E16" s="357"/>
      <c r="F16" s="357"/>
      <c r="G16" s="2343"/>
      <c r="H16" s="2343"/>
      <c r="I16" s="2413"/>
      <c r="J16" s="2512"/>
      <c r="K16" s="2315"/>
      <c r="L16" s="2567"/>
      <c r="M16" s="3513"/>
      <c r="N16" s="3507"/>
      <c r="O16" s="2413"/>
      <c r="P16" s="3509"/>
      <c r="Q16" s="2307"/>
      <c r="R16" s="2423"/>
      <c r="S16" s="2993"/>
      <c r="T16" s="2413"/>
      <c r="U16" s="1396">
        <v>21120163</v>
      </c>
      <c r="V16" s="1396">
        <v>0</v>
      </c>
      <c r="W16" s="1396">
        <v>0</v>
      </c>
      <c r="X16" s="549">
        <v>20</v>
      </c>
      <c r="Y16" s="551" t="s">
        <v>7</v>
      </c>
      <c r="Z16" s="2427"/>
      <c r="AA16" s="2427"/>
      <c r="AB16" s="2427"/>
      <c r="AC16" s="2427"/>
      <c r="AD16" s="2427"/>
      <c r="AE16" s="2427"/>
      <c r="AF16" s="2427"/>
      <c r="AG16" s="2427"/>
      <c r="AH16" s="2427"/>
      <c r="AI16" s="2427"/>
      <c r="AJ16" s="2427"/>
      <c r="AK16" s="2427"/>
      <c r="AL16" s="2427"/>
      <c r="AM16" s="2427"/>
      <c r="AN16" s="2427"/>
      <c r="AO16" s="2427"/>
      <c r="AP16" s="2427"/>
      <c r="AQ16" s="2427"/>
      <c r="AR16" s="2427"/>
      <c r="AS16" s="2427"/>
      <c r="AT16" s="2427"/>
      <c r="AU16" s="2427"/>
      <c r="AV16" s="2427"/>
      <c r="AW16" s="2427"/>
      <c r="AX16" s="2427"/>
      <c r="AY16" s="2427"/>
      <c r="AZ16" s="2427"/>
      <c r="BA16" s="2427"/>
      <c r="BB16" s="2427"/>
      <c r="BC16" s="2427"/>
      <c r="BD16" s="2427"/>
      <c r="BE16" s="2427"/>
      <c r="BF16" s="2427"/>
      <c r="BG16" s="3524"/>
      <c r="BH16" s="3524"/>
      <c r="BI16" s="2311"/>
      <c r="BJ16" s="2427"/>
      <c r="BK16" s="2339"/>
      <c r="BL16" s="3155"/>
      <c r="BM16" s="3155"/>
      <c r="BN16" s="3155"/>
      <c r="BO16" s="3155"/>
      <c r="BP16" s="2427"/>
      <c r="BQ16" s="660"/>
    </row>
    <row r="17" spans="1:69" s="18" customFormat="1" ht="30" x14ac:dyDescent="0.2">
      <c r="A17" s="356"/>
      <c r="B17" s="357"/>
      <c r="C17" s="357"/>
      <c r="D17" s="356"/>
      <c r="E17" s="357"/>
      <c r="F17" s="357"/>
      <c r="G17" s="2343"/>
      <c r="H17" s="2343"/>
      <c r="I17" s="2413"/>
      <c r="J17" s="2512"/>
      <c r="K17" s="2315"/>
      <c r="L17" s="2969"/>
      <c r="M17" s="3513"/>
      <c r="N17" s="3507"/>
      <c r="O17" s="2413"/>
      <c r="P17" s="3510"/>
      <c r="Q17" s="2307"/>
      <c r="R17" s="2424"/>
      <c r="S17" s="2930"/>
      <c r="T17" s="2493"/>
      <c r="U17" s="1396">
        <v>33000000</v>
      </c>
      <c r="V17" s="1392">
        <v>28066000</v>
      </c>
      <c r="W17" s="1392">
        <v>18851333</v>
      </c>
      <c r="X17" s="549">
        <v>88</v>
      </c>
      <c r="Y17" s="551" t="s">
        <v>4</v>
      </c>
      <c r="Z17" s="2428"/>
      <c r="AA17" s="2428"/>
      <c r="AB17" s="2428"/>
      <c r="AC17" s="2428"/>
      <c r="AD17" s="2428"/>
      <c r="AE17" s="2428"/>
      <c r="AF17" s="2428"/>
      <c r="AG17" s="2428"/>
      <c r="AH17" s="2428"/>
      <c r="AI17" s="2428"/>
      <c r="AJ17" s="2428"/>
      <c r="AK17" s="2428"/>
      <c r="AL17" s="2428"/>
      <c r="AM17" s="2428"/>
      <c r="AN17" s="2428"/>
      <c r="AO17" s="2428"/>
      <c r="AP17" s="2428"/>
      <c r="AQ17" s="2428"/>
      <c r="AR17" s="2428"/>
      <c r="AS17" s="2428"/>
      <c r="AT17" s="2428"/>
      <c r="AU17" s="2428"/>
      <c r="AV17" s="2428"/>
      <c r="AW17" s="2428"/>
      <c r="AX17" s="2428"/>
      <c r="AY17" s="2428"/>
      <c r="AZ17" s="2428"/>
      <c r="BA17" s="2428"/>
      <c r="BB17" s="2428"/>
      <c r="BC17" s="2428"/>
      <c r="BD17" s="2428"/>
      <c r="BE17" s="2428"/>
      <c r="BF17" s="2428"/>
      <c r="BG17" s="3525"/>
      <c r="BH17" s="3525"/>
      <c r="BI17" s="2425"/>
      <c r="BJ17" s="2428"/>
      <c r="BK17" s="2479"/>
      <c r="BL17" s="3527"/>
      <c r="BM17" s="3527"/>
      <c r="BN17" s="3527"/>
      <c r="BO17" s="3527"/>
      <c r="BP17" s="2428"/>
      <c r="BQ17" s="660"/>
    </row>
    <row r="18" spans="1:69" s="18" customFormat="1" ht="15" x14ac:dyDescent="0.2">
      <c r="A18" s="356"/>
      <c r="B18" s="357"/>
      <c r="C18" s="357"/>
      <c r="D18" s="356"/>
      <c r="E18" s="357"/>
      <c r="F18" s="357"/>
      <c r="G18" s="2343" t="s">
        <v>208</v>
      </c>
      <c r="H18" s="2343" t="s">
        <v>1300</v>
      </c>
      <c r="I18" s="2413" t="s">
        <v>1301</v>
      </c>
      <c r="J18" s="3215" t="s">
        <v>1302</v>
      </c>
      <c r="K18" s="2475">
        <v>1</v>
      </c>
      <c r="L18" s="2318">
        <v>0.5</v>
      </c>
      <c r="M18" s="3514" t="s">
        <v>1303</v>
      </c>
      <c r="N18" s="3515" t="s">
        <v>1304</v>
      </c>
      <c r="O18" s="2413" t="s">
        <v>1305</v>
      </c>
      <c r="P18" s="3516">
        <f>SUM(U18:U22)/Q18</f>
        <v>1</v>
      </c>
      <c r="Q18" s="3519">
        <f>SUM(U18:U22)</f>
        <v>786246103</v>
      </c>
      <c r="R18" s="3358" t="s">
        <v>1306</v>
      </c>
      <c r="S18" s="3520" t="s">
        <v>1307</v>
      </c>
      <c r="T18" s="3526" t="s">
        <v>1308</v>
      </c>
      <c r="U18" s="1393">
        <v>94385500</v>
      </c>
      <c r="V18" s="1394">
        <v>0</v>
      </c>
      <c r="W18" s="1394">
        <v>0</v>
      </c>
      <c r="X18" s="549">
        <v>20</v>
      </c>
      <c r="Y18" s="1397" t="s">
        <v>7</v>
      </c>
      <c r="Z18" s="2426">
        <v>294321</v>
      </c>
      <c r="AA18" s="2426">
        <v>294321</v>
      </c>
      <c r="AB18" s="2426">
        <v>283947</v>
      </c>
      <c r="AC18" s="2426">
        <v>283947</v>
      </c>
      <c r="AD18" s="2426">
        <v>135754</v>
      </c>
      <c r="AE18" s="2426">
        <v>135754</v>
      </c>
      <c r="AF18" s="2426">
        <v>44640</v>
      </c>
      <c r="AG18" s="2426">
        <v>44640</v>
      </c>
      <c r="AH18" s="2426">
        <v>308178</v>
      </c>
      <c r="AI18" s="2426">
        <v>308178</v>
      </c>
      <c r="AJ18" s="2426">
        <v>89696</v>
      </c>
      <c r="AK18" s="2426">
        <v>89696</v>
      </c>
      <c r="AL18" s="2426">
        <v>2145</v>
      </c>
      <c r="AM18" s="2426">
        <v>2145</v>
      </c>
      <c r="AN18" s="2426">
        <v>12718</v>
      </c>
      <c r="AO18" s="2426">
        <v>12718</v>
      </c>
      <c r="AP18" s="2426">
        <v>26</v>
      </c>
      <c r="AQ18" s="2426">
        <v>26</v>
      </c>
      <c r="AR18" s="2426">
        <v>37</v>
      </c>
      <c r="AS18" s="2426">
        <v>37</v>
      </c>
      <c r="AT18" s="2426">
        <v>0</v>
      </c>
      <c r="AU18" s="2426">
        <v>0</v>
      </c>
      <c r="AV18" s="2426">
        <v>0</v>
      </c>
      <c r="AW18" s="2426">
        <v>0</v>
      </c>
      <c r="AX18" s="2426">
        <v>52505</v>
      </c>
      <c r="AY18" s="2426">
        <v>52505</v>
      </c>
      <c r="AZ18" s="2426">
        <v>16897</v>
      </c>
      <c r="BA18" s="2426">
        <v>16897</v>
      </c>
      <c r="BB18" s="2426">
        <v>61646</v>
      </c>
      <c r="BC18" s="2426">
        <v>61646</v>
      </c>
      <c r="BD18" s="2426">
        <v>578268</v>
      </c>
      <c r="BE18" s="2426">
        <v>578268</v>
      </c>
      <c r="BF18" s="2426">
        <v>31</v>
      </c>
      <c r="BG18" s="3523">
        <v>290163332</v>
      </c>
      <c r="BH18" s="3523">
        <v>168065000</v>
      </c>
      <c r="BI18" s="2310">
        <f>+BH18/BG18</f>
        <v>0.57920826467487629</v>
      </c>
      <c r="BJ18" s="2426" t="s">
        <v>1296</v>
      </c>
      <c r="BK18" s="2338" t="s">
        <v>1309</v>
      </c>
      <c r="BL18" s="3154">
        <v>44033</v>
      </c>
      <c r="BM18" s="3154">
        <v>43871</v>
      </c>
      <c r="BN18" s="3154">
        <v>44195</v>
      </c>
      <c r="BO18" s="3154">
        <v>44134</v>
      </c>
      <c r="BP18" s="2426" t="s">
        <v>1298</v>
      </c>
      <c r="BQ18" s="660"/>
    </row>
    <row r="19" spans="1:69" s="18" customFormat="1" ht="62.25" customHeight="1" x14ac:dyDescent="0.2">
      <c r="A19" s="356"/>
      <c r="B19" s="357"/>
      <c r="C19" s="357"/>
      <c r="D19" s="356"/>
      <c r="E19" s="357"/>
      <c r="F19" s="357"/>
      <c r="G19" s="2343"/>
      <c r="H19" s="2343"/>
      <c r="I19" s="2413"/>
      <c r="J19" s="3215"/>
      <c r="K19" s="2475"/>
      <c r="L19" s="2319"/>
      <c r="M19" s="3514"/>
      <c r="N19" s="3515"/>
      <c r="O19" s="2413"/>
      <c r="P19" s="3517"/>
      <c r="Q19" s="3519"/>
      <c r="R19" s="3353"/>
      <c r="S19" s="3521"/>
      <c r="T19" s="3526"/>
      <c r="U19" s="1393">
        <f>0+300000000</f>
        <v>300000000</v>
      </c>
      <c r="V19" s="684"/>
      <c r="W19" s="684"/>
      <c r="X19" s="1398">
        <v>88</v>
      </c>
      <c r="Y19" s="551" t="s">
        <v>4</v>
      </c>
      <c r="Z19" s="2427"/>
      <c r="AA19" s="2427"/>
      <c r="AB19" s="2427"/>
      <c r="AC19" s="2427"/>
      <c r="AD19" s="2427"/>
      <c r="AE19" s="2427"/>
      <c r="AF19" s="2427"/>
      <c r="AG19" s="2427"/>
      <c r="AH19" s="2427"/>
      <c r="AI19" s="2427"/>
      <c r="AJ19" s="2427"/>
      <c r="AK19" s="2427"/>
      <c r="AL19" s="2427"/>
      <c r="AM19" s="2427"/>
      <c r="AN19" s="2427"/>
      <c r="AO19" s="2427"/>
      <c r="AP19" s="2427"/>
      <c r="AQ19" s="2427"/>
      <c r="AR19" s="2427"/>
      <c r="AS19" s="2427"/>
      <c r="AT19" s="2427"/>
      <c r="AU19" s="2427"/>
      <c r="AV19" s="2427"/>
      <c r="AW19" s="2427"/>
      <c r="AX19" s="2427"/>
      <c r="AY19" s="2427"/>
      <c r="AZ19" s="2427"/>
      <c r="BA19" s="2427"/>
      <c r="BB19" s="2427"/>
      <c r="BC19" s="2427"/>
      <c r="BD19" s="2427"/>
      <c r="BE19" s="2427"/>
      <c r="BF19" s="2427"/>
      <c r="BG19" s="3524"/>
      <c r="BH19" s="3524"/>
      <c r="BI19" s="2311"/>
      <c r="BJ19" s="2427"/>
      <c r="BK19" s="2339"/>
      <c r="BL19" s="3155"/>
      <c r="BM19" s="3155"/>
      <c r="BN19" s="3155"/>
      <c r="BO19" s="3155"/>
      <c r="BP19" s="2427"/>
      <c r="BQ19" s="660"/>
    </row>
    <row r="20" spans="1:69" s="18" customFormat="1" ht="50.25" customHeight="1" x14ac:dyDescent="0.2">
      <c r="A20" s="356"/>
      <c r="B20" s="357"/>
      <c r="C20" s="357"/>
      <c r="D20" s="356"/>
      <c r="E20" s="357"/>
      <c r="F20" s="357"/>
      <c r="G20" s="2343"/>
      <c r="H20" s="2343"/>
      <c r="I20" s="2413"/>
      <c r="J20" s="3215"/>
      <c r="K20" s="2475"/>
      <c r="L20" s="2319"/>
      <c r="M20" s="3514"/>
      <c r="N20" s="3515"/>
      <c r="O20" s="2413"/>
      <c r="P20" s="3517"/>
      <c r="Q20" s="3519"/>
      <c r="R20" s="3353"/>
      <c r="S20" s="3521"/>
      <c r="T20" s="858" t="s">
        <v>1310</v>
      </c>
      <c r="U20" s="1393">
        <v>142973000</v>
      </c>
      <c r="V20" s="1393">
        <v>142973000</v>
      </c>
      <c r="W20" s="1393">
        <v>142973000</v>
      </c>
      <c r="X20" s="549">
        <v>20</v>
      </c>
      <c r="Y20" s="551" t="s">
        <v>7</v>
      </c>
      <c r="Z20" s="2427"/>
      <c r="AA20" s="2427"/>
      <c r="AB20" s="2427"/>
      <c r="AC20" s="2427"/>
      <c r="AD20" s="2427"/>
      <c r="AE20" s="2427"/>
      <c r="AF20" s="2427"/>
      <c r="AG20" s="2427"/>
      <c r="AH20" s="2427"/>
      <c r="AI20" s="2427"/>
      <c r="AJ20" s="2427"/>
      <c r="AK20" s="2427"/>
      <c r="AL20" s="2427"/>
      <c r="AM20" s="2427"/>
      <c r="AN20" s="2427"/>
      <c r="AO20" s="2427"/>
      <c r="AP20" s="2427"/>
      <c r="AQ20" s="2427"/>
      <c r="AR20" s="2427"/>
      <c r="AS20" s="2427"/>
      <c r="AT20" s="2427"/>
      <c r="AU20" s="2427"/>
      <c r="AV20" s="2427"/>
      <c r="AW20" s="2427"/>
      <c r="AX20" s="2427"/>
      <c r="AY20" s="2427"/>
      <c r="AZ20" s="2427"/>
      <c r="BA20" s="2427"/>
      <c r="BB20" s="2427"/>
      <c r="BC20" s="2427"/>
      <c r="BD20" s="2427"/>
      <c r="BE20" s="2427"/>
      <c r="BF20" s="2427"/>
      <c r="BG20" s="3524"/>
      <c r="BH20" s="3524"/>
      <c r="BI20" s="2311"/>
      <c r="BJ20" s="2427"/>
      <c r="BK20" s="2339"/>
      <c r="BL20" s="3155"/>
      <c r="BM20" s="3155"/>
      <c r="BN20" s="3155"/>
      <c r="BO20" s="3155"/>
      <c r="BP20" s="2427"/>
      <c r="BQ20" s="660"/>
    </row>
    <row r="21" spans="1:69" s="18" customFormat="1" ht="33" customHeight="1" x14ac:dyDescent="0.2">
      <c r="A21" s="356"/>
      <c r="B21" s="357"/>
      <c r="C21" s="357"/>
      <c r="D21" s="356"/>
      <c r="E21" s="357"/>
      <c r="F21" s="357"/>
      <c r="G21" s="2343"/>
      <c r="H21" s="2343"/>
      <c r="I21" s="2413"/>
      <c r="J21" s="3215"/>
      <c r="K21" s="2475"/>
      <c r="L21" s="2319"/>
      <c r="M21" s="3514"/>
      <c r="N21" s="3515"/>
      <c r="O21" s="2413"/>
      <c r="P21" s="3517"/>
      <c r="Q21" s="3519"/>
      <c r="R21" s="3353"/>
      <c r="S21" s="3521"/>
      <c r="T21" s="3528" t="s">
        <v>1311</v>
      </c>
      <c r="U21" s="1393">
        <v>94385500</v>
      </c>
      <c r="V21" s="1394">
        <v>16327666</v>
      </c>
      <c r="W21" s="1394">
        <v>0</v>
      </c>
      <c r="X21" s="549">
        <v>20</v>
      </c>
      <c r="Y21" s="551" t="s">
        <v>7</v>
      </c>
      <c r="Z21" s="2427"/>
      <c r="AA21" s="2427"/>
      <c r="AB21" s="2427"/>
      <c r="AC21" s="2427"/>
      <c r="AD21" s="2427"/>
      <c r="AE21" s="2427"/>
      <c r="AF21" s="2427"/>
      <c r="AG21" s="2427"/>
      <c r="AH21" s="2427"/>
      <c r="AI21" s="2427"/>
      <c r="AJ21" s="2427"/>
      <c r="AK21" s="2427"/>
      <c r="AL21" s="2427"/>
      <c r="AM21" s="2427"/>
      <c r="AN21" s="2427"/>
      <c r="AO21" s="2427"/>
      <c r="AP21" s="2427"/>
      <c r="AQ21" s="2427"/>
      <c r="AR21" s="2427"/>
      <c r="AS21" s="2427"/>
      <c r="AT21" s="2427"/>
      <c r="AU21" s="2427"/>
      <c r="AV21" s="2427"/>
      <c r="AW21" s="2427"/>
      <c r="AX21" s="2427"/>
      <c r="AY21" s="2427"/>
      <c r="AZ21" s="2427"/>
      <c r="BA21" s="2427"/>
      <c r="BB21" s="2427"/>
      <c r="BC21" s="2427"/>
      <c r="BD21" s="2427"/>
      <c r="BE21" s="2427"/>
      <c r="BF21" s="2427"/>
      <c r="BG21" s="3524"/>
      <c r="BH21" s="3524"/>
      <c r="BI21" s="2311"/>
      <c r="BJ21" s="2427"/>
      <c r="BK21" s="2339"/>
      <c r="BL21" s="3155"/>
      <c r="BM21" s="3155"/>
      <c r="BN21" s="3155"/>
      <c r="BO21" s="3155"/>
      <c r="BP21" s="2427"/>
      <c r="BQ21" s="660"/>
    </row>
    <row r="22" spans="1:69" s="18" customFormat="1" ht="30" x14ac:dyDescent="0.2">
      <c r="A22" s="356"/>
      <c r="B22" s="357"/>
      <c r="C22" s="357"/>
      <c r="D22" s="383"/>
      <c r="E22" s="384"/>
      <c r="F22" s="384"/>
      <c r="G22" s="2343"/>
      <c r="H22" s="2343"/>
      <c r="I22" s="2413"/>
      <c r="J22" s="3215"/>
      <c r="K22" s="2475"/>
      <c r="L22" s="2465"/>
      <c r="M22" s="3514"/>
      <c r="N22" s="3515"/>
      <c r="O22" s="2413"/>
      <c r="P22" s="3518"/>
      <c r="Q22" s="3519"/>
      <c r="R22" s="3354"/>
      <c r="S22" s="3522"/>
      <c r="T22" s="3528"/>
      <c r="U22" s="1399">
        <v>154502103</v>
      </c>
      <c r="V22" s="1394">
        <v>130862666</v>
      </c>
      <c r="W22" s="1394">
        <v>25092000</v>
      </c>
      <c r="X22" s="1398">
        <v>88</v>
      </c>
      <c r="Y22" s="551" t="s">
        <v>4</v>
      </c>
      <c r="Z22" s="2428"/>
      <c r="AA22" s="2428"/>
      <c r="AB22" s="2428"/>
      <c r="AC22" s="2428"/>
      <c r="AD22" s="2428"/>
      <c r="AE22" s="2428"/>
      <c r="AF22" s="2428"/>
      <c r="AG22" s="2428"/>
      <c r="AH22" s="2428"/>
      <c r="AI22" s="2428"/>
      <c r="AJ22" s="2428"/>
      <c r="AK22" s="2428"/>
      <c r="AL22" s="2428"/>
      <c r="AM22" s="2428"/>
      <c r="AN22" s="2428"/>
      <c r="AO22" s="2428"/>
      <c r="AP22" s="2428"/>
      <c r="AQ22" s="2428"/>
      <c r="AR22" s="2428"/>
      <c r="AS22" s="2428"/>
      <c r="AT22" s="2428"/>
      <c r="AU22" s="2428"/>
      <c r="AV22" s="2428"/>
      <c r="AW22" s="2428"/>
      <c r="AX22" s="2428"/>
      <c r="AY22" s="2428"/>
      <c r="AZ22" s="2428"/>
      <c r="BA22" s="2428"/>
      <c r="BB22" s="2428"/>
      <c r="BC22" s="2428"/>
      <c r="BD22" s="2428"/>
      <c r="BE22" s="2428"/>
      <c r="BF22" s="2428"/>
      <c r="BG22" s="3525"/>
      <c r="BH22" s="3525"/>
      <c r="BI22" s="2425"/>
      <c r="BJ22" s="2428"/>
      <c r="BK22" s="2479"/>
      <c r="BL22" s="3527"/>
      <c r="BM22" s="3527"/>
      <c r="BN22" s="3527"/>
      <c r="BO22" s="3527"/>
      <c r="BP22" s="2428"/>
      <c r="BQ22" s="660"/>
    </row>
    <row r="23" spans="1:69" s="1" customFormat="1" ht="15.75" x14ac:dyDescent="0.2">
      <c r="A23" s="3379"/>
      <c r="B23" s="3380"/>
      <c r="C23" s="3381"/>
      <c r="D23" s="386">
        <v>42</v>
      </c>
      <c r="E23" s="716" t="s">
        <v>328</v>
      </c>
      <c r="F23" s="388"/>
      <c r="G23" s="1400"/>
      <c r="H23" s="1400"/>
      <c r="I23" s="249"/>
      <c r="J23" s="1401"/>
      <c r="K23" s="717"/>
      <c r="L23" s="717"/>
      <c r="M23" s="1418"/>
      <c r="N23" s="1402"/>
      <c r="O23" s="249"/>
      <c r="P23" s="1403"/>
      <c r="Q23" s="1404"/>
      <c r="R23" s="390"/>
      <c r="S23" s="390"/>
      <c r="T23" s="390"/>
      <c r="U23" s="1405"/>
      <c r="V23" s="1405"/>
      <c r="W23" s="1405"/>
      <c r="X23" s="392"/>
      <c r="Y23" s="256"/>
      <c r="Z23" s="717"/>
      <c r="AA23" s="717"/>
      <c r="AB23" s="717"/>
      <c r="AC23" s="717"/>
      <c r="AD23" s="717"/>
      <c r="AE23" s="717"/>
      <c r="AF23" s="717"/>
      <c r="AG23" s="717"/>
      <c r="AH23" s="717"/>
      <c r="AI23" s="717"/>
      <c r="AJ23" s="717"/>
      <c r="AK23" s="717"/>
      <c r="AL23" s="717"/>
      <c r="AM23" s="717"/>
      <c r="AN23" s="717"/>
      <c r="AO23" s="717"/>
      <c r="AP23" s="717"/>
      <c r="AQ23" s="717"/>
      <c r="AR23" s="717"/>
      <c r="AS23" s="717"/>
      <c r="AT23" s="717"/>
      <c r="AU23" s="717"/>
      <c r="AV23" s="717"/>
      <c r="AW23" s="717"/>
      <c r="AX23" s="717"/>
      <c r="AY23" s="717"/>
      <c r="AZ23" s="717"/>
      <c r="BA23" s="717"/>
      <c r="BB23" s="717"/>
      <c r="BC23" s="717"/>
      <c r="BD23" s="717"/>
      <c r="BE23" s="717"/>
      <c r="BF23" s="717"/>
      <c r="BG23" s="1406"/>
      <c r="BH23" s="1406"/>
      <c r="BI23" s="1407"/>
      <c r="BJ23" s="717"/>
      <c r="BK23" s="1408"/>
      <c r="BL23" s="1409"/>
      <c r="BM23" s="1409"/>
      <c r="BN23" s="1409"/>
      <c r="BO23" s="1409"/>
      <c r="BP23" s="256"/>
    </row>
    <row r="24" spans="1:69" s="1" customFormat="1" ht="135" x14ac:dyDescent="0.2">
      <c r="A24" s="124"/>
      <c r="B24" s="141"/>
      <c r="C24" s="141"/>
      <c r="D24" s="624"/>
      <c r="E24" s="425"/>
      <c r="F24" s="426"/>
      <c r="G24" s="1049" t="s">
        <v>208</v>
      </c>
      <c r="H24" s="1049" t="s">
        <v>1312</v>
      </c>
      <c r="I24" s="568" t="s">
        <v>1313</v>
      </c>
      <c r="J24" s="225" t="s">
        <v>1314</v>
      </c>
      <c r="K24" s="594">
        <v>30</v>
      </c>
      <c r="L24" s="594">
        <v>0</v>
      </c>
      <c r="M24" s="1419" t="s">
        <v>1315</v>
      </c>
      <c r="N24" s="608" t="s">
        <v>1316</v>
      </c>
      <c r="O24" s="568" t="s">
        <v>1317</v>
      </c>
      <c r="P24" s="375">
        <f>+U24/Q24</f>
        <v>1</v>
      </c>
      <c r="Q24" s="1410">
        <v>250000000</v>
      </c>
      <c r="R24" s="568" t="s">
        <v>1318</v>
      </c>
      <c r="S24" s="568" t="s">
        <v>1319</v>
      </c>
      <c r="T24" s="568" t="s">
        <v>1320</v>
      </c>
      <c r="U24" s="1411">
        <v>250000000</v>
      </c>
      <c r="V24" s="1411">
        <v>0</v>
      </c>
      <c r="W24" s="1411">
        <v>0</v>
      </c>
      <c r="X24" s="414">
        <v>20</v>
      </c>
      <c r="Y24" s="551" t="s">
        <v>7</v>
      </c>
      <c r="Z24" s="6">
        <v>295972</v>
      </c>
      <c r="AA24" s="6"/>
      <c r="AB24" s="6">
        <v>285580</v>
      </c>
      <c r="AC24" s="6"/>
      <c r="AD24" s="6">
        <v>135545</v>
      </c>
      <c r="AE24" s="6"/>
      <c r="AF24" s="6">
        <v>44254</v>
      </c>
      <c r="AG24" s="6"/>
      <c r="AH24" s="6">
        <v>309146</v>
      </c>
      <c r="AI24" s="6"/>
      <c r="AJ24" s="6">
        <v>92607</v>
      </c>
      <c r="AK24" s="6"/>
      <c r="AL24" s="6">
        <v>2145</v>
      </c>
      <c r="AM24" s="6"/>
      <c r="AN24" s="6">
        <v>12718</v>
      </c>
      <c r="AO24" s="6"/>
      <c r="AP24" s="6">
        <v>26</v>
      </c>
      <c r="AQ24" s="6"/>
      <c r="AR24" s="6">
        <v>37</v>
      </c>
      <c r="AS24" s="6"/>
      <c r="AT24" s="6"/>
      <c r="AU24" s="6"/>
      <c r="AV24" s="6"/>
      <c r="AW24" s="6"/>
      <c r="AX24" s="6">
        <v>44350</v>
      </c>
      <c r="AY24" s="6"/>
      <c r="AZ24" s="6">
        <v>21944</v>
      </c>
      <c r="BA24" s="6"/>
      <c r="BB24" s="6">
        <v>75687</v>
      </c>
      <c r="BC24" s="6"/>
      <c r="BD24" s="6">
        <v>581552</v>
      </c>
      <c r="BE24" s="6"/>
      <c r="BF24" s="682"/>
      <c r="BG24" s="1412"/>
      <c r="BH24" s="1412"/>
      <c r="BI24" s="1413"/>
      <c r="BJ24" s="682"/>
      <c r="BK24" s="473"/>
      <c r="BL24" s="1414">
        <v>44033</v>
      </c>
      <c r="BM24" s="1414"/>
      <c r="BN24" s="1414">
        <v>44195</v>
      </c>
      <c r="BO24" s="1414"/>
      <c r="BP24" s="583" t="s">
        <v>1298</v>
      </c>
    </row>
    <row r="25" spans="1:69" s="1" customFormat="1" ht="15.75" x14ac:dyDescent="0.2">
      <c r="A25" s="126"/>
      <c r="B25" s="125"/>
      <c r="C25" s="125"/>
      <c r="D25" s="976"/>
      <c r="E25" s="468"/>
      <c r="F25" s="469"/>
      <c r="G25" s="469"/>
      <c r="H25" s="469"/>
      <c r="I25" s="473"/>
      <c r="J25" s="976"/>
      <c r="K25" s="682"/>
      <c r="L25" s="682"/>
      <c r="M25" s="469"/>
      <c r="N25" s="474"/>
      <c r="O25" s="473"/>
      <c r="P25" s="471"/>
      <c r="Q25" s="686">
        <f>SUM(Q12:Q24)</f>
        <v>1291267429</v>
      </c>
      <c r="R25" s="473"/>
      <c r="S25" s="473"/>
      <c r="T25" s="473"/>
      <c r="U25" s="687">
        <f>SUM(U12:U24)</f>
        <v>1291267429</v>
      </c>
      <c r="V25" s="687">
        <f>SUM(V12:V24)</f>
        <v>488543665.32999998</v>
      </c>
      <c r="W25" s="687">
        <f>SUM(W12:W24)</f>
        <v>302730666.32999998</v>
      </c>
      <c r="X25" s="402"/>
      <c r="Y25" s="6"/>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8">
        <f>SUM(BG12:BG24)</f>
        <v>488543665.33000004</v>
      </c>
      <c r="BH25" s="688">
        <f>SUM(BH12:BH24)</f>
        <v>302730666.33000004</v>
      </c>
      <c r="BI25" s="1415">
        <f>BH25/BG25</f>
        <v>0.61965938321094072</v>
      </c>
      <c r="BJ25" s="682"/>
      <c r="BK25" s="682"/>
      <c r="BL25" s="689"/>
      <c r="BM25" s="689"/>
      <c r="BN25" s="690"/>
      <c r="BO25" s="690"/>
      <c r="BP25" s="568"/>
    </row>
    <row r="26" spans="1:69" ht="15" x14ac:dyDescent="0.2">
      <c r="A26" s="141"/>
      <c r="B26" s="1"/>
      <c r="C26" s="1"/>
      <c r="D26" s="1"/>
      <c r="E26" s="1"/>
      <c r="F26" s="1"/>
      <c r="G26" s="1"/>
      <c r="H26" s="1"/>
      <c r="I26" s="158"/>
      <c r="J26" s="18"/>
      <c r="K26" s="18"/>
      <c r="L26" s="18"/>
      <c r="M26" s="18"/>
      <c r="N26" s="144"/>
      <c r="O26" s="158"/>
      <c r="P26" s="145"/>
      <c r="Q26" s="1416"/>
      <c r="R26" s="158"/>
      <c r="S26" s="158"/>
      <c r="T26" s="158"/>
      <c r="U26" s="194"/>
      <c r="V26" s="194"/>
      <c r="W26" s="194"/>
      <c r="X26" s="147"/>
      <c r="Y26" s="148"/>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014"/>
      <c r="BM26" s="1014"/>
      <c r="BN26" s="150"/>
      <c r="BO26" s="150"/>
      <c r="BP26" s="151"/>
    </row>
    <row r="27" spans="1:69" x14ac:dyDescent="0.2">
      <c r="T27" s="700"/>
    </row>
    <row r="28" spans="1:69" ht="18" x14ac:dyDescent="0.25">
      <c r="A28" s="1417"/>
    </row>
    <row r="30" spans="1:69" x14ac:dyDescent="0.2">
      <c r="B30" s="701"/>
      <c r="C30" s="701"/>
      <c r="D30" s="701"/>
      <c r="E30" s="701"/>
      <c r="F30" s="701"/>
      <c r="G30" s="701"/>
    </row>
    <row r="31" spans="1:69" ht="15.75" x14ac:dyDescent="0.25">
      <c r="B31" s="2376" t="s">
        <v>1321</v>
      </c>
      <c r="C31" s="2376"/>
      <c r="D31" s="2376"/>
      <c r="E31" s="2376"/>
      <c r="F31" s="2376"/>
    </row>
    <row r="32" spans="1:69" ht="15.75" x14ac:dyDescent="0.25">
      <c r="B32" s="2376" t="s">
        <v>1322</v>
      </c>
      <c r="C32" s="2376"/>
      <c r="D32" s="2376"/>
      <c r="E32" s="2376"/>
      <c r="F32" s="2376"/>
    </row>
    <row r="33" spans="2:6" x14ac:dyDescent="0.2">
      <c r="B33" s="15"/>
      <c r="C33" s="693"/>
      <c r="D33" s="692"/>
      <c r="E33" s="694"/>
      <c r="F33" s="695"/>
    </row>
  </sheetData>
  <sheetProtection password="A60F" sheet="1" objects="1" scenarios="1"/>
  <mergeCells count="176">
    <mergeCell ref="BO18:BO22"/>
    <mergeCell ref="BP18:BP22"/>
    <mergeCell ref="T21:T22"/>
    <mergeCell ref="A23:C23"/>
    <mergeCell ref="B31:F31"/>
    <mergeCell ref="B32:F32"/>
    <mergeCell ref="BI18:BI22"/>
    <mergeCell ref="BJ18:BJ22"/>
    <mergeCell ref="BK18:BK22"/>
    <mergeCell ref="BL18:BL22"/>
    <mergeCell ref="BM18:BM22"/>
    <mergeCell ref="BN18:BN22"/>
    <mergeCell ref="BC18:BC22"/>
    <mergeCell ref="BD18:BD22"/>
    <mergeCell ref="BE18:BE22"/>
    <mergeCell ref="BF18:BF22"/>
    <mergeCell ref="BG18:BG22"/>
    <mergeCell ref="BH18:BH22"/>
    <mergeCell ref="AW18:AW22"/>
    <mergeCell ref="AX18:AX22"/>
    <mergeCell ref="AY18:AY22"/>
    <mergeCell ref="AZ18:AZ22"/>
    <mergeCell ref="BA18:BA22"/>
    <mergeCell ref="BB18:BB22"/>
    <mergeCell ref="AT18:AT22"/>
    <mergeCell ref="AU18:AU22"/>
    <mergeCell ref="AV18:AV22"/>
    <mergeCell ref="AK18:AK22"/>
    <mergeCell ref="AL18:AL22"/>
    <mergeCell ref="AM18:AM22"/>
    <mergeCell ref="AN18:AN22"/>
    <mergeCell ref="AO18:AO22"/>
    <mergeCell ref="AP18:AP22"/>
    <mergeCell ref="AQ18:AQ22"/>
    <mergeCell ref="AR18:AR22"/>
    <mergeCell ref="AS18:AS22"/>
    <mergeCell ref="BO12:BO17"/>
    <mergeCell ref="BP12:BP17"/>
    <mergeCell ref="T15:T17"/>
    <mergeCell ref="BK12:BK17"/>
    <mergeCell ref="BL12:BL17"/>
    <mergeCell ref="BM12:BM17"/>
    <mergeCell ref="BN12:BN17"/>
    <mergeCell ref="AT12:AT17"/>
    <mergeCell ref="AU12:AU17"/>
    <mergeCell ref="AV12:AV17"/>
    <mergeCell ref="AK12:AK17"/>
    <mergeCell ref="AL12:AL17"/>
    <mergeCell ref="AM12:AM17"/>
    <mergeCell ref="AN12:AN17"/>
    <mergeCell ref="AO12:AO17"/>
    <mergeCell ref="AP12:AP17"/>
    <mergeCell ref="AE12:AE17"/>
    <mergeCell ref="AF12:AF17"/>
    <mergeCell ref="AQ12:AQ17"/>
    <mergeCell ref="AR12:AR17"/>
    <mergeCell ref="AS12:AS17"/>
    <mergeCell ref="BI12:BI17"/>
    <mergeCell ref="BJ12:BJ17"/>
    <mergeCell ref="BC12:BC17"/>
    <mergeCell ref="AH18:AH22"/>
    <mergeCell ref="AI18:AI22"/>
    <mergeCell ref="AJ18:AJ22"/>
    <mergeCell ref="T18:T19"/>
    <mergeCell ref="Z18:Z22"/>
    <mergeCell ref="AA18:AA22"/>
    <mergeCell ref="AB18:AB22"/>
    <mergeCell ref="AC18:AC22"/>
    <mergeCell ref="AD18:AD22"/>
    <mergeCell ref="AE18:AE22"/>
    <mergeCell ref="AF18:AF22"/>
    <mergeCell ref="AG18:AG22"/>
    <mergeCell ref="BD12:BD17"/>
    <mergeCell ref="BE12:BE17"/>
    <mergeCell ref="BF12:BF17"/>
    <mergeCell ref="BG12:BG17"/>
    <mergeCell ref="BH12:BH17"/>
    <mergeCell ref="AW12:AW17"/>
    <mergeCell ref="AX12:AX17"/>
    <mergeCell ref="AY12:AY17"/>
    <mergeCell ref="AZ12:AZ17"/>
    <mergeCell ref="BA12:BA17"/>
    <mergeCell ref="BB12:BB17"/>
    <mergeCell ref="AB12:AB17"/>
    <mergeCell ref="AC12:AC17"/>
    <mergeCell ref="AD12:AD17"/>
    <mergeCell ref="G18:G22"/>
    <mergeCell ref="H18:H22"/>
    <mergeCell ref="I18:I22"/>
    <mergeCell ref="J18:J22"/>
    <mergeCell ref="K18:K22"/>
    <mergeCell ref="L18:L22"/>
    <mergeCell ref="M18:M22"/>
    <mergeCell ref="N18:N22"/>
    <mergeCell ref="O18:O22"/>
    <mergeCell ref="P18:P22"/>
    <mergeCell ref="Q18:Q22"/>
    <mergeCell ref="R18:R22"/>
    <mergeCell ref="S18:S22"/>
    <mergeCell ref="A11:C11"/>
    <mergeCell ref="E11:P11"/>
    <mergeCell ref="G12:G17"/>
    <mergeCell ref="H12:H17"/>
    <mergeCell ref="I12:I17"/>
    <mergeCell ref="J12:J17"/>
    <mergeCell ref="K12:K17"/>
    <mergeCell ref="L12:L17"/>
    <mergeCell ref="M12:M17"/>
    <mergeCell ref="BL7:BM8"/>
    <mergeCell ref="BN7:BO8"/>
    <mergeCell ref="N12:N17"/>
    <mergeCell ref="O12:O17"/>
    <mergeCell ref="P12:P17"/>
    <mergeCell ref="Q12:Q17"/>
    <mergeCell ref="R12:R17"/>
    <mergeCell ref="S12:S17"/>
    <mergeCell ref="BK8:BK9"/>
    <mergeCell ref="AT8:AU8"/>
    <mergeCell ref="AV8:AW8"/>
    <mergeCell ref="AX8:AY8"/>
    <mergeCell ref="AZ8:BA8"/>
    <mergeCell ref="BB8:BC8"/>
    <mergeCell ref="BF8:BF9"/>
    <mergeCell ref="AH8:AI8"/>
    <mergeCell ref="AJ8:AK8"/>
    <mergeCell ref="AG12:AG17"/>
    <mergeCell ref="AH12:AH17"/>
    <mergeCell ref="AI12:AI17"/>
    <mergeCell ref="AJ12:AJ17"/>
    <mergeCell ref="T12:T14"/>
    <mergeCell ref="Z12:Z17"/>
    <mergeCell ref="AA12:AA17"/>
    <mergeCell ref="BH8:BH9"/>
    <mergeCell ref="BI8:BI9"/>
    <mergeCell ref="BJ8:BJ9"/>
    <mergeCell ref="X7:X9"/>
    <mergeCell ref="Y7:Y9"/>
    <mergeCell ref="Z7:AB7"/>
    <mergeCell ref="AD7:AI7"/>
    <mergeCell ref="AJ7:AK7"/>
    <mergeCell ref="AL7:AW7"/>
    <mergeCell ref="Z8:AA8"/>
    <mergeCell ref="AB8:AC8"/>
    <mergeCell ref="AD8:AE8"/>
    <mergeCell ref="AF8:AG8"/>
    <mergeCell ref="AL8:AM8"/>
    <mergeCell ref="AN8:AO8"/>
    <mergeCell ref="AP8:AQ8"/>
    <mergeCell ref="AR8:AS8"/>
    <mergeCell ref="AX7:BC7"/>
    <mergeCell ref="BD7:BE8"/>
    <mergeCell ref="BF7:BK7"/>
    <mergeCell ref="A1:BN4"/>
    <mergeCell ref="A5:K6"/>
    <mergeCell ref="M5:BP5"/>
    <mergeCell ref="Z6:BB6"/>
    <mergeCell ref="A7:A9"/>
    <mergeCell ref="B7:C9"/>
    <mergeCell ref="D7:D9"/>
    <mergeCell ref="E7:F9"/>
    <mergeCell ref="G7:G9"/>
    <mergeCell ref="H7:H9"/>
    <mergeCell ref="P7:P9"/>
    <mergeCell ref="Q7:Q9"/>
    <mergeCell ref="R7:R9"/>
    <mergeCell ref="S7:S9"/>
    <mergeCell ref="T7:T9"/>
    <mergeCell ref="U7:W8"/>
    <mergeCell ref="I7:I9"/>
    <mergeCell ref="J7:J9"/>
    <mergeCell ref="K7:L8"/>
    <mergeCell ref="M7:M9"/>
    <mergeCell ref="N7:N9"/>
    <mergeCell ref="O7:O9"/>
    <mergeCell ref="BP7:BP9"/>
    <mergeCell ref="BG8:B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F-PLA 07 SGTO PA ADMINISTRATIVA</vt:lpstr>
      <vt:lpstr>F-PLA 07 SGTO PA PLANEACIÓN</vt:lpstr>
      <vt:lpstr>F-PLA 07 SGTO PA HACIENDA</vt:lpstr>
      <vt:lpstr>F-PLA 07 SGTO PA AGUAS E INFRA</vt:lpstr>
      <vt:lpstr>F-PLA 07 SGTO PA INTERIOR</vt:lpstr>
      <vt:lpstr>F-PLA 07 SGTO PA CULTURA</vt:lpstr>
      <vt:lpstr>F-PLA 07 SGTO PA TURISMO</vt:lpstr>
      <vt:lpstr>F-PLA 07 SGTO PA AGRICULTURA</vt:lpstr>
      <vt:lpstr>F-PLA 07 SGTO PA PRIVADA</vt:lpstr>
      <vt:lpstr>F-PLA 07 SGTO PA EDUCACION</vt:lpstr>
      <vt:lpstr>F-PLA 07 SGTO PA FAMILIA</vt:lpstr>
      <vt:lpstr>PA F-PLA-07 SGTO PA SALUD</vt:lpstr>
      <vt:lpstr>F-PLA 07 SGTO PA TIC</vt:lpstr>
      <vt:lpstr>F-PLA 07 INDEPORTES</vt:lpstr>
      <vt:lpstr>P.A F-PLA 07 PROMOTORA</vt:lpstr>
      <vt:lpstr>F-PLA 07 SGTO PA IDTQ</vt:lpstr>
      <vt:lpstr>'F-PLA 07 SGTO PA PLANEACIÓN'!Área_de_impresión</vt:lpstr>
      <vt:lpstr>'F-PLA 07 SGTO PA PLANEACIÓN'!Títulos_a_imprimir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Villamil H</dc:creator>
  <cp:lastModifiedBy>AUXPLANEACION03</cp:lastModifiedBy>
  <dcterms:created xsi:type="dcterms:W3CDTF">2020-11-07T12:38:35Z</dcterms:created>
  <dcterms:modified xsi:type="dcterms:W3CDTF">2021-02-18T21:02:19Z</dcterms:modified>
</cp:coreProperties>
</file>