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OBERNACION QUINDIO 2019\PAGINA WEB\SGTO III TRIMESTRE 2019\PROGR INSTRUM SEP 2019\"/>
    </mc:Choice>
  </mc:AlternateContent>
  <bookViews>
    <workbookView xWindow="0" yWindow="0" windowWidth="24000" windowHeight="9435" activeTab="15"/>
  </bookViews>
  <sheets>
    <sheet name="PA ADMINIST" sheetId="3" r:id="rId1"/>
    <sheet name="PA PLANEACION" sheetId="2" r:id="rId2"/>
    <sheet name="PA HACIENDA" sheetId="8" r:id="rId3"/>
    <sheet name="PA INFRAESTRUCTURA" sheetId="9" r:id="rId4"/>
    <sheet name="PA INTERIOR" sheetId="17" r:id="rId5"/>
    <sheet name="PA CULTURA" sheetId="5" r:id="rId6"/>
    <sheet name="PA TURISMO" sheetId="7" r:id="rId7"/>
    <sheet name="PA AGRICULTURA" sheetId="10" r:id="rId8"/>
    <sheet name="PA PRIVADA" sheetId="1" r:id="rId9"/>
    <sheet name="PA EDUCACION" sheetId="13" r:id="rId10"/>
    <sheet name="PA FAMILIA" sheetId="15" r:id="rId11"/>
    <sheet name="PA REPRESENTACION JUDICIAL" sheetId="6" r:id="rId12"/>
    <sheet name="PA SALUD" sheetId="14" r:id="rId13"/>
    <sheet name="PA TIC" sheetId="4" r:id="rId14"/>
    <sheet name="PA INDEPORTES" sheetId="11" r:id="rId15"/>
    <sheet name="PA PROMOTORA" sheetId="16" r:id="rId16"/>
    <sheet name="PA IDTQ" sheetId="12" r:id="rId17"/>
  </sheets>
  <externalReferences>
    <externalReference r:id="rId18"/>
    <externalReference r:id="rId19"/>
  </externalReferences>
  <definedNames>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16">#REF!</definedName>
    <definedName name="_1._Apoyo_con_equipos_para_la_seguridad_vial_Licenciamiento_de_software_para_comunicaciones" localSheetId="14">#REF!</definedName>
    <definedName name="_1._Apoyo_con_equipos_para_la_seguridad_vial_Licenciamiento_de_software_para_comunicaciones" localSheetId="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15">#REF!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 localSheetId="13">#REF!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_FilterDatabase" localSheetId="14" hidden="1">'PA INDEPORTES'!$J$11:$AG$56</definedName>
    <definedName name="_xlnm.Print_Area" localSheetId="1">'PA PLANEACION'!$A$1:$AQ$10</definedName>
    <definedName name="_xlnm.Print_Area" localSheetId="15">'PA PROMOTORA'!$A$1:$AN$31</definedName>
    <definedName name="CODIGO_DIVIPOLA" localSheetId="0">#REF!</definedName>
    <definedName name="CODIGO_DIVIPOLA" localSheetId="7">#REF!</definedName>
    <definedName name="CODIGO_DIVIPOLA" localSheetId="5">#REF!</definedName>
    <definedName name="CODIGO_DIVIPOLA" localSheetId="9">#REF!</definedName>
    <definedName name="CODIGO_DIVIPOLA" localSheetId="10">#REF!</definedName>
    <definedName name="CODIGO_DIVIPOLA" localSheetId="16">#REF!</definedName>
    <definedName name="CODIGO_DIVIPOLA" localSheetId="14">#REF!</definedName>
    <definedName name="CODIGO_DIVIPOLA" localSheetId="3">#REF!</definedName>
    <definedName name="CODIGO_DIVIPOLA" localSheetId="4">#REF!</definedName>
    <definedName name="CODIGO_DIVIPOLA" localSheetId="1">#REF!</definedName>
    <definedName name="CODIGO_DIVIPOLA" localSheetId="15">#REF!</definedName>
    <definedName name="CODIGO_DIVIPOLA" localSheetId="11">#REF!</definedName>
    <definedName name="CODIGO_DIVIPOLA" localSheetId="12">#REF!</definedName>
    <definedName name="CODIGO_DIVIPOLA" localSheetId="13">#REF!</definedName>
    <definedName name="CODIGO_DIVIPOLA" localSheetId="6">#REF!</definedName>
    <definedName name="CODIGO_DIVIPOLA">#REF!</definedName>
    <definedName name="DboREGISTRO_LEY_617" localSheetId="0">#REF!</definedName>
    <definedName name="DboREGISTRO_LEY_617" localSheetId="7">#REF!</definedName>
    <definedName name="DboREGISTRO_LEY_617" localSheetId="5">#REF!</definedName>
    <definedName name="DboREGISTRO_LEY_617" localSheetId="9">#REF!</definedName>
    <definedName name="DboREGISTRO_LEY_617" localSheetId="10">#REF!</definedName>
    <definedName name="DboREGISTRO_LEY_617" localSheetId="16">#REF!</definedName>
    <definedName name="DboREGISTRO_LEY_617" localSheetId="14">#REF!</definedName>
    <definedName name="DboREGISTRO_LEY_617" localSheetId="3">#REF!</definedName>
    <definedName name="DboREGISTRO_LEY_617" localSheetId="4">#REF!</definedName>
    <definedName name="DboREGISTRO_LEY_617" localSheetId="1">#REF!</definedName>
    <definedName name="DboREGISTRO_LEY_617" localSheetId="15">#REF!</definedName>
    <definedName name="DboREGISTRO_LEY_617" localSheetId="11">#REF!</definedName>
    <definedName name="DboREGISTRO_LEY_617" localSheetId="12">#REF!</definedName>
    <definedName name="DboREGISTRO_LEY_617" localSheetId="6">#REF!</definedName>
    <definedName name="DboREGISTRO_LEY_617">#REF!</definedName>
    <definedName name="ññ" localSheetId="0">#REF!</definedName>
    <definedName name="ññ" localSheetId="7">#REF!</definedName>
    <definedName name="ññ" localSheetId="5">#REF!</definedName>
    <definedName name="ññ" localSheetId="9">#REF!</definedName>
    <definedName name="ññ" localSheetId="10">#REF!</definedName>
    <definedName name="ññ" localSheetId="16">#REF!</definedName>
    <definedName name="ññ" localSheetId="14">#REF!</definedName>
    <definedName name="ññ" localSheetId="3">#REF!</definedName>
    <definedName name="ññ" localSheetId="4">#REF!</definedName>
    <definedName name="ññ" localSheetId="1">#REF!</definedName>
    <definedName name="ññ" localSheetId="15">#REF!</definedName>
    <definedName name="ññ" localSheetId="11">#REF!</definedName>
    <definedName name="ññ" localSheetId="12">#REF!</definedName>
    <definedName name="ññ" localSheetId="6">#REF!</definedName>
    <definedName name="ññ">#REF!</definedName>
    <definedName name="_xlnm.Print_Titles" localSheetId="1">'PA PLANEACION'!$1:$7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4" i="17" l="1"/>
  <c r="Q204" i="17" s="1"/>
  <c r="AN197" i="17"/>
  <c r="R197" i="17"/>
  <c r="Q197" i="17"/>
  <c r="M188" i="17"/>
  <c r="V181" i="17"/>
  <c r="V180" i="17"/>
  <c r="V179" i="17"/>
  <c r="V178" i="17"/>
  <c r="V175" i="17"/>
  <c r="V173" i="17"/>
  <c r="V171" i="17"/>
  <c r="R168" i="17" s="1"/>
  <c r="Q168" i="17" s="1"/>
  <c r="V169" i="17"/>
  <c r="AN168" i="17"/>
  <c r="V164" i="17"/>
  <c r="V163" i="17"/>
  <c r="AN162" i="17"/>
  <c r="V162" i="17"/>
  <c r="R162" i="17"/>
  <c r="Q164" i="17" s="1"/>
  <c r="V160" i="17"/>
  <c r="V159" i="17"/>
  <c r="V158" i="17"/>
  <c r="V157" i="17"/>
  <c r="V156" i="17"/>
  <c r="V155" i="17"/>
  <c r="V153" i="17"/>
  <c r="V152" i="17"/>
  <c r="V151" i="17"/>
  <c r="V150" i="17"/>
  <c r="V149" i="17"/>
  <c r="V148" i="17"/>
  <c r="V145" i="17"/>
  <c r="V143" i="17"/>
  <c r="V142" i="17"/>
  <c r="V141" i="17"/>
  <c r="V140" i="17"/>
  <c r="V138" i="17"/>
  <c r="V137" i="17"/>
  <c r="V136" i="17"/>
  <c r="V135" i="17"/>
  <c r="V134" i="17"/>
  <c r="V132" i="17"/>
  <c r="V131" i="17"/>
  <c r="R131" i="17"/>
  <c r="Q145" i="17" s="1"/>
  <c r="M131" i="17"/>
  <c r="V128" i="17"/>
  <c r="V126" i="17"/>
  <c r="V123" i="17"/>
  <c r="V122" i="17"/>
  <c r="V121" i="17"/>
  <c r="V120" i="17"/>
  <c r="R111" i="17" s="1"/>
  <c r="V119" i="17"/>
  <c r="V117" i="17"/>
  <c r="V116" i="17"/>
  <c r="V115" i="17"/>
  <c r="V113" i="17"/>
  <c r="V112" i="17"/>
  <c r="AN111" i="17"/>
  <c r="V111" i="17"/>
  <c r="V108" i="17"/>
  <c r="V107" i="17"/>
  <c r="V105" i="17"/>
  <c r="V103" i="17"/>
  <c r="V102" i="17"/>
  <c r="AN100" i="17"/>
  <c r="R100" i="17"/>
  <c r="Q107" i="17" s="1"/>
  <c r="V96" i="17"/>
  <c r="V95" i="17"/>
  <c r="V93" i="17"/>
  <c r="V91" i="17"/>
  <c r="V88" i="17"/>
  <c r="V87" i="17"/>
  <c r="V86" i="17"/>
  <c r="V85" i="17"/>
  <c r="V80" i="17"/>
  <c r="V79" i="17"/>
  <c r="V78" i="17"/>
  <c r="V77" i="17"/>
  <c r="V76" i="17"/>
  <c r="V75" i="17"/>
  <c r="V74" i="17"/>
  <c r="R69" i="17" s="1"/>
  <c r="V72" i="17"/>
  <c r="V71" i="17"/>
  <c r="V70" i="17"/>
  <c r="AN69" i="17"/>
  <c r="V69" i="17"/>
  <c r="V65" i="17"/>
  <c r="V63" i="17"/>
  <c r="V61" i="17"/>
  <c r="V60" i="17"/>
  <c r="V57" i="17"/>
  <c r="V55" i="17"/>
  <c r="V53" i="17"/>
  <c r="R52" i="17" s="1"/>
  <c r="AN52" i="17"/>
  <c r="V49" i="17"/>
  <c r="V47" i="17"/>
  <c r="V45" i="17"/>
  <c r="V43" i="17"/>
  <c r="V41" i="17"/>
  <c r="V39" i="17"/>
  <c r="V38" i="17"/>
  <c r="V37" i="17"/>
  <c r="V36" i="17"/>
  <c r="V35" i="17"/>
  <c r="V34" i="17"/>
  <c r="V33" i="17"/>
  <c r="V31" i="17"/>
  <c r="V29" i="17"/>
  <c r="V27" i="17"/>
  <c r="V26" i="17"/>
  <c r="V25" i="17"/>
  <c r="V24" i="17"/>
  <c r="V23" i="17"/>
  <c r="V22" i="17"/>
  <c r="V21" i="17"/>
  <c r="V19" i="17"/>
  <c r="V18" i="17"/>
  <c r="V17" i="17"/>
  <c r="V16" i="17"/>
  <c r="M16" i="17"/>
  <c r="V14" i="17"/>
  <c r="V209" i="17" s="1"/>
  <c r="AN13" i="17"/>
  <c r="R13" i="17"/>
  <c r="Q52" i="17" l="1"/>
  <c r="Q59" i="17"/>
  <c r="Q66" i="17"/>
  <c r="Q92" i="17"/>
  <c r="Q69" i="17"/>
  <c r="Q95" i="17"/>
  <c r="Q84" i="17"/>
  <c r="Q82" i="17"/>
  <c r="R209" i="17"/>
  <c r="Q111" i="17"/>
  <c r="Q116" i="17"/>
  <c r="Q21" i="17"/>
  <c r="Q13" i="17"/>
  <c r="Q15" i="17"/>
  <c r="Q48" i="17"/>
  <c r="Q100" i="17"/>
  <c r="Q131" i="17"/>
  <c r="Q133" i="17"/>
  <c r="Q16" i="17"/>
  <c r="Q135" i="17"/>
  <c r="Q149" i="17"/>
  <c r="Q162" i="17"/>
  <c r="Q102" i="17"/>
  <c r="S21" i="16"/>
  <c r="S20" i="16"/>
  <c r="S19" i="16"/>
  <c r="S18" i="16"/>
  <c r="S17" i="16"/>
  <c r="O17" i="16" s="1"/>
  <c r="AA15" i="16"/>
  <c r="Z15" i="16"/>
  <c r="Y15" i="16"/>
  <c r="X15" i="16"/>
  <c r="AK15" i="16" s="1"/>
  <c r="W15" i="16"/>
  <c r="V15" i="16"/>
  <c r="S15" i="16"/>
  <c r="O15" i="16" s="1"/>
  <c r="S13" i="16"/>
  <c r="O12" i="16" s="1"/>
  <c r="AK12" i="16"/>
  <c r="S12" i="16"/>
  <c r="O18" i="16" l="1"/>
  <c r="S22" i="16"/>
  <c r="O20" i="16"/>
  <c r="S134" i="15"/>
  <c r="S132" i="15"/>
  <c r="S127" i="15"/>
  <c r="S126" i="15"/>
  <c r="O123" i="15" s="1"/>
  <c r="AK123" i="15"/>
  <c r="S117" i="15"/>
  <c r="S115" i="15"/>
  <c r="O114" i="15" s="1"/>
  <c r="N114" i="15" s="1"/>
  <c r="AK114" i="15"/>
  <c r="S114" i="15"/>
  <c r="AK109" i="15"/>
  <c r="O109" i="15"/>
  <c r="N109" i="15"/>
  <c r="AK105" i="15"/>
  <c r="O105" i="15"/>
  <c r="N105" i="15" s="1"/>
  <c r="AB102" i="15"/>
  <c r="AK102" i="15" s="1"/>
  <c r="O102" i="15"/>
  <c r="N102" i="15" s="1"/>
  <c r="AK99" i="15"/>
  <c r="O99" i="15"/>
  <c r="N99" i="15" s="1"/>
  <c r="AK94" i="15"/>
  <c r="O94" i="15"/>
  <c r="N94" i="15"/>
  <c r="S92" i="15"/>
  <c r="S90" i="15"/>
  <c r="S88" i="15"/>
  <c r="S81" i="15"/>
  <c r="O77" i="15" s="1"/>
  <c r="AK77" i="15"/>
  <c r="S74" i="15"/>
  <c r="S66" i="15"/>
  <c r="S65" i="15"/>
  <c r="S63" i="15"/>
  <c r="S62" i="15"/>
  <c r="S59" i="15"/>
  <c r="O58" i="15" s="1"/>
  <c r="N58" i="15" s="1"/>
  <c r="AK58" i="15"/>
  <c r="S52" i="15"/>
  <c r="S46" i="15"/>
  <c r="O45" i="15" s="1"/>
  <c r="AK45" i="15"/>
  <c r="S42" i="15"/>
  <c r="S41" i="15"/>
  <c r="S37" i="15"/>
  <c r="S36" i="15"/>
  <c r="S35" i="15"/>
  <c r="S33" i="15"/>
  <c r="S32" i="15"/>
  <c r="AK31" i="15"/>
  <c r="S31" i="15"/>
  <c r="O31" i="15" s="1"/>
  <c r="S26" i="15"/>
  <c r="S135" i="15" s="1"/>
  <c r="S25" i="15"/>
  <c r="S24" i="15"/>
  <c r="AK23" i="15"/>
  <c r="O23" i="15"/>
  <c r="N23" i="15" s="1"/>
  <c r="AK13" i="15"/>
  <c r="O13" i="15"/>
  <c r="N13" i="15" s="1"/>
  <c r="O22" i="16" l="1"/>
  <c r="N20" i="16" s="1"/>
  <c r="N18" i="16"/>
  <c r="N17" i="16"/>
  <c r="N12" i="16"/>
  <c r="N15" i="16"/>
  <c r="N41" i="15"/>
  <c r="N31" i="15"/>
  <c r="N38" i="15"/>
  <c r="N130" i="15"/>
  <c r="N131" i="15"/>
  <c r="N133" i="15"/>
  <c r="N123" i="15"/>
  <c r="N54" i="15"/>
  <c r="N51" i="15"/>
  <c r="N45" i="15"/>
  <c r="O135" i="15"/>
  <c r="N17" i="15"/>
  <c r="R353" i="14"/>
  <c r="Q354" i="14" s="1"/>
  <c r="R346" i="14"/>
  <c r="Q350" i="14" s="1"/>
  <c r="Q344" i="14"/>
  <c r="R335" i="14"/>
  <c r="Q335" i="14"/>
  <c r="R326" i="14"/>
  <c r="Q326" i="14"/>
  <c r="R321" i="14"/>
  <c r="Q324" i="14" s="1"/>
  <c r="R317" i="14"/>
  <c r="V304" i="14"/>
  <c r="V302" i="14"/>
  <c r="R300" i="14" s="1"/>
  <c r="V301" i="14"/>
  <c r="V290" i="14"/>
  <c r="Q290" i="14" s="1"/>
  <c r="R287" i="14"/>
  <c r="Q294" i="14" s="1"/>
  <c r="V283" i="14"/>
  <c r="V282" i="14"/>
  <c r="V281" i="14"/>
  <c r="R273" i="14" s="1"/>
  <c r="V272" i="14"/>
  <c r="V270" i="14"/>
  <c r="V265" i="14"/>
  <c r="V263" i="14"/>
  <c r="V262" i="14"/>
  <c r="V261" i="14"/>
  <c r="V259" i="14"/>
  <c r="AD258" i="14"/>
  <c r="AC258" i="14"/>
  <c r="V258" i="14"/>
  <c r="R258" i="14"/>
  <c r="V251" i="14"/>
  <c r="R249" i="14" s="1"/>
  <c r="R217" i="14"/>
  <c r="Q224" i="14" s="1"/>
  <c r="Q208" i="14"/>
  <c r="AO201" i="14"/>
  <c r="R201" i="14"/>
  <c r="Q206" i="14" s="1"/>
  <c r="Q201" i="14"/>
  <c r="R189" i="14"/>
  <c r="Q195" i="14" s="1"/>
  <c r="Q183" i="14"/>
  <c r="AD179" i="14"/>
  <c r="AC179" i="14"/>
  <c r="R179" i="14"/>
  <c r="Q179" i="14"/>
  <c r="V174" i="14"/>
  <c r="V155" i="14"/>
  <c r="R154" i="14" s="1"/>
  <c r="V153" i="14"/>
  <c r="V151" i="14"/>
  <c r="V149" i="14"/>
  <c r="V147" i="14"/>
  <c r="V145" i="14"/>
  <c r="V143" i="14"/>
  <c r="V141" i="14"/>
  <c r="V139" i="14"/>
  <c r="V135" i="14"/>
  <c r="V132" i="14"/>
  <c r="V130" i="14"/>
  <c r="R130" i="14"/>
  <c r="Q130" i="14" s="1"/>
  <c r="Q125" i="14"/>
  <c r="R120" i="14"/>
  <c r="Q120" i="14"/>
  <c r="R106" i="14"/>
  <c r="Q115" i="14" s="1"/>
  <c r="AE84" i="14"/>
  <c r="AE106" i="14" s="1"/>
  <c r="R84" i="14"/>
  <c r="Q95" i="14" s="1"/>
  <c r="V77" i="14"/>
  <c r="AD55" i="14"/>
  <c r="AD84" i="14" s="1"/>
  <c r="AD106" i="14" s="1"/>
  <c r="AC55" i="14"/>
  <c r="AC84" i="14" s="1"/>
  <c r="R55" i="14"/>
  <c r="Q66" i="14" s="1"/>
  <c r="V48" i="14"/>
  <c r="V360" i="14" s="1"/>
  <c r="R48" i="14"/>
  <c r="Q48" i="14" s="1"/>
  <c r="R12" i="14"/>
  <c r="Q22" i="14" s="1"/>
  <c r="Q249" i="14" l="1"/>
  <c r="Q256" i="14"/>
  <c r="Q279" i="14"/>
  <c r="Q273" i="14"/>
  <c r="AC106" i="14"/>
  <c r="AN84" i="14"/>
  <c r="Q50" i="14"/>
  <c r="Q146" i="14"/>
  <c r="Q233" i="14"/>
  <c r="Q32" i="14"/>
  <c r="Q78" i="14"/>
  <c r="Q100" i="14"/>
  <c r="Q12" i="14"/>
  <c r="Q55" i="14"/>
  <c r="Q61" i="14"/>
  <c r="Q84" i="14"/>
  <c r="Q106" i="14"/>
  <c r="Q189" i="14"/>
  <c r="Q217" i="14"/>
  <c r="Q240" i="14"/>
  <c r="Q321" i="14"/>
  <c r="Q346" i="14"/>
  <c r="Q111" i="14"/>
  <c r="R360" i="14"/>
  <c r="Q287" i="14"/>
  <c r="V127" i="13"/>
  <c r="V126" i="13"/>
  <c r="R126" i="13" s="1"/>
  <c r="AN121" i="13"/>
  <c r="R121" i="13"/>
  <c r="Q121" i="13" s="1"/>
  <c r="AN119" i="13"/>
  <c r="R119" i="13"/>
  <c r="Q119" i="13" s="1"/>
  <c r="V115" i="13"/>
  <c r="R115" i="13"/>
  <c r="Q115" i="13"/>
  <c r="Q113" i="13"/>
  <c r="R111" i="13"/>
  <c r="Q111" i="13"/>
  <c r="R105" i="13"/>
  <c r="Q105" i="13" s="1"/>
  <c r="V104" i="13"/>
  <c r="V100" i="13"/>
  <c r="R92" i="13"/>
  <c r="V89" i="13"/>
  <c r="V85" i="13"/>
  <c r="V84" i="13"/>
  <c r="R84" i="13" s="1"/>
  <c r="Q84" i="13" s="1"/>
  <c r="V80" i="13"/>
  <c r="Q80" i="13" s="1"/>
  <c r="V77" i="13"/>
  <c r="R76" i="13"/>
  <c r="Q76" i="13" s="1"/>
  <c r="V74" i="13"/>
  <c r="V73" i="13"/>
  <c r="V71" i="13"/>
  <c r="V69" i="13"/>
  <c r="V68" i="13"/>
  <c r="V62" i="13"/>
  <c r="V57" i="13"/>
  <c r="V55" i="13"/>
  <c r="V54" i="13"/>
  <c r="R54" i="13" s="1"/>
  <c r="V46" i="13"/>
  <c r="R44" i="13"/>
  <c r="Q48" i="13" s="1"/>
  <c r="V41" i="13"/>
  <c r="R37" i="13" s="1"/>
  <c r="V38" i="13"/>
  <c r="V36" i="13"/>
  <c r="V35" i="13"/>
  <c r="V28" i="13"/>
  <c r="R27" i="13"/>
  <c r="Q30" i="13" s="1"/>
  <c r="V25" i="13"/>
  <c r="V22" i="13"/>
  <c r="V16" i="13"/>
  <c r="V15" i="13"/>
  <c r="V13" i="13"/>
  <c r="V128" i="13" s="1"/>
  <c r="AN11" i="13"/>
  <c r="Q67" i="13" l="1"/>
  <c r="Q57" i="13"/>
  <c r="Q66" i="13"/>
  <c r="Q74" i="13"/>
  <c r="Q63" i="13"/>
  <c r="Q56" i="13"/>
  <c r="Q58" i="13"/>
  <c r="Q60" i="13"/>
  <c r="Q71" i="13"/>
  <c r="Q33" i="13"/>
  <c r="Q45" i="13"/>
  <c r="Q54" i="13"/>
  <c r="Q82" i="13"/>
  <c r="R98" i="13"/>
  <c r="Q123" i="13"/>
  <c r="R11" i="13"/>
  <c r="Q29" i="13"/>
  <c r="Q35" i="13"/>
  <c r="Q78" i="13"/>
  <c r="Q126" i="13"/>
  <c r="Q32" i="13"/>
  <c r="Q49" i="13"/>
  <c r="Q27" i="13"/>
  <c r="V18" i="12"/>
  <c r="Q16" i="12"/>
  <c r="Q14" i="12"/>
  <c r="AN12" i="12"/>
  <c r="R12" i="12"/>
  <c r="R18" i="12" s="1"/>
  <c r="Q12" i="12"/>
  <c r="R128" i="13" l="1"/>
  <c r="Q16" i="13"/>
  <c r="Q11" i="13"/>
  <c r="Q22" i="13"/>
  <c r="Q103" i="13"/>
  <c r="Q101" i="13"/>
  <c r="Q98" i="13"/>
  <c r="Q99" i="13"/>
  <c r="V56" i="11"/>
  <c r="Q55" i="11"/>
  <c r="R54" i="11"/>
  <c r="Q54" i="11"/>
  <c r="Q51" i="11"/>
  <c r="AN49" i="11"/>
  <c r="R49" i="11"/>
  <c r="Q50" i="11" s="1"/>
  <c r="Q49" i="11"/>
  <c r="AN37" i="11"/>
  <c r="R37" i="11"/>
  <c r="Q45" i="11" s="1"/>
  <c r="AN29" i="11"/>
  <c r="R29" i="11"/>
  <c r="Q33" i="11" s="1"/>
  <c r="Q25" i="11"/>
  <c r="AN23" i="11"/>
  <c r="R23" i="11"/>
  <c r="Q24" i="11" s="1"/>
  <c r="Q23" i="11"/>
  <c r="AP20" i="11"/>
  <c r="R20" i="11"/>
  <c r="Q21" i="11" s="1"/>
  <c r="Q20" i="11"/>
  <c r="AN12" i="11"/>
  <c r="R12" i="11"/>
  <c r="Q15" i="11" s="1"/>
  <c r="Q32" i="11" l="1"/>
  <c r="Q40" i="11"/>
  <c r="Q26" i="11"/>
  <c r="Q41" i="11"/>
  <c r="Q13" i="11"/>
  <c r="Q17" i="11"/>
  <c r="Q27" i="11"/>
  <c r="Q30" i="11"/>
  <c r="Q34" i="11"/>
  <c r="Q38" i="11"/>
  <c r="Q42" i="11"/>
  <c r="Q46" i="11"/>
  <c r="R56" i="11"/>
  <c r="Q16" i="11"/>
  <c r="Q12" i="11"/>
  <c r="Q14" i="11"/>
  <c r="Q18" i="11"/>
  <c r="Q29" i="11"/>
  <c r="Q31" i="11"/>
  <c r="Q37" i="11"/>
  <c r="Q39" i="11"/>
  <c r="Q43" i="11"/>
  <c r="Q47" i="11"/>
  <c r="Q44" i="11"/>
  <c r="N73" i="10"/>
  <c r="N72" i="10"/>
  <c r="N71" i="10"/>
  <c r="N70" i="10"/>
  <c r="AK69" i="10"/>
  <c r="N69" i="10"/>
  <c r="S65" i="10"/>
  <c r="N65" i="10"/>
  <c r="AK64" i="10"/>
  <c r="S64" i="10"/>
  <c r="N64" i="10"/>
  <c r="N62" i="10"/>
  <c r="N61" i="10"/>
  <c r="N60" i="10"/>
  <c r="AK59" i="10"/>
  <c r="N59" i="10"/>
  <c r="AK56" i="10"/>
  <c r="N56" i="10"/>
  <c r="AK53" i="10"/>
  <c r="O53" i="10"/>
  <c r="N53" i="10"/>
  <c r="J51" i="10"/>
  <c r="S49" i="10"/>
  <c r="S48" i="10"/>
  <c r="S47" i="10"/>
  <c r="S46" i="10"/>
  <c r="S45" i="10"/>
  <c r="AK44" i="10"/>
  <c r="S44" i="10"/>
  <c r="O44" i="10"/>
  <c r="N52" i="10" s="1"/>
  <c r="N42" i="10"/>
  <c r="N39" i="10"/>
  <c r="N37" i="10"/>
  <c r="AK35" i="10"/>
  <c r="N35" i="10"/>
  <c r="AK27" i="10"/>
  <c r="O27" i="10"/>
  <c r="N31" i="10" s="1"/>
  <c r="S23" i="10"/>
  <c r="S74" i="10" s="1"/>
  <c r="AK22" i="10"/>
  <c r="N20" i="10"/>
  <c r="AK19" i="10"/>
  <c r="N19" i="10"/>
  <c r="N17" i="10"/>
  <c r="N16" i="10"/>
  <c r="N15" i="10"/>
  <c r="N14" i="10"/>
  <c r="AK12" i="10"/>
  <c r="N12" i="10"/>
  <c r="N50" i="10" l="1"/>
  <c r="N28" i="10"/>
  <c r="N51" i="10"/>
  <c r="O22" i="10"/>
  <c r="N27" i="10"/>
  <c r="N29" i="10"/>
  <c r="N44" i="10"/>
  <c r="N30" i="10"/>
  <c r="AN59" i="9"/>
  <c r="R59" i="9"/>
  <c r="Q59" i="9"/>
  <c r="V57" i="9"/>
  <c r="V56" i="9"/>
  <c r="V55" i="9"/>
  <c r="V54" i="9"/>
  <c r="V53" i="9"/>
  <c r="V52" i="9"/>
  <c r="V50" i="9"/>
  <c r="R39" i="9" s="1"/>
  <c r="V36" i="9"/>
  <c r="V30" i="9"/>
  <c r="AN26" i="9"/>
  <c r="R26" i="9"/>
  <c r="Q32" i="9" s="1"/>
  <c r="R21" i="9"/>
  <c r="Q21" i="9"/>
  <c r="R20" i="9"/>
  <c r="Q20" i="9" s="1"/>
  <c r="R18" i="9"/>
  <c r="Q18" i="9"/>
  <c r="V17" i="9"/>
  <c r="R16" i="9" s="1"/>
  <c r="V12" i="9"/>
  <c r="V60" i="9" s="1"/>
  <c r="R12" i="9"/>
  <c r="O74" i="10" l="1"/>
  <c r="N25" i="10"/>
  <c r="N22" i="10"/>
  <c r="R60" i="9"/>
  <c r="Q58" i="9"/>
  <c r="Q44" i="9"/>
  <c r="Q57" i="9"/>
  <c r="Q39" i="9"/>
  <c r="Q46" i="9"/>
  <c r="Q55" i="9"/>
  <c r="Q52" i="9"/>
  <c r="Q16" i="9"/>
  <c r="Q12" i="9"/>
  <c r="Q26" i="9"/>
  <c r="V22" i="8"/>
  <c r="V21" i="8"/>
  <c r="V20" i="8"/>
  <c r="Q20" i="8"/>
  <c r="AN19" i="8"/>
  <c r="V19" i="8"/>
  <c r="R19" i="8"/>
  <c r="Q19" i="8"/>
  <c r="V15" i="8"/>
  <c r="V14" i="8"/>
  <c r="V13" i="8"/>
  <c r="AN12" i="8"/>
  <c r="V12" i="8"/>
  <c r="R12" i="8"/>
  <c r="R22" i="8" s="1"/>
  <c r="Q14" i="8" l="1"/>
  <c r="Q12" i="8"/>
  <c r="Q16" i="8"/>
  <c r="V81" i="7"/>
  <c r="V80" i="7"/>
  <c r="V79" i="7"/>
  <c r="AN78" i="7"/>
  <c r="R78" i="7"/>
  <c r="AN65" i="7"/>
  <c r="R65" i="7"/>
  <c r="Q65" i="7"/>
  <c r="AN59" i="7"/>
  <c r="R59" i="7"/>
  <c r="Q62" i="7" s="1"/>
  <c r="Q59" i="7"/>
  <c r="V54" i="7"/>
  <c r="Q54" i="7"/>
  <c r="V51" i="7"/>
  <c r="Q51" i="7"/>
  <c r="V49" i="7"/>
  <c r="AN48" i="7"/>
  <c r="R48" i="7"/>
  <c r="Q48" i="7"/>
  <c r="V44" i="7"/>
  <c r="Q43" i="7"/>
  <c r="Q37" i="7"/>
  <c r="V32" i="7"/>
  <c r="AN31" i="7"/>
  <c r="R31" i="7"/>
  <c r="Q39" i="7" s="1"/>
  <c r="Q31" i="7"/>
  <c r="V22" i="7"/>
  <c r="R21" i="7" s="1"/>
  <c r="AN21" i="7"/>
  <c r="M21" i="7"/>
  <c r="Q16" i="7"/>
  <c r="V13" i="7"/>
  <c r="AN12" i="7"/>
  <c r="R12" i="7"/>
  <c r="Q12" i="7"/>
  <c r="R84" i="7" l="1"/>
  <c r="Q27" i="7"/>
  <c r="Q24" i="7"/>
  <c r="Q21" i="7"/>
  <c r="V84" i="7"/>
  <c r="Q78" i="7"/>
  <c r="V18" i="6"/>
  <c r="V16" i="6"/>
  <c r="AN12" i="6"/>
  <c r="V12" i="6"/>
  <c r="V20" i="6" s="1"/>
  <c r="R12" i="6"/>
  <c r="Q12" i="6" s="1"/>
  <c r="R20" i="6" l="1"/>
  <c r="V55" i="5"/>
  <c r="V54" i="5"/>
  <c r="V53" i="5"/>
  <c r="V52" i="5"/>
  <c r="AN50" i="5"/>
  <c r="V50" i="5"/>
  <c r="V47" i="5"/>
  <c r="V46" i="5"/>
  <c r="V44" i="5"/>
  <c r="AN42" i="5"/>
  <c r="V42" i="5"/>
  <c r="R42" i="5" s="1"/>
  <c r="Q42" i="5" s="1"/>
  <c r="V39" i="5"/>
  <c r="V38" i="5"/>
  <c r="V37" i="5"/>
  <c r="V36" i="5"/>
  <c r="V35" i="5"/>
  <c r="V34" i="5"/>
  <c r="V33" i="5"/>
  <c r="AN32" i="5"/>
  <c r="V32" i="5"/>
  <c r="R32" i="5"/>
  <c r="Q32" i="5" s="1"/>
  <c r="V30" i="5"/>
  <c r="AN28" i="5"/>
  <c r="V28" i="5"/>
  <c r="R28" i="5" s="1"/>
  <c r="V26" i="5"/>
  <c r="V25" i="5"/>
  <c r="V24" i="5"/>
  <c r="V23" i="5"/>
  <c r="V22" i="5"/>
  <c r="V21" i="5"/>
  <c r="V20" i="5"/>
  <c r="V19" i="5"/>
  <c r="V18" i="5"/>
  <c r="V16" i="5"/>
  <c r="AN15" i="5"/>
  <c r="V15" i="5"/>
  <c r="R15" i="5" s="1"/>
  <c r="V14" i="5"/>
  <c r="V56" i="5" s="1"/>
  <c r="AN12" i="5"/>
  <c r="Q15" i="5" l="1"/>
  <c r="Q19" i="5"/>
  <c r="Q23" i="5"/>
  <c r="Q28" i="5"/>
  <c r="R50" i="5"/>
  <c r="Q50" i="5" s="1"/>
  <c r="R12" i="5"/>
  <c r="V23" i="4"/>
  <c r="R23" i="4"/>
  <c r="Q23" i="4"/>
  <c r="V22" i="4"/>
  <c r="V21" i="4"/>
  <c r="V20" i="4"/>
  <c r="V19" i="4"/>
  <c r="V18" i="4"/>
  <c r="R18" i="4" s="1"/>
  <c r="R16" i="4"/>
  <c r="Q16" i="4"/>
  <c r="Q12" i="5" l="1"/>
  <c r="R56" i="5"/>
  <c r="Q53" i="5"/>
  <c r="Q18" i="4"/>
  <c r="R25" i="4"/>
  <c r="V25" i="4"/>
  <c r="V24" i="3" l="1"/>
  <c r="V23" i="3"/>
  <c r="V22" i="3"/>
  <c r="V21" i="3"/>
  <c r="V20" i="3"/>
  <c r="R20" i="3"/>
  <c r="Q20" i="3"/>
  <c r="V19" i="3"/>
  <c r="R17" i="3" s="1"/>
  <c r="V18" i="3"/>
  <c r="V17" i="3"/>
  <c r="V16" i="3"/>
  <c r="V26" i="3" s="1"/>
  <c r="R16" i="3"/>
  <c r="Q16" i="3"/>
  <c r="Q17" i="3" l="1"/>
  <c r="R21" i="3"/>
  <c r="Q22" i="3" s="1"/>
  <c r="V149" i="2"/>
  <c r="Q147" i="2"/>
  <c r="V145" i="2"/>
  <c r="V142" i="2"/>
  <c r="Q141" i="2"/>
  <c r="V135" i="2"/>
  <c r="Q134" i="2"/>
  <c r="V133" i="2"/>
  <c r="AN132" i="2"/>
  <c r="R132" i="2"/>
  <c r="Q151" i="2" s="1"/>
  <c r="Q132" i="2"/>
  <c r="V130" i="2"/>
  <c r="V129" i="2"/>
  <c r="R120" i="2" s="1"/>
  <c r="AN120" i="2"/>
  <c r="AL120" i="2"/>
  <c r="V119" i="2"/>
  <c r="V117" i="2"/>
  <c r="V116" i="2"/>
  <c r="V115" i="2"/>
  <c r="V114" i="2"/>
  <c r="V113" i="2"/>
  <c r="V112" i="2"/>
  <c r="V111" i="2"/>
  <c r="V110" i="2"/>
  <c r="V109" i="2"/>
  <c r="V108" i="2"/>
  <c r="V107" i="2"/>
  <c r="V105" i="2"/>
  <c r="V104" i="2"/>
  <c r="V103" i="2"/>
  <c r="V102" i="2"/>
  <c r="V101" i="2"/>
  <c r="V100" i="2"/>
  <c r="V99" i="2"/>
  <c r="V98" i="2"/>
  <c r="V97" i="2"/>
  <c r="AN96" i="2"/>
  <c r="V96" i="2"/>
  <c r="R96" i="2" s="1"/>
  <c r="V95" i="2"/>
  <c r="AN93" i="2"/>
  <c r="R93" i="2"/>
  <c r="V92" i="2"/>
  <c r="V91" i="2"/>
  <c r="V89" i="2"/>
  <c r="V88" i="2"/>
  <c r="V87" i="2"/>
  <c r="V86" i="2"/>
  <c r="V84" i="2"/>
  <c r="R83" i="2" s="1"/>
  <c r="AN83" i="2"/>
  <c r="V82" i="2"/>
  <c r="V80" i="2"/>
  <c r="V75" i="2"/>
  <c r="V74" i="2"/>
  <c r="V73" i="2"/>
  <c r="V72" i="2"/>
  <c r="V71" i="2"/>
  <c r="V70" i="2"/>
  <c r="V69" i="2"/>
  <c r="V68" i="2"/>
  <c r="R67" i="2" s="1"/>
  <c r="AN67" i="2"/>
  <c r="V67" i="2"/>
  <c r="V64" i="2"/>
  <c r="V63" i="2"/>
  <c r="V62" i="2"/>
  <c r="V61" i="2"/>
  <c r="V60" i="2"/>
  <c r="V59" i="2"/>
  <c r="V58" i="2"/>
  <c r="V57" i="2"/>
  <c r="V56" i="2"/>
  <c r="R52" i="2" s="1"/>
  <c r="AN52" i="2"/>
  <c r="AN34" i="2"/>
  <c r="R34" i="2"/>
  <c r="AN11" i="2"/>
  <c r="R11" i="2"/>
  <c r="Q24" i="3" l="1"/>
  <c r="Q21" i="3"/>
  <c r="Q25" i="3"/>
  <c r="R26" i="3"/>
  <c r="Q78" i="2"/>
  <c r="Q77" i="2"/>
  <c r="Q76" i="2"/>
  <c r="Q67" i="2"/>
  <c r="Q79" i="2"/>
  <c r="R153" i="2"/>
  <c r="Q148" i="2"/>
  <c r="V153" i="2"/>
  <c r="Q137" i="2"/>
  <c r="Q144" i="2"/>
  <c r="Q139" i="2"/>
  <c r="T24" i="1"/>
  <c r="T22" i="1"/>
  <c r="P19" i="1" s="1"/>
  <c r="O19" i="1" s="1"/>
  <c r="T20" i="1"/>
  <c r="AL19" i="1"/>
  <c r="AL16" i="1"/>
  <c r="P16" i="1"/>
  <c r="O16" i="1"/>
  <c r="T15" i="1"/>
  <c r="P12" i="1" s="1"/>
  <c r="T13" i="1"/>
  <c r="T25" i="1" s="1"/>
  <c r="AL12" i="1"/>
  <c r="O12" i="1" l="1"/>
  <c r="P25" i="1"/>
</calcChain>
</file>

<file path=xl/sharedStrings.xml><?xml version="1.0" encoding="utf-8"?>
<sst xmlns="http://schemas.openxmlformats.org/spreadsheetml/2006/main" count="4468" uniqueCount="2542">
  <si>
    <t xml:space="preserve">CODIGO:  </t>
  </si>
  <si>
    <t>F-PLA-06</t>
  </si>
  <si>
    <t xml:space="preserve">VERSIÓN: </t>
  </si>
  <si>
    <t xml:space="preserve">FECHA: </t>
  </si>
  <si>
    <t>Nov. 22 de 2017</t>
  </si>
  <si>
    <t>PÁGINA:</t>
  </si>
  <si>
    <t>01 de 1</t>
  </si>
  <si>
    <t xml:space="preserve">PLAN DE DESARROLLO DEPARTAMENTAL </t>
  </si>
  <si>
    <t xml:space="preserve">PROYECTO </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</si>
  <si>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</si>
  <si>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</si>
  <si>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</si>
  <si>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</si>
  <si>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</si>
  <si>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</si>
  <si>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</si>
  <si>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</si>
  <si>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No.</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</si>
  <si>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</si>
  <si>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</si>
  <si>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</si>
  <si>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</si>
  <si>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</si>
  <si>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</si>
  <si>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</si>
  <si>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</si>
  <si>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</si>
  <si>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</si>
  <si>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</si>
  <si>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</si>
  <si>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</si>
  <si>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</si>
  <si>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MUJER</t>
  </si>
  <si>
    <t>HOMBRE</t>
  </si>
  <si>
    <t>Edad Escolar 
(0 - 14 años)</t>
  </si>
  <si>
    <t>Adolescencia
 (15 - 19 años)</t>
  </si>
  <si>
    <t>Edad Económicamente 
Activa(20-59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</si>
  <si>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</si>
  <si>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</si>
  <si>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</si>
  <si>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</si>
  <si>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</si>
  <si>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</si>
  <si>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</si>
  <si>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</si>
  <si>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</si>
  <si>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</si>
  <si>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BUEN GOBIERNO</t>
  </si>
  <si>
    <t>Quindío Transparente y Legal</t>
  </si>
  <si>
    <t>QUINDIO EJEMPLAR Y LEGAL</t>
  </si>
  <si>
    <t xml:space="preserve">Realizar 40 eventos  de sensibilización en transparencia , participación, buen gobierno y valores éticos y morales  </t>
  </si>
  <si>
    <t>No de Eventos  de sensibilización   realizados</t>
  </si>
  <si>
    <t xml:space="preserve">0313 - 5 - 3 1 5 26 83 17 82 - 20
0313 - 5 - 3 1 5 26 83 17 82 - 88
</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</si>
  <si>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</si>
  <si>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</si>
  <si>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</si>
  <si>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t>
  </si>
  <si>
    <t xml:space="preserve">Desarrollo de la estrategia de transparencia </t>
  </si>
  <si>
    <t xml:space="preserve">20
</t>
  </si>
  <si>
    <t xml:space="preserve">Recurso Ordinario
</t>
  </si>
  <si>
    <t>José Joaquin Rincon Pastrana
Director Oficina Privada</t>
  </si>
  <si>
    <t>Superavit Ordinario</t>
  </si>
  <si>
    <t>Mejorar la cultura del civismo y participación de los ciudadanos  en los  procesos institucionales del gobierno.</t>
  </si>
  <si>
    <t>Desarrollo del sistema departamental del servicio al ciudaddano</t>
  </si>
  <si>
    <t>Implementar una (1) sala de transparencia "Urna de Cristal" en el Departamento</t>
  </si>
  <si>
    <t>Sala de transparencia implementada</t>
  </si>
  <si>
    <t>0313 - 5 - 3 1 5 26 83 17 83 - 20  </t>
  </si>
  <si>
    <t>201663000-0083</t>
  </si>
  <si>
    <t>Implementacion de una (1) sala de transparencia "Urna de Cristal" en el Departamento del Quindio</t>
  </si>
  <si>
    <t>Aumentar el nivel de credibilidad en la transparencia  de la contratación  pública en el Departamento.</t>
  </si>
  <si>
    <t xml:space="preserve">Aumentar el conocimiento de la ciudadanía de los procesos precontractuales de la administración departamental    Mejorar el promedio de participación de la ciudadania en los procesos de elección  popular en el cuatrenio 
</t>
  </si>
  <si>
    <t>Promociòn  de la Sala  de transparencia</t>
  </si>
  <si>
    <t>Recurso Ordinario</t>
  </si>
  <si>
    <t>Gestión Territorial</t>
  </si>
  <si>
    <t xml:space="preserve">MODERNIZACIÓN TECNOLOGICA Y ADMINISTRATIVA </t>
  </si>
  <si>
    <t xml:space="preserve">Desarrollar e implementar una (1) estrategía de comunicaciones  </t>
  </si>
  <si>
    <t>Estrategía de comunicaciones desarrollada e implementada</t>
  </si>
  <si>
    <t>0313 - 5 - 3 1 5 28 89 17 81 - 20
0313 - 5 - 3 1 5 28 89 17 81 - 88
           </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</si>
  <si>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</si>
  <si>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</si>
  <si>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</si>
  <si>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</si>
  <si>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(prensa, radio y televisión)</t>
  </si>
  <si>
    <t xml:space="preserve">Recurso Ordinario </t>
  </si>
  <si>
    <t>Desarrollo de la estrategia de comunicaciones</t>
  </si>
  <si>
    <t>Planificación institucional en la divulgación de los programas y proyectos</t>
  </si>
  <si>
    <t xml:space="preserve">Operatividad de la estrategica de comunicaciones </t>
  </si>
  <si>
    <t xml:space="preserve">Recurso Ordinario 
</t>
  </si>
  <si>
    <t>TOTALES</t>
  </si>
  <si>
    <t>JOSE JOAQUIN RINCON PASTRANA</t>
  </si>
  <si>
    <t>SECRETARIO DE DESPACHO</t>
  </si>
  <si>
    <t xml:space="preserve">NOTA:  SI HAY OBSERVACIONES O INCONSISTENCIAS EN LA INFORMACIÓN ENVIADA POR LA SECRETARIA DE PLANEACIÓN FAVOR REPORTARLA AL AREA DE PROYECTOS, CON LOS SOPORTES O EVIDENCIAS  </t>
  </si>
  <si>
    <t>O6</t>
  </si>
  <si>
    <t xml:space="preserve"> 1 de 1</t>
  </si>
  <si>
    <t xml:space="preserve">No </t>
  </si>
  <si>
    <t>Edad Económicamente Activa
(20-59 años)</t>
  </si>
  <si>
    <t>Palenqueras</t>
  </si>
  <si>
    <t>Quindío Ejemplar y Legal</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</si>
  <si>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</si>
  <si>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</si>
  <si>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</si>
  <si>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</si>
  <si>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</si>
  <si>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t>
  </si>
  <si>
    <t xml:space="preserve">Realizar  procesos de capacitación, asistencia técnica, seguimiento y evaluación del  Indice de Transparencia a las Secretarias Sectoriales eInstitutos Descentralizados del  Departamento del Quindio,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</si>
  <si>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 de Transparencia Departamento del Quindio </t>
  </si>
  <si>
    <t>Recursos Ordinarios.</t>
  </si>
  <si>
    <t>José Ignacio Rojas Sepúlveda
Secretario Departamental de Planeación</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</si>
  <si>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</si>
  <si>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Indices de Gobierno Abierto IGA   e Indice de Transparencia Departamento del Quindio </t>
  </si>
  <si>
    <t xml:space="preserve">b) Socialización análisis historico Indices de Gobierno Abierto IGA   e Indice de Transparencia Departamento del Quindio </t>
  </si>
  <si>
    <t>a) RESPECTO A LA ESTRUCTURA DEL SUJETO OBLIGADO. (Artículo  9° Ley 1712 de 2014 ) : La descripción de su estructura,  Presupuesto general, directorio (Sistema de Gestión del Empleo Público (SIGEP)), normas generales y reglamentarias,Plan de compras anual,Los plazos de cumplimiento de los contratos,Plan Anticorrupción y de Atención al Ciudadano,</t>
  </si>
  <si>
    <t xml:space="preserve">b) PUBLICIDAD DE LA CONTRATACIÓN .(Artículo  10° Ley 1712 de 2014 ) :Las contrataciones (Sistema Electrónico para la Contratación Pública (Secop)-(Artículo 3° de la Ley 1150 de 2007) 
</t>
  </si>
  <si>
    <t>c) SERVICIOS, PROCEDIMIENTOS Y FUNCIONAMIENTO DEL SUJETO OBLIGADO .(Artículo  11° Ley 1712 de 2014 ) : )  Servicios que se presten, trámites, procedimientos -Sistema Único de Información de Trámites y Procedimientos Administrativos (SUIT),El contenido de toda decisión y/o política ,  informes de gestión, evaluación,mecanismo interno y externo de supervisión , procedimientos, lineamientos, políticas en materia de adquisiciones y compras,mecanismo de presentación directa de solicitudes, quejas y reclamos, mecanismo o procedimiento por medio del cual el público pueda participar en la formulación de la política, registro de publicaciones que contenga los documentos publicados , datos abiertos</t>
  </si>
  <si>
    <t>a)  Todas las categorías de información del sujeto obligado</t>
  </si>
  <si>
    <t>b) Todo registro publicado.</t>
  </si>
  <si>
    <t>c)  Todo registro disponible para ser solicitado por el público.</t>
  </si>
  <si>
    <t>a) Inventario de la información pública generada, obtenida, adquirida o controlada por el sujeto obligado</t>
  </si>
  <si>
    <t>a) instrumento del que disponen los sujetos obligados para informar, de forma ordenada, a la ciudadanía, interesados y usuarios, sobre la información publicada y que publicará, conforme  a lo  previsto en el artículo 3° de la Ley 1712 de 2014, y sobre los medios a través de los cuales se puede acceder a la misma</t>
  </si>
  <si>
    <t>a)Política de gestión documental aprobada por el sujeto obligado.</t>
  </si>
  <si>
    <t>b) Tablas de Retención Documental.</t>
  </si>
  <si>
    <t>c) archivo institucional.</t>
  </si>
  <si>
    <t>d)  Políticas para la gestión de sus documentos electrónicos, incluyendo políticas de preservación y custodia digital.</t>
  </si>
  <si>
    <t>e)  Sistema Nacional de Archivos</t>
  </si>
  <si>
    <t>a) Publicación  informe de todas las solicitudes, denuncias y los tiempos de respuesta del sujeto obligado (Número de solicitudes recibidas,Número de solicitudes que fueron trasladadas a otra institución,Tiempo de respuesta a cada solicitud y Número de solicitudes en las que se negó el acceso a la información.</t>
  </si>
  <si>
    <t>a) Publicación  gratuidad y costos de reproducción. En concordancia con lo establecido en los artículos 3o  y 26 de la Ley 1712/14, en la gestión y respuesta a las solicitudes de acceso a la información pública.</t>
  </si>
  <si>
    <t>Asistencia Implementación  LEY 1712 DE 2012 ( Sector Central y Sector Descentralizado (Promotora de Vivienda, INDEPORTES. IDTQ)</t>
  </si>
  <si>
    <t>SEGUIMIENTO Y EVALUACIÓN ENTES ETERRITORIALES MUNICIPALES:  Información mínima que debe esta publicada  (  estructura del sujeto obligado, publicidad de la contratación, servicios, procedimientos y funcionamiento del sujeto obligado), registro de activos de la información, índice de información reservada y clasificada ,esquema de publicación de la información, programa de gestión documental , solicitudes de acceso a la información, reproducción    de la información publicada con su respectiva motivación y costos de reproducción  de la información publicada con su respectiva motivación</t>
  </si>
  <si>
    <t>Socialización Entes Territoriales</t>
  </si>
  <si>
    <t xml:space="preserve">Fotocopias </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</si>
  <si>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</si>
  <si>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</si>
  <si>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</si>
  <si>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
0305 - 5 - 3 1 5 26 84 17 15 - 88</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</si>
  <si>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</si>
  <si>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</si>
  <si>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2017   y la preparación recolección y  consolidación del informe de la vigencia 2017, con el fin de divulgar a la comunidad de los resultados de la ejecutorias generando en la Administraciòn la cultura de la Rendiciòn Pùblica de Cuentas durante la vigencia 2018.
</t>
  </si>
  <si>
    <t xml:space="preserve">Realizar el video de las ejecutorias de la Administración Departamental vigencia 2017 por ejes estratégicos, buscando aumentar el promedio de la participación ciudadana en los procesos de elección popular en el Departamento del Quindío durante la vigencia 2018. 
</t>
  </si>
  <si>
    <t>Estrategia de Desarrollo Sostenible 2018</t>
  </si>
  <si>
    <t>Estrategia de Desarrollo Sostenible 2019</t>
  </si>
  <si>
    <t xml:space="preserve">Superavit Ordinario </t>
  </si>
  <si>
    <t>Estrategia de Prosperidad con Equidad 2018</t>
  </si>
  <si>
    <t>Estrategia de Prosperidad con Equidad 2019</t>
  </si>
  <si>
    <t>Estrategia de Inclusion Social 2018</t>
  </si>
  <si>
    <t>Estrategia de Inclusion Social 2019</t>
  </si>
  <si>
    <t>Estrategia de Seguridad Humana 2018</t>
  </si>
  <si>
    <t>Estrategia de Seguridad Humana 2019</t>
  </si>
  <si>
    <t>Estrategia de Buen Gobierno 2018</t>
  </si>
  <si>
    <t>Estrategia de Buen Gobierno 2019</t>
  </si>
  <si>
    <t xml:space="preserve">Realizar un periodico informativo de las ejecutorias de la Administración Departamental vigencia 2017 por ejes estratégicos, buscando aumentar el promedio de la participación ciudadana en los procesos de elección popular en el Departamento del Quindío durante la vigencia 2018. 
</t>
  </si>
  <si>
    <t>Diseño y edición periódico ejecutorias Administración  Departamental 2018</t>
  </si>
  <si>
    <t>Diseño y edición periódico ejecutorias Administración  Departamental 2019</t>
  </si>
  <si>
    <t xml:space="preserve">  Realizar  eventos de Rendición Pública de Cuentas en los doce entes Territoriales del Departamento , de las ejecutorias de la Administración Departamental vigencia 2017 por ejes estratégicos, buscando aumentar el promedio de la participación ciudadana en los procesos de elección popular en el Departamento del Quindío durante la vigencia 2018. 
</t>
  </si>
  <si>
    <t>Sonido 2018</t>
  </si>
  <si>
    <t>Sonido 2019</t>
  </si>
  <si>
    <t>Refrigerios 2018</t>
  </si>
  <si>
    <t>Refrigerios 2019</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</si>
  <si>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</si>
  <si>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</si>
  <si>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</si>
  <si>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</si>
  <si>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</si>
  <si>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</si>
  <si>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</si>
  <si>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2018.   
</t>
  </si>
  <si>
    <t xml:space="preserve">Apoyar la participación de los integrantes del consejo territorial a congresos y eventos nacionales regionales y departamentales, en el Departamento del Quindio, durante la vigencia 2018 </t>
  </si>
  <si>
    <t>1.1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</si>
  <si>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r>
      <t>1.2. XIII Encuentro CTP, traslados de ida y vuelta desde su lugar de origen Plaza de Bolívar del Municipio de Armenia hasta el Municipio sede "</t>
    </r>
    <r>
      <rPr>
        <b/>
        <sz val="11"/>
        <rFont val="Arial"/>
        <family val="2"/>
      </rPr>
      <t>Quimbaya/Córdoba(/Génova</t>
    </r>
    <r>
      <rPr>
        <sz val="11"/>
        <rFont val="Arial"/>
        <family val="2"/>
      </rPr>
      <t xml:space="preserve">",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r>
  </si>
  <si>
    <t>1.3.XXIII Congreso del Sistema Nacional de Planeación, traslado de ida y vuelta en transporte aéreo en las rutas nacionales: de Armenia  hacia la ciudad "sede"; adicional traslados internos, en los días que sean acordados por el contratante. cinco (5) días, Octubre o Noviembre de 2019 - suministro de alimentación en la ciudad sede Desayuno, Almuerzo y Cena, sede del XXIII Congreso Nacional de Planeación, cinco (5) días,Octubre O Noviembre /2098 - servicio de alojamiento en la ciudad sede del XXIII Congreso Nal de Planeación, acomodación en habitaciones dobles, cinco (5) días, Octubre y/o Noviembre /2019 para 19 personas.</t>
  </si>
  <si>
    <t>1.4. Asistencia de los Consejeros a foros regionales de participación ciudadana y estratégicos,convocatorias de la RAP Eje Cafetero, del Sistema Departamental y Regional de Planeación, igualmente particpar en las convocatorias a las reuniones de la Comisión Técnica del Sistema Regional y Nacional de Planeación, incluye:  Traslados aereos, terrestres e internos, alojamiento y alimentación.</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</si>
  <si>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2018.  
</t>
  </si>
  <si>
    <t xml:space="preserve">3.1 Comunicaciones externas de interes público, a traves de medios radiales, prensa y televisivos. </t>
  </si>
  <si>
    <t>3.2 Actualización pagina web y redes consejo territorial</t>
  </si>
  <si>
    <t>3.3. Suministro de material litografico, papeleria, impresos y publicaciones, entre otros</t>
  </si>
  <si>
    <t>5.1 Camara fotografica incluido el tripode</t>
  </si>
  <si>
    <t>5.2 Grabadora de mano</t>
  </si>
  <si>
    <t>5.3 Adquisición de equipos</t>
  </si>
  <si>
    <t>6.1 Toner (tinta impresora)</t>
  </si>
  <si>
    <t xml:space="preserve">Aumentar los  espacios para capacitación orientados en planificación del territorio Quindiano a través de diplomado o Escuela de liderazgo en ordenamiento territorial en el Departamento del Quindio, durante la vigencia 2018. 
</t>
  </si>
  <si>
    <t>4.1. Realización cacitaciones/Diplomados/Seminarios/ para los Consejeros Territoriales del Departamento</t>
  </si>
  <si>
    <t>4.2. Diseñar y elaborar el contenido programatico de la  y Planeación participativa</t>
  </si>
  <si>
    <t xml:space="preserve">Los instrumentos  de planificación como  ruta para el cumplimiento de la gestión pública  </t>
  </si>
  <si>
    <t>Diseñar e implementar el Plan de Ordenamiento del Departamento del Quindio.</t>
  </si>
  <si>
    <t>Plan diseñado e implementado</t>
  </si>
  <si>
    <t>0305 - 5 - 3 1 5 28 87 17 9 - 20
0305 - 5 - 3 1 5 28 87 17 9 - 88</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</si>
  <si>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</si>
  <si>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</si>
  <si>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</si>
  <si>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</si>
  <si>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Consolidacion de la Informacion del DNP para la implementacion del POD</t>
  </si>
  <si>
    <t>Recursos Ordinarios</t>
  </si>
  <si>
    <t>Actualizacion de las directrices del MOD para aplicar en el diseño del POD</t>
  </si>
  <si>
    <t>Formulación y consolidación de las directrices y  lineamientos de ordenamiento territorial para el departamento del Quindio, en la implementación del POD.</t>
  </si>
  <si>
    <t>Superavit Recursos Ordinarios</t>
  </si>
  <si>
    <t>socializacion del POD en los Municipios del Departamento</t>
  </si>
  <si>
    <t>Transporte</t>
  </si>
  <si>
    <t>Suministro de refrigerios</t>
  </si>
  <si>
    <t>Adquisicion de elementos tecnologicos (televisor, disco duro, entre otros)</t>
  </si>
  <si>
    <t>Diseñar e implementar Un (1) Sistema de Información geo referenciado para el ordenamiento social  y económico del territorio rural</t>
  </si>
  <si>
    <t>Sistema de información geo referenciado diseñado e implementado</t>
  </si>
  <si>
    <t>Diseñar e implementar un  Sistema de Información geo referenciado para el ordenamiento social  y económico del territorio rural</t>
  </si>
  <si>
    <t>Mantenimiento y Actualizacion permanente de las bases de Datos</t>
  </si>
  <si>
    <t xml:space="preserve">20
</t>
  </si>
  <si>
    <t xml:space="preserve">Actualizar y fortalecer  las directrices   del Modelo de Ocupación del Territorio   en el Departamento del Quindío </t>
  </si>
  <si>
    <t>Modelo de Ocupación del Territorio actualizado y fortalecido</t>
  </si>
  <si>
    <t>Actualizar y fortalecer  las directrices   del Modelo de Ocupación del Territorio   en el Departamento del Quindío</t>
  </si>
  <si>
    <t>Actualizar las Directrices MOD.</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</si>
  <si>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</si>
  <si>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</si>
  <si>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</si>
  <si>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Quindio.</t>
  </si>
  <si>
    <t>Adoptar dos (2) mecanismo de integracion regional  y  de asociatividad  entre los municipios.</t>
  </si>
  <si>
    <t>Mecanismo de integración adoptado</t>
  </si>
  <si>
    <t xml:space="preserve">Adoptar dos (2) mecanismos de integracion regional  y  de asociatividad  entre los municipios.
</t>
  </si>
  <si>
    <t>Creacion y fortalecimientos de los procesos de integracion regional y otras integraciones que se presenten</t>
  </si>
  <si>
    <t>Fortalecer Procesos de Integracion entre los Municipios</t>
  </si>
  <si>
    <t>Reorientar el observatorio económico actual, a un enfoque de Desarrollo humano incluyente con variables sociales, económicas y de seguridad humana</t>
  </si>
  <si>
    <t>Observatorio economico reorientado</t>
  </si>
  <si>
    <t>0305 - 5 - 3 1 5 28 87 17 10 - 20
0305 - 5 - 3 1 5 28 87 17 10 - 88</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</si>
  <si>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</si>
  <si>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</si>
  <si>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</si>
  <si>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2018
</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</si>
  <si>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2017.</t>
  </si>
  <si>
    <t>José Iganacio Rojas Sepúlveda
Secretario Departamental de Planeación</t>
  </si>
  <si>
    <t>2.1 Análisis de la información recolectada para la actualización y generación de los  boletines trimestrales (4), el informe anual del departamento (1) y los demás análisis requeridos correspondientes a la vigencia 2017 (1 Informe de Empleo)</t>
  </si>
  <si>
    <t xml:space="preserve">Superavit Recursos Ordinarios
</t>
  </si>
  <si>
    <t>2.2 Fortalecer el seguimiento a los problemas identificados en el departamento con relación a los ODS para la última vigencia de análisis.</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</si>
  <si>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2018</t>
  </si>
  <si>
    <t>3.1.1. Apoyo en la implementación del sistema de consulta del Observatorio de Desarrollo Humano y fortalecimiento de su funcionamiento a partir de la compra de equipos de cómputo y de licencias.</t>
  </si>
  <si>
    <t>3.1.2 Apoyo en la recolección y procesamiento de bases y datos estadisticos para la estructuración del sistema de información </t>
  </si>
  <si>
    <t xml:space="preserve">4.1.1 Apoyo en la asistencia y revisión de las fichas Basicas Municipales </t>
  </si>
  <si>
    <t>Diseñar e implementar el tablero de control  para el seguimiento y evaluación del Plan de Desarrollo  y   políticas públicas  Departamentales</t>
  </si>
  <si>
    <t>Tablero de control diseñado e implementado</t>
  </si>
  <si>
    <t>0305 - 5 - 3 1 5 28 87 17 11 - 20</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</si>
  <si>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</si>
  <si>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</si>
  <si>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</si>
  <si>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2016-2019, con el fin de fortalecer los procesos de planificación del departamento y mejorar los indices de eficacia y eficiencia de la inversión social   
</t>
  </si>
  <si>
    <t>1.1. Implementación del procedimiento de cargue de información para el seguimiento y evaluación de las políticas públicas del Departamento del Quindío,  a través del Tablero de Control.</t>
  </si>
  <si>
    <t>1.2. Elaboración ruta de seguimiento del Plan de Acción, a través de la plataforma WEB,  flujos de información y conexiones, definiendo los avances de metas físicas y financieras, para la validación de la información.</t>
  </si>
  <si>
    <t xml:space="preserve">1.3. Adquisición de licencia de uso y funcionamiento </t>
  </si>
  <si>
    <t xml:space="preserve">Diseñar e implementar la  Fábrica de Proyectos de Inversión en el Departamento del Quindío </t>
  </si>
  <si>
    <t>Fábrica de Proyectos de Inversión diseñada e implementada</t>
  </si>
  <si>
    <t xml:space="preserve">0305 - 5 - 3 1 5 28 87 17 12 - 20
0305 - 5 - 3 1 5 28 87 17 12 - 88
</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</si>
  <si>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</si>
  <si>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</si>
  <si>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</si>
  <si>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t>
  </si>
  <si>
    <t>Capacitación formulación proyectos Sistema General de Regalias  SGR (Matriz  de Marco Lógico ; Metodología General Ajustada  y  requisitos generales para la viabilización  de proyectos)</t>
  </si>
  <si>
    <t>Asistencia Técnica  en  la revisión de proyectos  Metodología General Ajustada MGA,   seguimiento a  trámites de  aprobación  proyectos  de Inversión SGR  y  mesas técnicas (Secretarias Sectoriales,   Instancias de carácter municipal, departamental, regional  y/o nacional ), rendición de cuentas Sistema General de Regalias SGR, reuniones OCAD  Regional y Departamental.</t>
  </si>
  <si>
    <t>Asistencia Técnica  formulación Metodología General Ajustada MGA, gestión de insumos para el cumplimiento de requisitos mínimos,  revisión  de proyectos componente   Económico, Social y Ambiental</t>
  </si>
  <si>
    <t>Apoyo en la formulacion y estructuracion de programas y proyectos de cooperacion internacional, en las metodologias requeridas.</t>
  </si>
  <si>
    <t>Apoyar las acciones para l aidentificacion de la oferta de proyectos de cooperacion internacional</t>
  </si>
  <si>
    <t>Desarrollo de estrategias de promocion de los planes, programas y proyectos del departamento del Quindio</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</si>
  <si>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</si>
  <si>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</si>
  <si>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</si>
  <si>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</si>
  <si>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Brindar apoyo técnico integral o interdisciplinario a las Secretarias de la Gobernación del Quindío y a los entes territoriales en la identificación y formulación  de Proyectos en el marco de la Metodología General Ajustada, Marco Lógico y otras</t>
  </si>
  <si>
    <t>a) Asistencia Técnica en la formulación y estructuración de  proyectos de carácter estrategico (del orden departamental, Regional, Nacional e Internacional), en  la Metodología requeridas. B) Apoyo en la realizacion de mesas de trabajo con las unidades ejecutoras y entidades actoras, para la construccion de los documentos y anexos requeridos en los proyectos. c) Apoyo en el cargue de los proyectos en las plataformas requeridas. d) Apoyo en la verifcacion de requisitos en los proyectos. e) Apoyo en la socializacion de los proyectos formulados .</t>
  </si>
  <si>
    <t>Superavir Ordinario</t>
  </si>
  <si>
    <t>Apoyo a las unidades ejejcutoras en la formulacion y estructuracion d eproyectos del orden departamental, regional y nacional. Apoyo en las mesas de trabajo con las unidades ejecutoras y entidades actoras.</t>
  </si>
  <si>
    <t>a)Apoyo técnico en la socialización a las unidades ejecutoras de la herramienta dispuesta por el Departamento Nacional de Planeación -DNP-, para el seguimiento a los proyectos de inversión del Banco de Proyectos nivel Departamental en el SISTEMA DE SEGUIMIENTO A PROYECTOS DE INVERSIÓN-SPI-, teniendo en cuanta la Ejecución fisica, el seguimiento a actividades, el Seguimiento de gestión y los anexos b) apoyo técnbico en el seguimiento a los proyectos de inversión de la secretaria de planeación departamental, en la herramienta -SPI-</t>
  </si>
  <si>
    <t>a) Apoyo a la formulación, estructuración, ajustes y Actualización  de proyectos de Inversión vigencias  2019 y 2020, en su marco logico y a través de la Herramienta MGA WEB .   b) Apoyo a los procesos de revision y analisis del cumplimiento de requisitos generales de los proyectos por formuladores ciudadanos u oficiales. c) Apoyo a los procesos de control y seguimiento a la inversion.</t>
  </si>
  <si>
    <t>Apoyo en la caracterizaciòn de los proyectos e iniciativas estratègicas del Departamento del Quindio y sus municipios, suceptibles de ser financiados con recursos del orden departamental, regional, nacional e internacional, (generando fichas tècnicas)</t>
  </si>
  <si>
    <t>Apoyo a las unidades ejecutoras en la socializaciòn de la Metodologia General Ajustada- MGA WEB, SUIFP-TERRITORIO, teniendo en cuenta el Decreto 378 de 2017 "por el cual se expide el Manual de Operaciones del Banco de Programas y Proyectos de Inversiòn "Fabrica de Proyectos" del Departamento del Quindio" y las directrices establecidas por el Departamento Nacional de Planeaciòn -DNP.</t>
  </si>
  <si>
    <t xml:space="preserve">Seguimiento, identificación y sistematización de las iniciativas y proyectos susceptiblres de ser financiados con recursos de cooperación internacional, gestionados por los entes territoriales municipales ante las agencias de cooperación y embajadas ext ranjeras en el pais </t>
  </si>
  <si>
    <t xml:space="preserve">Actualizar el Sistema Integrado de Gestión Administrativa SIGA del departamento del Quindío </t>
  </si>
  <si>
    <t>Sistema Integrado de Gestión actualizado</t>
  </si>
  <si>
    <t>0305 - 5 - 3 1 5 28 87 17 13 - 20
0305 - 5 - 3 1 5 28 87 17 13 - 88</t>
  </si>
  <si>
    <t>201663000-0013</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</si>
  <si>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</si>
  <si>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2018
 </t>
  </si>
  <si>
    <t xml:space="preserve">Actualizar  y ajustar los procesos  Estrategicos,  Misionales de apoyo y evaluación y control del Sistema Integrado de  Gestión Administrativa del Departamento del Quindio.
</t>
  </si>
  <si>
    <t xml:space="preserve">Hacienda, Administrativa, Cultura, Salud, Educación, Representación Judicial, Privada, Planeación, Turismo, Industria y Comercio, Aguas e Infraestrutura, Interior, Agricultura y Desarrollo Rural,  Control Interno y Gestión, Control Interno Disciplinario, familia , Juridica y Contrataciòn </t>
  </si>
  <si>
    <t>Planeación, Gobernación y Modelo Integrado de Planeación y Gestión MIPG</t>
  </si>
  <si>
    <t>Asistencias Técnicas</t>
  </si>
  <si>
    <t>Asistencias Técnicas actualización y ajuste ( Tablero de Control , Sistema General de Regalias,Modelo Integrado  de Planeación y de Gestión MIPG, Rendición Publica de Cuentas,Seguimiento y Evaluación Plan de Desarrollo y Politicas Públicas,Ordenamiento Territorial ,Banco de Programas y Proyectos .</t>
  </si>
  <si>
    <t>Comite Institucional de Gestión y Desempeño MIPG</t>
  </si>
  <si>
    <t>Comité Departamental de Gestión y Desempeño MIPG</t>
  </si>
  <si>
    <t xml:space="preserve">Instancias de Control y Seguimiento </t>
  </si>
  <si>
    <t>Segumiento y evaluación aplicabilidad Manual de  Calidad por  Secretaria Sectorial ( Seguimiento No.1 )</t>
  </si>
  <si>
    <t>Segumiento y evaluación aplicabilidad Manual de  Calidad por  Secretaria Sectorial ( Seguimiento No. 2 )</t>
  </si>
  <si>
    <t>Informe final SIGA ahora MIPG</t>
  </si>
  <si>
    <t xml:space="preserve">Ajustes Paginas (Pagina web e Intranet) </t>
  </si>
  <si>
    <t xml:space="preserve">Capacitar a los funcionarios de la Administración departamental  en la operatividad del Sistema Integrado de la Gestión Administrativa  del Departamento del Quindio, con el fin de aumentar los indices de eficiencia y efiacia </t>
  </si>
  <si>
    <t>Segumiento y evaluación aplicabilidad Manual de  Calidad por  Secretaria Sectorial ( Seguimiento No. 3 )</t>
  </si>
  <si>
    <t xml:space="preserve">Implementar el Comité  de Planificación  Departamental   </t>
  </si>
  <si>
    <t>Comité de Planificación Departamental implementado</t>
  </si>
  <si>
    <t xml:space="preserve">0305 - 5 - 3 1 5 28 87 17 14 - 20
0305 - 5 - 3 1 5 28 87 17 14 - 88
</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</si>
  <si>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</si>
  <si>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</si>
  <si>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2018 . 
</t>
  </si>
  <si>
    <t xml:space="preserve">Implementar el Comite Departamental de Planificación , con el fin de articular  procesos  que coadyuven al desarrollo economco y social del departamento del quindio de manera planificada durante la vigencia 2018 
</t>
  </si>
  <si>
    <t>Activar los comites de Planificación  descentralizados en los municipios del departamento mediante capacitaciones y talleres</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</si>
  <si>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</si>
  <si>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</si>
  <si>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2018</t>
  </si>
  <si>
    <t xml:space="preserve">Asistencia técnica, seguimiento y/o evaluación Planes Básicos de Ordenamiento Territorial  </t>
  </si>
  <si>
    <t xml:space="preserve">Transporte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</si>
  <si>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</si>
  <si>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</si>
  <si>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inconsistencias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</si>
  <si>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</si>
  <si>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</si>
  <si>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asistencia técnica, seguimiento y/o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</si>
  <si>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</si>
  <si>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</si>
  <si>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</si>
  <si>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</si>
  <si>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</si>
  <si>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</si>
  <si>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y/o evaluación Metodologia General Ajustada</t>
  </si>
  <si>
    <t xml:space="preserve">Realizar procesos  de asistencia técnica, seguimiento y evaluacion  en la incorporación  de  las directrices del  Modelo de Ocupación del Territorio de en los doce (12) Municipios </t>
  </si>
  <si>
    <t>Entes territoriales municipales asistidos</t>
  </si>
  <si>
    <t>Capacitación , Asistencia técnica, seguimiento y/o evaluación incorporación Modelo de Ocupación del territorio en los doce municipios</t>
  </si>
  <si>
    <t>JOSE IGNACIO ROJAS SEPULVEDA</t>
  </si>
  <si>
    <t xml:space="preserve">SECRETARIO DE PLANEACION DEPARTAMENTAL </t>
  </si>
  <si>
    <t>06</t>
  </si>
  <si>
    <t>POBLACIÓN</t>
  </si>
  <si>
    <t>Adolescencia
(15 - 19 años)</t>
  </si>
  <si>
    <t>Edad Económicamente Activa 
(20-59 años)</t>
  </si>
  <si>
    <t>Adultos Mayores
(Mayores a 60 años)</t>
  </si>
  <si>
    <t>GESTIÓN TERRITORIAL</t>
  </si>
  <si>
    <t>MODERNIZACIÓN TECNOLOGICA Y ADMINISTRATIVA</t>
  </si>
  <si>
    <t>Virtualizar ocho (8) trámites de la administración departamental a través de Gobierno en Línea</t>
  </si>
  <si>
    <t>Número de trámites virtualizados</t>
  </si>
  <si>
    <t>0304 - 5 - 3 1 5 28 89 17 1 - 20</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</si>
  <si>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</si>
  <si>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</si>
  <si>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</si>
  <si>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</si>
  <si>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Sostenibilidad de la estrategia de gobierno en linea</t>
  </si>
  <si>
    <t>SECRETARIA ADMINISTRATIVA
DIRECCIÓN DE TIC´S</t>
  </si>
  <si>
    <t>Formular e  implementar un (1) programa de seguridad y salud en el trabajo, capacitación y bienestar social en  el departamento</t>
  </si>
  <si>
    <t>Programa de seguridad y salud formulado e implementado</t>
  </si>
  <si>
    <t>0304 - 5 - 3 1 5 28 89 17 2 - 20</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</si>
  <si>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</si>
  <si>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</si>
  <si>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</si>
  <si>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</si>
  <si>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</si>
  <si>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Secretaría Administrativa
Dirección Talento Humano</t>
  </si>
  <si>
    <t>Formular e implementar 1 programa de bienestar social e incentivos para los funcionarios de la entidad en la vigencia 2018.</t>
  </si>
  <si>
    <t>Desarrollo y ejecución de Actividades de Bienestar Social e incentivos,  de conformidad con los programas de bienestar social e incentivos aprobados</t>
  </si>
  <si>
    <t>Formular e implementar 1 plan institucional de capacitación para los funcionarios de la entidad en  la vigencia 2018</t>
  </si>
  <si>
    <t>Desarrollo y ejecución de capacitaciones de conformidad con el plan institucional de capacitaciones aprobado</t>
  </si>
  <si>
    <t xml:space="preserve">Fortalecer el programa de sostenibilidad de las  Tecnologias de la Información de las Comunicaciones de la Gobernación del Quindio </t>
  </si>
  <si>
    <t>Programa de sostenibilidad de las TIC fortalecido</t>
  </si>
  <si>
    <t>0304 - 5 - 3 1 5 28 89 17 4 - 20</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</si>
  <si>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</si>
  <si>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</si>
  <si>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</si>
  <si>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</si>
  <si>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</si>
  <si>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Secretaría Administrativa
Dirección  TIC´S</t>
  </si>
  <si>
    <t>Adquirir e implementar un (1) software para la sistematización de las historias laborales del Fondo Territorial de Pensiones del departamento</t>
  </si>
  <si>
    <t>Software adquirido e implementado</t>
  </si>
  <si>
    <t>201663000-0005</t>
  </si>
  <si>
    <t>Implementación de un programa  de  modernización de la gestión administrativa en el Departamento del Quindio</t>
  </si>
  <si>
    <t xml:space="preserve">Satisfacer en un 90%, las necesidades de los usuarios y partes interesadas de la entidad. 
</t>
  </si>
  <si>
    <t>Digitalizar y consultar en línea los expedientes de los pensionados, evitando la perdida de documentos</t>
  </si>
  <si>
    <t xml:space="preserve">Actualización y registro en el aplicativo de gestión documental de la información relacionada con las historias laborales del fondo territorial de pensiones </t>
  </si>
  <si>
    <t>Secretaría Administrativa
Dirección  FTP</t>
  </si>
  <si>
    <t>Implementar un programa de actualización y registro de los bienes de propiedad del departamento</t>
  </si>
  <si>
    <t>Programa de actualización y registro implementado</t>
  </si>
  <si>
    <t xml:space="preserve">0304 - 5 - 3 1 5 28 89 17 5 - 20 </t>
  </si>
  <si>
    <t>Administrar, depurar y registrar la totalidad de los bienes  de propiedad de la Gobernación del Departamento del Quindío con información real  y pertinente</t>
  </si>
  <si>
    <t>Implementar procedimientos correspondiente  a las bodegas a cargo de la dirección de almacén</t>
  </si>
  <si>
    <t>Secretaría Administrativa
Dirección Recursos Físicos
Dirección Almacén</t>
  </si>
  <si>
    <t>Realizar avalúos a los bienes inmuebles a cargo de la entidad</t>
  </si>
  <si>
    <t>Implementar un (1) programa de modernización de la gestión documental en el departamento</t>
  </si>
  <si>
    <t>Programa de modernización implementado</t>
  </si>
  <si>
    <t>Cumplir las directrices definidas por la Ley General de Archivo</t>
  </si>
  <si>
    <t>Ejecutar las actividades establecidas en el Plan Institucional de Archivos PINAR</t>
  </si>
  <si>
    <t>Adquirir  un (1) bien inmueble para adelantar acciones de cara al servicio de la comunidad</t>
  </si>
  <si>
    <t>Bien inmueble adquirido</t>
  </si>
  <si>
    <t>0304 - 5 - 3 1 5 28 89 17 5 - 46</t>
  </si>
  <si>
    <t>Disponer de espacios físicos más amplios y acordes para la atención a los diferentes tipos de población que se acerca a la  entidad y así como para la debida disposición de los documentos que reposan en el archivo central evitando la perdida  y/o deterioro de los mismos.</t>
  </si>
  <si>
    <t>Adelantar acciones en el proceso de adquisición de un bien inmueble</t>
  </si>
  <si>
    <t xml:space="preserve">Recurso del Crédito </t>
  </si>
  <si>
    <t>Secretaría Administrativa
Dirección Recursos Físicos</t>
  </si>
  <si>
    <t>TOTAL :</t>
  </si>
  <si>
    <t>CATALINA GÓMEZ RESTREPO</t>
  </si>
  <si>
    <t>Secretaria Administrativa</t>
  </si>
  <si>
    <t>0324 - 5 - 3 1 5 28 89 17 1 - 20</t>
  </si>
  <si>
    <t>DIRECCIÓN DE TIC´S</t>
  </si>
  <si>
    <t>Compra o adquisición de Sofware</t>
  </si>
  <si>
    <t>Fortalecer el programa de  infraestructura tecnológica de la  Administración Departamental (hadware, aplicativos, redes, y capacitación)</t>
  </si>
  <si>
    <t>Programa de infraestructura tecnologica de la administracion fortalecido</t>
  </si>
  <si>
    <t xml:space="preserve">0324 - 5 - 3 1 5 28 89 17 3 - 20 
0324 - 5 - 3 1 5 28 89 17 3 - 88   </t>
  </si>
  <si>
    <t>201663000-0003</t>
  </si>
  <si>
    <t>Actualización de la infraestructura tecnológica de la Gobernación del Quindío.</t>
  </si>
  <si>
    <t xml:space="preserve">Apoyar el programa de  infraestructura tecnológica de la  Administración Departamental (hadware, aplicativos, redes, y capacitación)
</t>
  </si>
  <si>
    <t>Compra o adquisicion de hardware</t>
  </si>
  <si>
    <t>Dirección  TIC´S</t>
  </si>
  <si>
    <t>Compra o adquisicion de sotfware</t>
  </si>
  <si>
    <t>Incrementar la  renovación de las herramientas tecnológicas a través de outsourcing para ampliar el numero de equipos de ultima tecnología logrando una mejor atención a los usuarios</t>
  </si>
  <si>
    <t>Soporte aplicativos</t>
  </si>
  <si>
    <t>0324 - 5 - 3 1 5 28 89 17 4 - 20
0324 - 5 - 3 1 2 28 89 17 4 - 88</t>
  </si>
  <si>
    <t>JAIME ALBERTO LLANO CHAPARRO</t>
  </si>
  <si>
    <t xml:space="preserve">Secretario de Tecnologías de la Información y las Comunicaciones </t>
  </si>
  <si>
    <t>PROGRAMACIÓN PLAN DE ACCIÓN
SECRETARIA DE CULTURA
III TRIMESTRE 2019</t>
  </si>
  <si>
    <t xml:space="preserve">HOMBRE </t>
  </si>
  <si>
    <t>Mestiza</t>
  </si>
  <si>
    <t>Victimas</t>
  </si>
  <si>
    <t>Inclusion Social</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</si>
  <si>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</si>
  <si>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</si>
  <si>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</si>
  <si>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</si>
  <si>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 xml:space="preserve">
0310 - 5 - 3 1 3 9 29 5 45 - 33                                                          
0310 - 5 - 3 1 3 9 29 5 45 - 83</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</si>
  <si>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</si>
  <si>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</si>
  <si>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</si>
  <si>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 xml:space="preserve">Reconocimiento de la calidad de artista y gestor cultural por el consejo Departamental de cultura </t>
  </si>
  <si>
    <t>Estampilla Procultura 10% Seguridad Social</t>
  </si>
  <si>
    <t>Secretaria de Cultura, James  Gonzalez Mata</t>
  </si>
  <si>
    <t>Superávit Estampilla Procultura 10% Seguridad Social</t>
  </si>
  <si>
    <t xml:space="preserve">Aportes para la seguridad social de artistas reconocidos por el consejo Departamental de Cultura </t>
  </si>
  <si>
    <t>Apoyar  treinta (30) proyectos y/o actividades de formación, difusión, circulación, creación e investigación, planeación y de espacios para el disfrute de las artes</t>
  </si>
  <si>
    <t>Nro de proyectos o actividades programdas  /  Proyectos o actividades ejecutados</t>
  </si>
  <si>
    <t>0310 - 5 - 3 1 3 9 29 5 46 - 20
0310 - 5 - 3 1 3 9 29 5 46 - 88</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</si>
  <si>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</si>
  <si>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</si>
  <si>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Ampliación de las oportunidades de acceso de la ciudadania al arte y la cultura </t>
  </si>
  <si>
    <t>Escuelas de formación</t>
  </si>
  <si>
    <t>Secretaria de Cultura, James Gonzalez Mata</t>
  </si>
  <si>
    <t xml:space="preserve"> Difusión y Circulación Artística</t>
  </si>
  <si>
    <t>Recurso Ordinario.</t>
  </si>
  <si>
    <t>Apoyo técnico y logístico</t>
  </si>
  <si>
    <t>Apoyar  ciento veinte (120) proyectos del programa de concertación cultural del departamento</t>
  </si>
  <si>
    <t>0310 - 5 - 3 1 3 9 29 5 46 - 39
0310 - 5 - 3 1 3 9 29 5 46 - 83</t>
  </si>
  <si>
    <t>Alta concertación de proyectos con la institucionalidad cultural</t>
  </si>
  <si>
    <t>Convocatoria y apoyo logístico</t>
  </si>
  <si>
    <t>Estampilla Procultura 50% Concertación</t>
  </si>
  <si>
    <t xml:space="preserve">Evaluación y Seguimiento </t>
  </si>
  <si>
    <t>Cofinanciación de proyectos</t>
  </si>
  <si>
    <t>Superavit E.P.C</t>
  </si>
  <si>
    <t>Apoyar treinta y seis (36) proyectos mediante estímulos artísticos y culturales</t>
  </si>
  <si>
    <t>0310 - 5 - 3 1 3 9 29 5 46 - 41</t>
  </si>
  <si>
    <t>Mayor apoyo a la creación investigación y producción artistica</t>
  </si>
  <si>
    <t>Estampilla Procultura 10% Estímulos</t>
  </si>
  <si>
    <t xml:space="preserve"> Evaluación y Seguimiento </t>
  </si>
  <si>
    <t xml:space="preserve">Emprendimiento Cultural </t>
  </si>
  <si>
    <t>Fortalecer cinco (5) procesos de emprendimiento cultural y de desarrollo de industrias creativas</t>
  </si>
  <si>
    <t>0310 - 5 - 3 1 3 9 30 5 47 - 20</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</si>
  <si>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</si>
  <si>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</si>
  <si>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</si>
  <si>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Identificación y apoyo económico a organizaciones con proyectos de emprendimiento cultural</t>
  </si>
  <si>
    <t xml:space="preserve"> Seguimiento y evaluación del proceso de apoyo a emprendedores</t>
  </si>
  <si>
    <t>Lectura, escritura y bibliotecas</t>
  </si>
  <si>
    <t>Apoyar  veinte (20) proyectos y/o actividades en investigación, capacitación y difusión de la lectura y escritura para fortalecer la Red Departamental de Bibliotecas</t>
  </si>
  <si>
    <t>0310 - 5 - 3 1 3 9 31 5 48 - 34               
0310 - 5 - 3 1 3 9 31 5 48 - 83
0310 - 5 - 3 1 3 9 31 5 48 - 159</t>
  </si>
  <si>
    <t xml:space="preserve"> 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</si>
  <si>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</si>
  <si>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</si>
  <si>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 xml:space="preserve"> Realización de procesos formativos para promotores de lectura y escritura</t>
  </si>
  <si>
    <t>Estampilla Procultura 10% Bibliotecas</t>
  </si>
  <si>
    <t>Encuentros para el intercambio, formación y retroalimentación de la Red de Bibliotecas</t>
  </si>
  <si>
    <t>Dotación y adecuación bibliotecaria</t>
  </si>
  <si>
    <t xml:space="preserve">Coordinación de actividades para el fortalecimiento de la Red </t>
  </si>
  <si>
    <t>Coordinación de actividades para el fortalecimiento de la red segun aceptación de ayuda economica en el programa iberoamericano de bibliotecas publicas, VI convocatoria de ayudas 2018</t>
  </si>
  <si>
    <t>Superávit Cofinanciación Nacional</t>
  </si>
  <si>
    <t xml:space="preserve">Ampliación de espacios y acciones para la difusión de la lectura y escritura </t>
  </si>
  <si>
    <t>Apoyo al proyecto editorial Biblioteca de Autores Quindianos</t>
  </si>
  <si>
    <t xml:space="preserve">Estampilla Procultura 10% Bibliotecas
</t>
  </si>
  <si>
    <t>Superavit Estampilla Procultura</t>
  </si>
  <si>
    <t>Apoyo a actividades de difusión, promoción y circulación literaria</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</si>
  <si>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</si>
  <si>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</si>
  <si>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</si>
  <si>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0310 - 5 - 3 1 3 10 32 5 49 - 20
0310 - 5 - 3 1 3 10 32 5 49 - 93
0310 - 5 - 3 1 3 10 32 5 49 - 47</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</si>
  <si>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</si>
  <si>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</si>
  <si>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</si>
  <si>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</si>
  <si>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IVA Telefonia movil Cultura</t>
  </si>
  <si>
    <t>Recurso Ordinaro</t>
  </si>
  <si>
    <t>Superavit IVA Telefonia movil Cultura</t>
  </si>
  <si>
    <t>Investigaciones</t>
  </si>
  <si>
    <t>Apoyo a procesos, evaluación y seguimiento</t>
  </si>
  <si>
    <t>Mayor reconocimiento y valoración de la diversidad poblacional presente en el Quindío</t>
  </si>
  <si>
    <t>Apoyo a  proyectos y/o actividades de poblaciones especiales</t>
  </si>
  <si>
    <t xml:space="preserve">IVA Telefonia movil Cultura     
</t>
  </si>
  <si>
    <t xml:space="preserve">Apoyar diez (10) proyectos y/o actividades orientados a fortalecer la articulación comunicación y cultura </t>
  </si>
  <si>
    <t xml:space="preserve">0310 - 5 - 3 1 3 10 33 5 50 - 20
</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</si>
  <si>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</si>
  <si>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</si>
  <si>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</si>
  <si>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Apoyo a medios ciudadanos y comunitarios</t>
  </si>
  <si>
    <t>Implementación de una emisora de interés público del departamento del Quindío</t>
  </si>
  <si>
    <t>Superavit Recurso Ordinario</t>
  </si>
  <si>
    <t>Apoyar  dieciséis (16) actividades y/o proyectos  para el afianzamiento del Sistema Departamental de Cultura</t>
  </si>
  <si>
    <t>Participación y  apoyo por parte de la Gobernación del Quindío a medios ciudadanos, comunitarios y de interés público</t>
  </si>
  <si>
    <t xml:space="preserve"> Formación para la gestión cultural</t>
  </si>
  <si>
    <t>Fortalecimiento del Sistema de Información Cultural</t>
  </si>
  <si>
    <t>Apoyo a Consejos de las artes y la cultura</t>
  </si>
  <si>
    <t>JAMES GONZALEZ MATA</t>
  </si>
  <si>
    <t>Secretario de Cultura</t>
  </si>
  <si>
    <t>PROGRAMACION PLAN DE ACCIÓN
SECRETARIA DE PLANEACION
III TRIMESTRE 2019</t>
  </si>
  <si>
    <t>PROGRAMACION PLAN DE ACCIÓN
SECRETARIA ADMINISTRATIVA
III TRIMESTRE 2019</t>
  </si>
  <si>
    <t>PROGRAMACIÓN  PLAN DE ACCIÓN
OFICINA PRIVADA
III TRIMESTRE 2019</t>
  </si>
  <si>
    <t>PROGRAMACION PLAN DE ACCIÓN
SECRETARIA DE REPRESENTACION JUDICIAL
III TRIMESTRE  2019</t>
  </si>
  <si>
    <t>Edad Económicamente 
Activa (20-59 años)</t>
  </si>
  <si>
    <t>Establecer y socializar veinte (20)  políticas desde la cultura de la legalidad y  la prevención de daño antijurídico en  el Departamento.</t>
  </si>
  <si>
    <t>Número muncipios con políticas establecidas</t>
  </si>
  <si>
    <t>0317 - 5 - 3 1 5 26 83 17 131 - 20</t>
  </si>
  <si>
    <t>201663000-0131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</si>
  <si>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</si>
  <si>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</si>
  <si>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</si>
  <si>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</si>
  <si>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Ordinario</t>
  </si>
  <si>
    <t>Secretario de Representación Judicial y Defensa del Departamento</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</si>
  <si>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</si>
  <si>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</si>
  <si>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</si>
  <si>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</si>
  <si>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</si>
  <si>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PROGRAMACION PLAN DE ACCIÓN
SECRETARIA DE TURISMO, INDUSTRIA Y COMERCIO
III TRIMESTRE 2019</t>
  </si>
  <si>
    <t>META FISICA</t>
  </si>
  <si>
    <t>Edad Económicamente Activa      (20-59 años)</t>
  </si>
  <si>
    <t>PROSPERIDAD CON EQUIDAD</t>
  </si>
  <si>
    <t>Quindío rural, inteligente, competitivo y empresarial</t>
  </si>
  <si>
    <t>Quindío Prospero y productivo</t>
  </si>
  <si>
    <t xml:space="preserve">Crear (1) y fortalecer (3) rutas competitivas </t>
  </si>
  <si>
    <t>Ruta competitiva creada y rutas fortalecidas</t>
  </si>
  <si>
    <t>0311 - 5 - 3 1 2 2 8 13 51 - 20
0311 - 5 - 3 1 2 2 8 13 51 - 88</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</si>
  <si>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</si>
  <si>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</si>
  <si>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</si>
  <si>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</si>
  <si>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Fortalecimiento de la competitividad del Departamento del Quindio y los sectores econòmicos priorizados.</t>
  </si>
  <si>
    <t>Secretario de Turismo Industria y Comercio</t>
  </si>
  <si>
    <t xml:space="preserve">Superavit Recurso Ordinario </t>
  </si>
  <si>
    <t>Fortalecimiento de las rutas Kaldia, Tumbaga y Artemis.</t>
  </si>
  <si>
    <t>Conformar e implementar (3) tres clúster priorizados en el Plan de Competitividad</t>
  </si>
  <si>
    <t>Clúster conformados e implementados</t>
  </si>
  <si>
    <t>Brindar apoyo y seguimiento a los planes de acciòn de los clùsters, y fortalecer sus estrategias de crecimiento y promociòn comercial para la apertura de nuevos mercados</t>
  </si>
  <si>
    <t xml:space="preserve">Diseño, formulación y puesta en marcha del Centro  para el desarrollo y el  fortalecimiento de la investigación, tecnología,  Ciencia e Innovación .   </t>
  </si>
  <si>
    <t>Centro  para el desarrollo y el  fortalecimiento de la investigación, tecnología,  ciencia e innovación diseñado, formulado e implementado</t>
  </si>
  <si>
    <t>201663000-0052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</si>
  <si>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</si>
  <si>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</si>
  <si>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Suficiente infraestructura y equipamiento para el Centro de gestión de la innovación y la tecnología</t>
  </si>
  <si>
    <t>Fortalecer un Centro de Investigaciòn, Tecnologìa, Ciencia e innovaciòn a travès del apoyo en la investigaciòn aplicada al PCC.</t>
  </si>
  <si>
    <t>0311 - 5 - 3 1 2 2 8 13 52 - 20</t>
  </si>
  <si>
    <t xml:space="preserve">Apoyar la formulación del proyecto: Red de conocimiento de agro negocios del departamento </t>
  </si>
  <si>
    <t>Proyecto Red de conocimiento agroindustrial apoyado</t>
  </si>
  <si>
    <t>Gestión tecnológica y de capital humano pertinente, para incrementar la competitividad de sectores estratégicos</t>
  </si>
  <si>
    <t xml:space="preserve">Fortalecimiento al Plan de Acciòn la Red de conocimiento de Agronegocios </t>
  </si>
  <si>
    <t>0311 - 5 - 3 1 2 2 8 13 52 - 88</t>
  </si>
  <si>
    <t xml:space="preserve">Diseñar y fortalecer un proyecto de I+D+I </t>
  </si>
  <si>
    <t>Proyecto de I+D+I diseñado y fortalecido</t>
  </si>
  <si>
    <t>Apoyo y acompañamiento tècnico a los procesos para la aprobaciòn de un proyecto en materia de I+D+I</t>
  </si>
  <si>
    <t>Hacia el Emprendimiento, Empresarismo, asociatividad y generación de empleo en el Departamento del Quindío</t>
  </si>
  <si>
    <t xml:space="preserve">Diseñar un ecosistema Regional de Emprendimiento y Asociatividad  </t>
  </si>
  <si>
    <t>Ecosistema regional de emprendimiento y asociatividad diseñado</t>
  </si>
  <si>
    <t>201663000-0053</t>
  </si>
  <si>
    <t>Apoyo al emprendimiento, empresarismo, asociatividad y generación de empleo en el departamento del Quindio</t>
  </si>
  <si>
    <t>Mejoramiento de los niveles de emprendimiento, empresarismo y asociatividad en el departamento del quindio</t>
  </si>
  <si>
    <t>Eficiente interacción y articulación del sector empresarial y demás actores para el fomento del emprendimiento, empresarismo y
asociatividad en el Departamento del Quindio</t>
  </si>
  <si>
    <t xml:space="preserve">Puesta en marcha y seguimiento a la operatividad de un ecosistema Regional de Emprendimiento y Asociatividad.   </t>
  </si>
  <si>
    <t>Participación en una convocatoria para proyectos de emprenderismo en conjunto con la Red Regional de Emprendimiento.</t>
  </si>
  <si>
    <t>Apoyar a doce (12) unidades de emprendimiento para jóvenes emprendedores.</t>
  </si>
  <si>
    <t>Unidades de emprendimiento apoyadas</t>
  </si>
  <si>
    <t>Eficiente estimulo con recursos financieros para el emprendimiento, empresarismo y asociatividad en el departamento del quindío</t>
  </si>
  <si>
    <t>Apoyar tres unidades de emprendimiento de jovenes emprendedores.</t>
  </si>
  <si>
    <t xml:space="preserve">0311 - 5 - 3 1 2 2 9 13 53 - 20
</t>
  </si>
  <si>
    <t xml:space="preserve">Apoyar estrategias de promoción de productos de emprendedores y empresarios quindianos en la temporada de fin de año </t>
  </si>
  <si>
    <t>Apoyar   doce (12) Unidades de emprendimiento de grupos poblacionales con enfoque diferencial.</t>
  </si>
  <si>
    <t xml:space="preserve">0311 - 5 - 3 1 2 2 9 13 53 - 88
</t>
  </si>
  <si>
    <t>Apoyar tres unidades de emprendimiento de poblaciòn con enfoque diferencial</t>
  </si>
  <si>
    <t>Implementar un programa de gesiton financiera para el desarrollo de emprendimiento, empresarismo y asociatividad</t>
  </si>
  <si>
    <t>Programa de gestión finaciera implementado</t>
  </si>
  <si>
    <t>Puesta en marcha y seguimiento a la operatividad del Programa de Gestión Financiera para el Desarrollo de Emprendimiento, Empresarismo y Asociatividad.</t>
  </si>
  <si>
    <t>Quindío Sin Fronteras</t>
  </si>
  <si>
    <t>Fortalecer  doce (12) empresas en procesos internos y externos para la apertura a mercados regionales, nacionales e internacionales</t>
  </si>
  <si>
    <t>Empresas fortalecidas</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</si>
  <si>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</si>
  <si>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</si>
  <si>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</si>
  <si>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</si>
  <si>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de empresas en sus procesos de apertura de mercados</t>
  </si>
  <si>
    <t>Constituir e implementar una agencia de inversión empresarial</t>
  </si>
  <si>
    <t>Agencia de inversión constituida e implementada</t>
  </si>
  <si>
    <t>0311 - 5 - 3 1 2 2 10 13 56 - 20</t>
  </si>
  <si>
    <t>Fortalecimiento de mecanismos de inversión y de herramientas tecnológicas de servicios logisticos en el sector empresarial para su
conexión a mercados global</t>
  </si>
  <si>
    <t>Fortalecimiento de la Agencia de Inversión Empresarial y seguimiento  a su Plan de Acción.</t>
  </si>
  <si>
    <t>0311 - 5 - 3 1 2 2 10 13 56 - 88</t>
  </si>
  <si>
    <t>Diseñar la  plataforma de servicios logísticos nacionales e internacionales tendiente a lograr del departamento un centro de articulación de occidente</t>
  </si>
  <si>
    <t>Plataforma de servicios logísticos diseñada</t>
  </si>
  <si>
    <t>Operaciòn y seguimiento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</si>
  <si>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</si>
  <si>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</si>
  <si>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</si>
  <si>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</si>
  <si>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</si>
  <si>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</si>
  <si>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</si>
  <si>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</si>
  <si>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</si>
  <si>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Diseñar, crear y/o fortalecer 5 Productos turísticos para ser ofertados</t>
  </si>
  <si>
    <t>Elaborar e implementar  un Plan de Calidad Turística del Destino</t>
  </si>
  <si>
    <t>Plan de Calidad elaborado e implementado</t>
  </si>
  <si>
    <t>Ejecución del Plan de Calidad Turistica</t>
  </si>
  <si>
    <t>Mejoramiento de la competitividad del Quindío como destino turístico</t>
  </si>
  <si>
    <t>Gestionar y ejecutar (3) proyectos para mejorar la competitividad del Quindío como destino turístico</t>
  </si>
  <si>
    <t>Proyectos gestionados y ejecutados</t>
  </si>
  <si>
    <t>201663000-0060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</si>
  <si>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</si>
  <si>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</si>
  <si>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y acciones que mejoren la competitividad del destino turistico</t>
  </si>
  <si>
    <t>Apoyo a la conformación de los cluster de Turismo de Naturaleza, MICE y Salud</t>
  </si>
  <si>
    <t>Apoyo al mejoramiento de la infraestructura turística.</t>
  </si>
  <si>
    <t>0311 - 5 - 3 1 2 3 12 13 60 - 20</t>
  </si>
  <si>
    <t>Ejecución del Plan Decenal de Turismo.</t>
  </si>
  <si>
    <t>Fortalecimiento al programa Club de Producto y actualización de actores.</t>
  </si>
  <si>
    <t>Apoyo para la capacitación a prestadores de servicios turísticos.</t>
  </si>
  <si>
    <t>Ejecución del  programa de turismo responsable.</t>
  </si>
  <si>
    <t>Promoción nacional e internacional del departamento como destino turístico</t>
  </si>
  <si>
    <t>Construcción del Plan de Mercadeo Turístico</t>
  </si>
  <si>
    <t>Plan de Mercadeo construido</t>
  </si>
  <si>
    <t>0311 - 5 - 3 1 2 3 13 13 62 - 20
0311 - 5 - 3 1 2 3 13 13 62 - 52
0311 - 5 - 3 1 2 3 13 13 62 - 88
0311 - 5 - 3 1 2 3 13 13 62 - 94</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</si>
  <si>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</si>
  <si>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</si>
  <si>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</si>
  <si>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</si>
  <si>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Ejecución del Plan de Mercadeo para la  Promoción del departamento como destino turística nivel nacional.</t>
  </si>
  <si>
    <t>Impuesto al Registro</t>
  </si>
  <si>
    <t>Ir/Turismo</t>
  </si>
  <si>
    <t>Ejecución del Plan de Mercadeo para la  Promoción del departamento como destino turística nivel internacional.</t>
  </si>
  <si>
    <t xml:space="preserve">NATALIA ANDREA RODRIGUEZ LONDOÑO </t>
  </si>
  <si>
    <t>SECRETARIA DE TURISMO,INDUSTRIA Y COMERCIO</t>
  </si>
  <si>
    <t xml:space="preserve">F-PLA-06   </t>
  </si>
  <si>
    <t xml:space="preserve">                                                               </t>
  </si>
  <si>
    <t>GESTIÓN TERRIITORIAL</t>
  </si>
  <si>
    <t>Implementar 4 procesos de fiscalización de las Rentas Departamentales</t>
  </si>
  <si>
    <t>Procesos de fiscalización implementados</t>
  </si>
  <si>
    <t>0307 - 5 - 3 1 5 28 88 17 16 - 20
0307 - 5 - 3 1 5 28 88 17 16 - 56
0307 - 5 - 3 1 5 28 88 17 16 - 88</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</si>
  <si>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</si>
  <si>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</si>
  <si>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</si>
  <si>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</si>
  <si>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Procesos de Fiscalizaciòn sobre  LAS RENTAS DEPARTAMENTALES</t>
  </si>
  <si>
    <t xml:space="preserve">
Recurso Ordinario
</t>
  </si>
  <si>
    <t xml:space="preserve"> Secretaría de Hacienda</t>
  </si>
  <si>
    <t>Implementar una estrategia de cobro coactivo sobre la cartera morosa de las Rentas Departamentales.</t>
  </si>
  <si>
    <t>Estrategia de cobro coactivo implementada</t>
  </si>
  <si>
    <t>Llevar a cabo la implementaciòn de los diferentes Procesos Administrativos de Cobro Coactivo sobre aquellos contribuyentes que se encuentran en mora de cancelar sus obligaciones tributarias</t>
  </si>
  <si>
    <t xml:space="preserve">Procedimiento Administrativo de cobro coactivo frente a la cartera de las diferentes Rentas del Departamento del Quindío </t>
  </si>
  <si>
    <t xml:space="preserve">Ejecutar el programa anti contrabando suscrito con la Federación Nacional de Departamentos.                               </t>
  </si>
  <si>
    <t>Programa anticontrabando ejecutado</t>
  </si>
  <si>
    <t>Ejecutar el Programa Anticontrabando en el Departamento del Quindìo con ocasion de la suscripcion del Convenio entre el Departamento del Quindìo y la Federaciòn Nacional de Departamentos</t>
  </si>
  <si>
    <t xml:space="preserve">Programa Anticontrabando de licores, Cerveza y Cigarrillos.
</t>
  </si>
  <si>
    <t>Convenio Anticontrabando</t>
  </si>
  <si>
    <t>Elaborar el diagnóstico del sistema de Información tributario y financiero</t>
  </si>
  <si>
    <t>Diagnostico del sistema de información tributario y financiero elaborado</t>
  </si>
  <si>
    <t xml:space="preserve">0307 - 5 - 3 1 5 28 88 17 17 - 20
0307 - 5 - 3 1 5 28 88 17 17 - 88
</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</si>
  <si>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</si>
  <si>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</si>
  <si>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</si>
  <si>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en el Departamento del Quindío</t>
  </si>
  <si>
    <t>consolidación de lls sistemas de información</t>
  </si>
  <si>
    <t xml:space="preserve">Recurso Ordinario
</t>
  </si>
  <si>
    <t xml:space="preserve">  Secretarría de Hacienda</t>
  </si>
  <si>
    <t xml:space="preserve">Implementar un programa para el cumplimiento de las políticas y prácticas contables para la administración departamental         </t>
  </si>
  <si>
    <t>Programa para el cumplimiento de políticas contables implementado</t>
  </si>
  <si>
    <t xml:space="preserve">Adoptar el nuevo modelo de informaciòn Financiera determinado por las Normas Internacionales de Contabilidad de información financiera NIIF, a fin de garantizar la confiabilidad de la información financiera.
</t>
  </si>
  <si>
    <t xml:space="preserve"> Implementaciòn de Normas Internacionales de Informaciòn Financiera (NIIF) y fortalecimiento institucional ara el cumplimiento de de las politicas y practicas contables en el área de tesorería, Presupuesto y Contabilidad</t>
  </si>
  <si>
    <t>                         </t>
  </si>
  <si>
    <t xml:space="preserve">LUZ HELENA MEJIA  CARDONA </t>
  </si>
  <si>
    <t>Secretaria de Hacienda Y Finanzas Públicas</t>
  </si>
  <si>
    <t>PROGRAMACIÓN PLAN DE ACCIÓN
SECRETARIA DE AGUAS E INFRAESTRUCTURA
III TRIMESTRE 2019</t>
  </si>
  <si>
    <t xml:space="preserve">META FISICA PROGRAMADA </t>
  </si>
  <si>
    <t>DESARROLLO SOSTENIBLE</t>
  </si>
  <si>
    <t>Territorio Vital</t>
  </si>
  <si>
    <t>Manejo Integral del Agua y Saneamiento Basico</t>
  </si>
  <si>
    <t>Formular y ejecutar veinte (20) proyectos de infraestructura de agua potable y saneamiento básico.</t>
  </si>
  <si>
    <t>No de proyectos de infraestructura formulados y/o ejecutados.</t>
  </si>
  <si>
    <t>0308 - 5 - 3 1 1 1 2 3 22 -04
0308 - 5 - 3 1 1 1 2 3 22 - 27
0308 - 5 - 3 1 1 1 2 3 22 - 82
0308 - 5 - 3 1 1 1 2 3 22 - 90</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</si>
  <si>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</si>
  <si>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</si>
  <si>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</si>
  <si>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</si>
  <si>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</si>
  <si>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04</t>
  </si>
  <si>
    <t xml:space="preserve">Estampilla Prodesarrollo </t>
  </si>
  <si>
    <t>JUAN ANTONIO OSORIO ALVAREZ
SECRETARIO DE AGUAS E INFRAESTRUCTURA</t>
  </si>
  <si>
    <t>SGP Agua Potable y Saneamineto Básico</t>
  </si>
  <si>
    <t>Formular proyectos para ejecutar diferentes proyectos con el fin de brindar un buen servicio de Agua potable y Saneamiento basico.</t>
  </si>
  <si>
    <t>82</t>
  </si>
  <si>
    <t>Superávit Estampilla Prodesarrollo (82)</t>
  </si>
  <si>
    <t>Superávit SGP Agua Potable y Saneamineto Básico (90)</t>
  </si>
  <si>
    <t>0308 - 5 - 3 1 1 1 2 3 23 - 27
0308 - 5 - 3 1 1 1 2 3 23 - 88</t>
  </si>
  <si>
    <t>201663000-0023</t>
  </si>
  <si>
    <t>Construcción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</si>
  <si>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</si>
  <si>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</si>
  <si>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Construcción y/o mantenimiento y/o optimizacion de obras de  Agua Potable y/o Saneamiento Básico en el Departamento del Quindío</t>
  </si>
  <si>
    <t>Formular,priorizar, viabilizar y ejecutar proyectos de infraestructura de Agua Potable y Saneamiento Basico</t>
  </si>
  <si>
    <t>Superavit Ordinario (88)</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</si>
  <si>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</si>
  <si>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</si>
  <si>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</si>
  <si>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</si>
  <si>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</si>
  <si>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</si>
  <si>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</si>
  <si>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</si>
  <si>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</si>
  <si>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</si>
  <si>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</si>
  <si>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</si>
  <si>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</si>
  <si>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</si>
  <si>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</si>
  <si>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</si>
  <si>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Actualización e implementacion del Plan Ambiental para el Sector de Agua Potable y Saneamiento Básico</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</si>
  <si>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</si>
  <si>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</si>
  <si>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</si>
  <si>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</si>
  <si>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</si>
  <si>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</si>
  <si>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</si>
  <si>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Actualizacion y/o  ejecucion del plan de Aseguramiento de la prestación de servicios</t>
  </si>
  <si>
    <t xml:space="preserve">Contratar el grupo gestor del PAP-PDA Quindío  </t>
  </si>
  <si>
    <t>Estructurar el equipo operativo de apoyo al gestor del PAP PDA</t>
  </si>
  <si>
    <t xml:space="preserve">2. </t>
  </si>
  <si>
    <t xml:space="preserve">PROSPERIDAD CON EQUIDAD </t>
  </si>
  <si>
    <t xml:space="preserve">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</si>
  <si>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</si>
  <si>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</si>
  <si>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</si>
  <si>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</si>
  <si>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</si>
  <si>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</si>
  <si>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0308 - 5 - 3 1 2 4 14 9 19 - 88</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</si>
  <si>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</si>
  <si>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</si>
  <si>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</si>
  <si>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</si>
  <si>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Insumos para operación y mantenimiento preventivo y correctivo de la maquinaria amarilla</t>
  </si>
  <si>
    <t xml:space="preserve">Sobretasa ACPM (23)
</t>
  </si>
  <si>
    <t>Asistencia profesional y tecnica para el mejoramiento vial del Departamento del Quindio.</t>
  </si>
  <si>
    <t>0308 - 5 - 3 1 2 4 14 9 19 - 23</t>
  </si>
  <si>
    <t>Mantener, mejorar y/o rehabilitar la Infraestructura Vial del Departamento del Quindio</t>
  </si>
  <si>
    <t>Recurso Ordinario (46)</t>
  </si>
  <si>
    <t>Superávit Recursos del Crédito (157)</t>
  </si>
  <si>
    <t>0308 - 5 - 3 1 2 4 14 9 19 - 46</t>
  </si>
  <si>
    <t>Asistencia externa para el control y seguimiento de la correcta ejecucion de los contratos de Infraestructura Vial.</t>
  </si>
  <si>
    <t>Recurso del Crédito (46)</t>
  </si>
  <si>
    <t>Apoyar la atención de emergencias viales en los doce (12) Municipios del Departamento del Quindío.</t>
  </si>
  <si>
    <t>Numero de municipios con emergencias viales apoyados</t>
  </si>
  <si>
    <t>Atención oportuna y eficiente de las emergencias viales en el departamento del Quindìo.</t>
  </si>
  <si>
    <t>Transporte, materiales y equipos.</t>
  </si>
  <si>
    <t xml:space="preserve">Sobretasa ACPM (23)-
</t>
  </si>
  <si>
    <t>0308 - 5 - 3 1 2 4 14 9 19 - 157</t>
  </si>
  <si>
    <t>Recurso humano necesarios para la atencion de emergencias viales</t>
  </si>
  <si>
    <t xml:space="preserve">Superávit Sobretasa  ACPM (89)
</t>
  </si>
  <si>
    <t>0308 - 5 - 3 1 2 4 14 9 19 - 89</t>
  </si>
  <si>
    <t>Obra Fisica requerida para la atencion de emergencias viales</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</si>
  <si>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</si>
  <si>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</si>
  <si>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</si>
  <si>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</si>
  <si>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0308 - 5 - 3 1 2 4 15 15 21 - 04
0308 - 5 - 3 1 2 4 15 15 21 - 46
0308 - 5 - 3 1 2 4 15 15 21 - 20
0308 - 5 - 3 1 2 4 15 1 21 - 04
0308 - 5 - 3 1 2 4 15 1 21 - 82
0308 - 5 - 3 1 2 4 15 7 21 - 46
0308 - 5 - 3 1 2 4 15 15 2 - 56
0308 - 5 - 3 1 2 4 15 15 21 - 82</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</si>
  <si>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</si>
  <si>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</si>
  <si>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</si>
  <si>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</si>
  <si>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1.1 Transporte, elementos, materiales, equipos e insumos infraestructura educativa</t>
  </si>
  <si>
    <t>Estampilla Pro Desarrollo (04)</t>
  </si>
  <si>
    <t>1.2 Asistencia profesional- tecnica y mano de obra Infraestructura educativa</t>
  </si>
  <si>
    <t>1.3 Mantener, mejorar y/o rehabilitar la Infraestructura educativa del Departamento del Quindio.</t>
  </si>
  <si>
    <t>Superávit Estampilla Pro Desarrollo (82)</t>
  </si>
  <si>
    <t>1.4 Asistencia externa para el control y seguimiento de la correcta ejecucion de los contratos en Infraestructura educativa</t>
  </si>
  <si>
    <t>Apoyar la construcción, mejoramiento y/o rehabilitación de cuatro (4) obras de infraestructura de salud del departamento del Quindío</t>
  </si>
  <si>
    <t>Numero de instituciones de salud mejoradas y/o apoyadas</t>
  </si>
  <si>
    <t>2.1 Obra Fisica Infraestructura de Salud</t>
  </si>
  <si>
    <t>2.2 Asistencia externa para el control y seguimiento de la correcta ejecucion de los contratos en Infraestructura de Salud</t>
  </si>
  <si>
    <t>Apoyar la construcción, mejoramiento y/o  rehabilitación de la infraestructura de doce (12) escenarios deportivos y/o recreativos en el departamento del Quindío</t>
  </si>
  <si>
    <t>Número de escenarios deportivo o recreativo  apoyado</t>
  </si>
  <si>
    <t>3.1 Transporte, elementos, materiales, equipos e insumos Infraestructura deportiva</t>
  </si>
  <si>
    <t>3.2 Asistencia profesional - tecnica y mano de obra de Infraestructura deportiva</t>
  </si>
  <si>
    <t>3.3 Mantener, mejorar y/o rehabilitar la Infraestructura deportiva del Departamento del Quindio.</t>
  </si>
  <si>
    <t>ajustes metas mayo 29-2019</t>
  </si>
  <si>
    <t>3.4 Asistencia externa para el control y seguimiento de la correcta ejecucion de los contratos en infraestructura deportiva</t>
  </si>
  <si>
    <t>Apoyar la construcción, el mantenimiento, el mejoramiento y/o la rehabilitación de la infraestructura de doce (12) equipamientos públicos y colectivos del Departamento del Quindío.</t>
  </si>
  <si>
    <t>Número de  equipamientos públcos  y colectivos rehabilitados</t>
  </si>
  <si>
    <t>4.1 Transporte, elementos, materiales, equipos e insumos Infraestructura Equipamientos publicos y colectivos</t>
  </si>
  <si>
    <t xml:space="preserve">Recurso Ordinario  (20)
</t>
  </si>
  <si>
    <t>4.2 Construir, mantener, mejorar y/o rehabilitar la infraestructura Social del Departamento del Quindio</t>
  </si>
  <si>
    <t>4.3 Asistencia profesional tecnica y mano de obra infraestructura de equipamientos publicos y colectivos</t>
  </si>
  <si>
    <t>Recurso Ordinario  (20)</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</si>
  <si>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</si>
  <si>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</si>
  <si>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5.1 Construir, mantener, mejorar y/o rehabilitar la Infraestructura Institucional o de edificios publicos del Departamento del Quindio.</t>
  </si>
  <si>
    <t>5.2 Asistencia externa para el control y seguimiento de la correcta ejecucion de los contratos en Infraestructura Institucional o de edificios publicos en el departamento del Quindio.</t>
  </si>
  <si>
    <t>redistribucion actividades mayo 29-2019</t>
  </si>
  <si>
    <t>Apoyar la construcción y  el mejoramiento de mil (1000) viviendas urbana y rural priorizada en el departamento del Quindío.</t>
  </si>
  <si>
    <t>Número de viviendas apoyadas</t>
  </si>
  <si>
    <t>6.1 Mejoramiento de vivienda</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</si>
  <si>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</si>
  <si>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</si>
  <si>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 xml:space="preserve">7.1 Evento Socializacion ejercicio participativo </t>
  </si>
  <si>
    <t>31/09/2017</t>
  </si>
  <si>
    <t>0308 - 5 - 3 1 2 4 15 15 2 - 56</t>
  </si>
  <si>
    <t>2018003630- 002</t>
  </si>
  <si>
    <t xml:space="preserve">Contrucción Cancha Sintetica y Adecuación del Polideportivo en el Sector el Naranjal, Quimbaya Quindio </t>
  </si>
  <si>
    <t>Incrementar los niveles de práctica deportiva</t>
  </si>
  <si>
    <t>Aumentar los espacios para la prácticas deportivas</t>
  </si>
  <si>
    <t>Construcion Cancha Sintetica y Adecuacion del Polideportivo en el Sector de Naranjal, Quimbaya Quindio</t>
  </si>
  <si>
    <t>Recursos Nacionales</t>
  </si>
  <si>
    <t>TOTAL:</t>
  </si>
  <si>
    <t>Juan Antonio Osorio Alvarez</t>
  </si>
  <si>
    <t xml:space="preserve">Secretario de Aguas e Infraestructura </t>
  </si>
  <si>
    <t>Departamento del Quindio</t>
  </si>
  <si>
    <t xml:space="preserve">Proyecto y elaboro: </t>
  </si>
  <si>
    <t xml:space="preserve"> Carlos Enrique Penagos Mejia, Apoyo Financiero PAP- PDA SAID</t>
  </si>
  <si>
    <t xml:space="preserve">  </t>
  </si>
  <si>
    <t>Dalila Oyola Moreno, Apoyo Financiero PAP-PDA SAID</t>
  </si>
  <si>
    <t>Ana Milena Rincon B, Apoyo Financiero Direccion Vial - Social SAID</t>
  </si>
  <si>
    <t>PROGRAMACIÓN PLAN DE ACCIÓN 
SECRETARIA DE AGRICULTURA,  DESARROLLO RURAL Y MEDIO AMBIENTE
III TRIMESTRE 2019</t>
  </si>
  <si>
    <t>Edad Económicamente Activa (20-59 años)</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</si>
  <si>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</si>
  <si>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</si>
  <si>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</si>
  <si>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</si>
  <si>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</si>
  <si>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</si>
  <si>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 xml:space="preserve">GENERACION DE ENTORNOS FAVORABLES Y SOSTENIBILIDAD AMBIENTAL PARA EL DEPARTAMENTO DEL QUINDÍO </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</si>
  <si>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</si>
  <si>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</si>
  <si>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</si>
  <si>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SECRETARIO DE DESPACHO Y JULIANA ACOSTA JARAMILLO</t>
  </si>
  <si>
    <t>Promocion y divulgacion del SIGAD.</t>
  </si>
  <si>
    <t xml:space="preserve">Apoyar cuatro (4) planes de manejo de áreas protegidas del Departamento </t>
  </si>
  <si>
    <t>Planes de manejo apoyados</t>
  </si>
  <si>
    <t>Actualización y apoyo en el fortalecimiento de  los planes de manejo de áreas protegidas del Departamento</t>
  </si>
  <si>
    <t xml:space="preserve">Apoyar el Plan Departamental  para la Gestión Integral de la Biodiversidad y sus Servicios Ecosistémicos PDGIB 2013-2024  </t>
  </si>
  <si>
    <t>Plan departamental apoyado</t>
  </si>
  <si>
    <t xml:space="preserve">Adecuadar planificación para la sostenibilidad de los recursos naturales
</t>
  </si>
  <si>
    <t>Apoyo al Plan de gestión de la biodiversidad y sus servicios ecosistemicos PDGIB</t>
  </si>
  <si>
    <t>Diseñay ejecutar una politica Departamental de uso racional de resiudos solidos y uso eficiente de energia</t>
  </si>
  <si>
    <t>Política departamental diseñada y ejecutada</t>
  </si>
  <si>
    <t xml:space="preserve">Realizar actividades de educación en competencias de sostenibilidad  que esten encamidas a la estructuración e implementación de las politicas de residuos y energia.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</si>
  <si>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</si>
  <si>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</si>
  <si>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</si>
  <si>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</si>
  <si>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 xml:space="preserve">Crear e implementar el Fondo del Agua del departamento del Quindío </t>
  </si>
  <si>
    <t>Fondo del Agua creado e implementado</t>
  </si>
  <si>
    <t>0312 - 5 - 3 1 1 1 2 10 67 -20</t>
  </si>
  <si>
    <t>201663000-0067</t>
  </si>
  <si>
    <t>GESTIÓN INTEGRAL DE CUENCAS HIDROGRÁFICAS EN EL DEPARTAMENTO DEL QUINDÍO</t>
  </si>
  <si>
    <t xml:space="preserve">Mantener  de la oferta hídrica promedio anual  de las Unidades de Manejo de Cuenca (UMC) del departamento del Quindío </t>
  </si>
  <si>
    <t>Realizar y coordinar acciones de  recuperación y mantenimiento del recursos hídrico</t>
  </si>
  <si>
    <t xml:space="preserve">Implementar el Fondo del Agua del departamento del Quindío  </t>
  </si>
  <si>
    <t>Caracterizar los servicios ecosistémicos en 6 cuencas de abastecimientode los acueductos municipales con sus correspondientes acciones de mejoramiento</t>
  </si>
  <si>
    <t>Número de cuencas con servicios ecosistémicos caracterizados</t>
  </si>
  <si>
    <t>Elaboracion de inventario de servicios ecosistemicos y diagnostico de los componentes de flora, fauna y recursos hidricos de 2 cuencas hidrograficas</t>
  </si>
  <si>
    <t>Bienes y servicios ambientales para las nuevas generaciones</t>
  </si>
  <si>
    <t>Conservar Y Restaurar Seis (2) Áreas De Importancia Estratégica Para El Recurso Hídrico Del Departamento</t>
  </si>
  <si>
    <t>Áreas conservadas y restauradas</t>
  </si>
  <si>
    <t>0312 - 5 - 3 1 1 1 3 10 68 - 20</t>
  </si>
  <si>
    <t>201663000-0068</t>
  </si>
  <si>
    <t>APLICACIÓN DE MECANISMOS DE PROTECCIÓN AMBIENTAL EN EL DEPARTAMENTO DEL QUINDIO</t>
  </si>
  <si>
    <t xml:space="preserve">Mantener  de la oferta hídrica promedio anual  de las Unidades de Manejo de Cuenca (UMC) del departamento del Quindío 
</t>
  </si>
  <si>
    <t>Vigilancia, control y seguimiento a las áreas de protección</t>
  </si>
  <si>
    <t>Recuperación y mantenimiento de  las  zonas deterioradas en las áreas de protección.</t>
  </si>
  <si>
    <t>Adquirir Doscientos Setenta (270) Ha Para Áreas De Conservación En Predios De Importancia Estratégica Para El Recurso Hídrico Del Departamento Del Quindío</t>
  </si>
  <si>
    <t>Áreas De Conservación En Predios De Importancia Estratégica Adquiridas</t>
  </si>
  <si>
    <t>0312 - 5 - 3 1 1 1 3 10 68 - 88</t>
  </si>
  <si>
    <t>Adquirir doscientos setenta (270) ha para áreas de conservación en predios de importancia estratégica para el recurso hídrico del departamento del Quindío</t>
  </si>
  <si>
    <t>Conservar Para La Sostenibilidad Ambiental Dos (2) Cuencas De Los Municipios Con Declaratoria De Paisaje Cultural Cafetero Pcc</t>
  </si>
  <si>
    <t>Número de cuencas conservadas</t>
  </si>
  <si>
    <t>0312 - 5 - 3 1 1 1 3 10 69 - 20</t>
  </si>
  <si>
    <t>201663000-0069</t>
  </si>
  <si>
    <t>FORTALECIMIENTO Y POTENCIALIZACIÓN DE LOS SERVICIOS ECOSISTÉMICOS EN EL DEPARTAMENTO DEL QUINDIO</t>
  </si>
  <si>
    <t xml:space="preserve">Disminuir en la presión por cargas contaminantes, medida por el Índice de Alteración Potencial de la Calidad del Agua </t>
  </si>
  <si>
    <t xml:space="preserve">Mejorar en la calidad del agua en los sistemas hídricos  </t>
  </si>
  <si>
    <t>Intervenir en herramientas del PCC las cuencas de los municipios con declaratoria de paisaje cultural cafetero</t>
  </si>
  <si>
    <t>Promover La Creación Y Adopción  En Los Doce (12) Municipios Del Departamento, De Herramientas Para El Estímulo De Incentivos A La Conservación</t>
  </si>
  <si>
    <t>Número de municipios con acciones de incentivos a la conservación promovidas</t>
  </si>
  <si>
    <t xml:space="preserve">Promover los incentivos a la conservación con la normativa vigente  </t>
  </si>
  <si>
    <t>Restaurar Con Obras De Bioingeniería Veinte (20) Ha En Áreas O Zonas Críticas De Riesgo.</t>
  </si>
  <si>
    <t xml:space="preserve">Número de hectáreas restauradas </t>
  </si>
  <si>
    <t>Poner en marcha obras de bioingenieria</t>
  </si>
  <si>
    <t>Desarrollar Treinta Y Un (31) Estrategias De Educación Ambiental  En Los Espacios Participativos, Comunitarios Y Educativos Del Departamento</t>
  </si>
  <si>
    <t>Número de estrategias de educación desarrolladas</t>
  </si>
  <si>
    <t xml:space="preserve">Desarrollar estrategias de educación ambiental para el desarrollo sostenible </t>
  </si>
  <si>
    <t>Capacitar A 250 Jóvenes, Mujeres, Población Vulnerable Y Con Enfoque Diferencial Como Lideres De Educación Ambiental En El Departamento</t>
  </si>
  <si>
    <t>Número de  jóvenes,  mujeres, población vulnerable y con enfoque diferencial capacitados</t>
  </si>
  <si>
    <t>Formar multiplicadores ambientales para el desarrollo sostenible</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</si>
  <si>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</si>
  <si>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</si>
  <si>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</si>
  <si>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0312 - 5 - 3 1 2 2 4 13 72 - 20</t>
  </si>
  <si>
    <t>201663000-0072</t>
  </si>
  <si>
    <t xml:space="preserve">FORTALECIMIENTO E INNOVACIÓN EMPRESARIAL DE LA CAFICULTURA EN EL DEPARTAMENTO DEL QUINDIO </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</si>
  <si>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</si>
  <si>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</si>
  <si>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Capacitar A Caficultores  En Buenas Prácticas Agrícolas Sostenible Y Aseguramiento De La Calidad De Café</t>
  </si>
  <si>
    <t>SECRETARIO DE DESPACHO Y MAURICIO RUIZ HAMBRA</t>
  </si>
  <si>
    <t>Capacitar A Caficultores En Catación, Tostión Y Barísmo</t>
  </si>
  <si>
    <t>Crear (6) seis grupos multiplicadores de conocimiento en emprendimiento y calidad del café  para jóvenes y mujeres rurales, campesinas y cafeteras</t>
  </si>
  <si>
    <t>Número de grupos multiplicadores creados</t>
  </si>
  <si>
    <t>Fortalecimiento A Asociaciones De Café De Jóvenes Y Mujeres Rurales En Buenas Prácticas Agrícolas Y Aseguramiento De La Calidad Del Café A Traves De Asistencia Técnica Y Talleres</t>
  </si>
  <si>
    <t xml:space="preserve">Capacitación  A Jóvenes Y Mujeres Rurales En Asociatividad, Emprendimiento,  En Mejoramiento Y Aseguramiento De La Calidad  </t>
  </si>
  <si>
    <t xml:space="preserve"> Crear (1) portafolio de café origen Quindío a través de la valoración de 6000 predios</t>
  </si>
  <si>
    <t>Portafolio de café origen Quindío creado</t>
  </si>
  <si>
    <t>Bajo  nivel de conocimiento de los productores en producción limpia y sostenible con énfasis en calidad sensorial del café</t>
  </si>
  <si>
    <t>Visitas De Asistencia Técnicas De Caracterización A Predios Productores De Café Del Departamento Del Quindío</t>
  </si>
  <si>
    <t>Toma De Muestras De Café Y Análisis De Catación Y Perfilación A Través De Convenios Interadministrativos Y/O Interinstitucionales</t>
  </si>
  <si>
    <t>Promoción Y Divulgación Del Portafolio De Café Origen Quindío</t>
  </si>
  <si>
    <t>Formalizar (1) un convenio interinstitucional para la inserción de los cafés de origen Quindío en los mercados nacionales e internacionales</t>
  </si>
  <si>
    <t>Convenio interinstitucional formalizado</t>
  </si>
  <si>
    <t>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</si>
  <si>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</si>
  <si>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</si>
  <si>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Núcleos de asistencia creados e implementados</t>
  </si>
  <si>
    <t>0312 - 5 - 3 1 2 2 5 8 176 - 20
0312 - 5 - 3 1 2 2 5 8 176 - 46
0312 - 5 - 3 1 2 5 8 176 - 88</t>
  </si>
  <si>
    <t>201663000-0176</t>
  </si>
  <si>
    <t>CREACIÓN E IMPLEMENTACIÓN DE LOS CENTROS AGROINDUSTRIALES REGIONALES PARA LA PAZ"CARPAZ" EN EL DEPARTAMENTO DEL QUINDIO</t>
  </si>
  <si>
    <t xml:space="preserve">Equiparar el crecimiento del PIB del departamento del Quindío al PIB nacional
</t>
  </si>
  <si>
    <t>Mejorar  la productividad primaria agropecuaria</t>
  </si>
  <si>
    <t>Crear Un Núcleo De Asistencia Agrícola</t>
  </si>
  <si>
    <t>Crear e implementar los nucleos de asistencia agricola.</t>
  </si>
  <si>
    <t>Crear Un Núcleo De Asistencia Pecuaria</t>
  </si>
  <si>
    <t xml:space="preserve">Crear e implmentar los nucleos de asistencia pecuaria </t>
  </si>
  <si>
    <t>Apoyar cinco (5) sectores productivos agropecuarios del departamento en métodos de mercadeo que propicien innovación en los aspectos comerciales de los productos del Quindío</t>
  </si>
  <si>
    <t>Sectores productivos apoyados</t>
  </si>
  <si>
    <t>Realizar Eventos De Educomunicación (Agrícola Y Pecuario)</t>
  </si>
  <si>
    <t>Crear  seis (6) centros logísticos  para la transformación agroindustrial - CARPAZ</t>
  </si>
  <si>
    <t>Centros logísticos creados</t>
  </si>
  <si>
    <t>Articular la demanda existente y la oferta efectiva</t>
  </si>
  <si>
    <t>Crear Centros Logísticos Agroindustriales</t>
  </si>
  <si>
    <t>Recurso del Crédito</t>
  </si>
  <si>
    <t>Capacitar seis (6) unidades agro empresariales de jóvenes y mujeres rurales</t>
  </si>
  <si>
    <t>Unidades agro empresariales capacitadas</t>
  </si>
  <si>
    <t>Brindar un sistema eficiente de prestación de servicios públicos</t>
  </si>
  <si>
    <t>Capacitación En Estrategias De Mercadeo A Diferentes   Grupos Asociativos De Productores Agrícolas Y Agroindustriales</t>
  </si>
  <si>
    <t>Crear E Implementar El Fondo De Financiamiento De Desarrollo Rural Fider</t>
  </si>
  <si>
    <t>Fondo de financiamiento creado e implementado</t>
  </si>
  <si>
    <t>0312 - 5 - 3 1 2 2 5 8 177 - 20</t>
  </si>
  <si>
    <t>201663000-0177</t>
  </si>
  <si>
    <t>CREACION E IMPLEMENTACION DEL FONDO DE FINANCIAMIENTO DE DESARROLLO RURAL - FIDER</t>
  </si>
  <si>
    <t>Mejoramiento de las condiciones de acceso al financiamiento de los productores agropecuarios, mediante la creacion de un fondo financiero para el desarrollo rural en el departamento del Quindío</t>
  </si>
  <si>
    <t>Generación de procesos de  apoyo financiero de facil acceso para desarrolo del sector productivo rural.</t>
  </si>
  <si>
    <t>Asistencia Técnica En La Creación Y Elaboración De Un Fondo De Financiamiento Para El Desarrollo Rural</t>
  </si>
  <si>
    <t>SECRETARIO DE DESPACHO Y ANA MARIA CARDONA VALDEZ</t>
  </si>
  <si>
    <t>0312 - 5 - 3 1 2 2 5 8 177 - 88</t>
  </si>
  <si>
    <t>Financiamiento Al Pequeño Productor Rural</t>
  </si>
  <si>
    <t>Reactivar un instrumento de prevención por eventos naturales para productos agrícolas.</t>
  </si>
  <si>
    <t>Instrumento de prevención por eventos naturales para productos agrícolas reactivado</t>
  </si>
  <si>
    <t>0312 - 5 - 3 1 2 2 5 8 175 - 20</t>
  </si>
  <si>
    <t>2016663000-0175</t>
  </si>
  <si>
    <t>IMPLEMENTACIÓN DE UN INSTRUMENTO PARA LA PREVENCIÓN DE EVENTOS NATURALES PRODUCTOS AGRICOLAS EN E DEPARTAMENTO DEL QUINDÍO</t>
  </si>
  <si>
    <t>Mejoramiento En El Rendimiento Productivo, Mediante Estrategias De Mitigación, Para Contrarrestar Eventos Y Riesgos Naturales En El Sector Agropecuario</t>
  </si>
  <si>
    <t xml:space="preserve">Fortalecimiento de los  programas de prevención en el sector rural, para mejorar la capacidad de respuesta ante posibles eventos y riesgos naturales </t>
  </si>
  <si>
    <t>Acompañamiento Técnico Y Promoción De El Plan Integral De Gestión De Cambio Climático Como Instrumento  Prevención  Y Adaptación En Eventos Climáticos</t>
  </si>
  <si>
    <t xml:space="preserve">Generación de espacios de articulación institucional en apoyo de asistencia técnica rural ante eventos y riesgos naturales  </t>
  </si>
  <si>
    <t>Emprendimiento y empleo rural</t>
  </si>
  <si>
    <t>Apoyo En La Formalización De Empresas En (4)  Sectores Productivos Agropecuarios Del Departamento</t>
  </si>
  <si>
    <t>Número de sectores productivos apoyados</t>
  </si>
  <si>
    <t>0312 - 5 - 3 1 2 2 6 13 75 - 20</t>
  </si>
  <si>
    <t>201663000-0075</t>
  </si>
  <si>
    <t xml:space="preserve">FOMENTO AL EMPRENDIMIENTO Y  AL EMPLEO RURAL EN EL DEPARTAMENTO DEL QUINDÍO  </t>
  </si>
  <si>
    <t xml:space="preserve">Aumetar crecimiento del PIB del departamento  del Quindio a frente al PIB Nacional </t>
  </si>
  <si>
    <t xml:space="preserve">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</si>
  <si>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En La Formalización De Empresas En Los Sectores Productivos</t>
  </si>
  <si>
    <t>Generar Un Apalancamiento A 100 Iniciativas Rurales</t>
  </si>
  <si>
    <t>Número de iniciativas productivas apalancadas</t>
  </si>
  <si>
    <t xml:space="preserve">Realizar apálacamiento a las iniciativas productivas rurales, a través  de  procesos de acompañamiento  a la consolidación de  ideas de negocio e  implementación de garantias complementarias para el facilitar el acceso a la diferentes fuentes financiación con el fin de contribuir a generar condiciones para  aumentar   producto interno bruto  el departamento   durante la vigencia 2016 , 
</t>
  </si>
  <si>
    <t>Identificación Y Caracterización De Las Nuevas Iniciativas Productivas Rurales</t>
  </si>
  <si>
    <t>Capacitar A (1.200) Jóvenes Y Mujeres Rurales En Actividades  Agrícolas Y No Agrícolas</t>
  </si>
  <si>
    <t>Número de jóvenes y mujeres rurales capacitados</t>
  </si>
  <si>
    <t xml:space="preserve">Capacitar a jóvenes y mujeres en actividadeas agricolas y no agricolas con procesois de seguimiento y evaluación  en la generación de ideas y/o consolidación de negocios con el fin de contribuir a generar condiciones para  aumentar   producto interno bruto  el departamento   durante la vigencia 2016 </t>
  </si>
  <si>
    <t>Capacitación A Jóvenes Y Mujeres Rurales En Actividades Agrícolas Y No Agrícolas</t>
  </si>
  <si>
    <t>Beneficiar A 2.400 Mujeres Rurales Campesinas, Personas En Condición De Vulnerabilidad Y Con Enfoque Diferencial En Formación Para El Trabajo Y Desarrollo Humano</t>
  </si>
  <si>
    <t>Número de mujeres rurales campesinas, personas en condición de vulnerabilidad y con enfoque diferencial beneficiados</t>
  </si>
  <si>
    <t>Formación Para El Trabajo Y El Desarrollo Humano</t>
  </si>
  <si>
    <t>Impulso a la competitividad productiva y empresarial del sector Rural</t>
  </si>
  <si>
    <t>Apoyar a 5 Sectores Productivos Del Departamento En Ruedas De Negocio</t>
  </si>
  <si>
    <t>0312 - 5 - 3 1 2 2 7 13 78 - 20</t>
  </si>
  <si>
    <t>201663000-0078</t>
  </si>
  <si>
    <t>FORTALECIMIENTO A LA COMPETITIVIDAD PRODUCTIVA Y EMPRESARIAL DEL SECTOR RURAL EN EL DEPARTAMENTO DEL QUINDIO</t>
  </si>
  <si>
    <t>Crecimiento del PIB del departamento  del Quindio frente al PIB Nacional</t>
  </si>
  <si>
    <t xml:space="preserve">Conocimiento de metodos no tradicionales de comercialización </t>
  </si>
  <si>
    <t>Impulsar la competitivdad productiva y empresarial  mediante ruedas de negocio</t>
  </si>
  <si>
    <t>Diseñar e implementar (1) un instrumento de planificación e información rural para la comercialización de productos transables</t>
  </si>
  <si>
    <t>Instrumento de planificación e información diseñado e implementado</t>
  </si>
  <si>
    <t xml:space="preserve">Aumentar la  divulgacion de eventos especializados para acceder a mercados internacionales
</t>
  </si>
  <si>
    <t>Puesta en marcha de los instrumentos de planificación e información rural</t>
  </si>
  <si>
    <t>INCLUSION SOCIAL</t>
  </si>
  <si>
    <t>Soberanía, seguridad alimentaria y nutricional</t>
  </si>
  <si>
    <t>Fomento a la Agricultura Familiar Campesina, agricultura urbana y mercados campesinos para la soberanía y  Seguridad alimentaria</t>
  </si>
  <si>
    <t>Diseñar E Implementar El Programa De Agricultura Familiar Y Campesina</t>
  </si>
  <si>
    <t>Programa de agricultura familiar campesina diseñado e implementado</t>
  </si>
  <si>
    <t>0312 - 5 - 3 1 3 11 34 8 79 - 20</t>
  </si>
  <si>
    <t>201663000-0079</t>
  </si>
  <si>
    <t>FOMENTO A LA AGRICULTURA FAMILIAR CAMPESINA, AGRICULTURA URBANA Y MERCADOS CAMPESINOS PARA LA SOBERANÍA Y SEGURIDAD ALIMENTARIA</t>
  </si>
  <si>
    <t xml:space="preserve">Aumentar La Producción De Frutas Y Verduras Para El Autoconsumo Del Departamento Del Quindío A Través De La Implementación De Un Sistema De Parcelas Campesinas Y Comercio De Excedentes </t>
  </si>
  <si>
    <t>Diseñar e implementar un (1) programa de agricultura familiar campesina</t>
  </si>
  <si>
    <t>Asistencia Técnica A Beneficiarios Del Programa Soberanía Y Seguridad Alimentaria Y Nutricional</t>
  </si>
  <si>
    <t>Apoyar La Conformación De Cuatro Alianzas Para Contratos De Compra Anticipada De Productos De La Agricultura Familiar En El Departamento Del Quindío</t>
  </si>
  <si>
    <t>Numero de alianzas para contratos de compra anticipada apoyados</t>
  </si>
  <si>
    <t>Apoyar la conformación de cuatro (4) alianzas para contratos de compra anticipada de productos de la agricultura familiar en el departamento del Quindío</t>
  </si>
  <si>
    <t>Acompañamiento Y Asistencia Técnica A Productores Agropecuarios En La Productividad Primaria Y Alistamiento De La Oferta, Permitiendo Así El Aseguramiento De La Cadena Agroalimentaria En La Productividad Primaria</t>
  </si>
  <si>
    <t>Sembrar Quinientas (500) Ha De Productos De La Canasta Básica Familiar Para Aumentar La Disponibilidad De Alimentos</t>
  </si>
  <si>
    <t>Número de hectáreas sembradas</t>
  </si>
  <si>
    <t>Sembrar 150 Ha De Productos De La Canasta Básica Familiar</t>
  </si>
  <si>
    <t>Beneficiar A 2.400 Familias Urbanas Y Periurbanas Con Parcelas De Agricultura Familiar Para Autoconsumo Y Comercio De Excedentes</t>
  </si>
  <si>
    <t>Numero de familias beneficiadas</t>
  </si>
  <si>
    <t>Beneficiar a 2400 familias urbanas y periurbanas con parcelas de agricultura familiar para autoconsumo y comercio de excedentes</t>
  </si>
  <si>
    <t>Acompañamiento A Familias Urbanas Y Periurbanas En El Establecimiento De Parcelas De Agricultura Familiar</t>
  </si>
  <si>
    <t>Mejorar El Estado Nutricional De 1795 Niños Menor De 5 Años Y De 1531 Niños De 6 A 18 Años  En Riesgo De Desnutrición En El Departamento</t>
  </si>
  <si>
    <t>Numero de población infantil en riesgo con estado nutricional de 0 a 5 años y de 6 a 18 años mejorado</t>
  </si>
  <si>
    <t>Mejorar el estado nutricional de 1795 niños menor de 5 años y de 1531 niños de 6 a 18 años  en riesgo de desnutrición en el departamento</t>
  </si>
  <si>
    <t>Talleres De Capacitación En El Mejoramiento De La Dieta Alimenticia A Partir De Productos De La Canasta Básica Familiar</t>
  </si>
  <si>
    <t>ALVARO ARIAS YOUNG</t>
  </si>
  <si>
    <t>Secretario de Agricultura, medio Ambiente y Desarrollo Rural</t>
  </si>
  <si>
    <t>PROGRAMACION  PLAN DE ACCIÓN
INDEPORTES
III TRIMESTRE 2019</t>
  </si>
  <si>
    <t>F-PLA-07</t>
  </si>
  <si>
    <t>Apoyo al deporte asociado</t>
  </si>
  <si>
    <t xml:space="preserve"> Ligas deportivas del departamento del Quindío</t>
  </si>
  <si>
    <t xml:space="preserve">Apoyar  y fortalecer veintitrés (23) ligas deportivas.   </t>
  </si>
  <si>
    <t>Ligas deportivas apoyadas y fortalecidas.</t>
  </si>
  <si>
    <t>2234468202-12</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</si>
  <si>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</si>
  <si>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</si>
  <si>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</si>
  <si>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</si>
  <si>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Apoyo a las ligas en los eventos deportivos de carácter federal  (Adquisición de Bienes y Servicios)</t>
  </si>
  <si>
    <t>MONOPOLIO</t>
  </si>
  <si>
    <t>GERENTE GENERAL INDEPORTES</t>
  </si>
  <si>
    <t>2234468202-9</t>
  </si>
  <si>
    <t>RENDIMIENTOS FINANCIEROS</t>
  </si>
  <si>
    <t>2234468202-3</t>
  </si>
  <si>
    <t>IPOCONSUMO</t>
  </si>
  <si>
    <t>2334468202-12</t>
  </si>
  <si>
    <t>2334468202-6</t>
  </si>
  <si>
    <t>CIGARRILLO 70%</t>
  </si>
  <si>
    <t>2234468202_4</t>
  </si>
  <si>
    <t>Realizar acompañamiento y asesorìa a las ligas y clubes del departamento  (Componente tecnico)</t>
  </si>
  <si>
    <t>ICLD</t>
  </si>
  <si>
    <t>Apoyar  a veinte  (20) deportistas en nivel de talento, de proyección y de altos logros con el programa de incentivos económicos a deportistas.</t>
  </si>
  <si>
    <t>Número de deportistas incentivados.</t>
  </si>
  <si>
    <t>2234468203_4</t>
  </si>
  <si>
    <t>Apoyo a deportistas de alto logros y reserva deportiva (Asistencia social)</t>
  </si>
  <si>
    <t xml:space="preserve"> Apoyo a eventos deportivos</t>
  </si>
  <si>
    <t/>
  </si>
  <si>
    <t>Apoyar 13 ligas de los eventos deportivos de carácter federado nacional y departamental</t>
  </si>
  <si>
    <t>Ligas apoyadas en eventos departamental y nacionales.</t>
  </si>
  <si>
    <t>2234469204-4</t>
  </si>
  <si>
    <t>Apoyo  logistico a las 13 ligas estrategicas  (Adquisición de Bienes y Servicios)</t>
  </si>
  <si>
    <t>2234469204_12</t>
  </si>
  <si>
    <t>Juegos intercolegiados</t>
  </si>
  <si>
    <t>Desarrollar cuatro (4) juegos Intercolegiados  en sus diferentes fases.</t>
  </si>
  <si>
    <t>Juegos intercolegiados desarrollados</t>
  </si>
  <si>
    <t>2234470205-12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</si>
  <si>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</si>
  <si>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</si>
  <si>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</si>
  <si>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</si>
  <si>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(Adquisición de Bienes y Servicios) </t>
  </si>
  <si>
    <t>2234470205-4</t>
  </si>
  <si>
    <t>2234470205-7</t>
  </si>
  <si>
    <t>COLDEPORTES</t>
  </si>
  <si>
    <t>2334470205-13</t>
  </si>
  <si>
    <t xml:space="preserve">SUPERAVIT  </t>
  </si>
  <si>
    <t>2334470205-15</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</si>
  <si>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</si>
  <si>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</si>
  <si>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</si>
  <si>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</si>
  <si>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</si>
  <si>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</si>
  <si>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</si>
  <si>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</si>
  <si>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Brindar asesoria a los doce municipios del departamento (Componente tecnico)</t>
  </si>
  <si>
    <t>2334471206-13</t>
  </si>
  <si>
    <t>SUPERAVIT</t>
  </si>
  <si>
    <t>Desarrollar  1 eventos de deporte social y comunitario.</t>
  </si>
  <si>
    <t>Eventos deportivos social y comunitarios desarrollar.</t>
  </si>
  <si>
    <t>2334471207-13</t>
  </si>
  <si>
    <t>Realizacion de eventos deportivos en el departamento (Adquisición de Bienes y Servicios)</t>
  </si>
  <si>
    <t>2234471207_12</t>
  </si>
  <si>
    <t>Apoyar  técnicamente un 1  evento de  Juegos Comunales en la fase Departamental</t>
  </si>
  <si>
    <t>Juegos comunales apoyados.</t>
  </si>
  <si>
    <t>2234471208_4</t>
  </si>
  <si>
    <t>Realizacion de los juegos comunales en el departamento (Adquisición de Bienes y Servicios)</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</si>
  <si>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</si>
  <si>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</si>
  <si>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</si>
  <si>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</si>
  <si>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</si>
  <si>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</si>
  <si>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</si>
  <si>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</si>
  <si>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</si>
  <si>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</si>
  <si>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 (Adquisición de Bienes y Servicios)</t>
  </si>
  <si>
    <t>2234572209_7</t>
  </si>
  <si>
    <t>2334572209-3</t>
  </si>
  <si>
    <t>Apoyar de forma articulada el programa nuevo comienzo "Otro Motivo para Vivir" (1).</t>
  </si>
  <si>
    <t>Programa nuevo comienzo "Otro Motivo para Vivir" articulado y desarrollado.</t>
  </si>
  <si>
    <t>2234572210_4</t>
  </si>
  <si>
    <t>Apoyo logistico y tecnico al adulto mayor (Adquisición de Bienes y Servicios)</t>
  </si>
  <si>
    <t>2234572210_3</t>
  </si>
  <si>
    <t>2234572210_7</t>
  </si>
  <si>
    <t>2334572210-3</t>
  </si>
  <si>
    <t>SUPERAVIT IPOCONSUMO</t>
  </si>
  <si>
    <t>Crear y desarrollar una estrategia para articular la actividad recreativa social comunitaria desde la primera infancia hasta las personas mayores.</t>
  </si>
  <si>
    <t>Estrategia creada y desarrollada.</t>
  </si>
  <si>
    <t>2234572211_3</t>
  </si>
  <si>
    <t>Apoyo logistico tecnico (Adquisición de Bienes y Servicio)</t>
  </si>
  <si>
    <t>2234572211_7</t>
  </si>
  <si>
    <t>2334572211-6</t>
  </si>
  <si>
    <t>2334572211-13</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</si>
  <si>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</si>
  <si>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</si>
  <si>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</si>
  <si>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</si>
  <si>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</si>
  <si>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</si>
  <si>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</si>
  <si>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</si>
  <si>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</si>
  <si>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2234573212_7</t>
  </si>
  <si>
    <t>2334573212-4</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</si>
  <si>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</si>
  <si>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</si>
  <si>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</si>
  <si>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</si>
  <si>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</si>
  <si>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</si>
  <si>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</si>
  <si>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</si>
  <si>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Brindar acompañamiento tecnico a los municipios Otros (Realizar convenios con los doce municipios del departamento para la transferencia de recursos de telefonia movil)</t>
  </si>
  <si>
    <t xml:space="preserve">GERENTE GENERAL INDEPORTES
</t>
  </si>
  <si>
    <t>23346741-3</t>
  </si>
  <si>
    <t xml:space="preserve">OLGA LUCIA FERNANDEZ CARDENAS
GERENTE GENERAL INDEPORTES
</t>
  </si>
  <si>
    <t xml:space="preserve">Elaboro: Juan David Gomez Gomez 
</t>
  </si>
  <si>
    <t>PROGRAMACIÓN PLAN DE ACCIÓN 
INSTITUTO DEPARTAMETNAL DE TRANSITO  - I.D.T.Q. 
III TRIMESTRE  2019</t>
  </si>
  <si>
    <t xml:space="preserve">SEGURIDAD HUMANA </t>
  </si>
  <si>
    <t>Seguridad humana como dinamizador de la vida, dignidad y libertad en el Qundío</t>
  </si>
  <si>
    <t>Fortalecimiento de la seguridad vial en el Departamentol del Quindío</t>
  </si>
  <si>
    <t>Implementar un programa para disminuir la accidentalidad en las vías del departamento</t>
  </si>
  <si>
    <t>Programa para disminuir la accidentalidad implementado</t>
  </si>
  <si>
    <t>201663000-172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</si>
  <si>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</si>
  <si>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</si>
  <si>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</si>
  <si>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el programa orientado a disminución de la accidentalidad en las vias</t>
  </si>
  <si>
    <t>Recurso Ordinario Departamento</t>
  </si>
  <si>
    <t>Gloria Mercedes Buitrago Salazar, Directora</t>
  </si>
  <si>
    <t>Recurso Propio IDTQ</t>
  </si>
  <si>
    <t xml:space="preserve">Formular e implementar el Plan de Seguridad Vial del Departamento </t>
  </si>
  <si>
    <t>Plan departamental de seguridad vial elaborado e implementado</t>
  </si>
  <si>
    <t>Formulación del Plan de Seguridad Vial</t>
  </si>
  <si>
    <t xml:space="preserve">Apoyar la implementación del programa: Ciclorutas en el departamento del Quindío </t>
  </si>
  <si>
    <t>Programa: Ciclorutas en el departamento del Quindío apoyado</t>
  </si>
  <si>
    <t>Generear oportunidadesinstitucionales a través de procesos de gestion orientados a insentivar programas de movilidad sostenible en la jurisdiccion del I.D.T.Q</t>
  </si>
  <si>
    <t>Campañas de difusión y sensibilización a la población del Programa Nacional de ciclorutas</t>
  </si>
  <si>
    <t>GLORIA MERCEDES BUITRAGO SALAZAR</t>
  </si>
  <si>
    <t>Directora</t>
  </si>
  <si>
    <t>PROGRAMACION PLAN DE ACCIÓN
SECRETARIA DE EDUCACION
III TRIMESTRE  2019</t>
  </si>
  <si>
    <t>PRESUPUESTADO</t>
  </si>
  <si>
    <t>Cobertura Educativa</t>
  </si>
  <si>
    <t>Acceso y Pemanencia</t>
  </si>
  <si>
    <t>Implementar un (1) plan, programa y/o proyecto para el acceso de niños, niñas y jóvenes en las instituciones educativas</t>
  </si>
  <si>
    <t>Número de planes, programas y/o proyectos implementados</t>
  </si>
  <si>
    <t>0314 - 5 - 3 1 3 5 16 1 84 - 20
0314 - 5 - 3 1 3 5 16 1 84 - 35
1404 - 5 - 3 1 3 5 16 1 84 - 81
0314 - 5 - 3 1 3 5 16 1 84 - 91
0314 - 5 - 3 1 3 5 16 1 84 - 88
1404 - 5 - 3 1 3 5 16 1 84 - 137</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</si>
  <si>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</si>
  <si>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</si>
  <si>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</si>
  <si>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</si>
  <si>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</si>
  <si>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Monopolio</t>
  </si>
  <si>
    <t>Secretario de Educación Departamental</t>
  </si>
  <si>
    <t>Superávit Monopolio</t>
  </si>
  <si>
    <t>Implementar el Programa de Alimentación Escolar (PAE) en el departamento del Quindío</t>
  </si>
  <si>
    <t>Programa PAE implementado</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</si>
  <si>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</si>
  <si>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</si>
  <si>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 xml:space="preserve"> Educación PAE </t>
  </si>
  <si>
    <t> Rendimientos Financieros -Educación PAE -</t>
  </si>
  <si>
    <t>Superavit Programa de Alimentación EScolar PAE</t>
  </si>
  <si>
    <t>Cofinanciación Convenios Interadm.-otors</t>
  </si>
  <si>
    <t>Personal de apoyo , para el acompañamiento, seguimiento y verificación y supervision de la ejecucion del PAE</t>
  </si>
  <si>
    <t>Implementar el programa de transporte escolar en el departamento del Quindio</t>
  </si>
  <si>
    <t>Programa de transporte escolar implementado</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</si>
  <si>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</si>
  <si>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</si>
  <si>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</si>
  <si>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</si>
  <si>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</si>
  <si>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0314 - 5 - 3 1 3 5 17 1 86 - 20
1404 - 5 - 3 1 3 5 17 1 86 - 25
0314 - 5 - 3 1 3 5 17 1 86 - 88</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</si>
  <si>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</si>
  <si>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</si>
  <si>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</si>
  <si>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</si>
  <si>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Logística (papeleria, afiches, volantes, folletos, pendones, entre otras), para el desarrollo de actividades  educativas de la poblacion adulta del departamento</t>
  </si>
  <si>
    <t xml:space="preserve">
Secretario de Educación Departamental</t>
  </si>
  <si>
    <t>Diseñar e implementar una estrategia que permita disminuir la tasa de analfabetismo en los municipios del Departamento del Quindío</t>
  </si>
  <si>
    <t xml:space="preserve">Estrategia diseñada e  implementada </t>
  </si>
  <si>
    <t>Promoción desarrollo del programa de alfabetización y  educación  poblacion adulta del departamento</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</si>
  <si>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</si>
  <si>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</si>
  <si>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Personal de apoyo educativo,  para población étnica, afrodescendientes e indigenas,</t>
  </si>
  <si>
    <t>Adquisición implementos artísticos, para el fortalecimeinto de la cultura de la población étnica, afrodescendientes e indigenas, en el Departamento</t>
  </si>
  <si>
    <t xml:space="preserve">Atender dos mil quinientos setenta estudiantes (2570) en condición de población  victima del conflicto, residentes en el departamento del Quindío </t>
  </si>
  <si>
    <t xml:space="preserve">Número de estudiantes  pertenecientes a la población victima del conflicto atendidos </t>
  </si>
  <si>
    <t>Personal de apoyo educativo, para población  víctima del conflicto en el Departamento</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</si>
  <si>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</si>
  <si>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</si>
  <si>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Implementar un programa para brindarles una mejor atencion educativa a los menores y/o adultos con situaciones penales, iletrados, menores trabajadores.</t>
  </si>
  <si>
    <t>SGP</t>
  </si>
  <si>
    <t>Diseñar e implementar un plan para la caracterización y atención de la población en condiciones especiales y excepcionales del departa</t>
  </si>
  <si>
    <t>Personal de apoyo idoneos para la atencion de la poblacion con NNE y talentos Excepcionales.</t>
  </si>
  <si>
    <t>SGP Educacion</t>
  </si>
  <si>
    <t xml:space="preserve">Adquisición de materiales pedagogicos, didacticos, tecnicos y tecnologicos accesibles para promover una educación pertinente y de calidad para estudiantes con discapacidad </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</si>
  <si>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</si>
  <si>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</si>
  <si>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1401 - 5 - 3 1 3 5 18 1 87 - 25
1402 - 5 - 3 1 3 5 18 1 87 - 25</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</si>
  <si>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</si>
  <si>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</si>
  <si>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</si>
  <si>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</si>
  <si>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Oficiales del Departamento.</t>
  </si>
  <si>
    <t>1402 - 5 - 3 1 3 5 18 1  87 - 146</t>
  </si>
  <si>
    <t>SGP Educacion (Aportes patronales)</t>
  </si>
  <si>
    <t>1402 - 5 - 3 1 3 5 18 1  87 - 26</t>
  </si>
  <si>
    <t>Superávit SGP Educación </t>
  </si>
  <si>
    <t>1402 - 5 - 3 1 3 5 18 1 87 - 9</t>
  </si>
  <si>
    <t>1403 - 5 - 3 1 3 5 18 1 87 -25
1403 - 5 - 3 1 3 5 18 1 87 - 26
0314 - 5 - 3 1 3 5 18 1 87 - 88</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</si>
  <si>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</si>
  <si>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</si>
  <si>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</si>
  <si>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</si>
  <si>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201663000-0089</t>
  </si>
  <si>
    <t xml:space="preserve">Implementación de  estrategias para el mejoramiento continuo del indice sintetico de calidad educativa en los niveles de básica primaria, básica secundaria y nivel de media en el Departamento del Quindio 
</t>
  </si>
  <si>
    <t xml:space="preserve">iImplementación de estrategias para el mejoramiento del  índice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</si>
  <si>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</si>
  <si>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</si>
  <si>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</si>
  <si>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</si>
  <si>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</si>
  <si>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Número de docentes capacitados</t>
  </si>
  <si>
    <t xml:space="preserve">0314 - 5 - 3 1 3 6 19 1 89 - 20
0314 - 5 - 3 1 3 6 19 1 89 - 88
</t>
  </si>
  <si>
    <t>Beneficiar a ochenta (80) docentes  con becas de posgrado</t>
  </si>
  <si>
    <t xml:space="preserve">Número de docentes beneficiados </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</si>
  <si>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</si>
  <si>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</si>
  <si>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</si>
  <si>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Número de Instituciones Ediucatrivas participando  en el Progrma PTA</t>
  </si>
  <si>
    <t xml:space="preserve">Gestionar con el Ministerio de Educación nacional para la focalización  de nuevas instituciones educativas del departamento del quindío con el programa todos a aprender  </t>
  </si>
  <si>
    <t>Brindar apoyo a las instituciones educativas focalizadas, para la Formación  del Programa Todos a Aprender</t>
  </si>
  <si>
    <t>Brindar acompañamiento a doscientos treinta (230) docentes con  tutores PTA</t>
  </si>
  <si>
    <t>Número de docentes acompañados de tutores PTA</t>
  </si>
  <si>
    <t xml:space="preserve">Brindar acompañamiento a docentes de instituciones educativas del departamento del quindío con tutores del programa todos a  aprender  </t>
  </si>
  <si>
    <t>Brindar acompañamiento a los docentes con tutores,  para la Formación  del Programa Todos a Aprender</t>
  </si>
  <si>
    <t>Beneficiar a 4.700  estudiantes con el  Programas Todos  a Aprender</t>
  </si>
  <si>
    <t>Número de estudiantes beneficiados con el PTA</t>
  </si>
  <si>
    <t>Beneficiar a estudiantes de instituciones Educativas del departamento del quindío con el  Programa Todos  a Aprender</t>
  </si>
  <si>
    <t>Beneficiar a estudiantes de instituciones Educativas del departamento,  con el  Programa Todos  a Aprender</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</si>
  <si>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</si>
  <si>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</si>
  <si>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Capacitación y Lógistica, para el  mejoramiento  del  índice sintético de calidad educativa (ISCE) en el nivel de básica secundaria.</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</si>
  <si>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</si>
  <si>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</si>
  <si>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Capacitación y Lógistica, para el  mejoramiento  del  índice sintético de calidad educativa (ISCE) en el nivel de básica media</t>
  </si>
  <si>
    <t>Educación, Ambientes Escolares y Cultura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</si>
  <si>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</si>
  <si>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</si>
  <si>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</si>
  <si>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</si>
  <si>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</si>
  <si>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</si>
  <si>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</si>
  <si>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Diseñar y ejecutar treinta (30)  proyectos educativos institucionales resignificados en el contexto de la paz y la jornada única</t>
  </si>
  <si>
    <t>Proyectos educativos institucionales diseñados y ejecutados</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</si>
  <si>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</si>
  <si>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</si>
  <si>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</si>
  <si>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Numero de instituciones con estrategia de escuela de padres diseñada e implementada</t>
  </si>
  <si>
    <t>Diseñar e implementar la estrategia Escuela de Padres</t>
  </si>
  <si>
    <t xml:space="preserve">Acompañamiento a la instituciones educativas  para la implementación de la escuela de padres </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</si>
  <si>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</si>
  <si>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</si>
  <si>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</si>
  <si>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</si>
  <si>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 xml:space="preserve">
SGP Prestación de Servicios Educación</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</si>
  <si>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</si>
  <si>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</si>
  <si>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</si>
  <si>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</si>
  <si>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Dotación de implementos de mitigación, prevencion y atención del riesgo para el fortalecimiento del Plan Escolar de Gestión del Riesgo (PEGER)</t>
  </si>
  <si>
    <t>0314 - 5 - 3 1 3 6 20 1 90 - 20</t>
  </si>
  <si>
    <t>Clasificación de residuos peligrosos en instituciones educativas</t>
  </si>
  <si>
    <t>Realizar ocho (8) eventos académicos, investigativos y culturales</t>
  </si>
  <si>
    <t>Número de eventos realizados</t>
  </si>
  <si>
    <t>0314 - 5 - 3 1 3 6 20 1 90 - 88</t>
  </si>
  <si>
    <t>Encuentro Cultural de Étnoeducación</t>
  </si>
  <si>
    <t>1404 - 5 - 3 1 3 6 20 1 90 - 21</t>
  </si>
  <si>
    <t>Feria Concetar TIC</t>
  </si>
  <si>
    <t>1404 - 5 - 3 1 3 6 20 1 90 - 25</t>
  </si>
  <si>
    <t xml:space="preserve">Festival de Literatura y Escritura
</t>
  </si>
  <si>
    <t xml:space="preserve">Implementar el  programa de  jornada única con el acceso y permanencia de veinte mil (20.000) estudiantes </t>
  </si>
  <si>
    <t>Numero de estudiantes en el programa jornada única</t>
  </si>
  <si>
    <t>Implementar el programa de jornada única</t>
  </si>
  <si>
    <t>Coordinación del programa de Jornada Unica con el acompañamiento de los  rectores de las Instituciones Educativas focalizadas</t>
  </si>
  <si>
    <t xml:space="preserve">Mantener, adecuar y/o construir la infraestructura ciento treinta (130) sedes de las instituciones educativas  </t>
  </si>
  <si>
    <t>Numero de sedes mantenidas, adecuadas y/o construidas</t>
  </si>
  <si>
    <t>Mejorar las condiciones de infraestructura y de elementos pedagógicos para la implementación de la jornada única y ambientes escolares para la Paz</t>
  </si>
  <si>
    <t>Tranferencia de Recursos para Pequeñas Intervenciones en las Instituciones Educativas del Departamento.</t>
  </si>
  <si>
    <t>Levantamiento de planos para determinar necesidades en la adecuación y/o construcción de pequeñas intervenciones en infraestructura de las sedes educativas</t>
  </si>
  <si>
    <t xml:space="preserve">Apoyo para formulación de proyectos de infraestructura educativa </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</si>
  <si>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</si>
  <si>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</si>
  <si>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</si>
  <si>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</si>
  <si>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 xml:space="preserve">SGP Educacion </t>
  </si>
  <si>
    <t>Implementar la jornada complementaria y/o unica que articule arte,deporte y cultura, en seis (6) municipios declarados en el sistema de alertas tempranas de la defensoría del pueblo</t>
  </si>
  <si>
    <t>Municipios declarados en el sistema de alertas tempranas con jormada complementaria y/o única</t>
  </si>
  <si>
    <t>Implementar jornada complementaria y/o única que articule arte, cultura y deporte.</t>
  </si>
  <si>
    <t>Implementación jornada complementaria y/o única que articule arte, cultura y deporte.</t>
  </si>
  <si>
    <t>Plan Departamental del Lectura y Escritura</t>
  </si>
  <si>
    <t xml:space="preserve">Implementar el programa "pásate a la biblioteca"  en treinta y seis (36)  instituciones educativas </t>
  </si>
  <si>
    <t>Número de instituciones educativas con programa "pásate a la biblioteca" implementado</t>
  </si>
  <si>
    <t>201663000-0091</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</si>
  <si>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</si>
  <si>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</si>
  <si>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</si>
  <si>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Fortalecimiento del programa EN Literatuta y Escritura</t>
  </si>
  <si>
    <t xml:space="preserve">Dotar ciento cuarenta (140) sedes educativas con la colección semilla </t>
  </si>
  <si>
    <t xml:space="preserve"> Dotar sedes educativas del Departamento del Quindío con la colección semilla</t>
  </si>
  <si>
    <t>Adquisiciíon Colección Semilla</t>
  </si>
  <si>
    <t>Número de sedes educativas dotadas</t>
  </si>
  <si>
    <t>0314 - 5 - 3 1 3 6 21 1 91 - 20</t>
  </si>
  <si>
    <t>Apoyar los  procesos de capacitación  de quinientos (500) docentes del departamento</t>
  </si>
  <si>
    <t>Número de docentes apoyados</t>
  </si>
  <si>
    <t>0314 - 5 - 3 1 3 6 21 1 91 - 88</t>
  </si>
  <si>
    <t>Apoyar los  procesos de capacitación  de docentes de instituciones educativas del departamento del quindío en estrategias de lectura y escritura</t>
  </si>
  <si>
    <t>Apoyo procesos de capacitación de docentes en   Inglés,  Español y Literatura,  Convivencia Escolar,  PRAES</t>
  </si>
  <si>
    <t>1404 - 5 - 3 1 3 6 21 1 91 - 21</t>
  </si>
  <si>
    <t xml:space="preserve">Realizar seis (6)  festivales o encuentros de literatura y escritura el departamento </t>
  </si>
  <si>
    <t>Número de festivales o encuentros realizados</t>
  </si>
  <si>
    <t>Realizar festivales o encuentros de literatura y escritura dirigidos a estudiantes y docentes de instituciones educativas del  departamento del Quindío</t>
  </si>
  <si>
    <t xml:space="preserve">Realización de festivales de Literatura y Escritura  en las Instituciones Educativas del Departamento
</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</si>
  <si>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</si>
  <si>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</si>
  <si>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</si>
  <si>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</si>
  <si>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</si>
  <si>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</si>
  <si>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</si>
  <si>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</si>
  <si>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Ordinarios</t>
  </si>
  <si>
    <t>0314 - 5 - 3 1 3 6 22 1 93 - 20</t>
  </si>
  <si>
    <t>0314 - 5 - 3 1 3 6 22 1 93 - 88</t>
  </si>
  <si>
    <t>Acompañamiento y seguimiento en las acciones de mejora en aspectos contables financieros y presupuestales de las IE del departamento del Quindio</t>
  </si>
  <si>
    <t>Pertinencia e Innovación</t>
  </si>
  <si>
    <t>Quindío Bilingüe</t>
  </si>
  <si>
    <t>Apoyar cincuenta y cinco (55) docentes licenciados en lenguas modernas formados en ingles con  dominio B2</t>
  </si>
  <si>
    <t>Numero de docentes apoyados en formación en ingles con dominio B2</t>
  </si>
  <si>
    <t>201663000-0094</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</si>
  <si>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</si>
  <si>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</si>
  <si>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</si>
  <si>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Capacitar docentes licenciados en lenguas modernas, en competencias linguisticas y medtodologia de la enseñanza del ingles</t>
  </si>
  <si>
    <t>Cualificar la formación de ciento cincuenta (150) docentes de preescolar y básica primaria en inglés con dominio A2 y B1 y metodología para la enseñanza</t>
  </si>
  <si>
    <t>Numero de docentes de preescolar y básica primaria formados</t>
  </si>
  <si>
    <t>Capacitar docentes de  preescolar y básica primaria con dominio A2 y B1 en inglés</t>
  </si>
  <si>
    <t>capacitar docentes de preescolar y básica primaria, en competencias linguisticas y medtodologia de la enseñanza del ingles</t>
  </si>
  <si>
    <t>Iniciar el proceso de bilinguismo  en niños  entre pre-escolar - quinto grado de primaria de colegios públicos en seis (6) municipios</t>
  </si>
  <si>
    <t>Número de Municipio con Bilinguismo</t>
  </si>
  <si>
    <t>Implementar un curriculo de preescolar a grado quinto con docentes en lengua extranjera ingles en isticuiones educativas</t>
  </si>
  <si>
    <t>Dotar cincuenta y cuatro (54) instituciones educativas con herramientas audiovisuales para la enseñanza del ingles</t>
  </si>
  <si>
    <t>Número de instituciones educativas dotadas</t>
  </si>
  <si>
    <t>Dotar insitituciones educativas con herramientas audiovisuales</t>
  </si>
  <si>
    <t>Adquisición herramientas audiovisuales para la enseñanza del Inglés</t>
  </si>
  <si>
    <t>Realizar siete (7)  concursos  para evaluar las competencias comunicativas en ingles de los estudiantes</t>
  </si>
  <si>
    <t>Número de concursos en inglés realizados</t>
  </si>
  <si>
    <t>Realizar actividades de evaluación de competencias comunicativas en inglés a estudiantes</t>
  </si>
  <si>
    <t xml:space="preserve">Concurso de Deletreo Inglés
</t>
  </si>
  <si>
    <t>Fortalecimiento de la Media Técnica</t>
  </si>
  <si>
    <t>Desarrollar doce (12) talleres para docentes en el uso de las TICs</t>
  </si>
  <si>
    <t>Número de talleres desarrollados</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</si>
  <si>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</si>
  <si>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</si>
  <si>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</si>
  <si>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</si>
  <si>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Apoyo  a docentes de las Instituciones Educativas,  en el  Uso y Apropiacion de TICs  y Redes LAN</t>
  </si>
  <si>
    <t>Fortalecer cincuenta (50)   instituciones educativas en competencias básicas</t>
  </si>
  <si>
    <t>Número de instituciones educativas fortalecidas</t>
  </si>
  <si>
    <t xml:space="preserve">0314 - 5 - 3 1 3 7 24 1 95 - 20
0314 - 5 - 3 1 3 7 24 1 95 - 88_x000D_
</t>
  </si>
  <si>
    <t>Capacitación y Logistica, Talleres de Referentes, Planeación Curricular, Evaluación de los Aprendizajes</t>
  </si>
  <si>
    <t>superavit ordinario</t>
  </si>
  <si>
    <t>Fortalecer cuarenta y siete (47) instituciones educativas con el programa de articulación con la educación superior y Educacion para el Trabajo y Desarrollo  Humano ETDH</t>
  </si>
  <si>
    <t>Atención estudiantes de educación media de las Instituciones Educativas Oficiales del Departamento, en programas de nivel técnico  profesional</t>
  </si>
  <si>
    <t>Implementar un Programa de Alimentación Escolar Universitario PAEU para estudiantes universitarios</t>
  </si>
  <si>
    <t>Programa PAEU implementado</t>
  </si>
  <si>
    <t>Implementación  Programa de Alimentación Escolar Universitario PAEU para estudiantes universitarios</t>
  </si>
  <si>
    <t>Implementar el programa de acceso y permanencia de la educación técnica, tecnologica y superior en el departamento del Quindío</t>
  </si>
  <si>
    <t>Programa Implementado</t>
  </si>
  <si>
    <t xml:space="preserve">0314 - 5 - 3 1 3 7 24 1 122 - 20_x000D_
0314 - 5 - 3 1 3 7 24 1 122 - 35_x000D_
0314 - 5 - 3 1 3 7 24 1 122 - 88
</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</si>
  <si>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</si>
  <si>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</si>
  <si>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</si>
  <si>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 xml:space="preserve">Recurso MOnopolio
</t>
  </si>
  <si>
    <t xml:space="preserve">Recurso Ordinadio
</t>
  </si>
  <si>
    <t>Aportes ente territorial para la infraestructura en educación superior</t>
  </si>
  <si>
    <t>Pago cuota compraventa bien inmueble Institucion Educativa San Jose de Circasia ordenanzas 035 de 2010,047 de 2010 y 020 de 2011</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</si>
  <si>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</si>
  <si>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</si>
  <si>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</si>
  <si>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</si>
  <si>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0314 - 5 - 3 1 3 8 25 1 96 - 20</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</si>
  <si>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</si>
  <si>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</si>
  <si>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</si>
  <si>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</si>
  <si>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</si>
  <si>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</si>
  <si>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Número de instituciones educativas con proceso presupuestal y financiero integrado creado e implementado</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</si>
  <si>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</si>
  <si>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</si>
  <si>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</si>
  <si>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</si>
  <si>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Número de sedes educativas implementadas y/o mejoradas</t>
  </si>
  <si>
    <t xml:space="preserve">0314 - 5 - 3 1 3 8 26 1 97 - 20_x000D_
0314 - 5 - 3 1 3 8 26 1 97 - 88_x000D_
1404 - 5 - 3 1 3 8 26 1 97 - 25_x000D_
</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</si>
  <si>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</si>
  <si>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</si>
  <si>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</si>
  <si>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</si>
  <si>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</si>
  <si>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 xml:space="preserve">SGP EDUCACIÓN
</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</si>
  <si>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</si>
  <si>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</si>
  <si>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</si>
  <si>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1400 - 5 - 3 1 3 8 27 1 98 25</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</si>
  <si>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</si>
  <si>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</si>
  <si>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</si>
  <si>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</si>
  <si>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</si>
  <si>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</si>
  <si>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</si>
  <si>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</si>
  <si>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 xml:space="preserve">0314 - 5 - 3 1 3 8 28 1 100 - 20
</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</si>
  <si>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</si>
  <si>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</si>
  <si>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</si>
  <si>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</si>
  <si>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</si>
  <si>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</si>
  <si>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</si>
  <si>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</si>
  <si>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</si>
  <si>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Atención Integral a la Primera Infancia</t>
  </si>
  <si>
    <t xml:space="preserve">Educación Inicial Integral </t>
  </si>
  <si>
    <t>Implementar  un (1)  programa de educación integral  a la primera infancia</t>
  </si>
  <si>
    <t>Programa implementado</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</si>
  <si>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</si>
  <si>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</si>
  <si>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</si>
  <si>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</si>
  <si>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Adquisición de  Kits Escolares para los estudiantes de los grados de Preescolar en sedes educativas oficiales del Departamento</t>
  </si>
  <si>
    <t>Apoyo para el programa de educación inicial en las instiuciones educativas oficiales del Departamento</t>
  </si>
  <si>
    <t>FRANCISICO JAVIER LOPEZ SEPULVEDA</t>
  </si>
  <si>
    <t>SECRETARIO DE EDUCACION DEPARTAMENTAL</t>
  </si>
  <si>
    <t xml:space="preserve">PROGRAMACION PLAN DE ACCIÓN 
 SECRETARIA DE SALUD
III TRIMESTRE  2019
</t>
  </si>
  <si>
    <t xml:space="preserve"> INCLUSION SOCIAL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</si>
  <si>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</si>
  <si>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</si>
  <si>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No</t>
  </si>
  <si>
    <t>201663000-0132</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</si>
  <si>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</si>
  <si>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</si>
  <si>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</si>
  <si>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</si>
  <si>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Fondo Local de Salud - SGP (61)
Superávit SGP Salud Pública (98)</t>
  </si>
  <si>
    <t>N/A</t>
  </si>
  <si>
    <t>Cesar Augusto Rincón Zuluaga
Secretario de Salud</t>
  </si>
  <si>
    <t>Divulgación de las políticas, normas y procedimientos, brindando la asesoría pertinente para promover el cumplimiento de la reglamentación con miras a la protección de la salud, en  programas institucionales.</t>
  </si>
  <si>
    <t>Actualización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</si>
  <si>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</si>
  <si>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</si>
  <si>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Implementar sistema de informacion que permita programar y priorizar las accciones de Inspeccion, Vigilancia y Control con enfoque de reisgo en alimentos y bebidas.</t>
  </si>
  <si>
    <t>Articular con el laboratorio departamental de salud publica (LDSP) la programacion y ejecucion de la toma de muestras de alimetnos y bebidas.</t>
  </si>
  <si>
    <t xml:space="preserve">Ejecutar el plan decenal de lactancia materna </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</si>
  <si>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</si>
  <si>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</si>
  <si>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Realizar acompañamiento a la promocion proteccion y apoyo de la lactancia materna en el marco de la celebracion de la semana muncial de la lactancia materna y del dia mundial de la alimentacion . </t>
  </si>
  <si>
    <t xml:space="preserve">Realizar acompañamiento al proceso de certificacion  de la estrategia IAMI en 11 IPS públicas del departamento. </t>
  </si>
  <si>
    <t>Realizar consolidacion del indicador de lactancia materna exclusiva año 2016-2019.</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</si>
  <si>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</si>
  <si>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</si>
  <si>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Fortalecer la  atencion nutricional en poblaciones indigenas del departamento.</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</si>
  <si>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</si>
  <si>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</si>
  <si>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seguimiento a la implementación de la ruta de atención integral a la desnutrición en menores de 5 años en poblaciones vulnerables etnias del departamento.</t>
  </si>
  <si>
    <t>Realizar vigilancia en establecmientos educativos en el marco del programa de alimentacion escolar PAE y en poblaciones vulnerables.</t>
  </si>
  <si>
    <t>Realizar seguimiento a la implementacion de la Resolucion 5406/2015 y 2465/2016.</t>
  </si>
  <si>
    <t>Realizar acompañamiento en la implementacion en guías alimentarias basadas en alimentos y estilos de vida saludable.</t>
  </si>
  <si>
    <t>Realizar capacitación en guías alimentarias basadas en alimentos y estilos de vida saludable.</t>
  </si>
  <si>
    <t>Salud Pública para un Quindío saludable y posible</t>
  </si>
  <si>
    <t>Salud ambiental</t>
  </si>
  <si>
    <t>Formular, aprobar y divulgar  la Política Integral de Salud Ambiental (PISA)</t>
  </si>
  <si>
    <t>1803 - 5 - 3 1 3 12 36 2 133 - 61
1803 - 5 - 3 1 3 12 36 2 133 - 98</t>
  </si>
  <si>
    <t>201663000-0133</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</si>
  <si>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</si>
  <si>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</si>
  <si>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</si>
  <si>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Realizar actividades de caracterización y educación sanitaria y ambiental en el marco de la implementacion de la estrategia entornos saludables, en los entornos de viviendas, educativos y comunitarios con el abordaje integral de las políticas, normas y procedimientos relacionados con la prevencion vigilancia y control de factores de riesgo de la salud</t>
  </si>
  <si>
    <t>Fondo Local de Salud - SGP  (61)
Superavit SGP Salud Pública (98)</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</si>
  <si>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</si>
  <si>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</si>
  <si>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Generar  espacios  intersectoriales  para  la  construccion y actualizacion de los mapas de riesgo de calidad de agua de consumo humano  deacuerdo a la Resolución 4716 de 2010)</t>
  </si>
  <si>
    <t>Mantener  en 11 municipios de competencia departamental la vigilancia en los sistemas de potabilizacion, mediante la  de la aplicación de buenas practicas sanitarias y reporte de muestras de agua potable.</t>
  </si>
  <si>
    <t>Realizar analisis de la persistencia y aparicion de factores de riesgo en las fuentes abastecedoras con el fin de generar la actualizacion anual de los mapas de riesgo de calidad de agua para consumo humano</t>
  </si>
  <si>
    <t>Sexualidad, derechos sexuales y reproductivos</t>
  </si>
  <si>
    <t>Lograr que ocho (8) municipios del departamento operen el sistema de vigilancia en salud pública de la violencia intrafamiliar.</t>
  </si>
  <si>
    <t>1803 - 5 - 3 1 3 12 37 2 134 - 61
1803 - 5 - 3 1 3 12 37 2 134 - 98</t>
  </si>
  <si>
    <t>201663000-0134</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</si>
  <si>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</si>
  <si>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</si>
  <si>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</si>
  <si>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Desarrollar acciones de fortalecimiento de capacidades del talento humano protección y justicia en la estrategia de abordaje integral de las violencias de género y violencias sexuales y normatividad vigente. </t>
  </si>
  <si>
    <t>Fondo Local de Salud - SGP (61)
Superávit  Fondo Local de Salud - SGP (98)</t>
  </si>
  <si>
    <t>Realizar asistencia técnica y evaluación a la gestión del riesgo en salud de las EAPB y ESE en el abordaje integral de las violencias de género y violencias sexuales.</t>
  </si>
  <si>
    <t>Analizar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t>
  </si>
  <si>
    <t>Desarrollar y realizar seguimiento al plan de acción del Comité Departamental consultivo  intersectorial e interinstitucional para el abordaje integral de las violencias de género y violencias sexuales en niños, niñas y adolescentes (Resolución 587 del 14 agosto del 2018)</t>
  </si>
  <si>
    <t>Desarrollar acciones articuladas intersectorialmente en los doce (12) municipios del departamento, con enfoque de derechos en colectivos LGTBI, jóvenes, mujeres gestantes adolescentes.</t>
  </si>
  <si>
    <t>Desarrollar acciones de fortalecimiento de capacidades del talento humano, en la estrategia de acceso universal a la prevención y atención integral en IT-VIH/SIDA.</t>
  </si>
  <si>
    <t>Realizar asistencia técnica y evaluación a la gestión del riesgo en salud de las EAPB, ESE y Programas regulares en la estrategia de acceso universal a la prevención y atención integral en IT-VIH/SIDA.</t>
  </si>
  <si>
    <t>Analizar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</si>
  <si>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</si>
  <si>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</si>
  <si>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</si>
  <si>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</si>
  <si>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</si>
  <si>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</si>
  <si>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</si>
  <si>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</si>
  <si>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</si>
  <si>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</si>
  <si>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</si>
  <si>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</si>
  <si>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</si>
  <si>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</si>
  <si>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</si>
  <si>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Desarrollar acciones de fortalecimiento de capacidades del talento humano, en la Estrategia Nacional de Servicios de Salud Amigables para Adolescentes y Jóvenes, rutas de atención diferenciada, redes sociales, comunitarias y veedurías juveniles.</t>
  </si>
  <si>
    <t xml:space="preserve">Realizar asistencia técnica y evaluación a las ESE de primer nivel en la Estrategia Nacional de Servicios de Salud Amigables para Adolescentes y Jóvenes, rutas de atención diferenciada, redes sociales, comunitarias y veedurías juveniles. </t>
  </si>
  <si>
    <t>Desarrollar y realizar seguimiento al plan de acción del comité departamental de sexualidad, derechos sexuales y reproductivos. (Resolución 533 del 02 junio del 2015)</t>
  </si>
  <si>
    <t>Realizar asistencia técnica y evaluación a las 12 Secretarias de salud municipales en la Dimensión de sexualidad, derechos sexuales y reproductivos.</t>
  </si>
  <si>
    <t>Desarrollar y realizar seguimiento al  Plan de acción del subcomité departamental de promoción y prevención de las ITS-VIH/SIDA (Resolución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</si>
  <si>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</si>
  <si>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</si>
  <si>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1803 - 5 - 3 1 3 12 38 2 135 - 98</t>
  </si>
  <si>
    <t>201663000-0135</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</si>
  <si>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</si>
  <si>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</si>
  <si>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</si>
  <si>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Asistencia técnica a la Universidad del Quindío en la implementación de las zonas de orientación universitaria y el modelo de inclusión social.</t>
  </si>
  <si>
    <t>Definición de líneas operativas y prioridades a seguir para el plan de intervenciones colectivas, bajo lineamientos del plan de salud territorial, de la dimensión de convivencia social y salud mental.</t>
  </si>
  <si>
    <t>Formación y capacitación al personal de las IPS, EPS, Planes locales de Salud y entidades que desarrollan acciones encaminadas a la atención de la salud mental con énfasis en MH - GAP y estrategia treanet</t>
  </si>
  <si>
    <t>Realizar el III seminario de actualización en investigación, prevención y atención de la conducta suicida, en el marco de la formulación de la Política en Salud Mental</t>
  </si>
  <si>
    <t>Realizar mesas de trabajo con la sociedad civil, EPS, Médicos especialistas en psiquiatría, para la implementación de los protocolos atención del espectro autista, así como la socialización de las guías de atención en depresión, consumo de alcohol, esquizofrenia.</t>
  </si>
  <si>
    <t>Realizar mesas de trabajo  EPS,  para la socialización de las guías de atención en salud mental y spa, coberturas en salud mental (ley 1438 del 2011, resolución 5592 del 2015, ley 1616 del 2013, ley 1566 del 2012, rutas de atención, política actual de drogas y atención integral a víctimas de violencia) entre otros.</t>
  </si>
  <si>
    <t>Realizar monitoreo y seguimiento a los casos notificados en el SIVIGILA en los eventos de interés  en salud pública y de competencia directa de la Dimensión de convivencia social y salud mental.</t>
  </si>
  <si>
    <t>Realizar acompañamiento a la mesa de trabajo del programa de habitante de calle, para la formulación de la política pública según ley 1641 del 2013.</t>
  </si>
  <si>
    <t>Realizar mesas de coordinación, organización y operativización del comité departamental de reducción del consumo de sustancias psicoactivas - ordenanza 051 del 2010 y apoyo  técnico a la secretaria del interior en el consejo seccional de estupefaciente</t>
  </si>
  <si>
    <t>Adoptar e implementar el modelo de Atención primaria en Salud Mental (APS) en todos los municipios Quindiano</t>
  </si>
  <si>
    <t>Establecer lineamientos de planificación en la Atención primaria en Salud Mental (APS) en todos los municipios Quindiano</t>
  </si>
  <si>
    <t>Realizar asistencia técnica a la universidad del Quindío en la implementación de las zonas de orientación universitaria y el modelo de inclusión social.</t>
  </si>
  <si>
    <t>Realizar formación y capacitación a orientadores escolares del departamento del Quindío, en normatividad actual, rutas de atención y protocolos de vigilancia en la Dimensión de Convivencia Social y Salud Mental.</t>
  </si>
  <si>
    <t>Realizar formación y capacitación a las familias y cuidadores de personas diagnosticadas con esquizofrenia en conjunto con la Asociación Colombiana de Esquizofrenia</t>
  </si>
  <si>
    <t>Brindar asesoría, asistencia técnica y realizar acciones de vigilancia y monitoreo  a los entes municipales en la línea  de convivencia social y salud mental (violencia, conducta suicida, entre otros)</t>
  </si>
  <si>
    <t>Realizar mesas de trabajo de asesoría y asistencia técnica  con  EPS, en normatividad vigente en salud mental, convivencia social, rutas de atención y seguimiento a casos</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</si>
  <si>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</si>
  <si>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</si>
  <si>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Brindar asesoría, asistencia técnica y realizar acciones de vigilancia y monitoreo a las instituciones que cuentan con programas ambulatorios de mantenimiento con método de baja y mediana complejidad, en el departamento del Quindío.</t>
  </si>
  <si>
    <t>Asistencia técnica y  seguimiento a la notificación del sistema único de indicadores de centros de atención a la drogadicción (SUICAD).</t>
  </si>
  <si>
    <t>Mesas de trabajo con usuarios y sus familias de los diferentes programas de sustitución con metadona.</t>
  </si>
  <si>
    <t>Coordinación y organización de las mesas técnicas intersectoriales para los ajustes y adaptación del Plan Nacional Para la Promoción de la Salud, la Prevención, y la Atención del Consumo de Sustancias Psicoactivas 2014 - 2021.</t>
  </si>
  <si>
    <t>Formación y capacitación al personal de las IPS, EPS, Planes locales de Salud y entidades que desarrollan acciones encaminadas a la implementación del modelo de inclusión social de base comunitaria (zonas de orientación universitaria y centros de escucha), primer ciclo de formación en atención primaria en salud mental y spa.</t>
  </si>
  <si>
    <t>Estilos de vida saludable y condiciones no-transmisibles</t>
  </si>
  <si>
    <t>Implementar la estrategia  denominada "Cuatro por cuatro" para la promoción de la alimentación saludable</t>
  </si>
  <si>
    <t>1803 - 5 - 3 1 3 12 39 2 138 - 61
1803 - 5 - 3 1 3 12 39 2 138 - 96</t>
  </si>
  <si>
    <t>201663000-0138</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</si>
  <si>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</si>
  <si>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</si>
  <si>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</si>
  <si>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</si>
  <si>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</si>
  <si>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la implementación de  la estrategia Tiendas escolares Saludables de 11 municipios de competencia departamental y hacer el respectivo seguimiento.</t>
  </si>
  <si>
    <t>Realizar asistencia técnica a los Planes Locales de Salud en la gestión intersectorial para la promoción de estilos de vida saludables (alimentación saludable, actividad física, alcohol y cigarrillo) en los diferentes entornos educativo, laboral y comunitario.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</si>
  <si>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</si>
  <si>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</si>
  <si>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</si>
  <si>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</si>
  <si>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</si>
  <si>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</si>
  <si>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</si>
  <si>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</si>
  <si>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</si>
  <si>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Aportar las evidencias que permitan la identificación en la gestión del riesgo en la oportunidad del tratamiento del paciente como complemento en la realización de unidades de análisis de las muertes de interés en salud pública convocadas por Sivigila,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</si>
  <si>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</si>
  <si>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</si>
  <si>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</si>
  <si>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
0318 - 5 - 3 1 3 12 40 2 139 - 20
1803 - 5 - 3 1 3 12 40 2 139 - 161</t>
  </si>
  <si>
    <t>201663000-0139</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</si>
  <si>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</si>
  <si>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</si>
  <si>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</si>
  <si>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</si>
  <si>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 xml:space="preserve">Fondo Local de Salud - SGP (61)
Recursos propios
(20)
Superavit Resoluciones Vigencias Anteriores
(161) 
</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</si>
  <si>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</si>
  <si>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</si>
  <si>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</si>
  <si>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</si>
  <si>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</si>
  <si>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el abastecimiento permanente de las vacunas e insumos del PAI, según los lineamientos del programa ampliado de inmunizaciones.</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</si>
  <si>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</si>
  <si>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</si>
  <si>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</si>
  <si>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</si>
  <si>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1803 - 5 - 3 1 3 12 40 2 141 - 111
1803 - 5 - 3 1 3 12 40 2 141 - 61
1803 - 5 - 3 1 3 12 40 2 141 - 20
1803 - 5 - 3 1 3 12 40 2 141 - 107
1803 - 5 - 3 1 3 12 40 2 141 - 147</t>
  </si>
  <si>
    <t>201663000-0141</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</si>
  <si>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</si>
  <si>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</si>
  <si>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</si>
  <si>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</si>
  <si>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Res. 781/15 Prev. y control enfermedades por Vect
Fondo Local de Salud - SGP
Superavit Res. 781/15 Prev. y control enfermedades por Vect
Superavit Res. 2311/2017 MSPS -Vectores 
Recurso Ordinario</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</si>
  <si>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</si>
  <si>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</si>
  <si>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</si>
  <si>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</si>
  <si>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</si>
  <si>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</si>
  <si>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</si>
  <si>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</si>
  <si>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</si>
  <si>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</si>
  <si>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</si>
  <si>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</si>
  <si>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201663000-0142</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</si>
  <si>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</si>
  <si>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</si>
  <si>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</si>
  <si>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y seguimiento al programa de tuberculosis y lepra dirigida a: Planes Locales de Salud, Ips publicas y Privadas, EAPB, laboratorios adscritos a la red publica y privada de los 12 municipios del departamento.</t>
  </si>
  <si>
    <t>Fondo Local de Salud - SGP
Aportes Nación Tuberculosis
Aportes Nacion lepra </t>
  </si>
  <si>
    <t>Realizar capacitaciones al personal asistencial de las IPS en el programa de tuberculosis y lepra en el departamento.</t>
  </si>
  <si>
    <t>1803 - 5 - 3 1 3 12 40 2 142 - 113</t>
  </si>
  <si>
    <t>Realizar el análisis e intervención a los casos especiales de farmacorresistencia del programa de tuberculosis. " CERCET" Comite Evaluador  Regional de Casos Especiales de Tuberculosis.</t>
  </si>
  <si>
    <t>1803 - 5 - 3 1 3 12 40 2 142 - 114</t>
  </si>
  <si>
    <t>Acompañar la vigilancia de cumplimiento a guías, lineamientos y protocolos  en tuberculosis y lepra</t>
  </si>
  <si>
    <t>1803 - 5 - 3 1 3 12 40 2 142 - 61</t>
  </si>
  <si>
    <t>Coordinar acciones para la gestión intersectorial</t>
  </si>
  <si>
    <t>Realizar mesas técnicas para la gestión del compromiso político, en la protección social y sistemas de apoyo de pacientes con tuberculosis y lepra.</t>
  </si>
  <si>
    <t>1803 - 5 - 3 1 3 12 40 2 142 - 98</t>
  </si>
  <si>
    <t>hacer seguimiento a la implementacion y ejecucion de  los nuevos planes estratégicos de tuberculosis y lepra en los 12 municipios.</t>
  </si>
  <si>
    <t>Realizar campañas de prevención y atención integral en afectados por tuberculosis</t>
  </si>
  <si>
    <t>realizar capacitaciónes dirigida a personas líderes,   para ser formadas como agentes comunitarios TB/VIH,</t>
  </si>
  <si>
    <t>Gestión de la prestación de los servicios en prevención y atención integral centrada en los afectados por tuberculosis y lepra. (rondas medicas, visita a pacientes).</t>
  </si>
  <si>
    <t>Realizar actividades de promoción y prevención implementadas para la comunidad y grupos focalizados en tuberculosis y lepra en los 12 municipios del departamento. ( rondas medicas, busqueda de sintomaticos respiratorios y de piel, movilizaciones, talleres, sensibilizaciones , etc)</t>
  </si>
  <si>
    <t>Salud publica en emergencias y desastres</t>
  </si>
  <si>
    <t>Realizar catorce (14) simulacros de atención a emergencias en la Red Pública Hospitalaria</t>
  </si>
  <si>
    <t>1803 - 5 - 3 1 3 12 41 2 143 - 61
1803 - 5 - 3 1 3 12 41 2 143 - 98</t>
  </si>
  <si>
    <t>201663000-0143</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</si>
  <si>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</si>
  <si>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</si>
  <si>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</si>
  <si>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</si>
  <si>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SGP Salud Pública
Superavit SGP Salud Pública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</si>
  <si>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</si>
  <si>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</si>
  <si>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</si>
  <si>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</si>
  <si>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</si>
  <si>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</si>
  <si>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</si>
  <si>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</si>
  <si>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</si>
  <si>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</si>
  <si>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1803 - 5 - 3 1 3 12 42 2 145 - 61</t>
  </si>
  <si>
    <t>201663000-0145</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</si>
  <si>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</si>
  <si>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</si>
  <si>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</si>
  <si>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</si>
  <si>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SGP Salud Pública</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</si>
  <si>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</si>
  <si>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</si>
  <si>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</si>
  <si>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</si>
  <si>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</si>
  <si>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</si>
  <si>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</si>
  <si>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</si>
  <si>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</si>
  <si>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</si>
  <si>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</si>
  <si>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</si>
  <si>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</si>
  <si>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</si>
  <si>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</si>
  <si>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</si>
  <si>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</si>
  <si>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</si>
  <si>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</si>
  <si>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Fondo Local de Salud - SGP
Recurso Ordinario
Superávit  - SGP Salud Pública
Fondo de Estupefacientes
Superávit Fondo de Estupefacientes</t>
  </si>
  <si>
    <t>Análisis y seguimiento al comportamiento de los eventos por intoxicaciones de sustancias químicas y enfermedad diarreica aguda (EDAS), generada por el Sistema de Vigilancia y fuentes externas. realizando  asistencia técnica  a los actores de vigilancia en salud publica  en el departamento.</t>
  </si>
  <si>
    <t>Realizar seguimiento al proceso de gestion del riesgo indicvidual frente a las acciones de proteccion especifica y deteccion temprana desde el reporte del anexo tecnico de la resolucion 4505 de 2012 y el cumplimiento de la resolucion 3280 de 2018</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</si>
  <si>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</si>
  <si>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</si>
  <si>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</si>
  <si>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 xml:space="preserve">Realizar inspección vigilancia y control de las condiciones de seguridad,  higiénico sanitarias y ambientales a los objetos de interes comercial, tales que manejen sustancias químicas y residuos peligrosos con riesgo biologico, incluyendo los objetos de interes en saneamiento básico, </t>
  </si>
  <si>
    <t xml:space="preserve">Consolidar y desarrollar  el sistema de inspección vigilancia y control (SIVC)  en 150 establecimientos farmacéuticos del departamento. </t>
  </si>
  <si>
    <t>0318 - 5 - 3 1 3 12 43 2 146 - 20</t>
  </si>
  <si>
    <t>Realizar inspección  vigilancia y control para verificar las condiciones técnicas, higiénico sanitarias locativas y de calidad a los establecimientos farmacéuticos en los 12 municipios del departamento del Quindío.</t>
  </si>
  <si>
    <t xml:space="preserve">Suministrar medicamentos de control especial- monopolio del estado a los establecimientos farmacéuticos autorizados. </t>
  </si>
  <si>
    <t>0318 - 5 - 3 1 3 12 43 2 146 - 98</t>
  </si>
  <si>
    <t>0318 - 5 - 3 1 3 12 43 2 146 - 99</t>
  </si>
  <si>
    <t>Adquisición de mobiliario, equipos tecnológicos, de telecomunicación y computo del Fondo Rotatorio de Estupefacientes</t>
  </si>
  <si>
    <t>1803 - 5 - 3 1 3 12 43 2 146 - 63</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</si>
  <si>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</si>
  <si>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</si>
  <si>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</si>
  <si>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</si>
  <si>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</si>
  <si>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</si>
  <si>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 xml:space="preserve">
1803 - 5 - 3 1 3 12 44 2 148 - 61
1803 - 5 - 3 1 3 12 44 2 148 - 98
</t>
  </si>
  <si>
    <t>201663000-0148</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</si>
  <si>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</si>
  <si>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</si>
  <si>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</si>
  <si>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infantil, reflejado  en el planteamiento y desarrollo de estrategias para promover  el cuidado y afecto familiar en el departamento del Quindío.</t>
  </si>
  <si>
    <t>SGP Salud Pública
Superávit  - SGP Salud Pública</t>
  </si>
  <si>
    <t>Sensibilización  Prevención sobre el delito de trata de personas en los  municipios del Departamento,</t>
  </si>
  <si>
    <t>Realizar actividades de intercambio intergeneracional promiviendo el envejecimeinto activo en los 11 Municipios del Departamento (2 escuelas, e colegios Vs CBA)</t>
  </si>
  <si>
    <t>Brindar capacitacion  a la poblacion indigena en seguridad alimentaria, eliminacion de barreras en Salud.</t>
  </si>
  <si>
    <t>Capacitar a EPS IPS en la gararantia de la adecuacion de los servicios  de salud con perspectiva de genero, con atencion humanizada y de calidad de acuerdo cpn las diferentes necesidades de hombre mujeres según edad, pertenencia etnica, discapacidad orientacion sexual e identidad de genero y de acuerdo a los diferentes factores q generen o aumenten la vulnerabilidad.</t>
  </si>
  <si>
    <t>Brindar capacitaciones en Deberes y Derechos en Salud a las poblaciones vulnerables personas mayores, afrocolombianos, niños niñas y adolescentes, victimas del conflicto, poblacion LGTBI, poblacion en proceso de reinsercion, indigenas, personas con discapacidad, habitante de calle.</t>
  </si>
  <si>
    <t>Implementar el  Programa de atención psicosocial y salud integral a víctimas del conflicto armado.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</si>
  <si>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</si>
  <si>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</si>
  <si>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</si>
  <si>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Asistencia al  Programa de Atención Psicosocial y Salud Integral a Víctimas PAPSIVI en los municipios objeto de atencion</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</si>
  <si>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</si>
  <si>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</si>
  <si>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</si>
  <si>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Realizar capacitaciones en deberes y derechos en salud a la ´poblacion Victima con enfoque diferencial.</t>
  </si>
  <si>
    <t>Apoyar el establecimiento  y coordinación  de  redes integradas  de servicios de información en  salud (acceso del sector salud a VIVANTO).</t>
  </si>
  <si>
    <t>Fortalecimiento de  la estrategia AIEPI en los 12 municipios del Departamento</t>
  </si>
  <si>
    <t>Consolidar los programas de atención a la primera infancia</t>
  </si>
  <si>
    <t>Realizar asistencia técnica, seguimiento, vigilancia y control del Programa Ampliado de Inmunizaciones en  los 12  Municipios  del departamento, con el fin de lograr coberturas útiles (95%).</t>
  </si>
  <si>
    <t>Realizar asistencia técnica, seguimiento, vigilancia y control del Programa de Prevención, Diágnostico, Manejo y Control de la Infección Respiratoria Aguda en los 12 municipios del departamento.</t>
  </si>
  <si>
    <t>Realizar articulacion con las EAPB, IPS y Planes Locales de Salud mediante mesas de trabajo para garantizar las intervenciones en salud de la Población Infantil del Departamento.</t>
  </si>
  <si>
    <t>Realizar asistencia técnica, seguimiento, vigilancia y control de la Estrategia de Atención a Enfermedades Prevalentes de La Infancia-AIEPI en  los 12  Municipios  del departamento.</t>
  </si>
  <si>
    <t>Realizar asistencia técnica, seguimiento, vigilancia y control de la Estrategia de Desparasitación Antihelmíntica Masiva en  los 12  Municipios  del departamento.</t>
  </si>
  <si>
    <t>Realizar la implementación de la Ruta de Promoción y Mantenimiento de la Salud  para el curso de vida de Primera Infancia en el departamento.</t>
  </si>
  <si>
    <t>Fortalecer en los doce (12) municipios del departamento los  comités municipales de discapacidad</t>
  </si>
  <si>
    <t>Fortalecer atención integral a poblaciones vulnerables</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</si>
  <si>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</si>
  <si>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</si>
  <si>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Realizar seguimiento a las EAPB para el cumplimiento de la Circular 016 del 2014 (exención de copagos y cuotas moderadoras) y la Circular 010 del 2015 (atención integral de salud para personas con discapacidad), resolucion 1904 (salud sexual y reproductiva PcD).</t>
  </si>
  <si>
    <t>Realizar jornadas de capacitación en normatividad vigente en torno a la población con discapacidad.</t>
  </si>
  <si>
    <t>realizar seguimiento  La EAPB, para la implementacion y cumplimiento de la Resolucion 583 de 2018, certificacion de Discapacidad</t>
  </si>
  <si>
    <t>Fortalecimiento de liderres comunitarios en la estrategia de Rehabilitacion Basada en la Comunidad en los municipios del Departamento del Quindio</t>
  </si>
  <si>
    <t xml:space="preserve">brindar asistencia tecnica para el fortalecimiento de los comites municipales de Discapacidad, dirigida  a los enlaces de discapacidad de los 12 municipios del Departamento. </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</si>
  <si>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</si>
  <si>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</si>
  <si>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</si>
  <si>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 xml:space="preserve">1803 - 5 - 3 1 3 12 45 2 150 - 61
1803 - 5 - 3 1 3 12 45 2 150 - 98_x000D_
</t>
  </si>
  <si>
    <t>201663000-0150</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</si>
  <si>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</si>
  <si>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</si>
  <si>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</si>
  <si>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</si>
  <si>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</si>
  <si>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</si>
  <si>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</si>
  <si>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Auditoria a 8  planes de mejoramiento instaurados con la red pública ejecutora del Plan de Intervenciones Colectivas.</t>
  </si>
  <si>
    <t>Planes de mejoramiento instaurados  de Intervenciones Colectivas.</t>
  </si>
  <si>
    <t>Realizar auditoria a los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</si>
  <si>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</si>
  <si>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</si>
  <si>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
0318 - 5 - 3 1 3 12 46 2 151 - 20
1803 - 5 - 3 1 3 12 46 2 151 - 96
0318 - 5 - 3 1 3 12 46 2 151 - 88
0318 - 5 - 3 1 3 12 46 2 151 - 98</t>
  </si>
  <si>
    <t>201663000-0151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</si>
  <si>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</si>
  <si>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</si>
  <si>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</si>
  <si>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</si>
  <si>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Fondo Local de Salud - SGP
Superávit Recurso Ordinario
Recurso ordinario 
Superávit SGP Salud Pública
Superavit Rentas Cedidas</t>
  </si>
  <si>
    <t>Compra de equipos de laboratorio</t>
  </si>
  <si>
    <t xml:space="preserve">Optimizar los procesos contractuales desde el LSP y  la DTS
</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</si>
  <si>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</si>
  <si>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</si>
  <si>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</si>
  <si>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</si>
  <si>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</si>
  <si>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</si>
  <si>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crear diez (10) y fortalecer noventa (90) Comités de Vigilancia 
Epidemiológica  Comunitaria 
(COVECOM) municipales.</t>
  </si>
  <si>
    <t>1803 - 5 - 3 1 3 12 46 2 152 - 61
1803 - 5 - 3 1 3 12 46 2 152 - 98</t>
  </si>
  <si>
    <t>201663000-0152</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</si>
  <si>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</si>
  <si>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</si>
  <si>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</si>
  <si>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</si>
  <si>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SGP Salud Pública
Superávit SGP Salud Pública</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</si>
  <si>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</si>
  <si>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</si>
  <si>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</si>
  <si>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</si>
  <si>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</si>
  <si>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</si>
  <si>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</si>
  <si>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</si>
  <si>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</si>
  <si>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</si>
  <si>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</si>
  <si>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</si>
  <si>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</si>
  <si>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0318 - 5 - 3 1 3 13 47 2 153 - 20</t>
  </si>
  <si>
    <t>201663000-0153</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</si>
  <si>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</si>
  <si>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</si>
  <si>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</si>
  <si>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</si>
  <si>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Recurso Oridnario</t>
  </si>
  <si>
    <t>Orientar e inducir a la poblacion no sisbenizada atendida por las IPS, en ferias de afiliaciones y busquedas activas para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</si>
  <si>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</si>
  <si>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</si>
  <si>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2 153 - 154</t>
  </si>
  <si>
    <t xml:space="preserve"> Gestionar  recursos para cofinanciación de la afialicon  mpo y lugares de afiliación
</t>
  </si>
  <si>
    <t>Gestión de recursos para cofinanciación de la afiliación a los municipios y lugares de afiliación</t>
  </si>
  <si>
    <t>ADRES S.S.F.
REC. TRANSFERIDOS COLJUEGOS -SSF</t>
  </si>
  <si>
    <t>RENDIMIENTOS FINANCIEROS - ADRES S.S.F.</t>
  </si>
  <si>
    <t>Superávit Decreto 1684/2017 Ingreso Adicional Cigarrillo</t>
  </si>
  <si>
    <t>Asistencia técnica  a los actores del sistema en el proceso de aseguramiento de la población</t>
  </si>
  <si>
    <t>Brindar asistencia técnica a 12 Municipios del departamento,  en los procesos del régimen subsidiado</t>
  </si>
  <si>
    <t>0318 - 5 - 3 1 3 13 49 2 153 - 20
1804 - 5 - 3 1 3 13 49 2 153 - 96</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</si>
  <si>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</si>
  <si>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</si>
  <si>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Superávit Rentas Cedidas</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</si>
  <si>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</si>
  <si>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</si>
  <si>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</si>
  <si>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</si>
  <si>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 xml:space="preserve">1802 - 5 - 3 1 3 14 50 2 154 - 60
1802 - 5 - 3 1 3 14 50 2 154 - 110
1802 - 5 - 3 1 3 14 50 2 154 - 58
1802 - 5 - 3 1 3 14 50 2 154 - 59 
1804 - 5 - 3 1 3 14 50 2 154 - 162
1802 - 5 - 3 1 3 14 50 2 154 - 96
1802 - 5 - 3 1 3 14 50 2 154 - 97
1802 - 5 - 3 1 3 14 50 2 154 - 65
1802 - 5 - 3 1 3 14 50 2 154 - 156
1802 - 5 - 3 1 3 14 50 2 154 - 102
1802 - 5 - 3 1 3 14 50 2 154 - 148
1802 - 5 - 3 1 3 14 50 2 154 - 152_x000D_
_x000D_
 _x000D_
_x000D_
_x000D_
_x000D_
_x000D_
</t>
  </si>
  <si>
    <t>201663000-0154</t>
  </si>
  <si>
    <t>Prestación de Servicios a la Población no Afiliada al Sistema General de Seguridad Social en Salud  y en los no POS  a la Población Afiliada al Régimen Subsidiado.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</si>
  <si>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</si>
  <si>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</si>
  <si>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Apoyo a los procesos de inspección, vigilancia y control en el acceso de los afiliados  a la red de servicios de salud.</t>
  </si>
  <si>
    <t>Mantener la contratación con la red pública y privada (15)  para la atención de la población no afiliada.</t>
  </si>
  <si>
    <t xml:space="preserve">Fortalecer la contratación para la atención de la población no afiliada </t>
  </si>
  <si>
    <t xml:space="preserve">Fortalecer la contratacion para la atencion de la poblacion pobre no asegurada y los servicios no incluidos en el Plan de beneficios de la poblacion afiliada a la regimen subsidiado. </t>
  </si>
  <si>
    <t>Resoluciones  971/2016, 5864/2018, 493/2019, MINISTERIOVCPROGRAMA INIMPUTABLES</t>
  </si>
  <si>
    <t>RENTAS CEDIDAS - SALUD</t>
  </si>
  <si>
    <t>RENDIMIENTOS FINANCIEROS - RENTAS CEDIDAS - SALUD</t>
  </si>
  <si>
    <t>SGP SALUD PRESTACIÓN SERVICIOS C S F</t>
  </si>
  <si>
    <t>SGP SALUD APORTES PATRONALES SS  F</t>
  </si>
  <si>
    <t>SUPERÁVIT RENTAS CEDIDAS</t>
  </si>
  <si>
    <t>SUPERAVIT SALUD PRESTACIÓN DE SERVICIOS SGP</t>
  </si>
  <si>
    <t>SUPERÁVIT REND. FROS COFINANCIACION NAL</t>
  </si>
  <si>
    <t>SUPERAVIT RESOL. 997/2018 PROG. INIMPUTABLES</t>
  </si>
  <si>
    <t>SUPERAVIT COFINANCIACIÓN NAL RES. 3876/12 DESPLAZADOS</t>
  </si>
  <si>
    <t>SUPERAVIT DEC. 1684/2017 INGRESO ADICIONAL CIGARRILLO</t>
  </si>
  <si>
    <t>SUPERAVIT EXCEDENTES APROTES PATRONALES  ESE DEPTO</t>
  </si>
  <si>
    <t>SUPERAVIT RESOL. VIGENCIAS ANTERIORES</t>
  </si>
  <si>
    <t>Realizar asistencia técnica en la construcción y ejecución del plan bienal de inversiones, a catorce (14) Empresas sociales del estado (ESE) del departamento.</t>
  </si>
  <si>
    <t>Fortalecier la construcción del Plan Bienal en las 14 Empresas sociales del estado (ESE)del departamento.</t>
  </si>
  <si>
    <t>Asistencia tecnica a las ESE del departamento en la formulacion, gestion y manejo de la plataforma para proyectos de infraestructura y dotacion.</t>
  </si>
  <si>
    <t>Realizar sesiones del  cosejo territoriales de salud para obtener aval de proyectos de infraestructura y dotacion hospitalaria.</t>
  </si>
  <si>
    <t>Fortalecimiento de la  gestión de la entidad territorial municipal</t>
  </si>
  <si>
    <t>Realizar asistencia Técnica  en los 12 municipios, en la capacidad de gestión en salud</t>
  </si>
  <si>
    <t>0318 - 5 - 3 1 3 14 51 2 155 - 20</t>
  </si>
  <si>
    <t>201663000-0155</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</si>
  <si>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</si>
  <si>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</si>
  <si>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</si>
  <si>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 xml:space="preserve">verificar el cumplimiento de oportunidad en el reporte de informacion financiera mediante la circular unica </t>
  </si>
  <si>
    <t>Capacitar en los procesos de gestion tecnica en salud.</t>
  </si>
  <si>
    <t>realizar procesos de verificación a los 12 municipios y sus respectivas E.S.E del departamento en los reportes de gestión financiera.</t>
  </si>
  <si>
    <t>realizar apoyo y seguimiento en la gestion financiera a los fondos locales de salud y al procesos de aportes patronales de las ESE del departamento.</t>
  </si>
  <si>
    <t>Garantizar red de servicios en eventos de emergencias</t>
  </si>
  <si>
    <t xml:space="preserve">Ajustar los 14 planes de emergencia de las instituciones prestadoras de salud de todo el Departamento.  </t>
  </si>
  <si>
    <t>0318 - 5 - 3 1 3 14 52 2 156 - 20</t>
  </si>
  <si>
    <t>201663000-0156</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</si>
  <si>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</si>
  <si>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</si>
  <si>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</si>
  <si>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simulacros de atencion a emergencias en la red publica</t>
  </si>
  <si>
    <t>Realizar procesos de atención en emergencias de la red publica.</t>
  </si>
  <si>
    <t>Fortalecer el sistema de alarma de emergencias y perifoneo de los hospitales públicos.</t>
  </si>
  <si>
    <t>Ajustar un (1) Plan de Emergencias en Salud Departamental.</t>
  </si>
  <si>
    <t xml:space="preserve">Articular  la red hospitalaria del Departamento
</t>
  </si>
  <si>
    <t>Desarrollar el plan de emergencias de salud departamental</t>
  </si>
  <si>
    <t xml:space="preserve">Realizar mantenimiento de los equipos de telecomunicación </t>
  </si>
  <si>
    <t>Atender en los 12 municipios  del departamento, los eventos de emergencia y urgencias, y el sistema de referencia y contra referencia  de la población  no afiliada.</t>
  </si>
  <si>
    <t>1802 - 5 - 3 1 3 14 52 2 157 - 20
1804 - 5 - 3 1 3 14 52 2 157 - 96
0318 - 5 - 3 1 3 14 52 2 157 - 88</t>
  </si>
  <si>
    <t>201663000-0157</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</si>
  <si>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</si>
  <si>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</si>
  <si>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</si>
  <si>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Regular y coordinar la prestación de servicios de urgencias y emergencias en salud en el departamento.</t>
  </si>
  <si>
    <t>SUPERAVIT RENTAS CEDIDAS</t>
  </si>
  <si>
    <t>Realizar asistencia técnica a los prestadores de servicios de salud.</t>
  </si>
  <si>
    <t>Mantenimiento y adquisición de equipos de tecnología, equipos de computo  y telecomunicaciones y mobiliario para el funcionamiento del CRUE.</t>
  </si>
  <si>
    <t xml:space="preserve">Superavit ordinario </t>
  </si>
  <si>
    <t>Garantizar continuidad del funcionamiento del CRUE - SEM</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</si>
  <si>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</si>
  <si>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</si>
  <si>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</si>
  <si>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</si>
  <si>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</si>
  <si>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0318 - 5 - 3 1 3 14 53 2 158 - 20
1804 - 5 - 3 1 3 14 53 2 158 - 96</t>
  </si>
  <si>
    <t>201663000-0158</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</si>
  <si>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</si>
  <si>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</si>
  <si>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</si>
  <si>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Evaluación del PAMEC en su condición de compradores de servicios de salud para población pobre no afiliada, mediante  auditoría externa a los prestadores.</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</si>
  <si>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</si>
  <si>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</si>
  <si>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Asegurar la totalidad de los estandares establecidos en el sistema de habilitacion 
</t>
  </si>
  <si>
    <t xml:space="preserve">Realizar un plan de asistencia técnica para el seguimiento y monitoreo del PAMEC en la IPS y EAPBS públicas del Departamento. </t>
  </si>
  <si>
    <t xml:space="preserve">Garantizar eficiencia en el establecimiento de los indicadores de seguimiento a riesgo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</si>
  <si>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</si>
  <si>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</si>
  <si>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Realizar capacitación del recurso humano de las ESES, IPS y EPS Tema del PAMEC, indicadores de calidad y circular 012 de 2016</t>
  </si>
  <si>
    <t>Realizar visitas de verificación de los requisitos de habilitación a 150 prestadores de servicios de salud.</t>
  </si>
  <si>
    <t>Cumplimiento de los prestadores de salud en los requisitos de habilitación</t>
  </si>
  <si>
    <t>Verificación de los requisitos de habilitación</t>
  </si>
  <si>
    <t>Fortalecimiento financiero de la red de servicios publica</t>
  </si>
  <si>
    <t>Evaluar semestralmente los indicadores de monitoreo del sistema de catorce (14) ESE´s del nivel I, II y III</t>
  </si>
  <si>
    <t>0318 - 5 - 3 1 3 14 54 2 159 - 20
0318 - 5 - 3 1 3 14 54 2 159 - 88</t>
  </si>
  <si>
    <t>201663000-0159</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</si>
  <si>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</si>
  <si>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</si>
  <si>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</si>
  <si>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financiero de las IPS publicas</t>
  </si>
  <si>
    <t>realizar gestion de cartera deacuerdo con lo estipulado en la circular conjunta 030 del 2013</t>
  </si>
  <si>
    <t xml:space="preserve">Dar apoyo a las ESE del departamento para garantizar la continuidad en la prestacion de servicios de slaud </t>
  </si>
  <si>
    <t>Apoyar 2 programas  de saneamiento fiscal y financiero a las IPS categorizadas en riesgo por el Ministerio de Salud</t>
  </si>
  <si>
    <t xml:space="preserve">Realizar los  procesos adecuados para la auditoria en el flujo de recursos de las IPS 
</t>
  </si>
  <si>
    <t>Seguimiento a los programas de saneamiento fiscal y financiero.</t>
  </si>
  <si>
    <t>Gestión Posible</t>
  </si>
  <si>
    <t>Apoyo y Fortalecimiento Institucional</t>
  </si>
  <si>
    <t>Evaluar los municipios de Armenia y Calarcá que se encuentran  certificados en salud</t>
  </si>
  <si>
    <t>1804 - 5 - 3 1 3 15 55 2 160 - 72
0318 - 5 - 3 1 3 15 55 2 160 - 20</t>
  </si>
  <si>
    <t>201663000-0160</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</si>
  <si>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</si>
  <si>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</si>
  <si>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</si>
  <si>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</si>
  <si>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apoyar y gestionar  3 procesos administrativos y misionales por parte de la Dirección estratégica.</t>
  </si>
  <si>
    <t>Fortaleza en la planificacion, seguimiento y evaluacion de objetivos de S.D.S</t>
  </si>
  <si>
    <t>Realizar actividades de planeacion para la S.D.S aplicando los lineamientos normativos vigentes</t>
  </si>
  <si>
    <t>Rentas cedidas subcuenta otros gastos en salud</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</si>
  <si>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</si>
  <si>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</si>
  <si>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</si>
  <si>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</si>
  <si>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</si>
  <si>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</si>
  <si>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</si>
  <si>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</si>
  <si>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Cesar Augusto Rincón Zuluaga</t>
  </si>
  <si>
    <t>Secretario de Salud</t>
  </si>
  <si>
    <t>PROGRAMACIÓN PLAN DE ACCIÓN 
SECRETARIA DE FAMILIA
III TRIMESTRE 2019</t>
  </si>
  <si>
    <t xml:space="preserve">PLAN DE DESARROLLO DEPARTAMENTAL  SECRETARIA DE FAMILIA </t>
  </si>
  <si>
    <t>Edad Económicamente Activa
 (20-59 años)</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</si>
  <si>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</si>
  <si>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</si>
  <si>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</si>
  <si>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</si>
  <si>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</si>
  <si>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atenciòn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</si>
  <si>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</si>
  <si>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 xml:space="preserve">Incrementar los indices de apoyo y acompañamiento en el desarrollo infantil en  ambientes familiares y grupales,  alimentación adecuada y seguimiento al desarrollo.
</t>
  </si>
  <si>
    <t>Implementar un programa de atencion integral a menores de 5 años y madres gestantes en entornos familiares</t>
  </si>
  <si>
    <t xml:space="preserve">
 SECRETARIA DE FAMILIA</t>
  </si>
  <si>
    <t>Realizar talleres de sensibilización en entorno Institucional a la primera infancia</t>
  </si>
  <si>
    <t>Apoyo en la realizacion de actividades y seguimiento del modelo intersectorial de atencion integral a los municipios del departamento</t>
  </si>
  <si>
    <t>Realizar seguimiento a las acciones que garanticen la atencion integral a la primera infancia</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</si>
  <si>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</si>
  <si>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</si>
  <si>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</si>
  <si>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</si>
  <si>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Cordoba, Salento, Montenegro, Genova, Calarcá y Filandia.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</si>
  <si>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</si>
  <si>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</si>
  <si>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</si>
  <si>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</si>
  <si>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</si>
  <si>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</si>
  <si>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</si>
  <si>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</si>
  <si>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politica pública  de la familia en el departamento del Quindio</t>
  </si>
  <si>
    <t>Implementar la política pública que garantice los derechos de las familias del departamento del Quindío.</t>
  </si>
  <si>
    <t>Aumentar espacios de atención, formación y reflexión, orientados al fortalecimiento de los entornos familiares, sociales y educativos.</t>
  </si>
  <si>
    <t>Apoyar con el seguimiento,  monitoreo y evaluación de la política publica de familia</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</si>
  <si>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</si>
  <si>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</si>
  <si>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</si>
  <si>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Realizar acciones tendientes a la implementación de la política publica de familia</t>
  </si>
  <si>
    <t xml:space="preserve">Alto grado de tolerancia ante la diversidad de pensamientos y comportamientos al interior de las familias </t>
  </si>
  <si>
    <t xml:space="preserve">Campañas, publicidad y promocion </t>
  </si>
  <si>
    <t>Refrigerios, logistica y sonido</t>
  </si>
  <si>
    <t xml:space="preserve">Quindío departamento de derechos  de niñas, niños y adolescentes </t>
  </si>
  <si>
    <t>Implementar la política pública de primera infancia, infancia y adolescencia</t>
  </si>
  <si>
    <t>Política publica de primera infancia, infancia y adolescencia implementada</t>
  </si>
  <si>
    <t>0316 - 5 - 3 1 3 17 59 14 109 - 20</t>
  </si>
  <si>
    <t>201663000-0109</t>
  </si>
  <si>
    <t>Implementación de la  política de primera infancia, infancia y adolescencia en el Departamento del Quindio</t>
  </si>
  <si>
    <t xml:space="preserve">Implementar la política pública que garantice los derechos de los niños, niñas y adolescentes del depto del Quindío. </t>
  </si>
  <si>
    <t>Eficiencia en la articulacion Interinstitucional que garantice un seguimiento efectivo del cumplimiento dfel plan de accion de la politica publica de infancia y adolescencia</t>
  </si>
  <si>
    <t>Apoyar con el seguimiento al Plan de Acción de la Politica Publica  de primera infancia, infancia y adolescencia del departamento</t>
  </si>
  <si>
    <t>Apoyo al Comite de  Primera Infancia, Infancia y Adolescencia y al Consejo de Politica Social</t>
  </si>
  <si>
    <t>Apoyo a programas que conlleven a la  implementación de la Politica publica de primera infancia, infancia y adolescencia en el Departamento del Quindio</t>
  </si>
  <si>
    <t>Apoyo en la revisión juridica en los temas relacionados con la implementacion de la politica publica de primera infancia, infancia y adolescencia del departamento</t>
  </si>
  <si>
    <t>Brindar asistencia tecnica a los municipios del departamento, que así lo requieran en temas relacionados con el seguimiento e implementación de la politica publica de primera infancia, infancia y adolescencia del departamento</t>
  </si>
  <si>
    <t>Promover prácticas deportivas, recreativas, lúdicas y culturales, como generadora y potenciadora en el desarrollo integral de los niños, niñas y adolescentes vulnerables del departamento del Quindío.</t>
  </si>
  <si>
    <t>Logistica operativa, sonido, refrigerios.</t>
  </si>
  <si>
    <t>Implementar  una estrategia de prevención y atención de embarazos y segundos embarazos a temprana edad.</t>
  </si>
  <si>
    <t>Estrategia de prevención  y atención de embarazos a temprana edad implementada</t>
  </si>
  <si>
    <t xml:space="preserve">Disminuir los factores de vulneracion de los derechos de niños, niñas y adolescentes (maltrato, abuso,abandono, explotación sexual) </t>
  </si>
  <si>
    <t xml:space="preserve">Apoyar la Implementación de una estrategia de prevencion de embarazos y segundos embarazos a temprana edad
</t>
  </si>
  <si>
    <t>Realizar jornadas pedagogicas de prevencion en las Instituciones educativas del depto</t>
  </si>
  <si>
    <t>Apoyar la articulación intersectorial, a través de mesas de trabajo en pro de la prevencion de los embarazos en adolescentes y segundos embarazos a temprana edad.</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</si>
  <si>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</si>
  <si>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</si>
  <si>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Formular estrategias de prevencion de y atención en la erradicacion del abuso, explotación sexual, comercial, actividdades delecitivas</t>
  </si>
  <si>
    <t>Apoyar la implementación de una  estrategia  de prevención y atención de la erradicación del abuso, explotación sexual comercial, trabajo infantil y peores formas de trabajo, y actividades delictivas</t>
  </si>
  <si>
    <t>Apoyar la implementación del Plan integral de prevención y erradicación del trabajo infantil "PIPETI", las peores formas de trabajo y apoyar al CIETI</t>
  </si>
  <si>
    <t>Brindar asistencia tecnica y Apoyo a las la difernetes iniciativas  en los doce municipios orientados a la prevención de la vulneracion de los derechos de los niños, niñas y adolescentes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</si>
  <si>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</si>
  <si>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</si>
  <si>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</si>
  <si>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</si>
  <si>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</si>
  <si>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Quindio</t>
  </si>
  <si>
    <t>Desarrollar procesos efectivos de atención, generación de impacto, oferta pública y garantía de derechos.</t>
  </si>
  <si>
    <t xml:space="preserve">Alta articulación entre los entes gubernamentales y privados para realizar el seguimiento de la matriz de planificación de la política publica de juventud del depto
</t>
  </si>
  <si>
    <t xml:space="preserve">Apoyo y seguimiento a los indicadores de cumplimiento del plan de accion de la politica publica de juventud </t>
  </si>
  <si>
    <t>fortalecer los proyectos productivos de organizaciones juveniles legalmente constituidas</t>
  </si>
  <si>
    <t xml:space="preserve">Capacitaciones, socialización y conformación de espacios de participación juvenil </t>
  </si>
  <si>
    <t>Desarrollo de acciones dispuestas a la implementacion de la politica de juventud, en los componentes de responsabilidad de la oficina de juventud</t>
  </si>
  <si>
    <t>ADQUISICION DE BIENES Y SERVICIOS: Logistica operativa,  refrigerios, sonido, ferreteria, etc</t>
  </si>
  <si>
    <t>Volantes, pendones, afiches, manillas, etc.</t>
  </si>
  <si>
    <t>Implementar  dos (2) estrategias de prevención para adolescentes y jóvenes en riesgo social y/o vinculados a la Ley de responsabilidad  penal</t>
  </si>
  <si>
    <t>Número  de estrategias  de prevención  para adolescentes y jóvenes implementadas</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</si>
  <si>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</si>
  <si>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</si>
  <si>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seguimientoa los procesos de coordinación del sistema de responsabilidad penal</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</si>
  <si>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</si>
  <si>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</si>
  <si>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de  sensibilizar  la población frente  a  los daños colaterales generados por  el consumo.</t>
  </si>
  <si>
    <t>Implementar una estrategia de prevencion del consumo de SPA en el departamento del Quindío</t>
  </si>
  <si>
    <t>Apoyar  en temas de prevención del consumo de sustancias psicoactivas, a través de talleres de sensibilización.</t>
  </si>
  <si>
    <t xml:space="preserve">Seguimiento a la implementación de la estrategia de prevencion de consumo de SPA </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</si>
  <si>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</si>
  <si>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</si>
  <si>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</si>
  <si>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</si>
  <si>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</si>
  <si>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Quindio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</si>
  <si>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</si>
  <si>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</si>
  <si>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Apoyar la elaboración de diagnósticos comunitarios sobre la situación de personas con discapacidad en comunidades focalizadas. 
</t>
  </si>
  <si>
    <t xml:space="preserve">Apoyar la Implementación de programas para la creación de empresas </t>
  </si>
  <si>
    <t xml:space="preserve">Promover  y  fortalecer la creación de organizaciones que trabajan con y para las personas con discapacidad y sus familias 
</t>
  </si>
  <si>
    <t>Apoyar la Formación a líderes y al Comité Departamental de Discapacidad en gestión y formulación de proyectos</t>
  </si>
  <si>
    <t>Procesos de  fortalecimiento en la cultura organizacional  del sector público y privado</t>
  </si>
  <si>
    <t>Apoyar la Formación de la población con discapacidad, cuidadores , cuidadoras y sus familias, en talleres de formación en maderas, pintura, muralismo, escultura y artes plasticas, etc, con el fin de realizar inclusion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</si>
  <si>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</si>
  <si>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</si>
  <si>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Fomentar y fortalecer la inclusión laboral y productiva de cuidadores, cuidadoras, PCD y sus Familias</t>
  </si>
  <si>
    <t xml:space="preserve">Capacitar en el cuidado y manejo de la Discapacidad a Cuidadoras, Cuidadores y Familias </t>
  </si>
  <si>
    <t xml:space="preserve">Apoyar la elaboración ,seguimiento y evaluacion de los planes de accion de los municipios y depto de la Politica Publica de discapacidad.
</t>
  </si>
  <si>
    <t xml:space="preserve">Diseñar , construir  y difundir  de manera concertada la malla de oferta institucional con los diferentes actores
</t>
  </si>
  <si>
    <t>Acompañamiento a  las personas con discapacidad,  familias y comunidad en la implementación del programa RBC</t>
  </si>
  <si>
    <t>Realizar  capacitaciones en agentes comunitarios en RBC</t>
  </si>
  <si>
    <t>Servicio permanente de untérpretes de lengua de señas en servicios de urgencia y de información pública.</t>
  </si>
  <si>
    <t>Conformación y fortalecimiento a las redes de apoyo de la estrategia RBC</t>
  </si>
  <si>
    <t>Eventos de participacion e integración de la poblacion con discapacidad</t>
  </si>
  <si>
    <t xml:space="preserve">LOGISTICA OPERATIVA: Rrefrigerios, sonido, logistica en genreal, elementos y/o materia prima </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</si>
  <si>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</si>
  <si>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</si>
  <si>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</si>
  <si>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</si>
  <si>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</si>
  <si>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201663000-0117</t>
  </si>
  <si>
    <t xml:space="preserve">Diseño e implementación  de la estratégica para la atención de la  población  en vulnerabiliada extrema  en el Departamento del Quindio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</si>
  <si>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</si>
  <si>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</si>
  <si>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 los planes de acción participativos  para atención de la población en alta vulnerabilidad</t>
  </si>
  <si>
    <t>SECRETARIA DE FAMILIA
 SECRETARIA DE FAMILIA</t>
  </si>
  <si>
    <t>Apoyar el seguimiento a los programas, proyectos y/o actividades que beneficien la población Habitantes en Calle y  personas en alta  vulnerabilidad y alto riesgo social</t>
  </si>
  <si>
    <t>Brindar asistencia técnica a las poblaciones en estado de vulnerabilidad en procesos de emprendimiento, creación  y formalización de empresas.</t>
  </si>
  <si>
    <t>Fomentar los procesos de emprendimiento y empleabilidad de las poblaciones en estado de vulnerabilidad del departamento del Quindío</t>
  </si>
  <si>
    <t>Implementar  programas, proyectos y/o actividades para la atención a habitantes de calle  del departamento del Quindío así como, acciones encaminadas a garantizar los derechos de la población en estado  de  vulnerabilidad  extrema  en el departamento del Quindío.</t>
  </si>
  <si>
    <t>Apoyar la implementación una  estrategia para la atención de la  población  en  situación  de  vulnerabilidad  extrema  en el Departamento del Quindío (habitantes de  calle, trabajo  sexual, reincidencia delictiva, drogadicción, bandas delincuenciales, entre otros).</t>
  </si>
  <si>
    <t>Apoyo  al  seguimiento de  la  ejecución presupuestal  de los recursos destinados  a la Implementacion de la estrategia de atención de la poblacion en situacion de vulnerabilidad del departamento</t>
  </si>
  <si>
    <t>Brindar apoyo a la Secretaría de Familia en las diferentes jornadas, actividades o acciones  realizadas  con  población vulnerable del departameno el Quindío.</t>
  </si>
  <si>
    <t>Apoyar a la Secretaría de Familia en la realización de convocatorias, acompañamiento logístico y asistencia operativa tendientes a la atención de la población vulnerable del departamento.</t>
  </si>
  <si>
    <t>Apoyar con la realización de informes relacionados con el cumplimiento de la meta: 191: Diseñar  e   implementar una  estrategia para la atención de la  población  en  situación  de  vulnerabilidad  extrema  en el Departamento del Quindío (habitantes de  calle, trabajo  sexual, reincidencia delictiva, drogadicción, bandas delincuenciales, entre otros).</t>
  </si>
  <si>
    <t>Apoyar la coordinación entre las diferentes Secretarías del orden departamental  y/o demás instituciones para la atención integral de la polbacion vulnerable</t>
  </si>
  <si>
    <t>Apoyar  con  programas específicos, dirigido  a grupos  que viven en entornos de alto riesgo: Extrema pobreza, desarraigo social,  drogadicción, delincuencia, prostitución, o pertenecen a familias    multiproblemáticas  y de alto riesgo social</t>
  </si>
  <si>
    <t xml:space="preserve">Realizar estrategias orientadas a población en estado de vulnerabilidad que permitan garantizar espacios de bienestar, cohesión social; que dignifiquen sus condiciones de vida </t>
  </si>
  <si>
    <t>Desarrollar estrategias, programas y/o proyectos que promuevan la garantía de derechos de las familias de población vulnerable del departamento y fomenten la prevención de los riesgos psicosociales a través de intervenciones educativas</t>
  </si>
  <si>
    <t xml:space="preserve">Realizar actividades tendientes a la implementacion de estretegias, programas o proyectos que conlleven al bienestar de las familias, los niños y niñas, jóvenes y mujeres del departamento del Quindio en situacion de vulnerabilidad </t>
  </si>
  <si>
    <t xml:space="preserve">Implementar con la comunidad  de los sectores de mayor vulnerabilidad programas, proyectos y / o estrategias de prevencion al consumo de drogas </t>
  </si>
  <si>
    <t>Logistica operativa, refrigerios, sonido, ferretería</t>
  </si>
  <si>
    <t xml:space="preserve">Campañas  de difusion, socialziacion  y participación  ciudadana para la prevencion del  riesgo social en el depto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</si>
  <si>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</si>
  <si>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</si>
  <si>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</si>
  <si>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</si>
  <si>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repatración en el Departamento del Quindio.</t>
  </si>
  <si>
    <t>IImplementar el plan de acompañamiento al ciudadano migrante (el que sale y el que retorna).</t>
  </si>
  <si>
    <t>Existencia de planes de acompañamiento al ciudadano migrante del depto. del Quindío</t>
  </si>
  <si>
    <t>Procesos  de capacitación, asistencia técnica, seguimiento y evaluación en cuanto a la garantia de derechos de la población migrante del Departamento</t>
  </si>
  <si>
    <t xml:space="preserve">Asistencias tecnicas  personales y grupales para la creación de rutas de atención al ciudadano migrante </t>
  </si>
  <si>
    <t>Capacitación secretarias sectoriales en cuanto la atención al ciudadano migrante</t>
  </si>
  <si>
    <t xml:space="preserve"> Apoyar el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</si>
  <si>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</si>
  <si>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</si>
  <si>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</si>
  <si>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</si>
  <si>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201663000-0121</t>
  </si>
  <si>
    <t>Fortalecimiento resguardo  indígena DACHI AGORE DRUA del municipio de Calarcá del Departamento del Quindío.</t>
  </si>
  <si>
    <t>Garantizar el apoyo y fortalecimiento del plan de vida del Resguardo Dachi Agore Drua del municipio de Calarcá en el Departamento del Quindío.</t>
  </si>
  <si>
    <t xml:space="preserve">Altos indices de seguridad alimentaria,
emprendimiento, cultura, educación, género, familia, identidad, gobernabilidad, salud y justicia propia 
</t>
  </si>
  <si>
    <t>Asistencia Social: Procesos de apoyo, gestión, asesoria y acompañamiento al Resguardo Dachi Agore Drua del Departamento para garantizar los derechos fundamentales y Especiales.</t>
  </si>
  <si>
    <t>31/12/0219</t>
  </si>
  <si>
    <t xml:space="preserve">Apoyo, acompañamiento y fortalecimiento en cuanto procesos de seguridad alimentaria, saneamiento basico, educación, salud, justicia, gobernabilidad y territorio </t>
  </si>
  <si>
    <t>Apoyar con unidades productivas al plan de vida del Resguardo Indigena</t>
  </si>
  <si>
    <t>Compra de herramientas, materiales, insumos, etc.para beneficiar a la poblacion indigena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</si>
  <si>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</si>
  <si>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</si>
  <si>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</si>
  <si>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</si>
  <si>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 xml:space="preserve">Apoyo  a la elaboración y puesta marcha de Planes de Vida  de los cabildos indigenas en el departamento del Quindio  </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</si>
  <si>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</si>
  <si>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</si>
  <si>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indigenas asentadas en el Departamento del Quindío</t>
  </si>
  <si>
    <t>-</t>
  </si>
  <si>
    <t>Articulación institucional para la atención diferencial de los indígenas del depto</t>
  </si>
  <si>
    <t>Adqusicion de bienes y servicios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</si>
  <si>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</si>
  <si>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</si>
  <si>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</si>
  <si>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</si>
  <si>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</si>
  <si>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 xml:space="preserve">Implementación de un  programa de atención integral a la población  afrodescendiente en el Departamento del Quindio </t>
  </si>
  <si>
    <t>Garantizar la protección de derechos y la atención integral con enfoque diferencial de las comunidades afrodescendientes asentadas en el
Departamento del Quindío.</t>
  </si>
  <si>
    <t>Implementar un programa articulado interinstitucional para la atencion integral con enfoque disferencial a la poblacion afro del departamento</t>
  </si>
  <si>
    <t>Capacitaciones dirigidas a comunidades Afros del Departamento</t>
  </si>
  <si>
    <t xml:space="preserve">Apoyo, acompañamiento y fortalecimiento en cuanto procesos de seguridad alimentaria, saneamiento basico, educación, salud y vivienda  </t>
  </si>
  <si>
    <t xml:space="preserve">Alto interes en apoyar y fortalecer la formulación de planes de etnodesarrollo en los municipios con presencia de comunidades afrodescendientes 
</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</si>
  <si>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</si>
  <si>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</si>
  <si>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</si>
  <si>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</si>
  <si>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 xml:space="preserve">0316 - 5 - 3 1 3 18 65 14 125 - 20
</t>
  </si>
  <si>
    <t>201663000-0125</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</si>
  <si>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</si>
  <si>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</si>
  <si>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</si>
  <si>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Implementacion del plan de accion  de la politica publica de diversidad sexual e identidad de genero</t>
  </si>
  <si>
    <t>Desarrollo de campañas talleres y proyectos relacionados con la promocion de derechos de poblacion LGTBI</t>
  </si>
  <si>
    <t>Altos espacios de atención, formación y reflexión, orientados al fortalecimiento de los entornos  sociales y educativos respecto a las personas con diversidad sexual</t>
  </si>
  <si>
    <t>Pendón,plegables. Folletos, manillas, etc</t>
  </si>
  <si>
    <t>Logistica operativa, refrigerios, sonido para celebracion de eventos relacionados con la equidad</t>
  </si>
  <si>
    <t>Mujeres constructoras de Familia y de paz.</t>
  </si>
  <si>
    <t>Revisar, ajustar  e  implementar  la política publica de equidad de género para la  mujer del departamento</t>
  </si>
  <si>
    <t>Política pública  de equidad de genero revisada, ajustada e implementada.</t>
  </si>
  <si>
    <t>201663000-0128</t>
  </si>
  <si>
    <t>Implementaciòn de la polìtica pùblica de equidad de género para la mujer en el Departamento del Quindìo</t>
  </si>
  <si>
    <t xml:space="preserve">Implementacion de programas y proyectos institucionalespara el acceso a las oportunidades Economicas sociales y culturales de mujeres en el departamento del Quindio 
</t>
  </si>
  <si>
    <t>Apropiación jurídica  por parte de la población e institucionalidad sobre las rutas de atención existentes</t>
  </si>
  <si>
    <t xml:space="preserve">Seguimiento al cumplimiento de los planes de acción de la Politica Publica de  Equidad de Género para la mujer
</t>
  </si>
  <si>
    <t>Apoyo en la consolidacion de espacios de participacion a traves de la socializacion de la normatividad existente</t>
  </si>
  <si>
    <t xml:space="preserve">Capacitacion  y concientización  para lograr la igualdad de género y empoderar a las mujeres 
</t>
  </si>
  <si>
    <t>0316 - 5 - 3 1 3 19 67 14 128 - 20</t>
  </si>
  <si>
    <t>Mejorar la articulación frente a la implementación de las políticas públicas de equidad y género</t>
  </si>
  <si>
    <t>Fortalecimiento y/o apoyo a unidades productivas y/o proyectos de emprendemiento de mujeres</t>
  </si>
  <si>
    <t xml:space="preserve">Desarrollo de actividades de impacto para la promocion de derechos y movilizacion social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</si>
  <si>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</si>
  <si>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</si>
  <si>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</si>
  <si>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</si>
  <si>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 xml:space="preserve">0316 - 5 - 3 1 3 19 67 14 129 - 20
</t>
  </si>
  <si>
    <t>201663000-0129</t>
  </si>
  <si>
    <t xml:space="preserve">Apoyo y bienestar integral a las personas mayores del Departamento del Quindio </t>
  </si>
  <si>
    <t>Altos índices de atención a los adultos mayores en el departamento del Quindío.</t>
  </si>
  <si>
    <t xml:space="preserve">                                                                                    Apoyar la elaboración ,seguimiento y evaluacion de los planes de accion de los municipios y depto de la Politica Publica de envejecimiento y vejez
                                                                                                                                                                                                                                  </t>
  </si>
  <si>
    <t>Apoyo  al  seguimiento de  la  ejecución presupuestal  de los recursos destinados   a la  política pública de Envejecimiento y vejez</t>
  </si>
  <si>
    <t xml:space="preserve">Apoyar el seguimiento y evaluacion de los planes de accion de los municipios y depto de la Politica Publica de envejecimiento y vejez
</t>
  </si>
  <si>
    <t xml:space="preserve">
Desarrollar estrategias de vigilancia y control que permitan garantizar el cumplimiento y reconocimiento de los derechos de las personas mayores</t>
  </si>
  <si>
    <t xml:space="preserve">
Apoyar asistencias técnicas grupales a los grupos de adultos mayores del depto, en deporte, cultura, recreación y motivación </t>
  </si>
  <si>
    <t xml:space="preserve">Realizar motivación e infundir  sentido de pertenencia y compromiso de parte del Consejo Departamental del  adulto mayor_x000D_
</t>
  </si>
  <si>
    <t>Logística Operativa: Sonido, logistica, refrigerios</t>
  </si>
  <si>
    <t>Apoyo a  eventos programados por la Secretaría dia de la celebracion de las personas de la tercera edad y el pensionado</t>
  </si>
  <si>
    <t>Crear el cabildo de adulto mayor del Departamento y apoyar la creación en once municipios del Quindío</t>
  </si>
  <si>
    <t>Número de Cabildos de Adulto Mayor creados.</t>
  </si>
  <si>
    <t>0316 - 5 - 3 1 3 19 67 14 129 - 20</t>
  </si>
  <si>
    <t xml:space="preserve">
Apoyar con actividades para la  creacion del cabildo de adulto mayoren en 6 municipios del Quindio
</t>
  </si>
  <si>
    <t xml:space="preserve">Apoyar 12 Centros de Bienestar del Departamento </t>
  </si>
  <si>
    <t>Centro de bienestar apoyados</t>
  </si>
  <si>
    <t>0316 - 5 - 3 1 3 19 67 14 129 - 06
0316 - 5 - 3 1 3 19 67 14 129 - 84</t>
  </si>
  <si>
    <t xml:space="preserve">Apoyar acciones que conlleven al conocimiento de la Ley 1276 del 2009: Nuevos Criterios de Atención Integral del Adulto  Mayor en los Centros Vida
</t>
  </si>
  <si>
    <t>Centros de Binestar del Adulto Mayor (CBA)</t>
  </si>
  <si>
    <t>Estampilla adulto mayor</t>
  </si>
  <si>
    <t>Superavit Adulto mayor</t>
  </si>
  <si>
    <t xml:space="preserve">Apoyar 14 Centros Vida del Departamento </t>
  </si>
  <si>
    <t>Centros vida apoyados</t>
  </si>
  <si>
    <t>CENTROS VIDA (DV)</t>
  </si>
  <si>
    <t>MARIA DEL CARMEN AGUIRRE BOTERO</t>
  </si>
  <si>
    <t>SECRETARIA DE FAMILIA</t>
  </si>
  <si>
    <t xml:space="preserve">PROYECTO Y ELABORO: </t>
  </si>
  <si>
    <t>PROGRAMACIÓN PLAN DE ACCION
SECRETARÍA DE HACIENDA Y FINANZAS PÚBLICAS
III TRIMESTRE 2019</t>
  </si>
  <si>
    <t>POBLACION</t>
  </si>
  <si>
    <t>PROGRAMACION PLAN DE ACCIÓN
SECRETARIA DE TECNOLOGIAS DE LA INFORMACION Y LAS COMUNICACIONES
 III TRIMESTRE 2019</t>
  </si>
  <si>
    <t xml:space="preserve">PROGRAMACION DEL PLAN DE ACCIÓN
PROMOTORA DE VIVIENDA DEL QUINDIO "PROVIQUINDIO"
III CUATRIMESTRE  2019
</t>
  </si>
  <si>
    <t>ESTRATEGIA</t>
  </si>
  <si>
    <t>PROGRAMA</t>
  </si>
  <si>
    <t>SUBPROGRAMA</t>
  </si>
  <si>
    <t>META PRODUCTO PLAN DE DESARROLLO</t>
  </si>
  <si>
    <t>NO</t>
  </si>
  <si>
    <t>VALOR EN PESOS</t>
  </si>
  <si>
    <t>Infraestructura Sostenible para la Paz</t>
  </si>
  <si>
    <t>Mejora de la Infraestructura Vial del Departamento del Quindío</t>
  </si>
  <si>
    <t>0211101_4
0211102_3</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</si>
  <si>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</si>
  <si>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</si>
  <si>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</si>
  <si>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</si>
  <si>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</si>
  <si>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4</t>
  </si>
  <si>
    <t>IMPUESTO AL REGISTRO</t>
  </si>
  <si>
    <t xml:space="preserve">
Gerente General</t>
  </si>
  <si>
    <t>159</t>
  </si>
  <si>
    <t>SUPERAVIT IMPUESTO AL REGISTRO</t>
  </si>
  <si>
    <t>Mejora de la Infraestructura  Social del Departamento del Quindío</t>
  </si>
  <si>
    <t xml:space="preserve">Desarrollo de Programas y Proyectos, en los componentes de vivienda, infraestructura, equipamiento colectivo y comunitario.
</t>
  </si>
  <si>
    <t>Construcción, mejoramiento y/o rehabilitación de la infraestructura de escenarios deportivos y/o recreativos.</t>
  </si>
  <si>
    <t>EPD</t>
  </si>
  <si>
    <t>Gerente General</t>
  </si>
  <si>
    <t>Mantener, mejorar y/o rehabilitar la Infraestructura instituciones educativas en el departamento del Quindío.</t>
  </si>
  <si>
    <t>Apoyar la construcción, el mantenimiento, el mejoramiento y/o la rehabilitación de la infraestructura de dos (2) equipamientos públicos y colectivos del Departamento del Quindío.</t>
  </si>
  <si>
    <t>Numero de equipamientos públicos y colectivos apoyados</t>
  </si>
  <si>
    <t>Construcción, mantenimiento, mejoramiento y/o la rehabilitación de la infraestructura de equipamientos públicos y colectivos.</t>
  </si>
  <si>
    <t>53</t>
  </si>
  <si>
    <t>0211101_4
0211102_3
0211103_7</t>
  </si>
  <si>
    <t>Mejoramiento y/o construcción de vivienda urbana y rural.</t>
  </si>
  <si>
    <t>LEONARDO RODRIGUEZ OSPINA</t>
  </si>
  <si>
    <t>Gerente General - ProviQuindío.</t>
  </si>
  <si>
    <t>Proyectó: Diego Fernando Ramirez Restrepo</t>
  </si>
  <si>
    <t>Profesional Universitario - Contratista.</t>
  </si>
  <si>
    <t>PROGRAMACION PLAN DE ACCIÓN
SECRETARIA DEL INTERIOR
III TRIMESTRE 2019</t>
  </si>
  <si>
    <t>Edad Económicamente
Activa (20-59 años)</t>
  </si>
  <si>
    <t>SEGURIDAD HUMANA</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</si>
  <si>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</si>
  <si>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</si>
  <si>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</si>
  <si>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</si>
  <si>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201663000-0028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</si>
  <si>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</si>
  <si>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</si>
  <si>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</si>
  <si>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</si>
  <si>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SECRETARIO DEL INTERIOR</t>
  </si>
  <si>
    <t>Fondo de seguridad</t>
  </si>
  <si>
    <t>Fortalecer 10 programas de prevención y superación del Sistema de responsabilidad penal para adolescentes</t>
  </si>
  <si>
    <t>Número de programas de prevención y superación fortalecidos</t>
  </si>
  <si>
    <t>Apoyo para iniciativas,actividades y/o proyectos productivos dirigidoa a población de infancia y adolescencia</t>
  </si>
  <si>
    <t>Apoyar la construcción, refacción o adecuación de  seis (6) estaciones de policía y/o guarniciones militares y/o instituciones carcelarias</t>
  </si>
  <si>
    <t>Número de estaciones de policía y/o guarniciones militares y/o instituciones carcelarias apoyadas</t>
  </si>
  <si>
    <t xml:space="preserve">Adquisición de materiales para la construcción </t>
  </si>
  <si>
    <t>Adquisición de terrenos para construcción de UBICAR (Unidad Basica de Carabineros)</t>
  </si>
  <si>
    <t xml:space="preserve">Intervención en obras menores </t>
  </si>
  <si>
    <t>Adecuación y modernización sistema cirucito cerrado de TV (CCTV) Centro de Atención Especializada (CAE)</t>
  </si>
  <si>
    <t>Dotar cinco (5) organismos de seguridad de del departamento con elementos tecnológicos y logísticos que faciliten su operatividad y capacidad de respuesta</t>
  </si>
  <si>
    <t>Número de organismos de seguridad y/o de régimen carcelario dotados</t>
  </si>
  <si>
    <t>Financiación del proyecto de tecnología en seguridad</t>
  </si>
  <si>
    <t>Fondos de seguridad 5%</t>
  </si>
  <si>
    <t xml:space="preserve">Financiación y/o coofinaciación de proyectos de móvilidad </t>
  </si>
  <si>
    <t>Suministro de combustible</t>
  </si>
  <si>
    <t>Arrendamientos de oficinas para organismos de seguridad</t>
  </si>
  <si>
    <t>0309 - 5 - 3 1 4 23 75 18 28 - 20</t>
  </si>
  <si>
    <t xml:space="preserve">Adecuación de tecnología en salas de organismos de seguridad </t>
  </si>
  <si>
    <t>Suministro de alimentación</t>
  </si>
  <si>
    <t>0309 - 5 - 3 1 4 23 75 18 28 - 42</t>
  </si>
  <si>
    <t>Pago a fuentes humanas</t>
  </si>
  <si>
    <t>0309 - 5 - 3 1 4 23 75 18 28 - 92</t>
  </si>
  <si>
    <t>Adquisición de bienes muebles necesarios para el funcionamiento de la diferentes iniciativas o programas de los oraganismos de seguridad del departamento</t>
  </si>
  <si>
    <t>Adquisición de bienes inmuebles para los organismos de seguridad</t>
  </si>
  <si>
    <t>Adquisición de bienes y suministro, para material de intendencia y logística</t>
  </si>
  <si>
    <t>Impresos y publicidad</t>
  </si>
  <si>
    <t>Servicios de apoyo en procesos tecnológicos de seguridad en el departamento</t>
  </si>
  <si>
    <t>Servicios de apoyo en estudios financieros y ecónomicos de los diferentes procesos para los organismos de seguridad</t>
  </si>
  <si>
    <t>Servicios de apoyo para los procesos de adquisición de bienes y servicios con cargo a los organismos de seguridad del departamento</t>
  </si>
  <si>
    <t xml:space="preserve">Prestación de Servicios y/o suministro de logística, material de intendencia o demás programas y/o estrategias relacionados con los organismos de seguridad </t>
  </si>
  <si>
    <t>Apoyar 3 observatorios locales del delito</t>
  </si>
  <si>
    <t>Número de observatorios del delito apoyados</t>
  </si>
  <si>
    <t>Levantamiento de información, investigación y análisis de hechos y conductas delicitas en el departamento del Quindío</t>
  </si>
  <si>
    <t>Dotación tecnologíca, de comunicaciones   y/o logistica para los programas, proyectos  o estrategías de pevención y seguridad en el departamento del Quindío</t>
  </si>
  <si>
    <t>CONVIVENCIA, JUSTICIA Y CULTURA DE PAZ</t>
  </si>
  <si>
    <t>Apoyar la implementación de treinta y seis (36) programas de prevención del delito y mediación de conflictos en comunidades focalizadas del departamento</t>
  </si>
  <si>
    <t>Programas de prevención del delito y mediación de conflictos apoyados</t>
  </si>
  <si>
    <t>201663000-0029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</si>
  <si>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</si>
  <si>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</si>
  <si>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</si>
  <si>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psicosocilales, y/o de formación productiva integrales en los 11 barrios focalizados </t>
  </si>
  <si>
    <t xml:space="preserve">20
</t>
  </si>
  <si>
    <t>Recurso 
ordinario</t>
  </si>
  <si>
    <t xml:space="preserve">SECRETARIO DEL INTERIOR
</t>
  </si>
  <si>
    <t>Implementación de programas ludicos,culturales y/o deportivos  para población vulnerable en areas focalizadas</t>
  </si>
  <si>
    <t xml:space="preserve">Generación y/o apoyo a programas de intervención social y/o de seguridad </t>
  </si>
  <si>
    <t>Logística, refrigerios,transporte y/o combustible</t>
  </si>
  <si>
    <t>Atencion integral de Barrios con situacion critica de convivencia en los 12 Municipios  del Departamento</t>
  </si>
  <si>
    <t>Municipios con atencion integral</t>
  </si>
  <si>
    <t>0309 - 5 - 3 1 4 23 76 18 29 - 20</t>
  </si>
  <si>
    <t xml:space="preserve">Intervenciones Psicosociales y/o de formación productiva integrales en los cinco municipios focalizados </t>
  </si>
  <si>
    <t>0309 - 5 - 3 1 4 23 76 18 29 - 92</t>
  </si>
  <si>
    <t>Elaboración y/o difusion de campañas de intervencion social y prevención del delito en los municipios del departamento</t>
  </si>
  <si>
    <t>Actualizar e implementar el Plan Integral de Seguridad y Convivencia Ciudadana (PISCC)</t>
  </si>
  <si>
    <t>Plan integral de seguridad y convivencia ciudadana actualizado e implementado</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</si>
  <si>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</si>
  <si>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</si>
  <si>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</si>
  <si>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</si>
  <si>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</si>
  <si>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0309 - 5 - 3 1 4 24 78 14 30 - 20
0309 - 5 - 3 1 4 24 78 14 30 - 88</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</si>
  <si>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</si>
  <si>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</si>
  <si>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</si>
  <si>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</si>
  <si>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Capacitación en el tema de formulación de proyectos a las mesas de participación efectiva de victimas y Organizaciones de victimas en los 12 municipios del Departamento</t>
  </si>
  <si>
    <t>Recurso ordinario</t>
  </si>
  <si>
    <t>Socialización de rutas de protección a las organizaciones de victimas de los 12 municipios del Departamento</t>
  </si>
  <si>
    <t>Apoyo a municipios priorizados para reparación colectiva</t>
  </si>
  <si>
    <t xml:space="preserve">Brindar información y orientación a las victimas del conflicto de los 12 municipios del departamento </t>
  </si>
  <si>
    <t>Superávit Recurso Ordinario</t>
  </si>
  <si>
    <t>Socialización del decreto de corresponsabilidad a las mesas de participación efectiva de victimas en los 12 municipios</t>
  </si>
  <si>
    <t>Brindar asistencia y capacitacion a las organizaciones con enfoque diferencial y mesas de participación efectiva de victimas en los 12 municipios del Departamento en la ley de victimas y restitución de tierras y sus enfoques reglamentarios</t>
  </si>
  <si>
    <t>Apoyo a iniciativas que aportan a la memoria historica en el departamento</t>
  </si>
  <si>
    <t xml:space="preserve">Capacitación a las mesas de participación de victimas en los 12 municipios en el tema de protocolo de participación
</t>
  </si>
  <si>
    <t>Realizar jornadas de prevencion a vulneraciones de DDHH y DIH a las mesas de participación efectiva de victimas en los 12 municipios del Departamento</t>
  </si>
  <si>
    <t>Apoyo a proyectos productivos población víctima</t>
  </si>
  <si>
    <t>Logística y/o refrigerios</t>
  </si>
  <si>
    <t>Apoyar  la atención humanitaria inmediata a la población víctima del conflicto en los 12 municipios</t>
  </si>
  <si>
    <t>Número de municipios apoyados en la atención humanitaria inmediata</t>
  </si>
  <si>
    <t>Concurrir, complementar y subsidiar los kits de ayuda  humanitaria inmediata en los 12 municipios del Quindio</t>
  </si>
  <si>
    <t xml:space="preserve">Apoyar los procesos de retorno y reubicación de las victimas del conflicto armado, en caso de ser requerido </t>
  </si>
  <si>
    <t xml:space="preserve">Fortalecer el Comité departamental de justicia transicional y la mesa de participación efectiva de las víctimas del conflicto </t>
  </si>
  <si>
    <t>Número de instancias de participación fortalecidas</t>
  </si>
  <si>
    <t xml:space="preserve">Garantias para Sesiones comité ejecutivo y ética mesa de victimas </t>
  </si>
  <si>
    <t>Garantias para Sesiones plenario mesa departamental de  victimas</t>
  </si>
  <si>
    <t xml:space="preserve">Apoyo al Plan de Trabajo de la mesa Departamental de Victimas </t>
  </si>
  <si>
    <t xml:space="preserve">Garantias para representates de la mesa departamental de victimas para asistir a las Sesiones del  Comité Departamental de Justicia Transicional </t>
  </si>
  <si>
    <t>Garantias para representates de la mesa departamental de victimas para asistir a las Sesiones de los subcomites departamentales de justicia transcional</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</si>
  <si>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</si>
  <si>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</si>
  <si>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</si>
  <si>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 xml:space="preserve">Brindar asistencia a los 12 municipios del Departamento para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</si>
  <si>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</si>
  <si>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</si>
  <si>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</si>
  <si>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Implementacion del plan operativo de sistemas de informacion POSI</t>
  </si>
  <si>
    <t>Apoyo a procesos de caracterización de los municipios, cuando sea requerido por èstos</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</si>
  <si>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</si>
  <si>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</si>
  <si>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</si>
  <si>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0309 - 5 - 3 1 4 24 79 14 32 - 20
0309 - 5 - 3 1 4 24 79 14 32 - 88</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</si>
  <si>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</si>
  <si>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</si>
  <si>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</si>
  <si>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</si>
  <si>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 xml:space="preserve">Actualización e implementación del plan integral de prevención de vulneración de DDHH  </t>
  </si>
  <si>
    <t>Realizar jornadas de socialización en rutas de protección a Juntas de Acción Comunal en los 12 municipios del Departamento</t>
  </si>
  <si>
    <t xml:space="preserve">Apoyar en los doce (12) municipios la articulación institucional para la prevención a las violaciones DDHH  e infracciones al DIH </t>
  </si>
  <si>
    <t xml:space="preserve">Número de municipios apoyados </t>
  </si>
  <si>
    <t>Foro de Derechos Humanos</t>
  </si>
  <si>
    <t>Realizar jornadas de capacitación para la  prevencion y sensibilizacion de los Derechos Humanos en los 12 municipios del Departamento</t>
  </si>
  <si>
    <t xml:space="preserve">Papeleria </t>
  </si>
  <si>
    <t xml:space="preserve">Actualizar e Implementar el plan lucha contra la trata de personas
</t>
  </si>
  <si>
    <t>Programa de atención integral a victimas de trata de personas actualizado e  implementado</t>
  </si>
  <si>
    <t xml:space="preserve">Jornadas de prevención del delito de trata de personas  en los 12 municipios del Departamento </t>
  </si>
  <si>
    <t xml:space="preserve">Realizar jornadas de prevención y sensibilización del delito de trata de personas en terminal aérea y terrestre
</t>
  </si>
  <si>
    <t>Ayuda Humanitaria para victimas de trata de personas</t>
  </si>
  <si>
    <t>PREPARADOS PARA LA PAZ</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</si>
  <si>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</si>
  <si>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</si>
  <si>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0309 - 5 - 3 1 4 24 80 14 34 - 20
0309 - 5 - 3 1 4 24 80 14 34 - 88</t>
  </si>
  <si>
    <t>201663000-0034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</si>
  <si>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</si>
  <si>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</si>
  <si>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</si>
  <si>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Asistencia Tecnica para la formulación y actualización de planes de DDHH en los municipios del Depto</t>
  </si>
  <si>
    <t>Apoyar el seguimiento de los planes de DDHH de los 12 municipios del departamento</t>
  </si>
  <si>
    <t>superavit Ordinario</t>
  </si>
  <si>
    <t>Acompañamiento a Comites Municipales de Derechos Humanos que estén creados y funcionando</t>
  </si>
  <si>
    <t xml:space="preserve">Apoyar y articular en los doce (12) municipios  del departamento las actuaciones institucionales en procura de la garantía de la construcción de paz </t>
  </si>
  <si>
    <t>Número de municipios apoyados y articulados</t>
  </si>
  <si>
    <t>Fortalecer Consejo Departamental de Paz</t>
  </si>
  <si>
    <t>Fortaecer consejo departamental de paz, reconcialización, convivencua, DDHH y DIH</t>
  </si>
  <si>
    <t>Foro DDHH</t>
  </si>
  <si>
    <t>Socialización de implementación de los acuerdos en el Departamento</t>
  </si>
  <si>
    <t xml:space="preserve">Semana por la paz </t>
  </si>
  <si>
    <t>Logistica y Refregerios</t>
  </si>
  <si>
    <t>Papeleria</t>
  </si>
  <si>
    <t>Apoyo para la Politica de Reintegrados</t>
  </si>
  <si>
    <t>Acciones en pro de la construcción de paz</t>
  </si>
  <si>
    <t>EL QUINDIO DEPARTAMENTO RESILIENTE</t>
  </si>
  <si>
    <t>QUINDIO PROTEGIENDO EL FUTURO</t>
  </si>
  <si>
    <t xml:space="preserve">Realizar catorce (14) estudios de riesgo y análisis de vulnerabilidad en  los municipios del departamento </t>
  </si>
  <si>
    <t>Número de estudios de riesgo analizados</t>
  </si>
  <si>
    <t>0309 - 5 - 3 1 4 25 81 12 36 - 20
0309 - 5 - 3 1 4 25 81 12 36 - 88
0309 - 5 - 3 1 4 25 81 12 36 - 163</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</si>
  <si>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</si>
  <si>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</si>
  <si>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</si>
  <si>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</si>
  <si>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</si>
  <si>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 xml:space="preserve">Apoyar a ciento cincuenta (150) instituciones educativas del departamento en la formulación de Planes Escolares de Gestión del Riesgo (PGERD) </t>
  </si>
  <si>
    <t xml:space="preserve">Número de instituciones educativas apoyadas en la formulación de los PGERD  </t>
  </si>
  <si>
    <t>Conocimiento manejo y reducción del riesgo en el departamento</t>
  </si>
  <si>
    <t xml:space="preserve">Formulación de los planes escolares de gestión del riesgo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</si>
  <si>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</si>
  <si>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</si>
  <si>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Apoyo en formacion y capacitación de gestión del riesgo</t>
  </si>
  <si>
    <t>Fortalecimiento instituciones de socorro</t>
  </si>
  <si>
    <t>Adquisición tecnologia (camara termica, Dron)</t>
  </si>
  <si>
    <t>Material didactico</t>
  </si>
  <si>
    <t>Servicio de simulador sismico</t>
  </si>
  <si>
    <t>Organización de foros, talleres, eventos y7o actividades</t>
  </si>
  <si>
    <t xml:space="preserve">Realizar 10 intervenciones en  áreas vulnerables del departamento </t>
  </si>
  <si>
    <t>Número de intervenciones en áreas vulnerables realizadas</t>
  </si>
  <si>
    <t xml:space="preserve">Intervenciones, obras de ingenieria y/o análisis vulnerabilidad </t>
  </si>
  <si>
    <t>Transferencia Fondo Nacional Gestión del Riesgo Res. 0329/2019</t>
  </si>
  <si>
    <t xml:space="preserve">Fortalecer el comité departamental de gestión del riesgo de desastres </t>
  </si>
  <si>
    <t>Comité departamental de gestión del riesgo de desastres fortalecido</t>
  </si>
  <si>
    <t>Mantenimiento red de comunicaciones</t>
  </si>
  <si>
    <t>Procesos de atención a PQRS y servicios demandados por la de la comunidad</t>
  </si>
  <si>
    <t xml:space="preserve">Actualización y desarrollo de  tecnoLogías en gestión del riesgo </t>
  </si>
  <si>
    <t>Formacion y capacitacion en el manejo del riesgo</t>
  </si>
  <si>
    <t>Servicios y atención  de manejo de riesgos</t>
  </si>
  <si>
    <t xml:space="preserve">Fortalecimiento  a las instituciones del comité de manejo
</t>
  </si>
  <si>
    <t>FORTALECIMIENTO INSTITUCIONAL PARA LA GESTIÓN DEL RIESGO DE DESASTRES COMO UNA ESTRATEGIA DE DESARROLLO</t>
  </si>
  <si>
    <t>Poner en funcionamiento operativo la sala de crisis del Departamento</t>
  </si>
  <si>
    <t>Sala de crisis del departamento funcionando</t>
  </si>
  <si>
    <t>0309 - 5 - 3 1 4 25 82 12 38 - 20</t>
  </si>
  <si>
    <t>201663000-0038</t>
  </si>
  <si>
    <t>Apoyo institucional en la gestión del riesgo  en el Departamento del Quindio</t>
  </si>
  <si>
    <t xml:space="preserve">Lograr que las ciudadaes y los asentamientos humanos sean inclusivos, resilientes y sostenibles (ODS-objetivo 11)
</t>
  </si>
  <si>
    <t xml:space="preserve">1. Cumplimiento de los protocolos para la preparación y manejo de la emergencia.
2. Destinación de recursos en el ambito local para la atención de las emergencias.
</t>
  </si>
  <si>
    <t xml:space="preserve">Adquisición y/o mantenimiento  de equipos de  comunicación y/o tecnología   </t>
  </si>
  <si>
    <t xml:space="preserve">Articulación y coordinación para el manejo de  desastres en la sala de crisis del departamento </t>
  </si>
  <si>
    <t>Fortalecer  la dotación de la bodega estratégica de la Unidad Departamental de la Gestión del Riesgo de Desastres UDEGER</t>
  </si>
  <si>
    <t>Unidad Departamental de la Gestión del Riesgo de Desastre UDEGER dotada</t>
  </si>
  <si>
    <t xml:space="preserve">Apoyo para la entrega de ayuda humanitaria </t>
  </si>
  <si>
    <t>Suministro de ayudas  Humanitaria</t>
  </si>
  <si>
    <t>PODER CIUDADANO</t>
  </si>
  <si>
    <t>QUINDIO SI A LA PARTICIPACIÓN</t>
  </si>
  <si>
    <t>Desarrollar estrategias tendientes a promover la participación ciudadana en el departamento</t>
  </si>
  <si>
    <t>Estrategias de participación desarrolladas</t>
  </si>
  <si>
    <t>0309 - 5 - 3 1 5 27 85 16 39 - 20
0309 - 5 - 3 1 5 27 85 16 39 - 88</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</si>
  <si>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</si>
  <si>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</si>
  <si>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</si>
  <si>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</si>
  <si>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estrategías de participación</t>
  </si>
  <si>
    <t xml:space="preserve">Celebración de la semana de participación </t>
  </si>
  <si>
    <t>Realización de eventos para el  fortalecimiento a la participación ciudadana y control social</t>
  </si>
  <si>
    <t>Superavit Ordinario </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</si>
  <si>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</si>
  <si>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</si>
  <si>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</si>
  <si>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</si>
  <si>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Adquisición de equipos tecnológicos y/o muebles logísticos para el mejoramiento de la atención al ciudadano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</si>
  <si>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</si>
  <si>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</si>
  <si>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</si>
  <si>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</si>
  <si>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 xml:space="preserve">Servicios de Apoyo para eventos de formación, capacitación y/o formulación de políticas publicas 
</t>
  </si>
  <si>
    <t>Prestación de servicio de transporte</t>
  </si>
  <si>
    <t xml:space="preserve">Logística y/o refrigerios </t>
  </si>
  <si>
    <t>Apoyar  la comisión para la Coordinación y Seguimiento de los procesos electorales del departamento del Quindío  según el numero de eventos que se presenten</t>
  </si>
  <si>
    <t xml:space="preserve">N° de procesos electorales apoyados </t>
  </si>
  <si>
    <t xml:space="preserve">Apoyo insumos logísticos, transporte,suminsitro de combustible y/o alimentación para la celebración de los comicios electorales </t>
  </si>
  <si>
    <t>Diseñar e implementar la Escuela de Liderazgo democrático</t>
  </si>
  <si>
    <t>Escuela de liderazgo diseñada e implementada</t>
  </si>
  <si>
    <t xml:space="preserve">Estructuración e implementación   de la escuela de liderazgo </t>
  </si>
  <si>
    <t xml:space="preserve">Logística, transporte, impresos y/o refrigerios </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</si>
  <si>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</si>
  <si>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</si>
  <si>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Servicios de apoyo para la operatividad  del comité de libertad religiosa</t>
  </si>
  <si>
    <t xml:space="preserve">Realización de eventos y/o encuentros de libertad religiosa </t>
  </si>
  <si>
    <t>Materíal pedagógico y/o promocional relacionado</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</si>
  <si>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</si>
  <si>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</si>
  <si>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</si>
  <si>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</si>
  <si>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</si>
  <si>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</si>
  <si>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</si>
  <si>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</si>
  <si>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</si>
  <si>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 xml:space="preserve">Celebración día comunal
</t>
  </si>
  <si>
    <t>20</t>
  </si>
  <si>
    <t>Recurso Ordianrio</t>
  </si>
  <si>
    <t>Apoyo a eventos de carácter municipal, departamental y/o  nacional</t>
  </si>
  <si>
    <t>Apoyo para fortalecimiento de programas de los organismos comunales</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</si>
  <si>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</si>
  <si>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</si>
  <si>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</si>
  <si>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</si>
  <si>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</si>
  <si>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</si>
  <si>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</si>
  <si>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</si>
  <si>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</si>
  <si>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</si>
  <si>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 xml:space="preserve">Organización de eventos, foros, actividades entre otros  para la promoción y el fortalecimiento del control social y las veedurías ciudadanas. 
</t>
  </si>
  <si>
    <t xml:space="preserve">Difusión en medios masivos  de comunicación (radio impresos entre otros) para la promoción y el fortalecimiento del control social y las  veedurias ciudadanas  </t>
  </si>
  <si>
    <t>Prestación de servicios de transporte</t>
  </si>
  <si>
    <t>JORGE ANDRÉS BUITRAGO MONCALEANO</t>
  </si>
  <si>
    <t>Secretario del Interior</t>
  </si>
  <si>
    <t xml:space="preserve">20
</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</si>
</sst>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dd/mm/yy;@"/>
    <numFmt numFmtId="166" formatCode="_(* #,##0_);_(* \(#,##0\);_(* &quot;-&quot;??_);_(@_)"/>
    <numFmt numFmtId="167" formatCode="dd/mm/yyyy;@"/>
    <numFmt numFmtId="168" formatCode="&quot;$&quot;\ #,##0"/>
    <numFmt numFmtId="169" formatCode="0.0"/>
    <numFmt numFmtId="170" formatCode="d/mm/yyyy;@"/>
    <numFmt numFmtId="171" formatCode="_(* #,##0.00_);_(* \(#,##0.00\);_(* &quot;-&quot;_);_(@_)"/>
    <numFmt numFmtId="172" formatCode="0_ ;\-0\ "/>
    <numFmt numFmtId="173" formatCode="_-* #,##0_-;\-* #,##0_-;_-* &quot;-&quot;_-;_-@_-"/>
    <numFmt numFmtId="174" formatCode="_-&quot;$&quot;\ * #,##0.00_-;\-&quot;$&quot;\ * #,##0.00_-;_-&quot;$&quot;\ * &quot;-&quot;??_-;_-@_-"/>
    <numFmt numFmtId="175" formatCode="_(&quot;$&quot;\ * #,##0_);_(&quot;$&quot;\ * \(#,##0\);_(&quot;$&quot;\ * &quot;-&quot;??_);_(@_)"/>
    <numFmt numFmtId="176" formatCode="_-* #,##0.00_-;\-* #,##0.00_-;_-* &quot;-&quot;??_-;_-@_-"/>
    <numFmt numFmtId="177" formatCode="&quot;$&quot;#,##0"/>
    <numFmt numFmtId="178" formatCode="&quot;$&quot;#,##0.00"/>
    <numFmt numFmtId="179" formatCode="#,##0.0"/>
    <numFmt numFmtId="180" formatCode="_-&quot;$&quot;* #,##0_-;\-&quot;$&quot;* #,##0_-;_-&quot;$&quot;* &quot;-&quot;_-;_-@_-"/>
    <numFmt numFmtId="181" formatCode="_-&quot;$&quot;* #,##0_-;\-&quot;$&quot;* #,##0_-;_-&quot;$&quot;* &quot;-&quot;??_-;_-@_-"/>
    <numFmt numFmtId="182" formatCode="0.0%"/>
    <numFmt numFmtId="183" formatCode="_(&quot;$&quot;* #,##0_);_(&quot;$&quot;* \(#,##0\);_(&quot;$&quot;* &quot;-&quot;_);_(@_)"/>
    <numFmt numFmtId="184" formatCode="#,##0.00_);\-#,##0.00"/>
    <numFmt numFmtId="185" formatCode="_-* #,##0.00\ _€_-;\-* #,##0.00\ _€_-;_-* &quot;-&quot;??\ _€_-;_-@_-"/>
    <numFmt numFmtId="186" formatCode="#,##0.00;[Red]#,##0.00"/>
    <numFmt numFmtId="187" formatCode="#,##0;[Red]#,##0"/>
    <numFmt numFmtId="188" formatCode="0;[Red]0"/>
    <numFmt numFmtId="189" formatCode="_-[$$-240A]* #,##0.00_-;\-[$$-240A]* #,##0.00_-;_-[$$-240A]* &quot;-&quot;??_-;_-@_-"/>
    <numFmt numFmtId="190" formatCode="_ [$€-2]\ * #,##0.00_ ;_ [$€-2]\ * \-#,##0.00_ ;_ [$€-2]\ * &quot;-&quot;??_ "/>
    <numFmt numFmtId="191" formatCode="#,##0.000"/>
  </numFmts>
  <fonts count="46" x14ac:knownFonts="1">
    <font>
      <sz val="11"/>
      <color theme="1"/>
      <name val="Calibri"/>
      <family val="2"/>
      <scheme val="minor"/>
    </font>
    <font>
      <sz val="11"/>
      <color theme="1"/>
      <name val="Calibri"/>
      <family val="2"/>
      <scheme val="minor"/>
    </font>
    <font>
      <b/>
      <sz val="14"/>
      <color theme="1"/>
      <name val="Arial"/>
      <family val="2"/>
    </font>
    <font>
      <b/>
      <sz val="10"/>
      <color theme="1"/>
      <name val="Arial"/>
      <family val="2"/>
    </font>
    <font>
      <sz val="12"/>
      <color theme="1"/>
      <name val="Arial"/>
      <family val="2"/>
    </font>
    <font>
      <b/>
      <sz val="10"/>
      <color indexed="8"/>
      <name val="Arial"/>
      <family val="2"/>
    </font>
    <font>
      <b/>
      <sz val="12"/>
      <color theme="1"/>
      <name val="Arial"/>
      <family val="2"/>
    </font>
    <font>
      <b/>
      <sz val="12"/>
      <name val="Arial"/>
      <family val="2"/>
    </font>
    <font>
      <sz val="12"/>
      <name val="Arial"/>
      <family val="2"/>
    </font>
    <font>
      <sz val="12"/>
      <color rgb="FFFF0000"/>
      <name val="Arial"/>
      <family val="2"/>
    </font>
    <font>
      <sz val="12"/>
      <color rgb="FF000000"/>
      <name val="Arial"/>
      <family val="2"/>
    </font>
    <font>
      <b/>
      <sz val="12"/>
      <color rgb="FFFF0000"/>
      <name val="Arial"/>
      <family val="2"/>
    </font>
    <font>
      <sz val="11"/>
      <color theme="1"/>
      <name val="Arial"/>
      <family val="2"/>
    </font>
    <font>
      <sz val="10"/>
      <name val="Arial"/>
      <family val="2"/>
    </font>
    <font>
      <sz val="11"/>
      <name val="Arial"/>
      <family val="2"/>
    </font>
    <font>
      <b/>
      <sz val="11"/>
      <name val="Arial"/>
      <family val="2"/>
    </font>
    <font>
      <sz val="11"/>
      <name val="Calibri"/>
      <family val="2"/>
      <scheme val="minor"/>
    </font>
    <font>
      <sz val="11"/>
      <color rgb="FF000000"/>
      <name val="Arial"/>
      <family val="2"/>
    </font>
    <font>
      <b/>
      <sz val="14"/>
      <color indexed="8"/>
      <name val="Arial"/>
      <family val="2"/>
    </font>
    <font>
      <sz val="12"/>
      <color indexed="8"/>
      <name val="Arial"/>
      <family val="2"/>
    </font>
    <font>
      <b/>
      <sz val="12"/>
      <color indexed="8"/>
      <name val="Arial"/>
      <family val="2"/>
    </font>
    <font>
      <sz val="11"/>
      <color indexed="8"/>
      <name val="Calibri"/>
      <family val="2"/>
    </font>
    <font>
      <sz val="10"/>
      <color theme="1"/>
      <name val="Arial"/>
      <family val="2"/>
    </font>
    <font>
      <sz val="11"/>
      <color rgb="FFFF0000"/>
      <name val="Calibri"/>
      <family val="2"/>
      <scheme val="minor"/>
    </font>
    <font>
      <b/>
      <sz val="11"/>
      <color theme="1"/>
      <name val="Arial"/>
      <family val="2"/>
    </font>
    <font>
      <b/>
      <sz val="11"/>
      <color indexed="8"/>
      <name val="Arial"/>
      <family val="2"/>
    </font>
    <font>
      <b/>
      <sz val="10"/>
      <name val="Arial"/>
      <family val="2"/>
    </font>
    <font>
      <b/>
      <sz val="9"/>
      <name val="Calibri"/>
      <family val="2"/>
      <scheme val="minor"/>
    </font>
    <font>
      <sz val="11"/>
      <color theme="0"/>
      <name val="Arial"/>
      <family val="2"/>
    </font>
    <font>
      <sz val="11"/>
      <color rgb="FF000000"/>
      <name val="Calibri"/>
      <family val="2"/>
      <scheme val="minor"/>
    </font>
    <font>
      <sz val="12"/>
      <color rgb="FF000000"/>
      <name val="Calibri"/>
      <family val="2"/>
      <scheme val="minor"/>
    </font>
    <font>
      <sz val="8"/>
      <color theme="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1"/>
      <color theme="1"/>
      <name val="Calibri"/>
      <family val="2"/>
      <scheme val="minor"/>
    </font>
    <font>
      <b/>
      <sz val="11"/>
      <name val="Calibri"/>
      <family val="2"/>
      <scheme val="minor"/>
    </font>
    <font>
      <sz val="11"/>
      <color indexed="8"/>
      <name val="Arial"/>
      <family val="2"/>
    </font>
    <font>
      <sz val="9"/>
      <color theme="1"/>
      <name val="Arial Narrow"/>
      <family val="2"/>
    </font>
    <font>
      <sz val="11"/>
      <color theme="1"/>
      <name val="Arial Narrow"/>
      <family val="2"/>
    </font>
    <font>
      <b/>
      <sz val="26"/>
      <color theme="1"/>
      <name val="Arial Narrow"/>
      <family val="2"/>
    </font>
    <font>
      <sz val="20"/>
      <color theme="1"/>
      <name val="Arial Narrow"/>
      <family val="2"/>
    </font>
    <font>
      <sz val="26"/>
      <color theme="1"/>
      <name val="Arial Narrow"/>
      <family val="2"/>
    </font>
    <font>
      <i/>
      <sz val="20"/>
      <color theme="1"/>
      <name val="Arial Narrow"/>
      <family val="2"/>
    </font>
    <font>
      <sz val="14"/>
      <color theme="1"/>
      <name val="Arial Narrow"/>
      <family val="2"/>
    </font>
  </fonts>
  <fills count="24">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E0C316"/>
        <bgColor indexed="64"/>
      </patternFill>
    </fill>
    <fill>
      <patternFill patternType="solid">
        <fgColor theme="9" tint="0.59999389629810485"/>
        <bgColor indexed="64"/>
      </patternFill>
    </fill>
    <fill>
      <patternFill patternType="solid">
        <fgColor rgb="FFFF0000"/>
        <bgColor indexed="64"/>
      </patternFill>
    </fill>
    <fill>
      <patternFill patternType="solid">
        <fgColor theme="2" tint="-9.9978637043366805E-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auto="1"/>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style="thin">
        <color indexed="64"/>
      </left>
      <right/>
      <top/>
      <bottom style="medium">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thin">
        <color indexed="64"/>
      </right>
      <top/>
      <bottom style="medium">
        <color indexed="64"/>
      </bottom>
      <diagonal/>
    </border>
    <border>
      <left style="thin">
        <color auto="1"/>
      </left>
      <right style="thin">
        <color indexed="64"/>
      </right>
      <top/>
      <bottom style="medium">
        <color indexed="64"/>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rgb="FF000000"/>
      </left>
      <right/>
      <top/>
      <bottom/>
      <diagonal/>
    </border>
    <border>
      <left style="thin">
        <color auto="1"/>
      </left>
      <right style="thin">
        <color rgb="FF000000"/>
      </right>
      <top style="thin">
        <color auto="1"/>
      </top>
      <bottom/>
      <diagonal/>
    </border>
    <border>
      <left style="thin">
        <color auto="1"/>
      </left>
      <right style="thin">
        <color rgb="FF000000"/>
      </right>
      <top/>
      <bottom/>
      <diagonal/>
    </border>
    <border>
      <left/>
      <right style="thin">
        <color rgb="FF000000"/>
      </right>
      <top/>
      <bottom style="thin">
        <color rgb="FF000000"/>
      </bottom>
      <diagonal/>
    </border>
    <border>
      <left style="thin">
        <color auto="1"/>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bottom style="thin">
        <color rgb="FF000000"/>
      </bottom>
      <diagonal/>
    </border>
    <border>
      <left style="thin">
        <color auto="1"/>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thin">
        <color auto="1"/>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auto="1"/>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rgb="FF000000"/>
      </bottom>
      <diagonal/>
    </border>
    <border>
      <left/>
      <right style="medium">
        <color indexed="64"/>
      </right>
      <top/>
      <bottom/>
      <diagonal/>
    </border>
    <border>
      <left style="thin">
        <color rgb="FF000000"/>
      </left>
      <right/>
      <top style="thin">
        <color indexed="64"/>
      </top>
      <bottom/>
      <diagonal/>
    </border>
    <border>
      <left style="thin">
        <color rgb="FF000000"/>
      </left>
      <right/>
      <top/>
      <bottom style="thin">
        <color indexed="64"/>
      </bottom>
      <diagonal/>
    </border>
    <border>
      <left/>
      <right/>
      <top style="thin">
        <color rgb="FF000000"/>
      </top>
      <bottom style="thin">
        <color rgb="FF000000"/>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rgb="FF000000"/>
      </left>
      <right style="thin">
        <color indexed="64"/>
      </right>
      <top style="thin">
        <color rgb="FF000000"/>
      </top>
      <bottom/>
      <diagonal/>
    </border>
    <border>
      <left/>
      <right style="thin">
        <color rgb="FF000000"/>
      </right>
      <top style="thin">
        <color indexed="64"/>
      </top>
      <bottom style="thin">
        <color indexed="64"/>
      </bottom>
      <diagonal/>
    </border>
  </borders>
  <cellStyleXfs count="28">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3" fillId="0" borderId="0"/>
    <xf numFmtId="0" fontId="13" fillId="0" borderId="0"/>
    <xf numFmtId="0" fontId="1" fillId="0" borderId="0"/>
    <xf numFmtId="0" fontId="13" fillId="0" borderId="0"/>
    <xf numFmtId="9" fontId="21" fillId="0" borderId="0" applyFont="0" applyFill="0" applyBorder="0" applyAlignment="0" applyProtection="0"/>
    <xf numFmtId="43" fontId="2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1" fillId="0" borderId="0" applyFont="0" applyFill="0" applyBorder="0" applyAlignment="0" applyProtection="0"/>
    <xf numFmtId="180" fontId="1" fillId="0" borderId="0" applyFont="0" applyFill="0" applyBorder="0" applyAlignment="0" applyProtection="0"/>
    <xf numFmtId="9" fontId="21" fillId="0" borderId="0" applyFont="0" applyFill="0" applyBorder="0" applyAlignment="0" applyProtection="0"/>
    <xf numFmtId="42" fontId="1" fillId="0" borderId="0" applyFont="0" applyFill="0" applyBorder="0" applyAlignment="0" applyProtection="0"/>
    <xf numFmtId="0" fontId="1" fillId="0" borderId="0"/>
    <xf numFmtId="0" fontId="13" fillId="0" borderId="0"/>
    <xf numFmtId="180" fontId="13" fillId="0" borderId="0" applyFont="0" applyFill="0" applyBorder="0" applyAlignment="0" applyProtection="0"/>
    <xf numFmtId="185" fontId="1" fillId="0" borderId="0" applyFont="0" applyFill="0" applyBorder="0" applyAlignment="0" applyProtection="0"/>
    <xf numFmtId="9" fontId="21" fillId="0" borderId="0" applyFont="0" applyFill="0" applyBorder="0" applyAlignment="0" applyProtection="0"/>
    <xf numFmtId="190" fontId="1" fillId="0" borderId="0"/>
  </cellStyleXfs>
  <cellXfs count="4325">
    <xf numFmtId="0" fontId="0" fillId="0" borderId="0" xfId="0"/>
    <xf numFmtId="0" fontId="3" fillId="0" borderId="1" xfId="0" applyFont="1" applyBorder="1"/>
    <xf numFmtId="0" fontId="4" fillId="0" borderId="0" xfId="0" applyFont="1"/>
    <xf numFmtId="0" fontId="3" fillId="0" borderId="1" xfId="0" applyFont="1" applyBorder="1" applyAlignment="1">
      <alignment horizontal="left"/>
    </xf>
    <xf numFmtId="164" fontId="3" fillId="0" borderId="1" xfId="0" applyNumberFormat="1" applyFont="1" applyBorder="1" applyAlignment="1">
      <alignment horizontal="left"/>
    </xf>
    <xf numFmtId="17" fontId="3" fillId="0" borderId="1" xfId="0" applyNumberFormat="1" applyFont="1" applyBorder="1" applyAlignment="1">
      <alignment horizontal="left"/>
    </xf>
    <xf numFmtId="0" fontId="3" fillId="0" borderId="1" xfId="0" applyFont="1" applyBorder="1" applyAlignment="1">
      <alignment vertical="center"/>
    </xf>
    <xf numFmtId="3" fontId="5" fillId="2" borderId="1" xfId="0" applyNumberFormat="1" applyFont="1" applyFill="1" applyBorder="1" applyAlignment="1">
      <alignment horizontal="left" vertical="center" wrapText="1"/>
    </xf>
    <xf numFmtId="0" fontId="4" fillId="0" borderId="0" xfId="0" applyFont="1" applyAlignment="1">
      <alignment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3" borderId="1" xfId="0" applyFont="1" applyFill="1" applyBorder="1" applyAlignment="1">
      <alignment horizontal="center" vertical="center" textRotation="90" wrapText="1"/>
    </xf>
    <xf numFmtId="49" fontId="6" fillId="3" borderId="1" xfId="0" applyNumberFormat="1" applyFont="1" applyFill="1" applyBorder="1" applyAlignment="1">
      <alignment horizontal="center" vertical="center" textRotation="90" wrapText="1"/>
    </xf>
    <xf numFmtId="1" fontId="6" fillId="5" borderId="3" xfId="0" applyNumberFormat="1" applyFont="1" applyFill="1" applyBorder="1" applyAlignment="1">
      <alignment horizontal="left" vertical="center" wrapText="1"/>
    </xf>
    <xf numFmtId="0" fontId="6" fillId="5" borderId="4" xfId="0" applyFont="1" applyFill="1" applyBorder="1" applyAlignment="1">
      <alignment vertical="center"/>
    </xf>
    <xf numFmtId="0" fontId="6" fillId="5" borderId="4" xfId="0" applyFont="1" applyFill="1" applyBorder="1" applyAlignment="1">
      <alignment horizontal="justify" vertical="center"/>
    </xf>
    <xf numFmtId="0" fontId="6" fillId="5" borderId="4" xfId="0" applyFont="1" applyFill="1" applyBorder="1" applyAlignment="1">
      <alignment horizontal="center" vertical="center"/>
    </xf>
    <xf numFmtId="9" fontId="6" fillId="5" borderId="4" xfId="2" applyFont="1" applyFill="1" applyBorder="1" applyAlignment="1">
      <alignment horizontal="center" vertical="center"/>
    </xf>
    <xf numFmtId="3" fontId="4" fillId="5" borderId="4" xfId="0" applyNumberFormat="1" applyFont="1" applyFill="1" applyBorder="1" applyAlignment="1">
      <alignment vertical="center"/>
    </xf>
    <xf numFmtId="3" fontId="6" fillId="5" borderId="4" xfId="0" applyNumberFormat="1" applyFont="1" applyFill="1" applyBorder="1" applyAlignment="1">
      <alignment horizontal="right" vertical="center"/>
    </xf>
    <xf numFmtId="166" fontId="6" fillId="5" borderId="4" xfId="0" applyNumberFormat="1" applyFont="1" applyFill="1" applyBorder="1" applyAlignment="1">
      <alignment horizontal="center" vertical="center"/>
    </xf>
    <xf numFmtId="0" fontId="6" fillId="5" borderId="1" xfId="0" applyFont="1" applyFill="1" applyBorder="1" applyAlignment="1">
      <alignment vertical="center"/>
    </xf>
    <xf numFmtId="0" fontId="6" fillId="5" borderId="1" xfId="0" applyFont="1" applyFill="1" applyBorder="1" applyAlignment="1">
      <alignment horizontal="justify" vertical="center"/>
    </xf>
    <xf numFmtId="0" fontId="4" fillId="6" borderId="3" xfId="0" applyFont="1" applyFill="1" applyBorder="1" applyAlignment="1">
      <alignment vertical="center" wrapText="1"/>
    </xf>
    <xf numFmtId="0" fontId="6" fillId="7" borderId="6" xfId="0" applyFont="1" applyFill="1" applyBorder="1" applyAlignment="1">
      <alignment horizontal="left" vertical="center"/>
    </xf>
    <xf numFmtId="1" fontId="6" fillId="7" borderId="7" xfId="0" applyNumberFormat="1" applyFont="1" applyFill="1" applyBorder="1" applyAlignment="1">
      <alignment horizontal="left" vertical="center"/>
    </xf>
    <xf numFmtId="0" fontId="6" fillId="7" borderId="4" xfId="0" applyFont="1" applyFill="1" applyBorder="1" applyAlignment="1">
      <alignment vertical="center"/>
    </xf>
    <xf numFmtId="0" fontId="6" fillId="7" borderId="4" xfId="0" applyFont="1" applyFill="1" applyBorder="1" applyAlignment="1">
      <alignment horizontal="justify" vertical="center"/>
    </xf>
    <xf numFmtId="0" fontId="6" fillId="7" borderId="4" xfId="0" applyFont="1" applyFill="1" applyBorder="1" applyAlignment="1">
      <alignment horizontal="center" vertical="center"/>
    </xf>
    <xf numFmtId="9" fontId="6" fillId="7" borderId="4" xfId="2" applyFont="1" applyFill="1" applyBorder="1" applyAlignment="1">
      <alignment horizontal="center" vertical="center"/>
    </xf>
    <xf numFmtId="3" fontId="4" fillId="7" borderId="4" xfId="0" applyNumberFormat="1" applyFont="1" applyFill="1" applyBorder="1" applyAlignment="1">
      <alignment vertical="center"/>
    </xf>
    <xf numFmtId="3" fontId="6" fillId="7" borderId="4" xfId="0" applyNumberFormat="1" applyFont="1" applyFill="1" applyBorder="1" applyAlignment="1">
      <alignment horizontal="right" vertical="center"/>
    </xf>
    <xf numFmtId="166" fontId="6" fillId="7" borderId="4" xfId="0" applyNumberFormat="1" applyFont="1" applyFill="1" applyBorder="1" applyAlignment="1">
      <alignment horizontal="center" vertical="center"/>
    </xf>
    <xf numFmtId="0" fontId="6" fillId="7" borderId="0" xfId="0" applyFont="1" applyFill="1" applyAlignment="1">
      <alignment vertical="center"/>
    </xf>
    <xf numFmtId="0" fontId="6" fillId="7" borderId="1" xfId="0" applyFont="1" applyFill="1" applyBorder="1" applyAlignment="1">
      <alignment vertical="center"/>
    </xf>
    <xf numFmtId="167" fontId="6" fillId="7" borderId="1" xfId="0" applyNumberFormat="1" applyFont="1" applyFill="1" applyBorder="1" applyAlignment="1">
      <alignment vertical="center"/>
    </xf>
    <xf numFmtId="0" fontId="6" fillId="7" borderId="1" xfId="0" applyFont="1" applyFill="1" applyBorder="1" applyAlignment="1">
      <alignment horizontal="justify" vertical="center"/>
    </xf>
    <xf numFmtId="0" fontId="4" fillId="6" borderId="0" xfId="0" applyFont="1" applyFill="1"/>
    <xf numFmtId="0" fontId="4" fillId="6" borderId="11" xfId="0" applyFont="1" applyFill="1" applyBorder="1" applyAlignment="1">
      <alignment vertical="center" wrapText="1"/>
    </xf>
    <xf numFmtId="1" fontId="6" fillId="8" borderId="6" xfId="0" applyNumberFormat="1" applyFont="1" applyFill="1" applyBorder="1" applyAlignment="1">
      <alignment horizontal="left" vertical="center" wrapText="1"/>
    </xf>
    <xf numFmtId="1" fontId="6" fillId="8" borderId="7" xfId="0" applyNumberFormat="1" applyFont="1" applyFill="1" applyBorder="1" applyAlignment="1">
      <alignment vertical="center"/>
    </xf>
    <xf numFmtId="0" fontId="6" fillId="8" borderId="8" xfId="0" applyFont="1" applyFill="1" applyBorder="1" applyAlignment="1">
      <alignment vertical="center"/>
    </xf>
    <xf numFmtId="0" fontId="6" fillId="8" borderId="1" xfId="0" applyFont="1" applyFill="1" applyBorder="1" applyAlignment="1">
      <alignment horizontal="justify" vertical="center"/>
    </xf>
    <xf numFmtId="0" fontId="6" fillId="8" borderId="1" xfId="0" applyFont="1" applyFill="1" applyBorder="1" applyAlignment="1">
      <alignment vertical="center"/>
    </xf>
    <xf numFmtId="0" fontId="6" fillId="8" borderId="1" xfId="0" applyFont="1" applyFill="1" applyBorder="1" applyAlignment="1">
      <alignment horizontal="center" vertical="center"/>
    </xf>
    <xf numFmtId="9" fontId="6" fillId="8" borderId="1" xfId="2" applyFont="1" applyFill="1" applyBorder="1" applyAlignment="1">
      <alignment horizontal="center" vertical="center"/>
    </xf>
    <xf numFmtId="3" fontId="4" fillId="8" borderId="1" xfId="0" applyNumberFormat="1" applyFont="1" applyFill="1" applyBorder="1" applyAlignment="1">
      <alignment vertical="center"/>
    </xf>
    <xf numFmtId="3" fontId="6" fillId="8" borderId="1" xfId="0" applyNumberFormat="1" applyFont="1" applyFill="1" applyBorder="1" applyAlignment="1">
      <alignment horizontal="right" vertical="center"/>
    </xf>
    <xf numFmtId="166" fontId="6" fillId="8" borderId="9" xfId="0" applyNumberFormat="1" applyFont="1" applyFill="1" applyBorder="1" applyAlignment="1">
      <alignment horizontal="center" vertical="center"/>
    </xf>
    <xf numFmtId="0" fontId="6" fillId="8" borderId="9" xfId="0" applyFont="1" applyFill="1" applyBorder="1" applyAlignment="1">
      <alignment vertical="center"/>
    </xf>
    <xf numFmtId="167" fontId="6" fillId="8" borderId="1" xfId="0" applyNumberFormat="1" applyFont="1" applyFill="1" applyBorder="1" applyAlignment="1">
      <alignment vertical="center"/>
    </xf>
    <xf numFmtId="166" fontId="4" fillId="6" borderId="14" xfId="0" applyNumberFormat="1" applyFont="1" applyFill="1" applyBorder="1" applyAlignment="1">
      <alignment vertical="center" wrapText="1"/>
    </xf>
    <xf numFmtId="1" fontId="4" fillId="6" borderId="15" xfId="0" applyNumberFormat="1" applyFont="1" applyFill="1" applyBorder="1" applyAlignment="1">
      <alignment horizontal="center" vertical="center" wrapText="1"/>
    </xf>
    <xf numFmtId="0" fontId="4" fillId="6" borderId="14" xfId="0" applyFont="1" applyFill="1" applyBorder="1" applyAlignment="1">
      <alignment vertical="center" wrapText="1"/>
    </xf>
    <xf numFmtId="166" fontId="4" fillId="0" borderId="16" xfId="0" applyNumberFormat="1" applyFont="1" applyFill="1" applyBorder="1" applyAlignment="1">
      <alignment vertical="center" wrapText="1"/>
    </xf>
    <xf numFmtId="1" fontId="4" fillId="6" borderId="17" xfId="0" applyNumberFormat="1" applyFont="1" applyFill="1" applyBorder="1" applyAlignment="1">
      <alignment horizontal="center" vertical="center" wrapText="1"/>
    </xf>
    <xf numFmtId="166" fontId="4" fillId="0" borderId="15" xfId="0" applyNumberFormat="1" applyFont="1" applyFill="1" applyBorder="1" applyAlignment="1">
      <alignment vertical="center" wrapText="1"/>
    </xf>
    <xf numFmtId="1" fontId="4" fillId="6" borderId="14" xfId="0" applyNumberFormat="1" applyFont="1" applyFill="1" applyBorder="1" applyAlignment="1">
      <alignment horizontal="center" vertical="center" wrapText="1"/>
    </xf>
    <xf numFmtId="0" fontId="4" fillId="6" borderId="18" xfId="0" applyFont="1" applyFill="1" applyBorder="1" applyAlignment="1">
      <alignment vertical="center" wrapText="1"/>
    </xf>
    <xf numFmtId="0" fontId="4" fillId="6" borderId="0" xfId="0" applyFont="1" applyFill="1" applyAlignment="1">
      <alignment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justify" vertical="center" wrapText="1"/>
    </xf>
    <xf numFmtId="9" fontId="4" fillId="6" borderId="1" xfId="2" applyFont="1" applyFill="1" applyBorder="1" applyAlignment="1">
      <alignment horizontal="center" vertical="center" wrapText="1"/>
    </xf>
    <xf numFmtId="3" fontId="4" fillId="6" borderId="1" xfId="0" applyNumberFormat="1" applyFont="1" applyFill="1" applyBorder="1" applyAlignment="1">
      <alignment horizontal="center" vertical="center" wrapText="1"/>
    </xf>
    <xf numFmtId="166" fontId="4" fillId="6" borderId="19" xfId="0" applyNumberFormat="1" applyFont="1" applyFill="1" applyBorder="1" applyAlignment="1">
      <alignment horizontal="right" vertical="center" wrapText="1"/>
    </xf>
    <xf numFmtId="1" fontId="4" fillId="6" borderId="19" xfId="0" applyNumberFormat="1" applyFont="1" applyFill="1" applyBorder="1" applyAlignment="1">
      <alignment horizontal="center" vertical="center" wrapText="1"/>
    </xf>
    <xf numFmtId="0" fontId="4" fillId="6" borderId="19" xfId="0" applyFont="1" applyFill="1" applyBorder="1" applyAlignment="1">
      <alignment horizontal="justify" vertical="center" wrapText="1"/>
    </xf>
    <xf numFmtId="166" fontId="8"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14" fontId="4" fillId="6" borderId="1" xfId="0" applyNumberFormat="1" applyFont="1" applyFill="1" applyBorder="1" applyAlignment="1">
      <alignment horizontal="center" vertical="center"/>
    </xf>
    <xf numFmtId="0" fontId="4" fillId="6" borderId="0" xfId="0" applyFont="1" applyFill="1" applyAlignment="1">
      <alignment horizontal="center" vertical="center" wrapText="1"/>
    </xf>
    <xf numFmtId="1" fontId="6" fillId="7" borderId="6" xfId="0" applyNumberFormat="1" applyFont="1" applyFill="1" applyBorder="1" applyAlignment="1">
      <alignment horizontal="left" vertical="center"/>
    </xf>
    <xf numFmtId="0" fontId="6" fillId="7" borderId="7" xfId="0" applyFont="1" applyFill="1" applyBorder="1" applyAlignment="1">
      <alignment vertical="center"/>
    </xf>
    <xf numFmtId="0" fontId="6" fillId="7" borderId="8" xfId="0" applyFont="1" applyFill="1" applyBorder="1" applyAlignment="1">
      <alignment vertical="center"/>
    </xf>
    <xf numFmtId="0" fontId="6" fillId="7" borderId="1" xfId="0" applyFont="1" applyFill="1" applyBorder="1" applyAlignment="1">
      <alignment horizontal="center" vertical="center"/>
    </xf>
    <xf numFmtId="9" fontId="6" fillId="7" borderId="1" xfId="2" applyFont="1" applyFill="1" applyBorder="1" applyAlignment="1">
      <alignment horizontal="center" vertical="center"/>
    </xf>
    <xf numFmtId="3" fontId="4" fillId="7" borderId="1" xfId="0" applyNumberFormat="1" applyFont="1" applyFill="1" applyBorder="1" applyAlignment="1">
      <alignment vertical="center"/>
    </xf>
    <xf numFmtId="3" fontId="6" fillId="7" borderId="1" xfId="0" applyNumberFormat="1" applyFont="1" applyFill="1" applyBorder="1" applyAlignment="1">
      <alignment horizontal="right" vertical="center"/>
    </xf>
    <xf numFmtId="166" fontId="6" fillId="7" borderId="1" xfId="0" applyNumberFormat="1" applyFont="1" applyFill="1" applyBorder="1" applyAlignment="1">
      <alignment horizontal="center" vertical="center"/>
    </xf>
    <xf numFmtId="1" fontId="6" fillId="8" borderId="6" xfId="0" applyNumberFormat="1" applyFont="1" applyFill="1" applyBorder="1" applyAlignment="1">
      <alignment horizontal="left" vertical="center" wrapText="1" indent="1"/>
    </xf>
    <xf numFmtId="1" fontId="6" fillId="8" borderId="8" xfId="0" applyNumberFormat="1" applyFont="1" applyFill="1" applyBorder="1" applyAlignment="1">
      <alignment horizontal="center" vertical="center" wrapText="1"/>
    </xf>
    <xf numFmtId="166" fontId="6" fillId="8" borderId="1"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 xfId="0" applyFont="1" applyFill="1" applyBorder="1" applyAlignment="1">
      <alignment horizontal="justify" vertical="center" wrapText="1"/>
    </xf>
    <xf numFmtId="166" fontId="8" fillId="0" borderId="6" xfId="3" applyNumberFormat="1" applyFont="1" applyFill="1" applyBorder="1" applyAlignment="1">
      <alignment horizontal="center" vertical="center"/>
    </xf>
    <xf numFmtId="1" fontId="4" fillId="0" borderId="14" xfId="0" applyNumberFormat="1" applyFont="1" applyFill="1" applyBorder="1" applyAlignment="1">
      <alignment horizontal="center" wrapText="1"/>
    </xf>
    <xf numFmtId="0" fontId="4" fillId="0" borderId="12" xfId="0" applyFont="1" applyFill="1" applyBorder="1" applyAlignment="1">
      <alignment vertical="center" wrapText="1"/>
    </xf>
    <xf numFmtId="0" fontId="4" fillId="0" borderId="0" xfId="0" applyFont="1" applyFill="1"/>
    <xf numFmtId="166" fontId="8" fillId="0" borderId="3" xfId="3" applyNumberFormat="1" applyFont="1" applyFill="1" applyBorder="1" applyAlignment="1">
      <alignment horizontal="center" vertical="center"/>
    </xf>
    <xf numFmtId="1" fontId="4" fillId="0" borderId="16" xfId="0" applyNumberFormat="1" applyFont="1" applyFill="1" applyBorder="1" applyAlignment="1">
      <alignment horizontal="center" vertical="center" wrapText="1"/>
    </xf>
    <xf numFmtId="166" fontId="8" fillId="0" borderId="15" xfId="3" applyNumberFormat="1" applyFont="1" applyFill="1" applyBorder="1" applyAlignment="1">
      <alignment horizontal="center" vertical="center"/>
    </xf>
    <xf numFmtId="1" fontId="4" fillId="0" borderId="14" xfId="0" applyNumberFormat="1" applyFont="1" applyFill="1" applyBorder="1" applyAlignment="1">
      <alignment horizontal="center" vertical="center" wrapText="1"/>
    </xf>
    <xf numFmtId="0" fontId="4" fillId="0" borderId="14" xfId="0" applyFont="1" applyFill="1" applyBorder="1" applyAlignment="1">
      <alignment vertical="center" wrapText="1"/>
    </xf>
    <xf numFmtId="43" fontId="4" fillId="0" borderId="15" xfId="1" applyFont="1" applyFill="1" applyBorder="1" applyAlignment="1">
      <alignment vertical="center"/>
    </xf>
    <xf numFmtId="0" fontId="4" fillId="0" borderId="9" xfId="0" applyFont="1" applyFill="1" applyBorder="1" applyAlignment="1">
      <alignment horizontal="justify" vertical="center" wrapText="1"/>
    </xf>
    <xf numFmtId="166" fontId="8" fillId="0" borderId="21" xfId="3" applyNumberFormat="1" applyFont="1" applyFill="1" applyBorder="1" applyAlignment="1">
      <alignment horizontal="center" vertical="center"/>
    </xf>
    <xf numFmtId="0" fontId="4" fillId="0" borderId="22" xfId="0" applyFont="1" applyFill="1" applyBorder="1" applyAlignment="1">
      <alignment vertical="center" wrapText="1"/>
    </xf>
    <xf numFmtId="41" fontId="4" fillId="0" borderId="17" xfId="0" applyNumberFormat="1" applyFont="1" applyFill="1" applyBorder="1" applyAlignment="1">
      <alignment vertical="center"/>
    </xf>
    <xf numFmtId="1" fontId="4" fillId="0" borderId="27" xfId="0" applyNumberFormat="1" applyFont="1" applyFill="1" applyBorder="1" applyAlignment="1">
      <alignment horizontal="center" vertical="center" wrapText="1"/>
    </xf>
    <xf numFmtId="0" fontId="4" fillId="0" borderId="27" xfId="0" applyFont="1" applyFill="1" applyBorder="1" applyAlignment="1">
      <alignment vertical="center" wrapText="1"/>
    </xf>
    <xf numFmtId="0" fontId="6" fillId="0" borderId="28" xfId="0" applyFont="1" applyBorder="1" applyAlignment="1">
      <alignment vertical="center"/>
    </xf>
    <xf numFmtId="0" fontId="6" fillId="0" borderId="29" xfId="0" applyFont="1" applyBorder="1" applyAlignment="1">
      <alignment vertical="center"/>
    </xf>
    <xf numFmtId="0" fontId="7" fillId="0" borderId="30" xfId="0" applyFont="1" applyBorder="1" applyAlignment="1">
      <alignment vertical="center"/>
    </xf>
    <xf numFmtId="43" fontId="7" fillId="0" borderId="31" xfId="3" applyFont="1" applyBorder="1" applyAlignment="1">
      <alignment vertical="center"/>
    </xf>
    <xf numFmtId="0" fontId="6" fillId="0" borderId="30" xfId="0" applyFont="1" applyBorder="1" applyAlignment="1">
      <alignment horizontal="justify" vertical="center"/>
    </xf>
    <xf numFmtId="166" fontId="6" fillId="0" borderId="31" xfId="3" applyNumberFormat="1" applyFont="1" applyBorder="1"/>
    <xf numFmtId="168" fontId="7" fillId="0" borderId="32" xfId="0" applyNumberFormat="1" applyFont="1" applyBorder="1" applyAlignment="1">
      <alignment vertical="center"/>
    </xf>
    <xf numFmtId="0" fontId="6" fillId="6" borderId="33" xfId="0" applyFont="1" applyFill="1" applyBorder="1" applyAlignment="1">
      <alignment horizontal="justify" vertical="center"/>
    </xf>
    <xf numFmtId="0" fontId="6" fillId="6" borderId="29" xfId="0" applyFont="1" applyFill="1" applyBorder="1" applyAlignment="1">
      <alignment horizontal="justify" vertical="center"/>
    </xf>
    <xf numFmtId="0" fontId="6" fillId="0" borderId="29" xfId="0" applyFont="1" applyBorder="1" applyAlignment="1">
      <alignment horizontal="right" vertical="center"/>
    </xf>
    <xf numFmtId="165" fontId="6" fillId="0" borderId="29" xfId="0" applyNumberFormat="1" applyFont="1" applyBorder="1" applyAlignment="1">
      <alignment horizontal="center" vertical="center"/>
    </xf>
    <xf numFmtId="0" fontId="6" fillId="0" borderId="30" xfId="0" applyFont="1" applyBorder="1" applyAlignment="1">
      <alignment horizontal="left" vertical="center"/>
    </xf>
    <xf numFmtId="0" fontId="6" fillId="0" borderId="0" xfId="0" applyFont="1" applyAlignment="1">
      <alignment vertical="center"/>
    </xf>
    <xf numFmtId="0" fontId="4" fillId="0" borderId="0" xfId="0" applyFont="1" applyAlignment="1">
      <alignment horizontal="center"/>
    </xf>
    <xf numFmtId="3" fontId="4" fillId="0" borderId="0" xfId="0" applyNumberFormat="1" applyFont="1"/>
    <xf numFmtId="166" fontId="4" fillId="0" borderId="0" xfId="0" applyNumberFormat="1" applyFont="1" applyAlignment="1">
      <alignment horizontal="center"/>
    </xf>
    <xf numFmtId="168" fontId="4" fillId="0" borderId="0" xfId="0" applyNumberFormat="1" applyFont="1"/>
    <xf numFmtId="3" fontId="6" fillId="6" borderId="4" xfId="0" applyNumberFormat="1" applyFont="1" applyFill="1" applyBorder="1" applyAlignment="1">
      <alignment vertical="center"/>
    </xf>
    <xf numFmtId="0" fontId="6" fillId="0" borderId="4" xfId="0" applyFont="1" applyBorder="1" applyAlignment="1">
      <alignment horizontal="center"/>
    </xf>
    <xf numFmtId="0" fontId="6" fillId="0" borderId="4" xfId="0" applyFont="1" applyBorder="1"/>
    <xf numFmtId="0" fontId="6" fillId="0" borderId="0" xfId="0" applyFont="1"/>
    <xf numFmtId="0" fontId="6" fillId="0" borderId="0" xfId="0" applyFont="1" applyAlignment="1">
      <alignment horizontal="center"/>
    </xf>
    <xf numFmtId="0" fontId="3" fillId="0" borderId="1" xfId="0" applyFont="1" applyBorder="1" applyAlignment="1">
      <alignment horizontal="left" vertical="center"/>
    </xf>
    <xf numFmtId="0" fontId="3" fillId="0" borderId="1" xfId="0" applyFont="1" applyBorder="1" applyAlignment="1">
      <alignment vertical="center" wrapText="1"/>
    </xf>
    <xf numFmtId="3" fontId="5" fillId="0" borderId="1" xfId="0" applyNumberFormat="1" applyFont="1" applyBorder="1" applyAlignment="1">
      <alignment horizontal="left" vertical="center" wrapText="1"/>
    </xf>
    <xf numFmtId="0" fontId="6" fillId="3" borderId="6" xfId="0" applyFont="1" applyFill="1" applyBorder="1" applyAlignment="1">
      <alignment horizontal="center" vertical="center" textRotation="90" wrapText="1"/>
    </xf>
    <xf numFmtId="49" fontId="6" fillId="3" borderId="6" xfId="0" applyNumberFormat="1" applyFont="1" applyFill="1" applyBorder="1" applyAlignment="1">
      <alignment horizontal="center" vertical="center" textRotation="90" wrapText="1"/>
    </xf>
    <xf numFmtId="0" fontId="4" fillId="0" borderId="0" xfId="0" applyFont="1" applyAlignment="1">
      <alignment horizontal="center" vertical="center"/>
    </xf>
    <xf numFmtId="1" fontId="6" fillId="5" borderId="4" xfId="0" applyNumberFormat="1" applyFont="1" applyFill="1" applyBorder="1" applyAlignment="1">
      <alignment horizontal="justify" vertical="center" wrapText="1"/>
    </xf>
    <xf numFmtId="0" fontId="6" fillId="5" borderId="7" xfId="0" applyFont="1" applyFill="1" applyBorder="1" applyAlignment="1">
      <alignment horizontal="justify" vertical="center"/>
    </xf>
    <xf numFmtId="0" fontId="6" fillId="5" borderId="7" xfId="0" applyFont="1" applyFill="1" applyBorder="1" applyAlignment="1">
      <alignment horizontal="center" vertical="center"/>
    </xf>
    <xf numFmtId="169" fontId="6" fillId="5" borderId="7" xfId="0" applyNumberFormat="1" applyFont="1" applyFill="1" applyBorder="1" applyAlignment="1">
      <alignment horizontal="justify" vertical="center"/>
    </xf>
    <xf numFmtId="168" fontId="6" fillId="5" borderId="7" xfId="0" applyNumberFormat="1" applyFont="1" applyFill="1" applyBorder="1" applyAlignment="1">
      <alignment horizontal="center" vertical="center"/>
    </xf>
    <xf numFmtId="0" fontId="4" fillId="5" borderId="7" xfId="0" applyFont="1" applyFill="1" applyBorder="1" applyAlignment="1">
      <alignment horizontal="justify" vertical="center"/>
    </xf>
    <xf numFmtId="43" fontId="4" fillId="5" borderId="7" xfId="5" applyNumberFormat="1" applyFont="1" applyFill="1" applyBorder="1" applyAlignment="1">
      <alignment horizontal="right" vertical="center"/>
    </xf>
    <xf numFmtId="1" fontId="6" fillId="5" borderId="7" xfId="0" applyNumberFormat="1" applyFont="1" applyFill="1" applyBorder="1" applyAlignment="1">
      <alignment horizontal="center" vertical="center"/>
    </xf>
    <xf numFmtId="0" fontId="6" fillId="5" borderId="7" xfId="0" applyFont="1" applyFill="1" applyBorder="1" applyAlignment="1">
      <alignment vertical="center"/>
    </xf>
    <xf numFmtId="167" fontId="6" fillId="5" borderId="7" xfId="0" applyNumberFormat="1" applyFont="1" applyFill="1" applyBorder="1" applyAlignment="1">
      <alignment vertical="center"/>
    </xf>
    <xf numFmtId="0" fontId="6" fillId="5" borderId="8" xfId="0" applyFont="1" applyFill="1" applyBorder="1" applyAlignment="1">
      <alignment horizontal="justify" vertical="center"/>
    </xf>
    <xf numFmtId="1" fontId="6" fillId="6" borderId="3" xfId="0" applyNumberFormat="1" applyFont="1" applyFill="1" applyBorder="1" applyAlignment="1">
      <alignment horizontal="justify" vertical="center" wrapText="1"/>
    </xf>
    <xf numFmtId="0" fontId="6" fillId="6" borderId="4" xfId="0" applyFont="1" applyFill="1" applyBorder="1" applyAlignment="1">
      <alignment horizontal="justify" vertical="center" wrapText="1"/>
    </xf>
    <xf numFmtId="0" fontId="6" fillId="6" borderId="12" xfId="0" applyFont="1" applyFill="1" applyBorder="1" applyAlignment="1">
      <alignment horizontal="justify" vertical="center" wrapText="1"/>
    </xf>
    <xf numFmtId="1" fontId="6" fillId="7" borderId="0" xfId="0" applyNumberFormat="1" applyFont="1" applyFill="1" applyAlignment="1">
      <alignment horizontal="justify" vertical="center"/>
    </xf>
    <xf numFmtId="0" fontId="6" fillId="7" borderId="2" xfId="0" applyFont="1" applyFill="1" applyBorder="1" applyAlignment="1">
      <alignment horizontal="justify" vertical="center"/>
    </xf>
    <xf numFmtId="0" fontId="6" fillId="7" borderId="2" xfId="0" applyFont="1" applyFill="1" applyBorder="1" applyAlignment="1">
      <alignment horizontal="center" vertical="center"/>
    </xf>
    <xf numFmtId="169" fontId="6" fillId="7" borderId="2" xfId="0" applyNumberFormat="1" applyFont="1" applyFill="1" applyBorder="1" applyAlignment="1">
      <alignment horizontal="justify" vertical="center"/>
    </xf>
    <xf numFmtId="168" fontId="6" fillId="7" borderId="2" xfId="0" applyNumberFormat="1" applyFont="1" applyFill="1" applyBorder="1" applyAlignment="1">
      <alignment horizontal="center" vertical="center"/>
    </xf>
    <xf numFmtId="0" fontId="4" fillId="7" borderId="2" xfId="0" applyFont="1" applyFill="1" applyBorder="1" applyAlignment="1">
      <alignment horizontal="justify" vertical="center"/>
    </xf>
    <xf numFmtId="43" fontId="4" fillId="7" borderId="2" xfId="5" applyNumberFormat="1" applyFont="1" applyFill="1" applyBorder="1" applyAlignment="1">
      <alignment horizontal="right" vertical="center"/>
    </xf>
    <xf numFmtId="1" fontId="6" fillId="7" borderId="2" xfId="0" applyNumberFormat="1" applyFont="1" applyFill="1" applyBorder="1" applyAlignment="1">
      <alignment horizontal="center" vertical="center"/>
    </xf>
    <xf numFmtId="0" fontId="6" fillId="7" borderId="2" xfId="0" applyFont="1" applyFill="1" applyBorder="1" applyAlignment="1">
      <alignment vertical="center"/>
    </xf>
    <xf numFmtId="167" fontId="6" fillId="7" borderId="2" xfId="0" applyNumberFormat="1" applyFont="1" applyFill="1" applyBorder="1" applyAlignment="1">
      <alignment vertical="center"/>
    </xf>
    <xf numFmtId="0" fontId="6" fillId="7" borderId="20" xfId="0" applyFont="1" applyFill="1" applyBorder="1" applyAlignment="1">
      <alignment horizontal="justify" vertical="center"/>
    </xf>
    <xf numFmtId="1" fontId="6" fillId="6" borderId="11" xfId="0" applyNumberFormat="1" applyFont="1" applyFill="1" applyBorder="1" applyAlignment="1">
      <alignment horizontal="justify" vertical="center" wrapText="1"/>
    </xf>
    <xf numFmtId="0" fontId="6" fillId="6" borderId="0" xfId="0" applyFont="1" applyFill="1" applyAlignment="1">
      <alignment horizontal="justify" vertical="center" wrapText="1"/>
    </xf>
    <xf numFmtId="0" fontId="6" fillId="6" borderId="3" xfId="0" applyFont="1" applyFill="1" applyBorder="1" applyAlignment="1">
      <alignment horizontal="justify" vertical="center" wrapText="1"/>
    </xf>
    <xf numFmtId="1" fontId="6" fillId="8" borderId="6" xfId="0" applyNumberFormat="1" applyFont="1" applyFill="1" applyBorder="1" applyAlignment="1">
      <alignment horizontal="justify" vertical="center" wrapText="1"/>
    </xf>
    <xf numFmtId="0" fontId="6" fillId="8" borderId="7" xfId="0" applyFont="1" applyFill="1" applyBorder="1" applyAlignment="1">
      <alignment horizontal="justify" vertical="center"/>
    </xf>
    <xf numFmtId="0" fontId="6" fillId="8" borderId="7" xfId="0" applyFont="1" applyFill="1" applyBorder="1" applyAlignment="1">
      <alignment horizontal="center" vertical="center"/>
    </xf>
    <xf numFmtId="169" fontId="6" fillId="8" borderId="7" xfId="0" applyNumberFormat="1" applyFont="1" applyFill="1" applyBorder="1" applyAlignment="1">
      <alignment horizontal="justify" vertical="center"/>
    </xf>
    <xf numFmtId="168" fontId="6" fillId="8" borderId="4" xfId="0" applyNumberFormat="1" applyFont="1" applyFill="1" applyBorder="1" applyAlignment="1">
      <alignment horizontal="center" vertical="center"/>
    </xf>
    <xf numFmtId="0" fontId="4" fillId="8" borderId="7" xfId="0" applyFont="1" applyFill="1" applyBorder="1" applyAlignment="1">
      <alignment horizontal="justify" vertical="center"/>
    </xf>
    <xf numFmtId="43" fontId="4" fillId="8" borderId="7" xfId="5" applyNumberFormat="1" applyFont="1" applyFill="1" applyBorder="1" applyAlignment="1">
      <alignment horizontal="right" vertical="center"/>
    </xf>
    <xf numFmtId="1" fontId="6" fillId="8" borderId="7" xfId="0" applyNumberFormat="1" applyFont="1" applyFill="1" applyBorder="1" applyAlignment="1">
      <alignment horizontal="center" vertical="center"/>
    </xf>
    <xf numFmtId="0" fontId="6" fillId="8" borderId="7" xfId="0" applyFont="1" applyFill="1" applyBorder="1" applyAlignment="1">
      <alignment vertical="center"/>
    </xf>
    <xf numFmtId="167" fontId="6" fillId="8" borderId="7" xfId="0" applyNumberFormat="1" applyFont="1" applyFill="1" applyBorder="1" applyAlignment="1">
      <alignment vertical="center"/>
    </xf>
    <xf numFmtId="0" fontId="6" fillId="8" borderId="8" xfId="0" applyFont="1" applyFill="1" applyBorder="1" applyAlignment="1">
      <alignment horizontal="justify" vertical="center"/>
    </xf>
    <xf numFmtId="1" fontId="4" fillId="0" borderId="11" xfId="0" applyNumberFormat="1" applyFont="1" applyBorder="1" applyAlignment="1">
      <alignment horizontal="justify" vertical="center" wrapText="1"/>
    </xf>
    <xf numFmtId="0" fontId="4" fillId="0" borderId="0" xfId="0" applyFont="1" applyAlignment="1">
      <alignment horizontal="justify" vertical="center" wrapText="1"/>
    </xf>
    <xf numFmtId="0" fontId="4" fillId="0" borderId="11"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 xfId="0" applyFont="1" applyBorder="1" applyAlignment="1">
      <alignment horizontal="justify" vertical="center" wrapText="1"/>
    </xf>
    <xf numFmtId="3" fontId="12" fillId="0" borderId="1" xfId="0" applyNumberFormat="1" applyFont="1" applyBorder="1" applyAlignment="1">
      <alignment horizontal="justify" vertical="center" wrapText="1"/>
    </xf>
    <xf numFmtId="0" fontId="12" fillId="0" borderId="1" xfId="0" applyFont="1" applyBorder="1" applyAlignment="1">
      <alignment horizontal="justify" vertical="center" wrapText="1"/>
    </xf>
    <xf numFmtId="43" fontId="4" fillId="0" borderId="1" xfId="3" applyFont="1" applyBorder="1" applyAlignment="1">
      <alignment horizontal="right" vertical="center"/>
    </xf>
    <xf numFmtId="1" fontId="4" fillId="0" borderId="1" xfId="0" applyNumberFormat="1" applyFont="1" applyBorder="1" applyAlignment="1">
      <alignment horizontal="center" vertical="center"/>
    </xf>
    <xf numFmtId="1" fontId="4" fillId="0" borderId="1" xfId="0" applyNumberFormat="1" applyFont="1" applyBorder="1" applyAlignment="1">
      <alignment vertical="center" wrapText="1"/>
    </xf>
    <xf numFmtId="0" fontId="12" fillId="6" borderId="1" xfId="7" applyFont="1" applyFill="1" applyBorder="1" applyAlignment="1">
      <alignment horizontal="justify" vertical="center" wrapText="1"/>
    </xf>
    <xf numFmtId="0" fontId="14" fillId="6" borderId="1" xfId="7" applyFont="1" applyFill="1" applyBorder="1" applyAlignment="1">
      <alignment horizontal="justify" vertical="center" wrapText="1"/>
    </xf>
    <xf numFmtId="4" fontId="8" fillId="0" borderId="1" xfId="7" applyNumberFormat="1" applyFont="1" applyBorder="1" applyAlignment="1">
      <alignment horizontal="right" vertical="center"/>
    </xf>
    <xf numFmtId="3" fontId="8" fillId="0" borderId="1" xfId="7" applyNumberFormat="1" applyFont="1" applyBorder="1" applyAlignment="1">
      <alignment horizontal="right" vertical="center"/>
    </xf>
    <xf numFmtId="0" fontId="4" fillId="0" borderId="5" xfId="0" applyFont="1" applyBorder="1" applyAlignment="1">
      <alignment horizontal="justify" vertical="center" wrapText="1"/>
    </xf>
    <xf numFmtId="1" fontId="4" fillId="6" borderId="11" xfId="0" applyNumberFormat="1" applyFont="1" applyFill="1" applyBorder="1" applyAlignment="1">
      <alignment horizontal="justify"/>
    </xf>
    <xf numFmtId="0" fontId="4" fillId="6" borderId="0" xfId="0" applyFont="1" applyFill="1" applyAlignment="1">
      <alignment horizontal="justify"/>
    </xf>
    <xf numFmtId="0" fontId="4" fillId="6" borderId="11" xfId="0" applyFont="1" applyFill="1" applyBorder="1" applyAlignment="1">
      <alignment horizontal="justify"/>
    </xf>
    <xf numFmtId="0" fontId="4" fillId="0" borderId="0" xfId="0" applyFont="1" applyAlignment="1">
      <alignment horizontal="justify"/>
    </xf>
    <xf numFmtId="168" fontId="6" fillId="8" borderId="2" xfId="0" applyNumberFormat="1" applyFont="1" applyFill="1" applyBorder="1" applyAlignment="1">
      <alignment horizontal="center" vertical="center"/>
    </xf>
    <xf numFmtId="0" fontId="6" fillId="8" borderId="7" xfId="0" applyFont="1" applyFill="1" applyBorder="1" applyAlignment="1">
      <alignment horizontal="justify" vertical="center" wrapText="1"/>
    </xf>
    <xf numFmtId="0" fontId="4" fillId="8" borderId="7" xfId="0" applyFont="1" applyFill="1" applyBorder="1" applyAlignment="1">
      <alignment horizontal="justify" vertical="center" wrapText="1"/>
    </xf>
    <xf numFmtId="43" fontId="4" fillId="8" borderId="7" xfId="3" applyFont="1" applyFill="1" applyBorder="1" applyAlignment="1">
      <alignment horizontal="right" vertical="center"/>
    </xf>
    <xf numFmtId="1" fontId="4" fillId="8" borderId="7" xfId="0" applyNumberFormat="1" applyFont="1" applyFill="1" applyBorder="1" applyAlignment="1">
      <alignment horizontal="center" vertical="center"/>
    </xf>
    <xf numFmtId="0" fontId="4" fillId="8" borderId="7" xfId="0" applyFont="1" applyFill="1" applyBorder="1" applyAlignment="1">
      <alignment horizontal="center" vertical="center"/>
    </xf>
    <xf numFmtId="0" fontId="4" fillId="8" borderId="7" xfId="0" applyFont="1" applyFill="1" applyBorder="1"/>
    <xf numFmtId="2" fontId="4" fillId="8" borderId="7" xfId="0" applyNumberFormat="1" applyFont="1" applyFill="1" applyBorder="1" applyAlignment="1">
      <alignment vertical="center" wrapText="1"/>
    </xf>
    <xf numFmtId="167" fontId="4" fillId="8" borderId="7" xfId="0" applyNumberFormat="1" applyFont="1" applyFill="1" applyBorder="1" applyAlignment="1">
      <alignment horizontal="right" vertical="center"/>
    </xf>
    <xf numFmtId="167" fontId="4" fillId="8" borderId="7" xfId="0" applyNumberFormat="1" applyFont="1" applyFill="1" applyBorder="1" applyAlignment="1">
      <alignment horizontal="center"/>
    </xf>
    <xf numFmtId="0" fontId="4" fillId="8" borderId="8" xfId="0" applyFont="1" applyFill="1" applyBorder="1" applyAlignment="1">
      <alignment horizontal="justify" vertical="center" wrapText="1"/>
    </xf>
    <xf numFmtId="1" fontId="4" fillId="0" borderId="11" xfId="0" applyNumberFormat="1" applyFont="1" applyBorder="1" applyAlignment="1">
      <alignment horizontal="justify"/>
    </xf>
    <xf numFmtId="0" fontId="4" fillId="0" borderId="11" xfId="0" applyFont="1" applyBorder="1" applyAlignment="1">
      <alignment horizontal="justify"/>
    </xf>
    <xf numFmtId="0" fontId="4" fillId="0" borderId="1" xfId="0" applyFont="1" applyBorder="1" applyAlignment="1">
      <alignment horizontal="justify" vertical="center" wrapText="1"/>
    </xf>
    <xf numFmtId="43" fontId="8" fillId="0" borderId="1" xfId="3" applyFont="1" applyFill="1" applyBorder="1" applyAlignment="1">
      <alignment horizontal="right" vertical="center"/>
    </xf>
    <xf numFmtId="1" fontId="8" fillId="0" borderId="1" xfId="0" applyNumberFormat="1" applyFont="1" applyFill="1" applyBorder="1" applyAlignment="1">
      <alignment horizontal="center" vertical="center"/>
    </xf>
    <xf numFmtId="1" fontId="8" fillId="0" borderId="1" xfId="0" applyNumberFormat="1" applyFont="1" applyFill="1" applyBorder="1" applyAlignment="1">
      <alignment vertical="center" wrapText="1"/>
    </xf>
    <xf numFmtId="43" fontId="4" fillId="0" borderId="1" xfId="3" applyFont="1" applyFill="1" applyBorder="1" applyAlignment="1">
      <alignment horizontal="right" vertical="center"/>
    </xf>
    <xf numFmtId="1" fontId="4" fillId="0" borderId="1" xfId="0" applyNumberFormat="1" applyFont="1" applyFill="1" applyBorder="1" applyAlignment="1">
      <alignment horizontal="center" vertical="center"/>
    </xf>
    <xf numFmtId="1" fontId="4" fillId="0" borderId="1" xfId="0" applyNumberFormat="1" applyFont="1" applyFill="1" applyBorder="1" applyAlignment="1">
      <alignment vertical="center" wrapText="1"/>
    </xf>
    <xf numFmtId="43" fontId="8" fillId="0" borderId="9" xfId="3" applyFont="1" applyFill="1" applyBorder="1" applyAlignment="1">
      <alignment horizontal="right" vertical="center"/>
    </xf>
    <xf numFmtId="1" fontId="4" fillId="0" borderId="9" xfId="0" applyNumberFormat="1" applyFont="1" applyFill="1" applyBorder="1" applyAlignment="1">
      <alignment horizontal="center" vertical="center"/>
    </xf>
    <xf numFmtId="1" fontId="4" fillId="0" borderId="9" xfId="0" applyNumberFormat="1" applyFont="1" applyFill="1" applyBorder="1" applyAlignment="1">
      <alignment vertical="center" wrapText="1"/>
    </xf>
    <xf numFmtId="0" fontId="4" fillId="0" borderId="5" xfId="0" applyFont="1" applyBorder="1" applyAlignment="1">
      <alignment horizontal="justify"/>
    </xf>
    <xf numFmtId="0" fontId="4" fillId="0" borderId="6" xfId="0" applyFont="1" applyBorder="1" applyAlignment="1">
      <alignment horizontal="justify" vertical="center" wrapText="1"/>
    </xf>
    <xf numFmtId="0" fontId="8" fillId="0" borderId="18" xfId="0" applyFont="1" applyFill="1" applyBorder="1" applyAlignment="1">
      <alignment horizontal="center" vertical="center"/>
    </xf>
    <xf numFmtId="0" fontId="8" fillId="0" borderId="14" xfId="0" applyFont="1" applyFill="1" applyBorder="1" applyAlignment="1">
      <alignment horizontal="center" vertical="center"/>
    </xf>
    <xf numFmtId="1" fontId="6" fillId="9" borderId="6" xfId="0" applyNumberFormat="1" applyFont="1" applyFill="1" applyBorder="1" applyAlignment="1">
      <alignment horizontal="justify" vertical="center"/>
    </xf>
    <xf numFmtId="0" fontId="6" fillId="9" borderId="4" xfId="0" applyFont="1" applyFill="1" applyBorder="1" applyAlignment="1">
      <alignment horizontal="justify" vertical="center"/>
    </xf>
    <xf numFmtId="0" fontId="6" fillId="9" borderId="4" xfId="0" applyFont="1" applyFill="1" applyBorder="1" applyAlignment="1">
      <alignment horizontal="center" vertical="center"/>
    </xf>
    <xf numFmtId="169" fontId="6" fillId="9" borderId="4" xfId="0" applyNumberFormat="1" applyFont="1" applyFill="1" applyBorder="1" applyAlignment="1">
      <alignment horizontal="justify" vertical="center"/>
    </xf>
    <xf numFmtId="168" fontId="6" fillId="9" borderId="4" xfId="0" applyNumberFormat="1" applyFont="1" applyFill="1" applyBorder="1" applyAlignment="1">
      <alignment horizontal="center" vertical="center"/>
    </xf>
    <xf numFmtId="0" fontId="6" fillId="9" borderId="4" xfId="0" applyFont="1" applyFill="1" applyBorder="1" applyAlignment="1">
      <alignment horizontal="justify" vertical="center" wrapText="1"/>
    </xf>
    <xf numFmtId="0" fontId="4" fillId="9" borderId="7" xfId="0" applyFont="1" applyFill="1" applyBorder="1" applyAlignment="1">
      <alignment horizontal="justify" vertical="center" wrapText="1"/>
    </xf>
    <xf numFmtId="43" fontId="4" fillId="9" borderId="7" xfId="5" applyNumberFormat="1" applyFont="1" applyFill="1" applyBorder="1" applyAlignment="1">
      <alignment horizontal="right" vertical="center"/>
    </xf>
    <xf numFmtId="1" fontId="4" fillId="9" borderId="7" xfId="0" applyNumberFormat="1" applyFont="1" applyFill="1" applyBorder="1" applyAlignment="1">
      <alignment horizontal="center" vertical="center"/>
    </xf>
    <xf numFmtId="0" fontId="4" fillId="9" borderId="7" xfId="0" applyFont="1" applyFill="1" applyBorder="1" applyAlignment="1">
      <alignment horizontal="center" vertical="center"/>
    </xf>
    <xf numFmtId="0" fontId="4" fillId="9" borderId="7" xfId="0" applyFont="1" applyFill="1" applyBorder="1"/>
    <xf numFmtId="2" fontId="4" fillId="9" borderId="4" xfId="0" applyNumberFormat="1" applyFont="1" applyFill="1" applyBorder="1" applyAlignment="1">
      <alignment vertical="center" wrapText="1"/>
    </xf>
    <xf numFmtId="0" fontId="4" fillId="9" borderId="4" xfId="0" applyFont="1" applyFill="1" applyBorder="1"/>
    <xf numFmtId="167" fontId="4" fillId="9" borderId="4" xfId="0" applyNumberFormat="1" applyFont="1" applyFill="1" applyBorder="1" applyAlignment="1">
      <alignment horizontal="right" vertical="center"/>
    </xf>
    <xf numFmtId="167" fontId="4" fillId="9" borderId="4" xfId="0" applyNumberFormat="1" applyFont="1" applyFill="1" applyBorder="1" applyAlignment="1">
      <alignment horizontal="center"/>
    </xf>
    <xf numFmtId="0" fontId="4" fillId="9" borderId="12" xfId="0" applyFont="1" applyFill="1" applyBorder="1" applyAlignment="1">
      <alignment horizontal="justify" vertical="center" wrapText="1"/>
    </xf>
    <xf numFmtId="0" fontId="4" fillId="6" borderId="13" xfId="0" applyFont="1" applyFill="1" applyBorder="1" applyAlignment="1">
      <alignment horizontal="justify"/>
    </xf>
    <xf numFmtId="168" fontId="6" fillId="8" borderId="7" xfId="0" applyNumberFormat="1" applyFont="1" applyFill="1" applyBorder="1" applyAlignment="1">
      <alignment horizontal="center" vertical="center"/>
    </xf>
    <xf numFmtId="1" fontId="4" fillId="0" borderId="11" xfId="0" applyNumberFormat="1" applyFont="1" applyBorder="1" applyAlignment="1">
      <alignment horizontal="justify" vertical="center"/>
    </xf>
    <xf numFmtId="0" fontId="4" fillId="0" borderId="0" xfId="0" applyFont="1" applyAlignment="1">
      <alignment horizontal="justify" vertical="center"/>
    </xf>
    <xf numFmtId="0" fontId="4" fillId="0" borderId="13" xfId="0" applyFont="1" applyBorder="1" applyAlignment="1">
      <alignment horizontal="justify" vertical="center"/>
    </xf>
    <xf numFmtId="0" fontId="4" fillId="0" borderId="11" xfId="0" applyFont="1" applyBorder="1" applyAlignment="1">
      <alignment horizontal="justify" vertical="center"/>
    </xf>
    <xf numFmtId="0" fontId="4" fillId="0" borderId="3" xfId="0" applyFont="1" applyBorder="1" applyAlignment="1">
      <alignment horizontal="justify" vertical="center"/>
    </xf>
    <xf numFmtId="49" fontId="14" fillId="0" borderId="1" xfId="8" applyNumberFormat="1" applyFont="1" applyBorder="1" applyAlignment="1">
      <alignment horizontal="justify" vertical="center" wrapText="1"/>
    </xf>
    <xf numFmtId="0" fontId="4" fillId="0" borderId="1" xfId="0" applyFont="1" applyBorder="1" applyAlignment="1">
      <alignment vertical="center" wrapText="1"/>
    </xf>
    <xf numFmtId="0" fontId="14" fillId="0" borderId="1" xfId="0" applyFont="1" applyBorder="1" applyAlignment="1">
      <alignment horizontal="justify" vertical="center" wrapText="1"/>
    </xf>
    <xf numFmtId="49" fontId="14" fillId="6" borderId="1" xfId="8" applyNumberFormat="1" applyFont="1" applyFill="1" applyBorder="1" applyAlignment="1">
      <alignment horizontal="justify" vertical="center" wrapText="1"/>
    </xf>
    <xf numFmtId="1" fontId="6" fillId="10" borderId="6" xfId="0" applyNumberFormat="1" applyFont="1" applyFill="1" applyBorder="1" applyAlignment="1">
      <alignment horizontal="justify" vertical="center"/>
    </xf>
    <xf numFmtId="0" fontId="6" fillId="10" borderId="7" xfId="0" applyFont="1" applyFill="1" applyBorder="1" applyAlignment="1">
      <alignment horizontal="justify" vertical="center"/>
    </xf>
    <xf numFmtId="0" fontId="6" fillId="10" borderId="4" xfId="0" applyFont="1" applyFill="1" applyBorder="1" applyAlignment="1">
      <alignment horizontal="justify" vertical="center"/>
    </xf>
    <xf numFmtId="0" fontId="6" fillId="10" borderId="4" xfId="0" applyFont="1" applyFill="1" applyBorder="1" applyAlignment="1">
      <alignment horizontal="center" vertical="center"/>
    </xf>
    <xf numFmtId="169" fontId="6" fillId="10" borderId="4" xfId="0" applyNumberFormat="1" applyFont="1" applyFill="1" applyBorder="1" applyAlignment="1">
      <alignment horizontal="justify" vertical="center"/>
    </xf>
    <xf numFmtId="168" fontId="6" fillId="10" borderId="4" xfId="0" applyNumberFormat="1" applyFont="1" applyFill="1" applyBorder="1" applyAlignment="1">
      <alignment horizontal="center" vertical="center"/>
    </xf>
    <xf numFmtId="0" fontId="6" fillId="10" borderId="4" xfId="0" applyFont="1" applyFill="1" applyBorder="1" applyAlignment="1">
      <alignment horizontal="justify" vertical="center" wrapText="1"/>
    </xf>
    <xf numFmtId="0" fontId="4" fillId="10" borderId="4" xfId="0" applyFont="1" applyFill="1" applyBorder="1" applyAlignment="1">
      <alignment horizontal="justify" vertical="center" wrapText="1"/>
    </xf>
    <xf numFmtId="43" fontId="4" fillId="10" borderId="4" xfId="5" applyNumberFormat="1" applyFont="1" applyFill="1" applyBorder="1" applyAlignment="1">
      <alignment horizontal="right" vertical="center"/>
    </xf>
    <xf numFmtId="1" fontId="4" fillId="10" borderId="4" xfId="0" applyNumberFormat="1" applyFont="1" applyFill="1" applyBorder="1" applyAlignment="1">
      <alignment horizontal="center" vertical="center"/>
    </xf>
    <xf numFmtId="0" fontId="4" fillId="10" borderId="4" xfId="0" applyFont="1" applyFill="1" applyBorder="1" applyAlignment="1">
      <alignment horizontal="center" vertical="center"/>
    </xf>
    <xf numFmtId="0" fontId="4" fillId="10" borderId="4" xfId="0" applyFont="1" applyFill="1" applyBorder="1"/>
    <xf numFmtId="2" fontId="4" fillId="10" borderId="4" xfId="0" applyNumberFormat="1" applyFont="1" applyFill="1" applyBorder="1" applyAlignment="1">
      <alignment vertical="center" wrapText="1"/>
    </xf>
    <xf numFmtId="167" fontId="4" fillId="10" borderId="4" xfId="0" applyNumberFormat="1" applyFont="1" applyFill="1" applyBorder="1" applyAlignment="1">
      <alignment horizontal="right" vertical="center"/>
    </xf>
    <xf numFmtId="167" fontId="4" fillId="10" borderId="4" xfId="0" applyNumberFormat="1" applyFont="1" applyFill="1" applyBorder="1" applyAlignment="1">
      <alignment horizontal="center"/>
    </xf>
    <xf numFmtId="0" fontId="4" fillId="10" borderId="12" xfId="0" applyFont="1" applyFill="1" applyBorder="1" applyAlignment="1">
      <alignment horizontal="justify" vertical="center" wrapText="1"/>
    </xf>
    <xf numFmtId="0" fontId="4" fillId="6" borderId="3" xfId="0" applyFont="1" applyFill="1" applyBorder="1" applyAlignment="1">
      <alignment horizontal="justify"/>
    </xf>
    <xf numFmtId="0" fontId="4" fillId="6" borderId="4" xfId="0" applyFont="1" applyFill="1" applyBorder="1" applyAlignment="1">
      <alignment horizontal="justify"/>
    </xf>
    <xf numFmtId="0" fontId="4" fillId="6" borderId="12" xfId="0" applyFont="1" applyFill="1" applyBorder="1" applyAlignment="1">
      <alignment horizontal="justify"/>
    </xf>
    <xf numFmtId="0" fontId="6" fillId="8" borderId="4" xfId="0" applyFont="1" applyFill="1" applyBorder="1" applyAlignment="1">
      <alignment horizontal="center" vertical="center"/>
    </xf>
    <xf numFmtId="1" fontId="4" fillId="8" borderId="4" xfId="0" applyNumberFormat="1" applyFont="1" applyFill="1" applyBorder="1" applyAlignment="1">
      <alignment horizontal="center" vertical="center"/>
    </xf>
    <xf numFmtId="0" fontId="4" fillId="8" borderId="4" xfId="0" applyFont="1" applyFill="1" applyBorder="1" applyAlignment="1">
      <alignment horizontal="center" vertical="center"/>
    </xf>
    <xf numFmtId="0" fontId="4" fillId="8" borderId="4" xfId="0" applyFont="1" applyFill="1" applyBorder="1"/>
    <xf numFmtId="1" fontId="4" fillId="0" borderId="11" xfId="0" applyNumberFormat="1" applyFont="1" applyFill="1" applyBorder="1" applyAlignment="1">
      <alignment horizontal="justify"/>
    </xf>
    <xf numFmtId="0" fontId="4" fillId="0" borderId="0" xfId="0" applyFont="1" applyFill="1" applyAlignment="1">
      <alignment horizontal="justify"/>
    </xf>
    <xf numFmtId="0" fontId="4" fillId="0" borderId="11" xfId="0" applyFont="1" applyFill="1" applyBorder="1" applyAlignment="1">
      <alignment horizontal="justify"/>
    </xf>
    <xf numFmtId="0" fontId="4" fillId="0" borderId="3" xfId="0" applyFont="1" applyFill="1" applyBorder="1" applyAlignment="1">
      <alignment horizontal="justify"/>
    </xf>
    <xf numFmtId="0" fontId="4" fillId="0" borderId="4" xfId="0" applyFont="1" applyFill="1" applyBorder="1" applyAlignment="1">
      <alignment horizontal="justify"/>
    </xf>
    <xf numFmtId="0" fontId="12" fillId="0" borderId="1" xfId="0" applyFont="1" applyFill="1" applyBorder="1" applyAlignment="1">
      <alignment horizontal="justify" vertical="center" wrapText="1"/>
    </xf>
    <xf numFmtId="1" fontId="4" fillId="0" borderId="9" xfId="0" applyNumberFormat="1" applyFont="1" applyFill="1" applyBorder="1" applyAlignment="1">
      <alignment horizontal="center" vertical="center" wrapText="1"/>
    </xf>
    <xf numFmtId="43" fontId="4" fillId="0" borderId="9" xfId="3" applyFont="1" applyFill="1" applyBorder="1" applyAlignment="1">
      <alignment horizontal="right" vertical="center"/>
    </xf>
    <xf numFmtId="43" fontId="4" fillId="0" borderId="12" xfId="3" applyFont="1" applyFill="1" applyBorder="1" applyAlignment="1">
      <alignment horizontal="center" vertical="center"/>
    </xf>
    <xf numFmtId="43" fontId="4" fillId="0" borderId="18" xfId="3" applyFont="1" applyFill="1" applyBorder="1" applyAlignment="1">
      <alignment horizontal="center" vertical="center"/>
    </xf>
    <xf numFmtId="1" fontId="4" fillId="0" borderId="14" xfId="0" applyNumberFormat="1" applyFont="1" applyFill="1" applyBorder="1" applyAlignment="1">
      <alignment vertical="center" wrapText="1"/>
    </xf>
    <xf numFmtId="0" fontId="4" fillId="0" borderId="34" xfId="0" applyFont="1" applyFill="1" applyBorder="1" applyAlignment="1">
      <alignment vertical="center"/>
    </xf>
    <xf numFmtId="41" fontId="4" fillId="0" borderId="16" xfId="0" applyNumberFormat="1" applyFont="1" applyFill="1" applyBorder="1" applyAlignment="1">
      <alignment horizontal="center" vertical="center"/>
    </xf>
    <xf numFmtId="1" fontId="4" fillId="0" borderId="16" xfId="0" applyNumberFormat="1" applyFont="1" applyFill="1" applyBorder="1" applyAlignment="1">
      <alignment vertical="center" wrapText="1"/>
    </xf>
    <xf numFmtId="0" fontId="12" fillId="0" borderId="14" xfId="0" applyFont="1" applyFill="1" applyBorder="1" applyAlignment="1">
      <alignment horizontal="left" vertical="center" wrapText="1"/>
    </xf>
    <xf numFmtId="43" fontId="4" fillId="0" borderId="14" xfId="3" applyFont="1" applyFill="1" applyBorder="1" applyAlignment="1">
      <alignment horizontal="center" vertical="center"/>
    </xf>
    <xf numFmtId="0" fontId="4" fillId="0" borderId="0" xfId="0" applyFont="1" applyFill="1" applyAlignment="1">
      <alignment horizontal="justify" wrapText="1"/>
    </xf>
    <xf numFmtId="41" fontId="4" fillId="0" borderId="14" xfId="0" applyNumberFormat="1" applyFont="1" applyFill="1" applyBorder="1" applyAlignment="1">
      <alignment horizontal="center" vertical="center"/>
    </xf>
    <xf numFmtId="9" fontId="4" fillId="0" borderId="9" xfId="6" applyFont="1" applyFill="1" applyBorder="1" applyAlignment="1">
      <alignment horizontal="center" vertical="center"/>
    </xf>
    <xf numFmtId="0" fontId="12" fillId="0" borderId="19" xfId="0" applyFont="1" applyFill="1" applyBorder="1" applyAlignment="1">
      <alignment horizontal="justify" vertical="center" wrapText="1"/>
    </xf>
    <xf numFmtId="43" fontId="4" fillId="0" borderId="19" xfId="3" applyFont="1" applyFill="1" applyBorder="1" applyAlignment="1">
      <alignment horizontal="center" vertical="center"/>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vertical="center" wrapText="1"/>
    </xf>
    <xf numFmtId="1" fontId="4" fillId="0" borderId="1"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xf>
    <xf numFmtId="9" fontId="4" fillId="0" borderId="1" xfId="6" applyFont="1" applyFill="1" applyBorder="1" applyAlignment="1">
      <alignment horizontal="center" vertical="center"/>
    </xf>
    <xf numFmtId="43" fontId="4" fillId="0" borderId="1" xfId="3" applyFont="1" applyFill="1" applyBorder="1" applyAlignment="1">
      <alignment horizontal="center" vertical="center"/>
    </xf>
    <xf numFmtId="43" fontId="4" fillId="0" borderId="6" xfId="3" applyFont="1" applyFill="1" applyBorder="1" applyAlignment="1">
      <alignment horizontal="center" vertical="center"/>
    </xf>
    <xf numFmtId="43" fontId="4" fillId="0" borderId="3" xfId="3" applyFont="1" applyFill="1" applyBorder="1" applyAlignment="1">
      <alignment horizontal="right" vertical="center"/>
    </xf>
    <xf numFmtId="41" fontId="4" fillId="0" borderId="14" xfId="0" applyNumberFormat="1" applyFont="1" applyFill="1" applyBorder="1" applyAlignment="1">
      <alignment vertical="center"/>
    </xf>
    <xf numFmtId="1" fontId="4" fillId="0" borderId="11" xfId="0"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43" fontId="4" fillId="0" borderId="5" xfId="3" applyFont="1" applyFill="1" applyBorder="1" applyAlignment="1">
      <alignment horizontal="right" vertical="center"/>
    </xf>
    <xf numFmtId="0" fontId="1" fillId="0" borderId="27" xfId="0" applyFont="1" applyFill="1" applyBorder="1" applyAlignment="1">
      <alignment horizontal="justify" vertical="center" wrapText="1"/>
    </xf>
    <xf numFmtId="43" fontId="4" fillId="0" borderId="37" xfId="3" applyFont="1" applyFill="1" applyBorder="1" applyAlignment="1">
      <alignment horizontal="right" vertical="center"/>
    </xf>
    <xf numFmtId="0" fontId="1" fillId="0" borderId="39" xfId="0" applyFont="1" applyFill="1" applyBorder="1" applyAlignment="1">
      <alignment horizontal="justify" vertical="center" wrapText="1"/>
    </xf>
    <xf numFmtId="171" fontId="4" fillId="0" borderId="40"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16" fillId="0" borderId="14" xfId="9" applyFont="1" applyBorder="1" applyAlignment="1">
      <alignment horizontal="left" vertical="center" wrapText="1"/>
    </xf>
    <xf numFmtId="41" fontId="4" fillId="0" borderId="14" xfId="3" applyNumberFormat="1" applyFont="1" applyFill="1" applyBorder="1" applyAlignment="1">
      <alignment horizontal="right" vertical="center"/>
    </xf>
    <xf numFmtId="0" fontId="4" fillId="0" borderId="14" xfId="0" applyFont="1" applyBorder="1"/>
    <xf numFmtId="0" fontId="0" fillId="6" borderId="14" xfId="9" applyFont="1" applyFill="1" applyBorder="1" applyAlignment="1">
      <alignment horizontal="left" vertical="center" wrapText="1"/>
    </xf>
    <xf numFmtId="43" fontId="4" fillId="0" borderId="19" xfId="3" applyFont="1" applyFill="1" applyBorder="1" applyAlignment="1">
      <alignment horizontal="right" vertical="center"/>
    </xf>
    <xf numFmtId="0" fontId="14" fillId="0" borderId="1" xfId="0" applyFont="1" applyFill="1" applyBorder="1" applyAlignment="1">
      <alignment horizontal="justify" vertical="center" wrapText="1"/>
    </xf>
    <xf numFmtId="41" fontId="4" fillId="0" borderId="16" xfId="0" applyNumberFormat="1" applyFont="1" applyFill="1" applyBorder="1" applyAlignment="1">
      <alignment vertical="center"/>
    </xf>
    <xf numFmtId="43" fontId="4" fillId="0" borderId="21" xfId="3" applyFont="1" applyFill="1" applyBorder="1" applyAlignment="1">
      <alignment horizontal="right" vertical="center"/>
    </xf>
    <xf numFmtId="1" fontId="4" fillId="0" borderId="19" xfId="0" applyNumberFormat="1" applyFont="1" applyFill="1" applyBorder="1" applyAlignment="1">
      <alignment vertical="center" wrapText="1"/>
    </xf>
    <xf numFmtId="0" fontId="14" fillId="0" borderId="11" xfId="0" applyFont="1" applyFill="1" applyBorder="1" applyAlignment="1">
      <alignment vertical="center" wrapText="1"/>
    </xf>
    <xf numFmtId="43" fontId="4" fillId="0" borderId="16" xfId="3" applyFont="1" applyFill="1" applyBorder="1" applyAlignment="1">
      <alignment vertical="center"/>
    </xf>
    <xf numFmtId="0" fontId="14" fillId="0" borderId="1" xfId="7" applyFont="1" applyBorder="1" applyAlignment="1">
      <alignment horizontal="justify" vertical="center" wrapText="1"/>
    </xf>
    <xf numFmtId="4" fontId="4" fillId="0" borderId="1" xfId="3" applyNumberFormat="1" applyFont="1" applyFill="1" applyBorder="1" applyAlignment="1">
      <alignment horizontal="right" vertical="center"/>
    </xf>
    <xf numFmtId="1" fontId="4" fillId="0" borderId="1"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0" fontId="16" fillId="0" borderId="9" xfId="7" applyFont="1" applyBorder="1" applyAlignment="1">
      <alignment horizontal="justify" vertical="center" wrapText="1"/>
    </xf>
    <xf numFmtId="0" fontId="14" fillId="0" borderId="9" xfId="7" applyFont="1" applyBorder="1" applyAlignment="1">
      <alignment horizontal="justify" vertical="center" wrapText="1"/>
    </xf>
    <xf numFmtId="4" fontId="4" fillId="0" borderId="9" xfId="3" applyNumberFormat="1" applyFont="1" applyFill="1" applyBorder="1" applyAlignment="1">
      <alignment horizontal="right" vertical="center"/>
    </xf>
    <xf numFmtId="1" fontId="4" fillId="0" borderId="9" xfId="0" applyNumberFormat="1" applyFont="1" applyBorder="1" applyAlignment="1">
      <alignment vertical="center" wrapText="1"/>
    </xf>
    <xf numFmtId="0" fontId="4" fillId="0" borderId="9" xfId="0" applyFont="1" applyBorder="1" applyAlignment="1">
      <alignment horizontal="justify" vertical="center" wrapText="1"/>
    </xf>
    <xf numFmtId="1" fontId="4" fillId="0" borderId="14" xfId="0" applyNumberFormat="1"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justify"/>
    </xf>
    <xf numFmtId="43" fontId="4" fillId="0" borderId="14" xfId="3" applyFont="1" applyFill="1" applyBorder="1" applyAlignment="1">
      <alignment horizontal="right" vertical="center"/>
    </xf>
    <xf numFmtId="1" fontId="4" fillId="0" borderId="0" xfId="0" applyNumberFormat="1" applyFont="1" applyAlignment="1">
      <alignment horizontal="justify"/>
    </xf>
    <xf numFmtId="0" fontId="4" fillId="0" borderId="13" xfId="0" applyFont="1" applyBorder="1" applyAlignment="1">
      <alignment horizontal="justify"/>
    </xf>
    <xf numFmtId="43" fontId="4" fillId="0" borderId="11" xfId="3" applyFont="1" applyFill="1" applyBorder="1" applyAlignment="1">
      <alignment horizontal="right" vertical="center"/>
    </xf>
    <xf numFmtId="0" fontId="17" fillId="0" borderId="1" xfId="10" applyFont="1" applyFill="1" applyBorder="1" applyAlignment="1">
      <alignment horizontal="justify" vertical="center" wrapText="1"/>
    </xf>
    <xf numFmtId="0" fontId="14" fillId="0" borderId="1" xfId="10" applyFont="1" applyFill="1" applyBorder="1" applyAlignment="1">
      <alignment horizontal="justify" vertical="center" wrapText="1"/>
    </xf>
    <xf numFmtId="0" fontId="14" fillId="0" borderId="16" xfId="0" applyFont="1" applyBorder="1" applyAlignment="1">
      <alignment horizontal="center" vertical="center" wrapText="1"/>
    </xf>
    <xf numFmtId="0" fontId="14" fillId="0" borderId="16" xfId="0" applyFont="1" applyBorder="1" applyAlignment="1">
      <alignment horizontal="justify" vertical="center" wrapText="1"/>
    </xf>
    <xf numFmtId="0" fontId="14" fillId="6" borderId="8" xfId="0" applyFont="1" applyFill="1" applyBorder="1" applyAlignment="1" applyProtection="1">
      <alignment horizontal="justify" vertical="center" wrapText="1"/>
      <protection locked="0"/>
    </xf>
    <xf numFmtId="1" fontId="14" fillId="0" borderId="1" xfId="0" applyNumberFormat="1" applyFont="1" applyBorder="1" applyAlignment="1">
      <alignment horizontal="center" vertical="center"/>
    </xf>
    <xf numFmtId="9" fontId="4" fillId="0" borderId="1" xfId="4" applyNumberFormat="1" applyFont="1" applyFill="1" applyBorder="1" applyAlignment="1">
      <alignment horizontal="center" vertical="center"/>
    </xf>
    <xf numFmtId="1" fontId="4" fillId="0" borderId="28" xfId="0" applyNumberFormat="1" applyFont="1" applyBorder="1" applyAlignment="1">
      <alignment horizontal="justify"/>
    </xf>
    <xf numFmtId="0" fontId="4" fillId="0" borderId="29" xfId="0" applyFont="1" applyBorder="1" applyAlignment="1">
      <alignment horizontal="justify"/>
    </xf>
    <xf numFmtId="0" fontId="4" fillId="0" borderId="29" xfId="0" applyFont="1" applyBorder="1" applyAlignment="1">
      <alignment horizontal="center" vertical="center"/>
    </xf>
    <xf numFmtId="0" fontId="4" fillId="6" borderId="29" xfId="0" applyFont="1" applyFill="1" applyBorder="1" applyAlignment="1">
      <alignment horizontal="justify" vertical="center"/>
    </xf>
    <xf numFmtId="0" fontId="4" fillId="6" borderId="29" xfId="0" applyFont="1" applyFill="1" applyBorder="1" applyAlignment="1">
      <alignment horizontal="justify"/>
    </xf>
    <xf numFmtId="0" fontId="6" fillId="6" borderId="29" xfId="0" applyFont="1" applyFill="1" applyBorder="1" applyAlignment="1">
      <alignment horizontal="center" vertical="center"/>
    </xf>
    <xf numFmtId="0" fontId="4" fillId="6" borderId="29" xfId="0" applyFont="1" applyFill="1" applyBorder="1" applyAlignment="1">
      <alignment horizontal="center"/>
    </xf>
    <xf numFmtId="169" fontId="4" fillId="6" borderId="30" xfId="0" applyNumberFormat="1" applyFont="1" applyFill="1" applyBorder="1" applyAlignment="1">
      <alignment horizontal="justify" vertical="center"/>
    </xf>
    <xf numFmtId="43" fontId="6" fillId="6" borderId="31" xfId="3" applyFont="1" applyFill="1" applyBorder="1" applyAlignment="1">
      <alignment horizontal="right" vertical="center"/>
    </xf>
    <xf numFmtId="0" fontId="4" fillId="6" borderId="28" xfId="0" applyFont="1" applyFill="1" applyBorder="1" applyAlignment="1">
      <alignment horizontal="justify" vertical="center"/>
    </xf>
    <xf numFmtId="0" fontId="4" fillId="6" borderId="30" xfId="0" applyFont="1" applyFill="1" applyBorder="1" applyAlignment="1">
      <alignment horizontal="justify" vertical="center"/>
    </xf>
    <xf numFmtId="1" fontId="4" fillId="6" borderId="28" xfId="0" applyNumberFormat="1" applyFont="1" applyFill="1" applyBorder="1" applyAlignment="1">
      <alignment horizontal="center" vertical="center"/>
    </xf>
    <xf numFmtId="0" fontId="4" fillId="6" borderId="29" xfId="0" applyFont="1" applyFill="1" applyBorder="1" applyAlignment="1">
      <alignment horizontal="center" vertical="center"/>
    </xf>
    <xf numFmtId="0" fontId="4" fillId="0" borderId="29" xfId="0" applyFont="1" applyBorder="1"/>
    <xf numFmtId="167" fontId="4" fillId="0" borderId="29" xfId="0" applyNumberFormat="1" applyFont="1" applyBorder="1" applyAlignment="1">
      <alignment horizontal="right" vertical="center"/>
    </xf>
    <xf numFmtId="167" fontId="4" fillId="0" borderId="29" xfId="0" applyNumberFormat="1" applyFont="1" applyBorder="1" applyAlignment="1">
      <alignment horizontal="center"/>
    </xf>
    <xf numFmtId="0" fontId="4" fillId="0" borderId="30" xfId="0" applyFont="1" applyBorder="1" applyAlignment="1">
      <alignment horizontal="justify" vertical="center"/>
    </xf>
    <xf numFmtId="0" fontId="6" fillId="0" borderId="0" xfId="0" applyFont="1" applyAlignment="1">
      <alignment horizontal="justify"/>
    </xf>
    <xf numFmtId="0" fontId="4" fillId="6" borderId="0" xfId="0" applyFont="1" applyFill="1" applyAlignment="1">
      <alignment horizontal="justify" vertical="center"/>
    </xf>
    <xf numFmtId="0" fontId="4" fillId="6" borderId="0" xfId="0" applyFont="1" applyFill="1" applyAlignment="1">
      <alignment horizontal="center"/>
    </xf>
    <xf numFmtId="169" fontId="4" fillId="6" borderId="0" xfId="0" applyNumberFormat="1" applyFont="1" applyFill="1" applyAlignment="1">
      <alignment horizontal="justify" vertical="center"/>
    </xf>
    <xf numFmtId="168" fontId="4" fillId="6" borderId="0" xfId="0" applyNumberFormat="1" applyFont="1" applyFill="1" applyAlignment="1">
      <alignment horizontal="center" vertical="center"/>
    </xf>
    <xf numFmtId="43" fontId="4" fillId="6" borderId="0" xfId="3" applyFont="1" applyFill="1" applyAlignment="1">
      <alignment horizontal="right" vertical="center"/>
    </xf>
    <xf numFmtId="1" fontId="4" fillId="6" borderId="0" xfId="0" applyNumberFormat="1" applyFont="1" applyFill="1" applyAlignment="1">
      <alignment horizontal="center" vertical="center"/>
    </xf>
    <xf numFmtId="0" fontId="4" fillId="6" borderId="0" xfId="0" applyFont="1" applyFill="1" applyAlignment="1">
      <alignment horizontal="center" vertical="center"/>
    </xf>
    <xf numFmtId="167" fontId="4" fillId="0" borderId="0" xfId="0" applyNumberFormat="1" applyFont="1" applyAlignment="1">
      <alignment horizontal="right" vertical="center"/>
    </xf>
    <xf numFmtId="167" fontId="4" fillId="0" borderId="0" xfId="0" applyNumberFormat="1" applyFont="1" applyAlignment="1">
      <alignment horizontal="center"/>
    </xf>
    <xf numFmtId="169" fontId="4" fillId="0" borderId="0" xfId="0" applyNumberFormat="1" applyFont="1" applyAlignment="1">
      <alignment horizontal="center" vertical="center"/>
    </xf>
    <xf numFmtId="168" fontId="4" fillId="0" borderId="0" xfId="0" applyNumberFormat="1" applyFont="1" applyAlignment="1">
      <alignment horizontal="justify" vertical="center"/>
    </xf>
    <xf numFmtId="43" fontId="4" fillId="6" borderId="0" xfId="5" applyNumberFormat="1" applyFont="1" applyFill="1" applyAlignment="1">
      <alignment horizontal="right" vertical="center"/>
    </xf>
    <xf numFmtId="0" fontId="6" fillId="0" borderId="4" xfId="0" applyFont="1" applyBorder="1" applyAlignment="1">
      <alignment horizontal="left"/>
    </xf>
    <xf numFmtId="0" fontId="6" fillId="0" borderId="0" xfId="0" applyFont="1" applyAlignment="1">
      <alignment horizontal="left"/>
    </xf>
    <xf numFmtId="0" fontId="5" fillId="0" borderId="1" xfId="0" applyFont="1" applyBorder="1" applyAlignment="1">
      <alignment vertical="center"/>
    </xf>
    <xf numFmtId="0" fontId="19" fillId="0" borderId="0" xfId="0" applyFont="1"/>
    <xf numFmtId="0" fontId="5" fillId="0" borderId="1" xfId="0" applyFont="1" applyBorder="1" applyAlignment="1">
      <alignment horizontal="left" vertical="center"/>
    </xf>
    <xf numFmtId="49" fontId="5" fillId="0" borderId="1" xfId="0" applyNumberFormat="1" applyFont="1" applyBorder="1" applyAlignment="1">
      <alignment vertical="center"/>
    </xf>
    <xf numFmtId="17" fontId="5" fillId="0" borderId="1" xfId="0" applyNumberFormat="1" applyFont="1" applyBorder="1" applyAlignment="1">
      <alignment horizontal="left"/>
    </xf>
    <xf numFmtId="0" fontId="20" fillId="0" borderId="5" xfId="0" applyFont="1" applyBorder="1" applyAlignment="1">
      <alignment horizontal="justify" vertical="center"/>
    </xf>
    <xf numFmtId="0" fontId="20" fillId="0" borderId="2" xfId="0" applyFont="1" applyBorder="1" applyAlignment="1">
      <alignment horizontal="justify" vertical="center"/>
    </xf>
    <xf numFmtId="10" fontId="7" fillId="0" borderId="2" xfId="11" applyNumberFormat="1" applyFont="1" applyBorder="1" applyAlignment="1">
      <alignment horizontal="center" vertical="center"/>
    </xf>
    <xf numFmtId="0" fontId="20" fillId="0" borderId="2" xfId="0" applyFont="1" applyBorder="1" applyAlignment="1">
      <alignment vertical="center"/>
    </xf>
    <xf numFmtId="0" fontId="20" fillId="0" borderId="2" xfId="0" applyFont="1" applyBorder="1" applyAlignment="1">
      <alignment horizontal="center" vertical="center"/>
    </xf>
    <xf numFmtId="0" fontId="20" fillId="0" borderId="20" xfId="0" applyFont="1" applyBorder="1" applyAlignment="1">
      <alignment vertical="center"/>
    </xf>
    <xf numFmtId="1" fontId="20" fillId="11" borderId="9" xfId="0" applyNumberFormat="1" applyFont="1" applyFill="1" applyBorder="1" applyAlignment="1">
      <alignment horizontal="center" vertical="center" wrapText="1"/>
    </xf>
    <xf numFmtId="1" fontId="20" fillId="13" borderId="6" xfId="0" applyNumberFormat="1" applyFont="1" applyFill="1" applyBorder="1" applyAlignment="1">
      <alignment horizontal="left" vertical="center" wrapText="1"/>
    </xf>
    <xf numFmtId="0" fontId="20" fillId="13" borderId="7" xfId="0" applyFont="1" applyFill="1" applyBorder="1" applyAlignment="1">
      <alignment vertical="center"/>
    </xf>
    <xf numFmtId="0" fontId="20" fillId="13" borderId="7" xfId="0" applyFont="1" applyFill="1" applyBorder="1" applyAlignment="1">
      <alignment horizontal="justify" vertical="center"/>
    </xf>
    <xf numFmtId="0" fontId="20" fillId="13" borderId="7" xfId="0" applyFont="1" applyFill="1" applyBorder="1" applyAlignment="1">
      <alignment horizontal="center" vertical="center"/>
    </xf>
    <xf numFmtId="10" fontId="7" fillId="13" borderId="7" xfId="11" applyNumberFormat="1" applyFont="1" applyFill="1" applyBorder="1" applyAlignment="1">
      <alignment horizontal="center" vertical="center"/>
    </xf>
    <xf numFmtId="43" fontId="20" fillId="13" borderId="7" xfId="12" applyFont="1" applyFill="1" applyBorder="1" applyAlignment="1">
      <alignment horizontal="justify" vertical="center"/>
    </xf>
    <xf numFmtId="168" fontId="20" fillId="13" borderId="7" xfId="0" applyNumberFormat="1" applyFont="1" applyFill="1" applyBorder="1" applyAlignment="1">
      <alignment horizontal="center" vertical="center"/>
    </xf>
    <xf numFmtId="1" fontId="20" fillId="13" borderId="7" xfId="0" applyNumberFormat="1" applyFont="1" applyFill="1" applyBorder="1" applyAlignment="1">
      <alignment horizontal="center" vertical="center"/>
    </xf>
    <xf numFmtId="0" fontId="20" fillId="13" borderId="7" xfId="0" applyFont="1" applyFill="1" applyBorder="1" applyAlignment="1">
      <alignment horizontal="center" vertical="center"/>
    </xf>
    <xf numFmtId="167" fontId="20" fillId="13" borderId="7" xfId="0" applyNumberFormat="1" applyFont="1" applyFill="1" applyBorder="1" applyAlignment="1">
      <alignment vertical="center"/>
    </xf>
    <xf numFmtId="0" fontId="20" fillId="13" borderId="8" xfId="0" applyFont="1" applyFill="1" applyBorder="1" applyAlignment="1">
      <alignment horizontal="justify" vertical="center"/>
    </xf>
    <xf numFmtId="1" fontId="20" fillId="2" borderId="3" xfId="0" applyNumberFormat="1" applyFont="1" applyFill="1" applyBorder="1" applyAlignment="1">
      <alignment vertical="center" wrapText="1"/>
    </xf>
    <xf numFmtId="1" fontId="20" fillId="2" borderId="4" xfId="0" applyNumberFormat="1" applyFont="1" applyFill="1" applyBorder="1" applyAlignment="1">
      <alignment vertical="center" wrapText="1"/>
    </xf>
    <xf numFmtId="1" fontId="20" fillId="2" borderId="12" xfId="0" applyNumberFormat="1" applyFont="1" applyFill="1" applyBorder="1" applyAlignment="1">
      <alignment vertical="center" wrapText="1"/>
    </xf>
    <xf numFmtId="1" fontId="20" fillId="11" borderId="5" xfId="0" applyNumberFormat="1" applyFont="1" applyFill="1" applyBorder="1" applyAlignment="1">
      <alignment horizontal="center" vertical="center"/>
    </xf>
    <xf numFmtId="0" fontId="20" fillId="11" borderId="2" xfId="0" applyFont="1" applyFill="1" applyBorder="1" applyAlignment="1">
      <alignment vertical="center"/>
    </xf>
    <xf numFmtId="0" fontId="20" fillId="11" borderId="2" xfId="0" applyFont="1" applyFill="1" applyBorder="1" applyAlignment="1">
      <alignment horizontal="justify" vertical="center"/>
    </xf>
    <xf numFmtId="10" fontId="7" fillId="11" borderId="2" xfId="11" applyNumberFormat="1" applyFont="1" applyFill="1" applyBorder="1" applyAlignment="1">
      <alignment horizontal="center" vertical="center"/>
    </xf>
    <xf numFmtId="43" fontId="20" fillId="11" borderId="2" xfId="12" applyFont="1" applyFill="1" applyBorder="1" applyAlignment="1">
      <alignment horizontal="justify" vertical="center"/>
    </xf>
    <xf numFmtId="168" fontId="20" fillId="11" borderId="2" xfId="0" applyNumberFormat="1" applyFont="1" applyFill="1" applyBorder="1" applyAlignment="1">
      <alignment horizontal="center" vertical="center"/>
    </xf>
    <xf numFmtId="1" fontId="20" fillId="11" borderId="2" xfId="0" applyNumberFormat="1" applyFont="1" applyFill="1" applyBorder="1" applyAlignment="1">
      <alignment horizontal="center" vertical="center"/>
    </xf>
    <xf numFmtId="0" fontId="20" fillId="11" borderId="2" xfId="0" applyFont="1" applyFill="1" applyBorder="1" applyAlignment="1">
      <alignment horizontal="center" vertical="center"/>
    </xf>
    <xf numFmtId="167" fontId="20" fillId="11" borderId="2" xfId="0" applyNumberFormat="1" applyFont="1" applyFill="1" applyBorder="1" applyAlignment="1">
      <alignment vertical="center"/>
    </xf>
    <xf numFmtId="0" fontId="20" fillId="11" borderId="20" xfId="0" applyFont="1" applyFill="1" applyBorder="1" applyAlignment="1">
      <alignment horizontal="justify" vertical="center"/>
    </xf>
    <xf numFmtId="1" fontId="20" fillId="2" borderId="11" xfId="0" applyNumberFormat="1" applyFont="1" applyFill="1" applyBorder="1" applyAlignment="1">
      <alignment vertical="center" wrapText="1"/>
    </xf>
    <xf numFmtId="1" fontId="20" fillId="2" borderId="0" xfId="0" applyNumberFormat="1" applyFont="1" applyFill="1" applyAlignment="1">
      <alignment vertical="center" wrapText="1"/>
    </xf>
    <xf numFmtId="1" fontId="20" fillId="2" borderId="13" xfId="0" applyNumberFormat="1" applyFont="1" applyFill="1" applyBorder="1" applyAlignment="1">
      <alignment vertical="center" wrapText="1"/>
    </xf>
    <xf numFmtId="0" fontId="20" fillId="2" borderId="3" xfId="0" applyFont="1" applyFill="1" applyBorder="1" applyAlignment="1">
      <alignment vertical="center" wrapText="1"/>
    </xf>
    <xf numFmtId="0" fontId="20" fillId="2" borderId="4" xfId="0" applyFont="1" applyFill="1" applyBorder="1" applyAlignment="1">
      <alignment vertical="center" wrapText="1"/>
    </xf>
    <xf numFmtId="0" fontId="20" fillId="2" borderId="12" xfId="0" applyFont="1" applyFill="1" applyBorder="1" applyAlignment="1">
      <alignment vertical="center" wrapText="1"/>
    </xf>
    <xf numFmtId="1" fontId="20" fillId="14" borderId="6" xfId="0" applyNumberFormat="1" applyFont="1" applyFill="1" applyBorder="1" applyAlignment="1">
      <alignment horizontal="left" vertical="center" wrapText="1" indent="1"/>
    </xf>
    <xf numFmtId="0" fontId="20" fillId="14" borderId="7" xfId="0" applyFont="1" applyFill="1" applyBorder="1" applyAlignment="1">
      <alignment vertical="center"/>
    </xf>
    <xf numFmtId="0" fontId="20" fillId="14" borderId="7" xfId="0" applyFont="1" applyFill="1" applyBorder="1" applyAlignment="1">
      <alignment horizontal="justify" vertical="center"/>
    </xf>
    <xf numFmtId="10" fontId="7" fillId="14" borderId="7" xfId="11" applyNumberFormat="1" applyFont="1" applyFill="1" applyBorder="1" applyAlignment="1">
      <alignment horizontal="center" vertical="center"/>
    </xf>
    <xf numFmtId="43" fontId="20" fillId="14" borderId="7" xfId="12" applyFont="1" applyFill="1" applyBorder="1" applyAlignment="1">
      <alignment horizontal="justify" vertical="center"/>
    </xf>
    <xf numFmtId="168" fontId="20" fillId="14" borderId="7" xfId="0" applyNumberFormat="1" applyFont="1" applyFill="1" applyBorder="1" applyAlignment="1">
      <alignment horizontal="center" vertical="center"/>
    </xf>
    <xf numFmtId="1" fontId="20" fillId="14" borderId="4" xfId="0" applyNumberFormat="1" applyFont="1" applyFill="1" applyBorder="1" applyAlignment="1">
      <alignment horizontal="center" vertical="center"/>
    </xf>
    <xf numFmtId="0" fontId="20" fillId="14" borderId="4" xfId="0" applyFont="1" applyFill="1" applyBorder="1" applyAlignment="1">
      <alignment horizontal="center" vertical="center"/>
    </xf>
    <xf numFmtId="167" fontId="20" fillId="14" borderId="7" xfId="0" applyNumberFormat="1" applyFont="1" applyFill="1" applyBorder="1" applyAlignment="1">
      <alignment vertical="center"/>
    </xf>
    <xf numFmtId="0" fontId="20" fillId="14" borderId="8" xfId="0" applyFont="1" applyFill="1" applyBorder="1" applyAlignment="1">
      <alignment horizontal="justify" vertical="center"/>
    </xf>
    <xf numFmtId="1" fontId="20" fillId="0" borderId="11" xfId="0" applyNumberFormat="1" applyFont="1" applyBorder="1" applyAlignment="1">
      <alignment vertical="center" wrapText="1"/>
    </xf>
    <xf numFmtId="1" fontId="20" fillId="0" borderId="0" xfId="0" applyNumberFormat="1" applyFont="1" applyAlignment="1">
      <alignment vertical="center" wrapText="1"/>
    </xf>
    <xf numFmtId="1" fontId="20" fillId="0" borderId="13" xfId="0" applyNumberFormat="1" applyFont="1" applyBorder="1" applyAlignment="1">
      <alignment vertical="center" wrapText="1"/>
    </xf>
    <xf numFmtId="0" fontId="20" fillId="0" borderId="11" xfId="0" applyFont="1" applyBorder="1" applyAlignment="1">
      <alignment vertical="center" wrapText="1"/>
    </xf>
    <xf numFmtId="0" fontId="20" fillId="0" borderId="0" xfId="0" applyFont="1" applyAlignment="1">
      <alignment vertical="center" wrapText="1"/>
    </xf>
    <xf numFmtId="0" fontId="20" fillId="0" borderId="13" xfId="0" applyFont="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19" fillId="0" borderId="12" xfId="0" applyFont="1" applyBorder="1" applyAlignment="1">
      <alignment vertical="center" wrapText="1"/>
    </xf>
    <xf numFmtId="0" fontId="19" fillId="0" borderId="9" xfId="0" applyFont="1" applyBorder="1" applyAlignment="1">
      <alignment horizontal="center" vertical="center" wrapText="1"/>
    </xf>
    <xf numFmtId="0" fontId="19" fillId="0" borderId="9" xfId="0" applyFont="1" applyBorder="1" applyAlignment="1">
      <alignment horizontal="justify" vertical="center" wrapText="1"/>
    </xf>
    <xf numFmtId="0" fontId="19" fillId="6" borderId="9" xfId="0" applyFont="1" applyFill="1" applyBorder="1" applyAlignment="1">
      <alignment horizontal="center" vertical="center" wrapText="1"/>
    </xf>
    <xf numFmtId="0" fontId="8" fillId="0" borderId="9" xfId="0" applyFont="1" applyBorder="1" applyAlignment="1">
      <alignment horizontal="justify" vertical="center" wrapText="1"/>
    </xf>
    <xf numFmtId="9" fontId="8" fillId="0" borderId="9" xfId="11" applyFont="1" applyBorder="1" applyAlignment="1">
      <alignment horizontal="center" vertical="center" wrapText="1"/>
    </xf>
    <xf numFmtId="43" fontId="19" fillId="0" borderId="9" xfId="12" applyFont="1" applyBorder="1" applyAlignment="1">
      <alignment horizontal="center" vertical="center" wrapText="1"/>
    </xf>
    <xf numFmtId="3" fontId="19" fillId="0" borderId="9" xfId="0" applyNumberFormat="1" applyFont="1" applyBorder="1" applyAlignment="1">
      <alignment horizontal="justify" vertical="center" wrapText="1"/>
    </xf>
    <xf numFmtId="0" fontId="19" fillId="0" borderId="1" xfId="0" applyFont="1" applyBorder="1" applyAlignment="1">
      <alignment horizontal="justify" vertical="center" wrapText="1"/>
    </xf>
    <xf numFmtId="43" fontId="19" fillId="0" borderId="1" xfId="12" applyFont="1" applyFill="1" applyBorder="1" applyAlignment="1">
      <alignment horizontal="center" vertical="center" wrapText="1"/>
    </xf>
    <xf numFmtId="1"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3" fontId="19" fillId="0" borderId="9" xfId="0" applyNumberFormat="1" applyFont="1" applyBorder="1" applyAlignment="1">
      <alignment horizontal="center" vertical="center"/>
    </xf>
    <xf numFmtId="165" fontId="19" fillId="0" borderId="9" xfId="0" applyNumberFormat="1" applyFont="1" applyBorder="1" applyAlignment="1">
      <alignment horizontal="center" vertical="center" wrapText="1"/>
    </xf>
    <xf numFmtId="3" fontId="22" fillId="0" borderId="9" xfId="0" applyNumberFormat="1" applyFont="1" applyBorder="1" applyAlignment="1">
      <alignment horizontal="center" vertical="center" wrapText="1"/>
    </xf>
    <xf numFmtId="0" fontId="9" fillId="0" borderId="0" xfId="0" applyFont="1" applyAlignment="1">
      <alignment horizontal="justify" vertical="center" wrapText="1"/>
    </xf>
    <xf numFmtId="0" fontId="19" fillId="0" borderId="11" xfId="0" applyFont="1" applyBorder="1" applyAlignment="1">
      <alignment vertical="center" wrapText="1"/>
    </xf>
    <xf numFmtId="0" fontId="19" fillId="0" borderId="0" xfId="0" applyFont="1" applyAlignment="1">
      <alignment vertical="center" wrapText="1"/>
    </xf>
    <xf numFmtId="0" fontId="19" fillId="0" borderId="13" xfId="0" applyFont="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horizontal="justify" vertical="center" wrapText="1"/>
    </xf>
    <xf numFmtId="3" fontId="19" fillId="0" borderId="1" xfId="0" applyNumberFormat="1" applyFont="1" applyBorder="1" applyAlignment="1">
      <alignment horizontal="justify" vertical="center" wrapText="1"/>
    </xf>
    <xf numFmtId="43" fontId="19" fillId="6" borderId="1" xfId="12" applyFont="1" applyFill="1" applyBorder="1" applyAlignment="1">
      <alignment horizontal="center" vertical="center" wrapText="1"/>
    </xf>
    <xf numFmtId="1" fontId="19" fillId="0" borderId="19" xfId="0" applyNumberFormat="1" applyFont="1" applyBorder="1" applyAlignment="1">
      <alignment horizontal="center" vertical="center" wrapText="1"/>
    </xf>
    <xf numFmtId="0" fontId="19" fillId="0" borderId="19" xfId="0" applyFont="1" applyBorder="1" applyAlignment="1">
      <alignment horizontal="center" vertical="center" wrapText="1"/>
    </xf>
    <xf numFmtId="0" fontId="19" fillId="0" borderId="0" xfId="0" applyFont="1" applyAlignment="1">
      <alignment horizontal="justify" vertical="center" wrapText="1"/>
    </xf>
    <xf numFmtId="1" fontId="19"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20" fillId="2" borderId="11" xfId="0" applyFont="1" applyFill="1" applyBorder="1" applyAlignment="1">
      <alignment vertical="center" wrapText="1"/>
    </xf>
    <xf numFmtId="0" fontId="20" fillId="2" borderId="0" xfId="0" applyFont="1" applyFill="1" applyAlignment="1">
      <alignment vertical="center" wrapText="1"/>
    </xf>
    <xf numFmtId="0" fontId="20" fillId="2" borderId="13" xfId="0" applyFont="1" applyFill="1" applyBorder="1" applyAlignment="1">
      <alignment vertical="center" wrapText="1"/>
    </xf>
    <xf numFmtId="0" fontId="19" fillId="2" borderId="11" xfId="0" applyFont="1" applyFill="1" applyBorder="1" applyAlignment="1">
      <alignment vertical="center" wrapText="1"/>
    </xf>
    <xf numFmtId="0" fontId="19" fillId="2" borderId="0" xfId="0" applyFont="1" applyFill="1" applyAlignment="1">
      <alignment vertical="center" wrapText="1"/>
    </xf>
    <xf numFmtId="0" fontId="19" fillId="2" borderId="13"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10" fontId="8" fillId="0" borderId="1" xfId="11" applyNumberFormat="1" applyFont="1" applyBorder="1" applyAlignment="1">
      <alignment horizontal="center" vertical="center" wrapText="1"/>
    </xf>
    <xf numFmtId="43" fontId="19" fillId="0" borderId="1" xfId="12" applyFont="1" applyBorder="1" applyAlignment="1">
      <alignment horizontal="center" vertical="center" wrapText="1"/>
    </xf>
    <xf numFmtId="3" fontId="19" fillId="0" borderId="1" xfId="0" applyNumberFormat="1" applyFont="1" applyBorder="1" applyAlignment="1">
      <alignment horizontal="center" vertical="center"/>
    </xf>
    <xf numFmtId="165" fontId="19" fillId="0" borderId="1" xfId="0" applyNumberFormat="1" applyFont="1" applyBorder="1" applyAlignment="1">
      <alignment horizontal="center" vertical="center" wrapText="1"/>
    </xf>
    <xf numFmtId="3" fontId="19" fillId="0" borderId="50" xfId="0" applyNumberFormat="1" applyFont="1" applyBorder="1" applyAlignment="1">
      <alignment horizontal="center" vertical="center" wrapText="1"/>
    </xf>
    <xf numFmtId="0" fontId="19" fillId="0" borderId="6" xfId="0" applyFont="1" applyBorder="1" applyAlignment="1">
      <alignment horizontal="center" vertical="center" wrapText="1"/>
    </xf>
    <xf numFmtId="0" fontId="19" fillId="2" borderId="9" xfId="0" applyFont="1" applyFill="1" applyBorder="1" applyAlignment="1">
      <alignment vertical="center" wrapText="1"/>
    </xf>
    <xf numFmtId="10" fontId="8" fillId="2" borderId="1" xfId="11" applyNumberFormat="1" applyFont="1" applyFill="1" applyBorder="1" applyAlignment="1">
      <alignment horizontal="center" vertical="center" wrapText="1"/>
    </xf>
    <xf numFmtId="43" fontId="19" fillId="6" borderId="6" xfId="12" applyFont="1" applyFill="1" applyBorder="1" applyAlignment="1">
      <alignment horizontal="center" vertical="center" wrapText="1"/>
    </xf>
    <xf numFmtId="1" fontId="19" fillId="2" borderId="6"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43" fontId="8" fillId="6" borderId="1" xfId="12" applyFont="1" applyFill="1" applyBorder="1" applyAlignment="1">
      <alignment horizontal="right" vertical="center"/>
    </xf>
    <xf numFmtId="0" fontId="9" fillId="0" borderId="0" xfId="0" applyFont="1"/>
    <xf numFmtId="0" fontId="19" fillId="2" borderId="10" xfId="0" applyFont="1" applyFill="1" applyBorder="1" applyAlignment="1">
      <alignment vertical="center" wrapText="1"/>
    </xf>
    <xf numFmtId="0" fontId="19" fillId="0" borderId="19" xfId="0" applyFont="1" applyBorder="1" applyAlignment="1">
      <alignment horizontal="justify" vertical="center" wrapText="1"/>
    </xf>
    <xf numFmtId="1" fontId="20" fillId="2" borderId="11" xfId="0" applyNumberFormat="1" applyFont="1" applyFill="1" applyBorder="1" applyAlignment="1">
      <alignment horizontal="center" vertical="center" wrapText="1"/>
    </xf>
    <xf numFmtId="1" fontId="20" fillId="2" borderId="0" xfId="0" applyNumberFormat="1" applyFont="1" applyFill="1" applyAlignment="1">
      <alignment horizontal="center" vertical="center" wrapText="1"/>
    </xf>
    <xf numFmtId="1" fontId="20" fillId="2" borderId="13" xfId="0" applyNumberFormat="1"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13"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13" xfId="0" applyFont="1" applyFill="1" applyBorder="1" applyAlignment="1">
      <alignment horizontal="center" vertical="center" wrapText="1"/>
    </xf>
    <xf numFmtId="0" fontId="19" fillId="0" borderId="3" xfId="0" applyFont="1" applyBorder="1" applyAlignment="1">
      <alignment horizontal="center" vertical="center" wrapText="1"/>
    </xf>
    <xf numFmtId="10" fontId="8" fillId="2" borderId="9" xfId="11" applyNumberFormat="1" applyFont="1" applyFill="1" applyBorder="1" applyAlignment="1">
      <alignment horizontal="center" vertical="center" wrapText="1"/>
    </xf>
    <xf numFmtId="1" fontId="19" fillId="2" borderId="3" xfId="0" applyNumberFormat="1"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51" xfId="0" applyFont="1" applyBorder="1" applyAlignment="1">
      <alignment horizontal="center" vertical="center" wrapText="1"/>
    </xf>
    <xf numFmtId="0" fontId="20" fillId="2" borderId="28" xfId="0" applyFont="1" applyFill="1" applyBorder="1"/>
    <xf numFmtId="0" fontId="19" fillId="2" borderId="29" xfId="0" applyFont="1" applyFill="1" applyBorder="1"/>
    <xf numFmtId="0" fontId="19" fillId="2" borderId="29" xfId="0" applyFont="1" applyFill="1" applyBorder="1" applyAlignment="1">
      <alignment horizontal="justify"/>
    </xf>
    <xf numFmtId="0" fontId="19" fillId="2" borderId="29" xfId="0" applyFont="1" applyFill="1" applyBorder="1" applyAlignment="1">
      <alignment horizontal="justify" vertical="center" wrapText="1"/>
    </xf>
    <xf numFmtId="0" fontId="19" fillId="2" borderId="29" xfId="0" applyFont="1" applyFill="1" applyBorder="1" applyAlignment="1">
      <alignment horizontal="justify" vertical="center"/>
    </xf>
    <xf numFmtId="1" fontId="19" fillId="2" borderId="29" xfId="0" applyNumberFormat="1" applyFont="1" applyFill="1" applyBorder="1" applyAlignment="1">
      <alignment horizontal="justify" vertical="center"/>
    </xf>
    <xf numFmtId="10" fontId="8" fillId="2" borderId="30" xfId="11" applyNumberFormat="1" applyFont="1" applyFill="1" applyBorder="1" applyAlignment="1">
      <alignment horizontal="center" vertical="center"/>
    </xf>
    <xf numFmtId="43" fontId="20" fillId="2" borderId="31" xfId="12" applyFont="1" applyFill="1" applyBorder="1" applyAlignment="1">
      <alignment horizontal="justify" vertical="center"/>
    </xf>
    <xf numFmtId="0" fontId="19" fillId="2" borderId="28" xfId="0" applyFont="1" applyFill="1" applyBorder="1" applyAlignment="1">
      <alignment horizontal="justify" vertical="center" wrapText="1"/>
    </xf>
    <xf numFmtId="0" fontId="19" fillId="2" borderId="30" xfId="0" applyFont="1" applyFill="1" applyBorder="1" applyAlignment="1">
      <alignment horizontal="justify" vertical="center" wrapText="1"/>
    </xf>
    <xf numFmtId="43" fontId="20" fillId="0" borderId="31" xfId="12" applyFont="1" applyBorder="1" applyAlignment="1">
      <alignment horizontal="center" vertical="center"/>
    </xf>
    <xf numFmtId="1" fontId="19" fillId="2" borderId="28" xfId="0" applyNumberFormat="1" applyFont="1" applyFill="1" applyBorder="1" applyAlignment="1">
      <alignment horizontal="center" vertical="center"/>
    </xf>
    <xf numFmtId="1" fontId="19" fillId="2" borderId="29" xfId="0" applyNumberFormat="1" applyFont="1" applyFill="1" applyBorder="1" applyAlignment="1">
      <alignment horizontal="center" vertical="center"/>
    </xf>
    <xf numFmtId="1" fontId="19" fillId="2" borderId="29" xfId="0" applyNumberFormat="1" applyFont="1" applyFill="1" applyBorder="1" applyAlignment="1">
      <alignment horizontal="center" vertical="center" textRotation="180" wrapText="1"/>
    </xf>
    <xf numFmtId="167" fontId="19" fillId="2" borderId="29" xfId="0" applyNumberFormat="1" applyFont="1" applyFill="1" applyBorder="1" applyAlignment="1">
      <alignment horizontal="center" vertical="center"/>
    </xf>
    <xf numFmtId="0" fontId="19" fillId="2" borderId="30" xfId="0" applyFont="1" applyFill="1" applyBorder="1" applyAlignment="1">
      <alignment horizontal="justify" vertical="center"/>
    </xf>
    <xf numFmtId="0" fontId="19" fillId="2" borderId="0" xfId="0" applyFont="1" applyFill="1"/>
    <xf numFmtId="0" fontId="19" fillId="2" borderId="0" xfId="0" applyFont="1" applyFill="1" applyAlignment="1">
      <alignment horizontal="justify"/>
    </xf>
    <xf numFmtId="0" fontId="19" fillId="2" borderId="0" xfId="0" applyFont="1" applyFill="1" applyAlignment="1">
      <alignment horizontal="justify" vertical="center"/>
    </xf>
    <xf numFmtId="10" fontId="8" fillId="2" borderId="0" xfId="11" applyNumberFormat="1" applyFont="1" applyFill="1" applyAlignment="1">
      <alignment horizontal="center" vertical="center"/>
    </xf>
    <xf numFmtId="168" fontId="19" fillId="0" borderId="0" xfId="0" applyNumberFormat="1" applyFont="1" applyAlignment="1">
      <alignment horizontal="justify" vertical="center"/>
    </xf>
    <xf numFmtId="168" fontId="19" fillId="0" borderId="0" xfId="0" applyNumberFormat="1" applyFont="1" applyAlignment="1">
      <alignment horizontal="center" vertical="center"/>
    </xf>
    <xf numFmtId="1" fontId="19" fillId="2" borderId="0" xfId="0" applyNumberFormat="1" applyFont="1" applyFill="1" applyAlignment="1">
      <alignment horizontal="center" vertical="center"/>
    </xf>
    <xf numFmtId="0" fontId="19" fillId="2" borderId="0" xfId="0" applyFont="1" applyFill="1" applyAlignment="1">
      <alignment horizontal="center" vertical="center"/>
    </xf>
    <xf numFmtId="168" fontId="19" fillId="2" borderId="0" xfId="0" applyNumberFormat="1" applyFont="1" applyFill="1" applyAlignment="1">
      <alignment horizontal="center" vertical="center"/>
    </xf>
    <xf numFmtId="168" fontId="19" fillId="2" borderId="0" xfId="0" applyNumberFormat="1" applyFont="1" applyFill="1" applyAlignment="1">
      <alignment horizontal="justify" vertical="center"/>
    </xf>
    <xf numFmtId="43" fontId="8" fillId="0" borderId="0" xfId="1" applyNumberFormat="1" applyFont="1" applyFill="1" applyBorder="1" applyAlignment="1">
      <alignment horizontal="right" vertical="center" wrapText="1"/>
    </xf>
    <xf numFmtId="0" fontId="20" fillId="2" borderId="0" xfId="0" applyFont="1" applyFill="1"/>
    <xf numFmtId="0" fontId="19" fillId="0" borderId="0" xfId="0" applyFont="1" applyAlignment="1">
      <alignment horizontal="justify"/>
    </xf>
    <xf numFmtId="10" fontId="8" fillId="0" borderId="0" xfId="11" applyNumberFormat="1" applyFont="1" applyAlignment="1">
      <alignment horizontal="center"/>
    </xf>
    <xf numFmtId="43" fontId="19" fillId="0" borderId="0" xfId="0" applyNumberFormat="1" applyFont="1"/>
    <xf numFmtId="0" fontId="6" fillId="0" borderId="1" xfId="0" applyFont="1" applyBorder="1" applyAlignment="1">
      <alignment horizontal="center" vertical="center"/>
    </xf>
    <xf numFmtId="0" fontId="4" fillId="6" borderId="13" xfId="0" applyFont="1" applyFill="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54" xfId="0" applyFont="1" applyBorder="1" applyAlignment="1">
      <alignment vertical="center"/>
    </xf>
    <xf numFmtId="0" fontId="5" fillId="0" borderId="55" xfId="0" applyFont="1" applyBorder="1" applyAlignment="1">
      <alignment vertical="center"/>
    </xf>
    <xf numFmtId="49" fontId="5" fillId="0" borderId="50" xfId="0" applyNumberFormat="1" applyFont="1" applyBorder="1" applyAlignment="1">
      <alignment vertical="center"/>
    </xf>
    <xf numFmtId="17" fontId="5" fillId="0" borderId="50" xfId="0" applyNumberFormat="1" applyFont="1" applyBorder="1" applyAlignment="1">
      <alignment horizontal="left"/>
    </xf>
    <xf numFmtId="3" fontId="5" fillId="0" borderId="50" xfId="0" applyNumberFormat="1" applyFont="1" applyBorder="1" applyAlignment="1">
      <alignment horizontal="left" vertical="center" wrapText="1"/>
    </xf>
    <xf numFmtId="0" fontId="20" fillId="0" borderId="59" xfId="0" applyFont="1" applyBorder="1" applyAlignment="1">
      <alignment vertical="center"/>
    </xf>
    <xf numFmtId="1" fontId="20" fillId="13" borderId="63" xfId="0" applyNumberFormat="1" applyFont="1" applyFill="1" applyBorder="1" applyAlignment="1">
      <alignment horizontal="left" vertical="center" wrapText="1"/>
    </xf>
    <xf numFmtId="0" fontId="20" fillId="13" borderId="64" xfId="0" applyFont="1" applyFill="1" applyBorder="1" applyAlignment="1">
      <alignment horizontal="justify" vertical="center"/>
    </xf>
    <xf numFmtId="1" fontId="20" fillId="2" borderId="58" xfId="0" applyNumberFormat="1" applyFont="1" applyFill="1" applyBorder="1" applyAlignment="1">
      <alignment vertical="center" wrapText="1"/>
    </xf>
    <xf numFmtId="0" fontId="20" fillId="11" borderId="59" xfId="0" applyFont="1" applyFill="1" applyBorder="1" applyAlignment="1">
      <alignment horizontal="justify" vertical="center"/>
    </xf>
    <xf numFmtId="1" fontId="20" fillId="2" borderId="56" xfId="0" applyNumberFormat="1" applyFont="1" applyFill="1" applyBorder="1" applyAlignment="1">
      <alignment vertical="center" wrapText="1"/>
    </xf>
    <xf numFmtId="1" fontId="20" fillId="2" borderId="0" xfId="0" applyNumberFormat="1" applyFont="1" applyFill="1" applyBorder="1" applyAlignment="1">
      <alignment vertical="center" wrapText="1"/>
    </xf>
    <xf numFmtId="0" fontId="20" fillId="14" borderId="64" xfId="0" applyFont="1" applyFill="1" applyBorder="1" applyAlignment="1">
      <alignment horizontal="justify" vertical="center"/>
    </xf>
    <xf numFmtId="1" fontId="20" fillId="0" borderId="56" xfId="0" applyNumberFormat="1" applyFont="1" applyBorder="1" applyAlignment="1">
      <alignment vertical="center" wrapText="1"/>
    </xf>
    <xf numFmtId="1" fontId="20" fillId="0" borderId="0" xfId="0" applyNumberFormat="1" applyFont="1" applyBorder="1" applyAlignment="1">
      <alignment vertical="center" wrapText="1"/>
    </xf>
    <xf numFmtId="0" fontId="20" fillId="0" borderId="0" xfId="0" applyFont="1" applyBorder="1" applyAlignment="1">
      <alignment vertical="center" wrapText="1"/>
    </xf>
    <xf numFmtId="0" fontId="19" fillId="0" borderId="0" xfId="0" applyFont="1" applyBorder="1" applyAlignment="1">
      <alignment vertical="center" wrapText="1"/>
    </xf>
    <xf numFmtId="1" fontId="19" fillId="0" borderId="1" xfId="0" applyNumberFormat="1" applyFont="1" applyBorder="1" applyAlignment="1">
      <alignment vertical="center" wrapText="1"/>
    </xf>
    <xf numFmtId="0" fontId="20" fillId="2" borderId="0" xfId="0" applyFont="1" applyFill="1" applyBorder="1" applyAlignment="1">
      <alignment vertical="center" wrapText="1"/>
    </xf>
    <xf numFmtId="0" fontId="19" fillId="2" borderId="0" xfId="0" applyFont="1" applyFill="1" applyBorder="1" applyAlignment="1">
      <alignment vertical="center" wrapText="1"/>
    </xf>
    <xf numFmtId="43" fontId="8" fillId="0" borderId="6" xfId="12" applyFont="1" applyBorder="1" applyAlignment="1">
      <alignment horizontal="center" vertical="center" wrapText="1"/>
    </xf>
    <xf numFmtId="1" fontId="19" fillId="0" borderId="6"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43" fontId="8" fillId="0" borderId="3" xfId="12" applyFont="1" applyBorder="1" applyAlignment="1">
      <alignment horizontal="center" vertical="center" wrapText="1"/>
    </xf>
    <xf numFmtId="1" fontId="19" fillId="0" borderId="3" xfId="0" applyNumberFormat="1" applyFont="1" applyFill="1" applyBorder="1" applyAlignment="1">
      <alignment horizontal="center" vertical="center" wrapText="1"/>
    </xf>
    <xf numFmtId="0" fontId="19" fillId="0" borderId="9" xfId="0" applyFont="1" applyFill="1" applyBorder="1" applyAlignment="1">
      <alignment horizontal="center" vertical="center" wrapText="1"/>
    </xf>
    <xf numFmtId="43" fontId="8" fillId="0" borderId="4" xfId="12" applyFont="1" applyFill="1" applyBorder="1" applyAlignment="1">
      <alignment horizontal="center" vertical="center" wrapText="1"/>
    </xf>
    <xf numFmtId="0" fontId="8" fillId="0" borderId="10" xfId="0" applyFont="1" applyBorder="1" applyAlignment="1">
      <alignment horizontal="justify" vertical="center" wrapText="1"/>
    </xf>
    <xf numFmtId="43" fontId="8" fillId="0" borderId="3" xfId="12" applyFont="1" applyFill="1" applyBorder="1" applyAlignment="1">
      <alignment horizontal="center" vertical="center" wrapText="1"/>
    </xf>
    <xf numFmtId="0" fontId="19" fillId="2" borderId="34" xfId="0" applyFont="1" applyFill="1" applyBorder="1" applyAlignment="1">
      <alignment vertical="center" wrapText="1"/>
    </xf>
    <xf numFmtId="43" fontId="19" fillId="0" borderId="14" xfId="12" applyFont="1" applyFill="1" applyBorder="1" applyAlignment="1">
      <alignment horizontal="center" vertical="center" wrapText="1"/>
    </xf>
    <xf numFmtId="1" fontId="19" fillId="0" borderId="14" xfId="0" applyNumberFormat="1" applyFont="1" applyBorder="1" applyAlignment="1">
      <alignment horizontal="center" vertical="center" wrapText="1"/>
    </xf>
    <xf numFmtId="0" fontId="19" fillId="0" borderId="14" xfId="0" applyFont="1" applyBorder="1" applyAlignment="1">
      <alignment horizontal="center" vertical="center" wrapText="1"/>
    </xf>
    <xf numFmtId="1" fontId="20" fillId="2" borderId="25" xfId="0" applyNumberFormat="1" applyFont="1" applyFill="1" applyBorder="1" applyAlignment="1">
      <alignment vertical="center" wrapText="1"/>
    </xf>
    <xf numFmtId="0" fontId="19" fillId="2" borderId="33" xfId="0" applyFont="1" applyFill="1" applyBorder="1" applyAlignment="1">
      <alignment horizontal="justify"/>
    </xf>
    <xf numFmtId="0" fontId="19" fillId="2" borderId="33" xfId="0" applyFont="1" applyFill="1" applyBorder="1" applyAlignment="1">
      <alignment horizontal="justify" vertical="center" wrapText="1"/>
    </xf>
    <xf numFmtId="0" fontId="19" fillId="2" borderId="33" xfId="0" applyFont="1" applyFill="1" applyBorder="1" applyAlignment="1">
      <alignment horizontal="justify" vertical="center"/>
    </xf>
    <xf numFmtId="1" fontId="19" fillId="2" borderId="33" xfId="0" applyNumberFormat="1" applyFont="1" applyFill="1" applyBorder="1" applyAlignment="1">
      <alignment horizontal="justify" vertical="center"/>
    </xf>
    <xf numFmtId="10" fontId="8" fillId="2" borderId="66" xfId="11" applyNumberFormat="1" applyFont="1" applyFill="1" applyBorder="1" applyAlignment="1">
      <alignment horizontal="center" vertical="center"/>
    </xf>
    <xf numFmtId="43" fontId="20" fillId="2" borderId="67" xfId="12" applyFont="1" applyFill="1" applyBorder="1" applyAlignment="1">
      <alignment horizontal="justify" vertical="center"/>
    </xf>
    <xf numFmtId="0" fontId="19" fillId="2" borderId="32" xfId="0" applyFont="1" applyFill="1" applyBorder="1" applyAlignment="1">
      <alignment horizontal="justify" vertical="center" wrapText="1"/>
    </xf>
    <xf numFmtId="0" fontId="19" fillId="2" borderId="66" xfId="0" applyFont="1" applyFill="1" applyBorder="1" applyAlignment="1">
      <alignment horizontal="justify" vertical="center" wrapText="1"/>
    </xf>
    <xf numFmtId="43" fontId="20" fillId="0" borderId="67" xfId="12" applyFont="1" applyBorder="1" applyAlignment="1">
      <alignment horizontal="center" vertical="center"/>
    </xf>
    <xf numFmtId="1" fontId="19" fillId="2" borderId="32" xfId="0" applyNumberFormat="1" applyFont="1" applyFill="1" applyBorder="1" applyAlignment="1">
      <alignment horizontal="center" vertical="center"/>
    </xf>
    <xf numFmtId="1" fontId="19" fillId="2" borderId="33" xfId="0" applyNumberFormat="1" applyFont="1" applyFill="1" applyBorder="1" applyAlignment="1">
      <alignment horizontal="center" vertical="center"/>
    </xf>
    <xf numFmtId="1" fontId="19" fillId="2" borderId="33" xfId="0" applyNumberFormat="1" applyFont="1" applyFill="1" applyBorder="1" applyAlignment="1">
      <alignment horizontal="center" vertical="center" textRotation="180" wrapText="1"/>
    </xf>
    <xf numFmtId="167" fontId="19" fillId="2" borderId="33" xfId="0" applyNumberFormat="1" applyFont="1" applyFill="1" applyBorder="1" applyAlignment="1">
      <alignment horizontal="center" vertical="center"/>
    </xf>
    <xf numFmtId="0" fontId="19" fillId="2" borderId="66" xfId="0" applyFont="1" applyFill="1" applyBorder="1" applyAlignment="1">
      <alignment horizontal="justify"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54" xfId="0" applyFont="1" applyBorder="1" applyAlignment="1">
      <alignment vertical="center"/>
    </xf>
    <xf numFmtId="0" fontId="3" fillId="0" borderId="55" xfId="0" applyFont="1" applyBorder="1" applyAlignment="1">
      <alignment vertical="center"/>
    </xf>
    <xf numFmtId="164" fontId="3" fillId="0" borderId="50" xfId="0" applyNumberFormat="1" applyFont="1" applyBorder="1" applyAlignment="1">
      <alignment horizontal="left" vertical="center"/>
    </xf>
    <xf numFmtId="17" fontId="3" fillId="0" borderId="50" xfId="0" applyNumberFormat="1" applyFont="1" applyBorder="1" applyAlignment="1">
      <alignment horizontal="left" vertical="center"/>
    </xf>
    <xf numFmtId="3" fontId="5" fillId="2" borderId="50" xfId="0" applyNumberFormat="1" applyFont="1" applyFill="1" applyBorder="1" applyAlignment="1">
      <alignment horizontal="left" vertical="center" wrapText="1"/>
    </xf>
    <xf numFmtId="0" fontId="6" fillId="0" borderId="0" xfId="0" applyFont="1" applyAlignment="1">
      <alignment horizontal="center" vertical="center"/>
    </xf>
    <xf numFmtId="3" fontId="7" fillId="15" borderId="1" xfId="0" applyNumberFormat="1" applyFont="1" applyFill="1" applyBorder="1" applyAlignment="1">
      <alignment horizontal="center" vertical="center" textRotation="90" wrapText="1"/>
    </xf>
    <xf numFmtId="3" fontId="7" fillId="15" borderId="7" xfId="0" applyNumberFormat="1" applyFont="1" applyFill="1" applyBorder="1" applyAlignment="1">
      <alignment horizontal="center" vertical="center" textRotation="90" wrapText="1"/>
    </xf>
    <xf numFmtId="0" fontId="7" fillId="15" borderId="6" xfId="0" applyFont="1" applyFill="1" applyBorder="1" applyAlignment="1">
      <alignment horizontal="center" vertical="center" textRotation="90" wrapText="1"/>
    </xf>
    <xf numFmtId="0" fontId="7" fillId="15" borderId="6" xfId="0" applyFont="1" applyFill="1" applyBorder="1" applyAlignment="1">
      <alignment horizontal="center" vertical="center" textRotation="90"/>
    </xf>
    <xf numFmtId="0" fontId="7" fillId="15" borderId="1" xfId="0" applyFont="1" applyFill="1" applyBorder="1" applyAlignment="1">
      <alignment horizontal="center" vertical="center" textRotation="90"/>
    </xf>
    <xf numFmtId="0" fontId="6" fillId="5" borderId="60" xfId="0" applyFont="1" applyFill="1" applyBorder="1" applyAlignment="1">
      <alignment horizontal="center" vertical="center" wrapText="1"/>
    </xf>
    <xf numFmtId="0" fontId="6" fillId="5" borderId="7" xfId="0" applyFont="1" applyFill="1" applyBorder="1" applyAlignment="1">
      <alignment vertical="center" wrapText="1"/>
    </xf>
    <xf numFmtId="0" fontId="6" fillId="5" borderId="7" xfId="0" applyFont="1" applyFill="1" applyBorder="1" applyAlignment="1">
      <alignment horizontal="justify" vertical="center" wrapText="1"/>
    </xf>
    <xf numFmtId="2" fontId="6" fillId="5" borderId="7" xfId="0" applyNumberFormat="1" applyFont="1" applyFill="1" applyBorder="1" applyAlignment="1">
      <alignment horizontal="right" vertical="center" wrapText="1"/>
    </xf>
    <xf numFmtId="41" fontId="6" fillId="5" borderId="7" xfId="5" applyFont="1" applyFill="1" applyBorder="1" applyAlignment="1">
      <alignment horizontal="right" vertical="center" wrapText="1"/>
    </xf>
    <xf numFmtId="1" fontId="6" fillId="5" borderId="7" xfId="0" applyNumberFormat="1" applyFont="1" applyFill="1" applyBorder="1" applyAlignment="1">
      <alignment horizontal="center" vertical="center" wrapText="1"/>
    </xf>
    <xf numFmtId="0" fontId="6" fillId="6" borderId="60"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2" xfId="0" applyFont="1" applyFill="1" applyBorder="1"/>
    <xf numFmtId="0" fontId="6" fillId="16" borderId="12" xfId="0" applyFont="1" applyFill="1" applyBorder="1" applyAlignment="1">
      <alignment horizontal="center" vertical="center" wrapText="1"/>
    </xf>
    <xf numFmtId="0" fontId="6" fillId="16" borderId="7" xfId="0" applyFont="1" applyFill="1" applyBorder="1" applyAlignment="1">
      <alignment horizontal="justify" vertical="center" wrapText="1"/>
    </xf>
    <xf numFmtId="0" fontId="6" fillId="16" borderId="7" xfId="0" applyFont="1" applyFill="1" applyBorder="1" applyAlignment="1">
      <alignment vertical="center" wrapText="1"/>
    </xf>
    <xf numFmtId="2" fontId="6" fillId="16" borderId="7" xfId="0" applyNumberFormat="1" applyFont="1" applyFill="1" applyBorder="1" applyAlignment="1">
      <alignment horizontal="right" vertical="center" wrapText="1"/>
    </xf>
    <xf numFmtId="41" fontId="6" fillId="16" borderId="7" xfId="5" applyFont="1" applyFill="1" applyBorder="1" applyAlignment="1">
      <alignment horizontal="right" vertical="center" wrapText="1"/>
    </xf>
    <xf numFmtId="1" fontId="6" fillId="16" borderId="7" xfId="0" applyNumberFormat="1" applyFont="1" applyFill="1" applyBorder="1" applyAlignment="1">
      <alignment horizontal="center" vertical="center" wrapText="1"/>
    </xf>
    <xf numFmtId="0" fontId="4" fillId="6" borderId="61"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4" xfId="0" applyFont="1" applyFill="1" applyBorder="1"/>
    <xf numFmtId="0" fontId="4" fillId="6" borderId="12" xfId="0" applyFont="1" applyFill="1" applyBorder="1"/>
    <xf numFmtId="0" fontId="6" fillId="8" borderId="1" xfId="0" applyFont="1" applyFill="1" applyBorder="1" applyAlignment="1">
      <alignment horizontal="center" vertical="center" wrapText="1"/>
    </xf>
    <xf numFmtId="0" fontId="4" fillId="8" borderId="7" xfId="0" applyFont="1" applyFill="1" applyBorder="1" applyAlignment="1">
      <alignment vertical="center" wrapText="1"/>
    </xf>
    <xf numFmtId="2" fontId="4" fillId="8" borderId="7" xfId="0" applyNumberFormat="1" applyFont="1" applyFill="1" applyBorder="1" applyAlignment="1">
      <alignment horizontal="right" vertical="center" wrapText="1"/>
    </xf>
    <xf numFmtId="41" fontId="4" fillId="8" borderId="7" xfId="5" applyFont="1" applyFill="1" applyBorder="1" applyAlignment="1">
      <alignment horizontal="right" vertical="center" wrapText="1"/>
    </xf>
    <xf numFmtId="1" fontId="4" fillId="8" borderId="7" xfId="0" applyNumberFormat="1" applyFont="1" applyFill="1" applyBorder="1" applyAlignment="1">
      <alignment horizontal="center" vertical="center" wrapText="1"/>
    </xf>
    <xf numFmtId="0" fontId="12" fillId="6" borderId="10" xfId="0" applyFont="1" applyFill="1" applyBorder="1" applyAlignment="1">
      <alignment vertical="center" wrapText="1"/>
    </xf>
    <xf numFmtId="0" fontId="12" fillId="6" borderId="0" xfId="0" applyFont="1" applyFill="1" applyAlignment="1">
      <alignment vertical="center" textRotation="90" wrapText="1"/>
    </xf>
    <xf numFmtId="0" fontId="12" fillId="6" borderId="13" xfId="0" applyFont="1" applyFill="1" applyBorder="1" applyAlignment="1">
      <alignment vertical="center" textRotation="90" wrapText="1"/>
    </xf>
    <xf numFmtId="4" fontId="12" fillId="6" borderId="1" xfId="0" applyNumberFormat="1" applyFont="1" applyFill="1" applyBorder="1" applyAlignment="1">
      <alignment vertical="center" wrapText="1"/>
    </xf>
    <xf numFmtId="1" fontId="12" fillId="6" borderId="9" xfId="13" applyNumberFormat="1" applyFont="1" applyFill="1" applyBorder="1" applyAlignment="1">
      <alignment horizontal="center" vertical="center" wrapText="1"/>
    </xf>
    <xf numFmtId="0" fontId="12" fillId="6" borderId="9" xfId="0" applyFont="1" applyFill="1" applyBorder="1" applyAlignment="1">
      <alignment horizontal="justify" vertical="center" wrapText="1"/>
    </xf>
    <xf numFmtId="0" fontId="12" fillId="6" borderId="0" xfId="0" applyFont="1" applyFill="1"/>
    <xf numFmtId="0" fontId="12" fillId="6" borderId="14" xfId="0" applyFont="1" applyFill="1" applyBorder="1" applyAlignment="1">
      <alignment vertical="center" wrapText="1"/>
    </xf>
    <xf numFmtId="4" fontId="12" fillId="6" borderId="8" xfId="0" applyNumberFormat="1" applyFont="1" applyFill="1" applyBorder="1" applyAlignment="1">
      <alignment vertical="center" wrapText="1"/>
    </xf>
    <xf numFmtId="0" fontId="12" fillId="6" borderId="14" xfId="0" applyFont="1" applyFill="1" applyBorder="1" applyAlignment="1">
      <alignment horizontal="justify" vertical="center" wrapText="1"/>
    </xf>
    <xf numFmtId="41" fontId="14" fillId="6" borderId="9" xfId="3" applyNumberFormat="1" applyFont="1" applyFill="1" applyBorder="1" applyAlignment="1">
      <alignment horizontal="right" vertical="center" wrapText="1"/>
    </xf>
    <xf numFmtId="1" fontId="12" fillId="6" borderId="9" xfId="0" applyNumberFormat="1" applyFont="1" applyFill="1" applyBorder="1" applyAlignment="1">
      <alignment horizontal="center" vertical="center" wrapText="1"/>
    </xf>
    <xf numFmtId="3" fontId="12" fillId="6" borderId="9" xfId="0" applyNumberFormat="1" applyFont="1" applyFill="1" applyBorder="1" applyAlignment="1">
      <alignment horizontal="center" vertical="center" wrapText="1"/>
    </xf>
    <xf numFmtId="41" fontId="14" fillId="6" borderId="1" xfId="3" applyNumberFormat="1" applyFont="1" applyFill="1" applyBorder="1" applyAlignment="1">
      <alignment horizontal="right" vertical="center" wrapText="1"/>
    </xf>
    <xf numFmtId="1" fontId="12" fillId="6" borderId="14" xfId="0" applyNumberFormat="1" applyFont="1" applyFill="1" applyBorder="1" applyAlignment="1">
      <alignment horizontal="center" vertical="center" wrapText="1"/>
    </xf>
    <xf numFmtId="3" fontId="12" fillId="6" borderId="10" xfId="0" applyNumberFormat="1" applyFont="1" applyFill="1" applyBorder="1" applyAlignment="1">
      <alignment horizontal="center" vertical="center" wrapText="1"/>
    </xf>
    <xf numFmtId="0" fontId="12" fillId="6" borderId="14" xfId="0" applyFont="1" applyFill="1" applyBorder="1" applyAlignment="1">
      <alignment horizontal="center" vertical="center"/>
    </xf>
    <xf numFmtId="0" fontId="12" fillId="6" borderId="14" xfId="0" applyFont="1" applyFill="1" applyBorder="1" applyAlignment="1">
      <alignment horizontal="justify" vertical="center"/>
    </xf>
    <xf numFmtId="0" fontId="12" fillId="0" borderId="19" xfId="0" applyFont="1" applyBorder="1" applyAlignment="1">
      <alignment horizontal="justify" vertical="center" wrapText="1"/>
    </xf>
    <xf numFmtId="1" fontId="12" fillId="6" borderId="10" xfId="0" applyNumberFormat="1" applyFont="1" applyFill="1" applyBorder="1" applyAlignment="1">
      <alignment horizontal="center" vertical="center" wrapText="1"/>
    </xf>
    <xf numFmtId="0" fontId="12" fillId="6" borderId="10" xfId="0" applyFont="1" applyFill="1" applyBorder="1" applyAlignment="1">
      <alignment horizontal="justify" vertical="center" wrapText="1"/>
    </xf>
    <xf numFmtId="1" fontId="12" fillId="6" borderId="12" xfId="0" applyNumberFormat="1" applyFont="1" applyFill="1" applyBorder="1" applyAlignment="1">
      <alignment horizontal="center" vertical="center" wrapText="1"/>
    </xf>
    <xf numFmtId="0" fontId="12" fillId="6" borderId="18" xfId="0" applyFont="1" applyFill="1" applyBorder="1" applyAlignment="1">
      <alignment horizontal="center" vertical="center"/>
    </xf>
    <xf numFmtId="0" fontId="12" fillId="6" borderId="19" xfId="0" applyFont="1" applyFill="1" applyBorder="1" applyAlignment="1">
      <alignment horizontal="justify" vertical="center" wrapText="1"/>
    </xf>
    <xf numFmtId="0" fontId="12" fillId="0" borderId="0" xfId="0" applyFont="1"/>
    <xf numFmtId="3" fontId="12" fillId="6" borderId="19" xfId="0" applyNumberFormat="1" applyFont="1" applyFill="1" applyBorder="1" applyAlignment="1">
      <alignment horizontal="center" vertical="center" wrapText="1"/>
    </xf>
    <xf numFmtId="0" fontId="24" fillId="8" borderId="1" xfId="0" applyFont="1" applyFill="1" applyBorder="1" applyAlignment="1">
      <alignment horizontal="center" vertical="center" wrapText="1"/>
    </xf>
    <xf numFmtId="0" fontId="12" fillId="8" borderId="7" xfId="0" applyFont="1" applyFill="1" applyBorder="1" applyAlignment="1">
      <alignment horizontal="justify" vertical="center" wrapText="1"/>
    </xf>
    <xf numFmtId="0" fontId="14" fillId="8" borderId="7" xfId="0" applyFont="1" applyFill="1" applyBorder="1" applyAlignment="1">
      <alignment vertical="center" wrapText="1"/>
    </xf>
    <xf numFmtId="0" fontId="12" fillId="8" borderId="7" xfId="0" applyFont="1" applyFill="1" applyBorder="1" applyAlignment="1">
      <alignment vertical="center" wrapText="1"/>
    </xf>
    <xf numFmtId="4" fontId="12" fillId="8" borderId="7" xfId="0" applyNumberFormat="1" applyFont="1" applyFill="1" applyBorder="1" applyAlignment="1">
      <alignment horizontal="right" vertical="center" wrapText="1"/>
    </xf>
    <xf numFmtId="4" fontId="12" fillId="8" borderId="2" xfId="0" applyNumberFormat="1" applyFont="1" applyFill="1" applyBorder="1" applyAlignment="1">
      <alignment horizontal="right" vertical="center" wrapText="1"/>
    </xf>
    <xf numFmtId="1" fontId="12" fillId="8" borderId="2" xfId="0" applyNumberFormat="1" applyFont="1" applyFill="1" applyBorder="1" applyAlignment="1">
      <alignment horizontal="center" vertical="center" wrapText="1"/>
    </xf>
    <xf numFmtId="0" fontId="12" fillId="8" borderId="2" xfId="0" applyFont="1" applyFill="1" applyBorder="1" applyAlignment="1">
      <alignment horizontal="justify" vertical="center" wrapText="1"/>
    </xf>
    <xf numFmtId="0" fontId="12" fillId="8" borderId="1" xfId="0" applyFont="1" applyFill="1" applyBorder="1" applyAlignment="1">
      <alignment vertical="center" wrapText="1"/>
    </xf>
    <xf numFmtId="0" fontId="12" fillId="6" borderId="13" xfId="0" applyFont="1" applyFill="1" applyBorder="1" applyAlignment="1">
      <alignment vertical="center" wrapText="1"/>
    </xf>
    <xf numFmtId="0" fontId="12" fillId="6" borderId="1" xfId="0" applyFont="1" applyFill="1" applyBorder="1" applyAlignment="1">
      <alignment horizontal="justify" vertical="center" wrapText="1"/>
    </xf>
    <xf numFmtId="4" fontId="12" fillId="6" borderId="1" xfId="0" applyNumberFormat="1" applyFont="1" applyFill="1" applyBorder="1" applyAlignment="1">
      <alignment horizontal="right" vertical="center" wrapText="1"/>
    </xf>
    <xf numFmtId="1" fontId="12" fillId="6" borderId="1" xfId="0" applyNumberFormat="1" applyFont="1" applyFill="1" applyBorder="1" applyAlignment="1">
      <alignment horizontal="center" vertical="center" wrapText="1"/>
    </xf>
    <xf numFmtId="1" fontId="12" fillId="8" borderId="7" xfId="0" applyNumberFormat="1" applyFont="1" applyFill="1" applyBorder="1" applyAlignment="1">
      <alignment horizontal="center" vertical="center" wrapText="1"/>
    </xf>
    <xf numFmtId="4" fontId="12" fillId="6" borderId="19" xfId="0" applyNumberFormat="1" applyFont="1" applyFill="1" applyBorder="1" applyAlignment="1">
      <alignment horizontal="right" vertical="center" wrapText="1"/>
    </xf>
    <xf numFmtId="0" fontId="24" fillId="6" borderId="9"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12" xfId="0" applyFont="1" applyFill="1" applyBorder="1"/>
    <xf numFmtId="0" fontId="24" fillId="16" borderId="12" xfId="0" applyFont="1" applyFill="1" applyBorder="1" applyAlignment="1">
      <alignment horizontal="center" vertical="center" wrapText="1"/>
    </xf>
    <xf numFmtId="0" fontId="24" fillId="16" borderId="7" xfId="0" applyFont="1" applyFill="1" applyBorder="1" applyAlignment="1">
      <alignment horizontal="justify" vertical="center" wrapText="1"/>
    </xf>
    <xf numFmtId="0" fontId="15" fillId="16" borderId="7" xfId="0" applyFont="1" applyFill="1" applyBorder="1" applyAlignment="1">
      <alignment vertical="center" wrapText="1"/>
    </xf>
    <xf numFmtId="0" fontId="24" fillId="16" borderId="7" xfId="0" applyFont="1" applyFill="1" applyBorder="1" applyAlignment="1">
      <alignment vertical="center" wrapText="1"/>
    </xf>
    <xf numFmtId="4" fontId="24" fillId="16" borderId="7" xfId="0" applyNumberFormat="1" applyFont="1" applyFill="1" applyBorder="1" applyAlignment="1">
      <alignment horizontal="right" vertical="center" wrapText="1"/>
    </xf>
    <xf numFmtId="1" fontId="24" fillId="16" borderId="7" xfId="0" applyNumberFormat="1" applyFont="1" applyFill="1" applyBorder="1" applyAlignment="1">
      <alignment horizontal="center" vertical="center" wrapText="1"/>
    </xf>
    <xf numFmtId="0" fontId="24" fillId="16" borderId="1" xfId="0" applyFont="1" applyFill="1" applyBorder="1" applyAlignment="1">
      <alignment vertical="center" wrapText="1"/>
    </xf>
    <xf numFmtId="0" fontId="24" fillId="6" borderId="10" xfId="0" applyFont="1" applyFill="1" applyBorder="1" applyAlignment="1">
      <alignment horizontal="center" vertical="center" wrapText="1"/>
    </xf>
    <xf numFmtId="0" fontId="24" fillId="6" borderId="0" xfId="0" applyFont="1" applyFill="1" applyAlignment="1">
      <alignment horizontal="center" vertical="center" wrapText="1"/>
    </xf>
    <xf numFmtId="0" fontId="24" fillId="6" borderId="4" xfId="0" applyFont="1" applyFill="1" applyBorder="1"/>
    <xf numFmtId="0" fontId="15" fillId="8" borderId="7" xfId="0" applyFont="1" applyFill="1" applyBorder="1" applyAlignment="1">
      <alignment vertical="center" wrapText="1"/>
    </xf>
    <xf numFmtId="0" fontId="24" fillId="8" borderId="7" xfId="0" applyFont="1" applyFill="1" applyBorder="1" applyAlignment="1">
      <alignment horizontal="justify" vertical="center" wrapText="1"/>
    </xf>
    <xf numFmtId="0" fontId="24" fillId="8" borderId="7" xfId="0" applyFont="1" applyFill="1" applyBorder="1" applyAlignment="1">
      <alignment vertical="center" wrapText="1"/>
    </xf>
    <xf numFmtId="4" fontId="24" fillId="8" borderId="7" xfId="0" applyNumberFormat="1" applyFont="1" applyFill="1" applyBorder="1" applyAlignment="1">
      <alignment horizontal="right" vertical="center" wrapText="1"/>
    </xf>
    <xf numFmtId="1" fontId="24" fillId="8" borderId="7" xfId="0" applyNumberFormat="1" applyFont="1" applyFill="1" applyBorder="1" applyAlignment="1">
      <alignment horizontal="center" vertical="center" wrapText="1"/>
    </xf>
    <xf numFmtId="0" fontId="24" fillId="8" borderId="1" xfId="0" applyFont="1" applyFill="1" applyBorder="1" applyAlignment="1">
      <alignment vertical="center" wrapText="1"/>
    </xf>
    <xf numFmtId="4" fontId="12" fillId="6" borderId="9" xfId="0" applyNumberFormat="1" applyFont="1" applyFill="1" applyBorder="1" applyAlignment="1">
      <alignment horizontal="right" vertical="center" wrapText="1"/>
    </xf>
    <xf numFmtId="41" fontId="12" fillId="6" borderId="16" xfId="0" applyNumberFormat="1" applyFont="1" applyFill="1" applyBorder="1" applyAlignment="1">
      <alignment horizontal="right" vertical="center"/>
    </xf>
    <xf numFmtId="0" fontId="12" fillId="0" borderId="14" xfId="0" applyFont="1" applyBorder="1" applyAlignment="1">
      <alignment horizontal="center" vertical="center"/>
    </xf>
    <xf numFmtId="0" fontId="12" fillId="6" borderId="6" xfId="0" applyFont="1" applyFill="1" applyBorder="1" applyAlignment="1">
      <alignment horizontal="justify" vertical="center" wrapText="1"/>
    </xf>
    <xf numFmtId="4" fontId="12" fillId="6" borderId="14" xfId="0" applyNumberFormat="1" applyFont="1" applyFill="1" applyBorder="1" applyAlignment="1">
      <alignment horizontal="right" vertical="center" wrapText="1"/>
    </xf>
    <xf numFmtId="1" fontId="12" fillId="6" borderId="20" xfId="0" applyNumberFormat="1" applyFont="1" applyFill="1" applyBorder="1" applyAlignment="1">
      <alignment horizontal="center" vertical="center" wrapText="1"/>
    </xf>
    <xf numFmtId="0" fontId="12" fillId="6" borderId="3" xfId="0" applyFont="1" applyFill="1" applyBorder="1" applyAlignment="1">
      <alignment vertical="center" wrapText="1"/>
    </xf>
    <xf numFmtId="4" fontId="12" fillId="6" borderId="10" xfId="0" applyNumberFormat="1" applyFont="1" applyFill="1" applyBorder="1" applyAlignment="1">
      <alignment horizontal="right" vertical="center" wrapText="1"/>
    </xf>
    <xf numFmtId="0" fontId="12" fillId="6" borderId="10" xfId="0" applyFont="1" applyFill="1" applyBorder="1" applyAlignment="1">
      <alignment horizontal="center" vertical="center" wrapText="1"/>
    </xf>
    <xf numFmtId="0" fontId="12" fillId="6" borderId="0" xfId="0" applyFont="1" applyFill="1" applyAlignment="1">
      <alignment horizontal="center" vertical="center" wrapText="1"/>
    </xf>
    <xf numFmtId="4" fontId="12" fillId="8" borderId="7" xfId="0" applyNumberFormat="1" applyFont="1" applyFill="1" applyBorder="1" applyAlignment="1">
      <alignment horizontal="justify" vertical="center" wrapText="1"/>
    </xf>
    <xf numFmtId="43" fontId="12" fillId="6" borderId="14" xfId="1" applyFont="1" applyFill="1" applyBorder="1" applyAlignment="1">
      <alignment vertical="center"/>
    </xf>
    <xf numFmtId="0" fontId="12" fillId="0" borderId="14" xfId="0" applyFont="1" applyBorder="1" applyAlignment="1">
      <alignment horizontal="justify" vertical="center" wrapText="1"/>
    </xf>
    <xf numFmtId="1" fontId="12" fillId="6" borderId="19" xfId="0" applyNumberFormat="1" applyFont="1" applyFill="1" applyBorder="1" applyAlignment="1">
      <alignment horizontal="center" vertical="center" wrapText="1"/>
    </xf>
    <xf numFmtId="0" fontId="12" fillId="6" borderId="0" xfId="0" applyFont="1" applyFill="1" applyBorder="1" applyAlignment="1">
      <alignment vertical="center" textRotation="90"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172" fontId="12" fillId="0" borderId="29" xfId="0" applyNumberFormat="1" applyFont="1" applyBorder="1" applyAlignment="1">
      <alignment horizontal="center" vertical="center" wrapText="1"/>
    </xf>
    <xf numFmtId="0" fontId="12" fillId="0" borderId="29" xfId="0" applyFont="1" applyBorder="1" applyAlignment="1">
      <alignment horizontal="justify" vertical="center" wrapText="1"/>
    </xf>
    <xf numFmtId="0" fontId="12" fillId="0" borderId="29" xfId="0" applyFont="1" applyBorder="1" applyAlignment="1">
      <alignment vertical="center" wrapText="1"/>
    </xf>
    <xf numFmtId="0" fontId="12" fillId="0" borderId="29" xfId="0" applyFont="1" applyBorder="1"/>
    <xf numFmtId="10" fontId="12" fillId="0" borderId="29" xfId="0" applyNumberFormat="1" applyFont="1" applyBorder="1" applyAlignment="1">
      <alignment horizontal="center" vertical="center" wrapText="1"/>
    </xf>
    <xf numFmtId="4" fontId="24" fillId="0" borderId="31" xfId="0" applyNumberFormat="1" applyFont="1" applyBorder="1" applyAlignment="1">
      <alignment horizontal="right" vertical="center" wrapText="1"/>
    </xf>
    <xf numFmtId="1" fontId="12" fillId="0" borderId="29" xfId="0" applyNumberFormat="1" applyFont="1" applyBorder="1" applyAlignment="1">
      <alignment horizontal="center" vertical="center" wrapText="1"/>
    </xf>
    <xf numFmtId="0" fontId="12" fillId="0" borderId="29" xfId="0" applyFont="1" applyBorder="1" applyAlignment="1">
      <alignment horizontal="center" vertical="center" textRotation="180" wrapText="1"/>
    </xf>
    <xf numFmtId="49" fontId="12" fillId="0" borderId="29" xfId="0" applyNumberFormat="1" applyFont="1" applyBorder="1" applyAlignment="1">
      <alignment horizontal="center" vertical="center" textRotation="180" wrapText="1"/>
    </xf>
    <xf numFmtId="165" fontId="12" fillId="0" borderId="29" xfId="0" applyNumberFormat="1" applyFont="1" applyBorder="1" applyAlignment="1">
      <alignment horizontal="center" vertical="center" wrapText="1"/>
    </xf>
    <xf numFmtId="3" fontId="12" fillId="0" borderId="30" xfId="0" applyNumberFormat="1" applyFont="1" applyBorder="1" applyAlignment="1">
      <alignment horizontal="left" vertical="center" wrapText="1"/>
    </xf>
    <xf numFmtId="1" fontId="12" fillId="0" borderId="0" xfId="0" applyNumberFormat="1" applyFont="1"/>
    <xf numFmtId="0" fontId="12" fillId="6" borderId="0" xfId="0" applyFont="1" applyFill="1" applyAlignment="1">
      <alignment horizontal="justify" vertical="center"/>
    </xf>
    <xf numFmtId="0" fontId="12" fillId="6" borderId="0" xfId="0" applyFont="1" applyFill="1" applyAlignment="1">
      <alignment horizontal="center"/>
    </xf>
    <xf numFmtId="169" fontId="12" fillId="6" borderId="0" xfId="0" applyNumberFormat="1" applyFont="1" applyFill="1" applyAlignment="1">
      <alignment horizontal="center" vertical="center"/>
    </xf>
    <xf numFmtId="168" fontId="12" fillId="6" borderId="0" xfId="0" applyNumberFormat="1" applyFont="1" applyFill="1" applyAlignment="1">
      <alignment vertical="center"/>
    </xf>
    <xf numFmtId="168" fontId="12" fillId="6" borderId="0" xfId="0" applyNumberFormat="1" applyFont="1" applyFill="1" applyAlignment="1">
      <alignment horizontal="center" vertical="center"/>
    </xf>
    <xf numFmtId="1" fontId="12" fillId="6" borderId="0" xfId="0" applyNumberFormat="1" applyFont="1" applyFill="1" applyAlignment="1">
      <alignment horizontal="center" vertical="center"/>
    </xf>
    <xf numFmtId="167" fontId="12" fillId="0" borderId="0" xfId="0" applyNumberFormat="1" applyFont="1" applyAlignment="1">
      <alignment horizontal="right" vertical="center"/>
    </xf>
    <xf numFmtId="167" fontId="12" fillId="0" borderId="0" xfId="0" applyNumberFormat="1" applyFont="1" applyAlignment="1">
      <alignment horizontal="center"/>
    </xf>
    <xf numFmtId="0" fontId="12" fillId="0" borderId="0" xfId="0" applyFont="1" applyAlignment="1">
      <alignment horizontal="justify" vertical="center"/>
    </xf>
    <xf numFmtId="0" fontId="23" fillId="0" borderId="0" xfId="0" applyFont="1"/>
    <xf numFmtId="0" fontId="0" fillId="0" borderId="0" xfId="0" applyAlignment="1">
      <alignment horizontal="justify"/>
    </xf>
    <xf numFmtId="2" fontId="4" fillId="0" borderId="0" xfId="0" applyNumberFormat="1" applyFont="1" applyAlignment="1">
      <alignment horizontal="right"/>
    </xf>
    <xf numFmtId="173" fontId="4" fillId="0" borderId="0" xfId="0" applyNumberFormat="1" applyFont="1" applyAlignment="1">
      <alignment horizontal="right"/>
    </xf>
    <xf numFmtId="0" fontId="4" fillId="0" borderId="0" xfId="0" applyFont="1" applyAlignment="1">
      <alignment vertical="center"/>
    </xf>
    <xf numFmtId="0" fontId="6" fillId="5" borderId="7" xfId="0" applyFont="1" applyFill="1" applyBorder="1" applyAlignment="1">
      <alignment horizontal="left" vertical="center"/>
    </xf>
    <xf numFmtId="0" fontId="4" fillId="0" borderId="14" xfId="0" applyFont="1" applyFill="1" applyBorder="1" applyAlignment="1">
      <alignment horizontal="center" vertical="center" wrapText="1"/>
    </xf>
    <xf numFmtId="0" fontId="24" fillId="0" borderId="54" xfId="0" applyFont="1" applyBorder="1" applyAlignment="1">
      <alignment vertical="center"/>
    </xf>
    <xf numFmtId="0" fontId="24" fillId="0" borderId="55" xfId="0" applyFont="1" applyBorder="1" applyAlignment="1">
      <alignment vertical="center"/>
    </xf>
    <xf numFmtId="0" fontId="24" fillId="0" borderId="1" xfId="0" applyFont="1" applyBorder="1" applyAlignment="1">
      <alignment horizontal="left" vertical="center"/>
    </xf>
    <xf numFmtId="164" fontId="24" fillId="0" borderId="50" xfId="0" applyNumberFormat="1" applyFont="1" applyBorder="1" applyAlignment="1">
      <alignment horizontal="left" vertical="center"/>
    </xf>
    <xf numFmtId="0" fontId="24" fillId="0" borderId="1" xfId="0" applyFont="1" applyBorder="1" applyAlignment="1">
      <alignment vertical="center"/>
    </xf>
    <xf numFmtId="17" fontId="24" fillId="0" borderId="50" xfId="0" applyNumberFormat="1" applyFont="1" applyBorder="1" applyAlignment="1">
      <alignment horizontal="left" vertical="center"/>
    </xf>
    <xf numFmtId="3" fontId="25" fillId="2" borderId="50" xfId="0" applyNumberFormat="1" applyFont="1" applyFill="1" applyBorder="1" applyAlignment="1">
      <alignment horizontal="left" vertical="center" wrapText="1"/>
    </xf>
    <xf numFmtId="0" fontId="12" fillId="0" borderId="0" xfId="0" applyFont="1" applyAlignment="1">
      <alignment wrapText="1"/>
    </xf>
    <xf numFmtId="1" fontId="6" fillId="5" borderId="63" xfId="0" applyNumberFormat="1" applyFont="1" applyFill="1" applyBorder="1" applyAlignment="1">
      <alignment horizontal="center" vertical="center" wrapText="1"/>
    </xf>
    <xf numFmtId="0" fontId="4" fillId="5" borderId="1" xfId="0" applyFont="1" applyFill="1" applyBorder="1"/>
    <xf numFmtId="0" fontId="4" fillId="5" borderId="50" xfId="0" applyFont="1" applyFill="1" applyBorder="1"/>
    <xf numFmtId="1" fontId="6" fillId="7" borderId="7" xfId="0" applyNumberFormat="1" applyFont="1" applyFill="1" applyBorder="1" applyAlignment="1">
      <alignment horizontal="center" vertical="center"/>
    </xf>
    <xf numFmtId="0" fontId="4" fillId="7" borderId="1" xfId="0" applyFont="1" applyFill="1" applyBorder="1"/>
    <xf numFmtId="0" fontId="4" fillId="7" borderId="50" xfId="0" applyFont="1" applyFill="1" applyBorder="1"/>
    <xf numFmtId="1" fontId="6" fillId="8" borderId="1" xfId="0" applyNumberFormat="1" applyFont="1" applyFill="1" applyBorder="1" applyAlignment="1">
      <alignment horizontal="left" vertical="center" wrapText="1" indent="1"/>
    </xf>
    <xf numFmtId="0" fontId="4" fillId="8" borderId="1" xfId="0" applyFont="1" applyFill="1" applyBorder="1"/>
    <xf numFmtId="0" fontId="4" fillId="8" borderId="50" xfId="0" applyFont="1" applyFill="1" applyBorder="1"/>
    <xf numFmtId="0" fontId="4" fillId="6" borderId="9" xfId="0" applyFont="1" applyFill="1" applyBorder="1" applyAlignment="1">
      <alignment horizontal="center" vertical="center" wrapText="1"/>
    </xf>
    <xf numFmtId="1" fontId="4" fillId="6" borderId="9" xfId="0" applyNumberFormat="1" applyFont="1" applyFill="1" applyBorder="1" applyAlignment="1">
      <alignment horizontal="center" vertical="center" wrapText="1"/>
    </xf>
    <xf numFmtId="0" fontId="4" fillId="6" borderId="10" xfId="0" applyFont="1" applyFill="1" applyBorder="1" applyAlignment="1">
      <alignment horizontal="center" vertical="center" wrapText="1"/>
    </xf>
    <xf numFmtId="1" fontId="4" fillId="6" borderId="10" xfId="0" applyNumberFormat="1" applyFont="1" applyFill="1" applyBorder="1" applyAlignment="1">
      <alignment vertical="center" wrapText="1"/>
    </xf>
    <xf numFmtId="1" fontId="4" fillId="6" borderId="9" xfId="0" applyNumberFormat="1" applyFont="1" applyFill="1" applyBorder="1" applyAlignment="1">
      <alignment horizontal="center" vertical="center" wrapText="1"/>
    </xf>
    <xf numFmtId="1" fontId="4" fillId="6" borderId="19" xfId="0" applyNumberFormat="1" applyFont="1" applyFill="1" applyBorder="1" applyAlignment="1">
      <alignment horizontal="center" vertical="center" wrapText="1"/>
    </xf>
    <xf numFmtId="0" fontId="4" fillId="6" borderId="19" xfId="0" applyFont="1" applyFill="1" applyBorder="1" applyAlignment="1">
      <alignment horizontal="center" vertical="center" wrapText="1"/>
    </xf>
    <xf numFmtId="0" fontId="7" fillId="0" borderId="29" xfId="0" applyFont="1" applyBorder="1" applyAlignment="1">
      <alignment vertical="center"/>
    </xf>
    <xf numFmtId="43" fontId="7" fillId="0" borderId="30" xfId="3" applyFont="1" applyBorder="1" applyAlignment="1">
      <alignment vertical="center"/>
    </xf>
    <xf numFmtId="168" fontId="7" fillId="0" borderId="28" xfId="0" applyNumberFormat="1" applyFont="1" applyBorder="1" applyAlignment="1">
      <alignment vertical="center"/>
    </xf>
    <xf numFmtId="0" fontId="24" fillId="0" borderId="0" xfId="0" applyFont="1" applyAlignment="1">
      <alignment vertical="center"/>
    </xf>
    <xf numFmtId="43" fontId="12" fillId="0" borderId="0" xfId="3" applyFont="1"/>
    <xf numFmtId="168" fontId="12" fillId="0" borderId="0" xfId="0" applyNumberFormat="1" applyFont="1"/>
    <xf numFmtId="0" fontId="12" fillId="0" borderId="4" xfId="0" applyFont="1" applyBorder="1"/>
    <xf numFmtId="0" fontId="19"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9" xfId="0" applyFont="1" applyBorder="1" applyAlignment="1">
      <alignment horizontal="justify" vertical="center" wrapText="1"/>
    </xf>
    <xf numFmtId="0" fontId="6" fillId="5" borderId="7" xfId="0" applyFont="1" applyFill="1" applyBorder="1" applyAlignment="1">
      <alignment horizontal="left" vertical="center"/>
    </xf>
    <xf numFmtId="0" fontId="6" fillId="0" borderId="2" xfId="0" applyFont="1" applyBorder="1" applyAlignment="1">
      <alignment horizontal="center" vertical="center"/>
    </xf>
    <xf numFmtId="0" fontId="26" fillId="0" borderId="55" xfId="0" applyFont="1" applyBorder="1"/>
    <xf numFmtId="164" fontId="26" fillId="0" borderId="50" xfId="0" applyNumberFormat="1" applyFont="1" applyBorder="1" applyAlignment="1">
      <alignment horizontal="left"/>
    </xf>
    <xf numFmtId="17" fontId="26" fillId="0" borderId="50" xfId="0" applyNumberFormat="1" applyFont="1" applyBorder="1" applyAlignment="1">
      <alignment horizontal="left"/>
    </xf>
    <xf numFmtId="3" fontId="26" fillId="2" borderId="50" xfId="0" applyNumberFormat="1" applyFont="1" applyFill="1" applyBorder="1" applyAlignment="1">
      <alignment horizontal="left" vertical="center" wrapText="1"/>
    </xf>
    <xf numFmtId="0" fontId="6" fillId="0" borderId="5" xfId="0" applyFont="1" applyBorder="1" applyAlignment="1">
      <alignment vertical="center"/>
    </xf>
    <xf numFmtId="0" fontId="4" fillId="0" borderId="2" xfId="0" applyFont="1" applyBorder="1" applyAlignment="1">
      <alignment vertical="center"/>
    </xf>
    <xf numFmtId="0" fontId="6" fillId="0" borderId="2" xfId="0" applyFont="1" applyBorder="1" applyAlignment="1">
      <alignment horizontal="justify" vertical="center"/>
    </xf>
    <xf numFmtId="0" fontId="6" fillId="0" borderId="2" xfId="0" applyFont="1" applyBorder="1" applyAlignment="1">
      <alignment vertical="center"/>
    </xf>
    <xf numFmtId="43" fontId="4" fillId="0" borderId="2" xfId="1" applyFont="1" applyBorder="1" applyAlignment="1">
      <alignment vertical="center"/>
    </xf>
    <xf numFmtId="166" fontId="6" fillId="0" borderId="2" xfId="1" applyNumberFormat="1" applyFont="1" applyBorder="1" applyAlignment="1">
      <alignment horizontal="center" vertical="center"/>
    </xf>
    <xf numFmtId="14" fontId="6" fillId="0" borderId="2" xfId="0" applyNumberFormat="1" applyFont="1" applyBorder="1" applyAlignment="1">
      <alignment vertical="center"/>
    </xf>
    <xf numFmtId="0" fontId="4" fillId="0" borderId="59" xfId="0" applyFont="1" applyBorder="1" applyAlignment="1">
      <alignment vertical="center"/>
    </xf>
    <xf numFmtId="0" fontId="7" fillId="3" borderId="6" xfId="0" applyFont="1" applyFill="1" applyBorder="1" applyAlignment="1">
      <alignment horizontal="center" vertical="center" textRotation="90" wrapText="1"/>
    </xf>
    <xf numFmtId="1" fontId="6" fillId="5" borderId="69" xfId="0" applyNumberFormat="1" applyFont="1" applyFill="1" applyBorder="1" applyAlignment="1">
      <alignment horizontal="center" vertical="center" wrapText="1"/>
    </xf>
    <xf numFmtId="0" fontId="4" fillId="5" borderId="7" xfId="0" applyFont="1" applyFill="1" applyBorder="1" applyAlignment="1">
      <alignment horizontal="center" vertical="center"/>
    </xf>
    <xf numFmtId="169" fontId="6" fillId="5" borderId="7" xfId="0" applyNumberFormat="1" applyFont="1" applyFill="1" applyBorder="1" applyAlignment="1">
      <alignment horizontal="center" vertical="center"/>
    </xf>
    <xf numFmtId="43" fontId="4" fillId="5" borderId="7" xfId="1" applyFont="1" applyFill="1" applyBorder="1" applyAlignment="1">
      <alignment vertical="center"/>
    </xf>
    <xf numFmtId="166" fontId="4" fillId="5" borderId="7" xfId="1" applyNumberFormat="1" applyFont="1" applyFill="1" applyBorder="1" applyAlignment="1">
      <alignment vertical="center"/>
    </xf>
    <xf numFmtId="166" fontId="6" fillId="5" borderId="7" xfId="1" applyNumberFormat="1" applyFont="1" applyFill="1" applyBorder="1" applyAlignment="1">
      <alignment vertical="center"/>
    </xf>
    <xf numFmtId="14" fontId="6" fillId="5" borderId="7" xfId="0" applyNumberFormat="1" applyFont="1" applyFill="1" applyBorder="1" applyAlignment="1">
      <alignment vertical="center"/>
    </xf>
    <xf numFmtId="0" fontId="4" fillId="5" borderId="64" xfId="0" applyFont="1" applyFill="1" applyBorder="1" applyAlignment="1">
      <alignment horizontal="justify" vertical="center"/>
    </xf>
    <xf numFmtId="1" fontId="6" fillId="7" borderId="8" xfId="0" applyNumberFormat="1" applyFont="1" applyFill="1" applyBorder="1" applyAlignment="1">
      <alignment horizontal="center" vertical="center"/>
    </xf>
    <xf numFmtId="0" fontId="4" fillId="7" borderId="2" xfId="0" applyFont="1" applyFill="1" applyBorder="1" applyAlignment="1">
      <alignment horizontal="center" vertical="center"/>
    </xf>
    <xf numFmtId="169" fontId="6" fillId="7" borderId="2" xfId="0" applyNumberFormat="1" applyFont="1" applyFill="1" applyBorder="1" applyAlignment="1">
      <alignment horizontal="center" vertical="center"/>
    </xf>
    <xf numFmtId="43" fontId="4" fillId="7" borderId="2" xfId="1" applyFont="1" applyFill="1" applyBorder="1" applyAlignment="1">
      <alignment vertical="center"/>
    </xf>
    <xf numFmtId="166" fontId="4" fillId="7" borderId="2" xfId="1" applyNumberFormat="1" applyFont="1" applyFill="1" applyBorder="1" applyAlignment="1">
      <alignment vertical="center"/>
    </xf>
    <xf numFmtId="166" fontId="6" fillId="7" borderId="2" xfId="1" applyNumberFormat="1" applyFont="1" applyFill="1" applyBorder="1" applyAlignment="1">
      <alignment vertical="center"/>
    </xf>
    <xf numFmtId="14" fontId="6" fillId="7" borderId="2" xfId="0" applyNumberFormat="1" applyFont="1" applyFill="1" applyBorder="1" applyAlignment="1">
      <alignment vertical="center"/>
    </xf>
    <xf numFmtId="0" fontId="4" fillId="7" borderId="59" xfId="0" applyFont="1" applyFill="1" applyBorder="1" applyAlignment="1">
      <alignment horizontal="justify" vertical="center"/>
    </xf>
    <xf numFmtId="1" fontId="6" fillId="6" borderId="56" xfId="0" applyNumberFormat="1" applyFont="1" applyFill="1" applyBorder="1" applyAlignment="1">
      <alignment horizontal="center" vertical="center" wrapText="1"/>
    </xf>
    <xf numFmtId="0" fontId="6" fillId="8" borderId="4" xfId="0" applyFont="1" applyFill="1" applyBorder="1" applyAlignment="1">
      <alignment vertical="center"/>
    </xf>
    <xf numFmtId="169" fontId="6" fillId="8" borderId="7" xfId="0" applyNumberFormat="1" applyFont="1" applyFill="1" applyBorder="1" applyAlignment="1">
      <alignment horizontal="center" vertical="center"/>
    </xf>
    <xf numFmtId="43" fontId="4" fillId="8" borderId="7" xfId="1" applyFont="1" applyFill="1" applyBorder="1" applyAlignment="1">
      <alignment vertical="center"/>
    </xf>
    <xf numFmtId="166" fontId="4" fillId="8" borderId="7" xfId="1" applyNumberFormat="1" applyFont="1" applyFill="1" applyBorder="1" applyAlignment="1">
      <alignment vertical="center"/>
    </xf>
    <xf numFmtId="166" fontId="6" fillId="8" borderId="7" xfId="1" applyNumberFormat="1" applyFont="1" applyFill="1" applyBorder="1" applyAlignment="1">
      <alignment vertical="center"/>
    </xf>
    <xf numFmtId="14" fontId="6" fillId="8" borderId="7" xfId="0" applyNumberFormat="1" applyFont="1" applyFill="1" applyBorder="1" applyAlignment="1">
      <alignment vertical="center"/>
    </xf>
    <xf numFmtId="0" fontId="4" fillId="8" borderId="64" xfId="0" applyFont="1" applyFill="1" applyBorder="1" applyAlignment="1">
      <alignment horizontal="justify" vertical="center"/>
    </xf>
    <xf numFmtId="0" fontId="6" fillId="6" borderId="0" xfId="0" applyFont="1" applyFill="1" applyAlignment="1">
      <alignment horizontal="center" vertical="center" wrapText="1"/>
    </xf>
    <xf numFmtId="43" fontId="4" fillId="0" borderId="1" xfId="1" applyFont="1" applyFill="1" applyBorder="1" applyAlignment="1">
      <alignment vertical="center" wrapText="1"/>
    </xf>
    <xf numFmtId="1" fontId="6" fillId="6" borderId="9"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43" fontId="4" fillId="0" borderId="6" xfId="1" applyFont="1" applyFill="1" applyBorder="1" applyAlignment="1">
      <alignment vertical="center" wrapText="1"/>
    </xf>
    <xf numFmtId="0" fontId="4" fillId="6" borderId="14" xfId="0" applyFont="1" applyFill="1" applyBorder="1" applyAlignment="1">
      <alignment horizontal="center" vertical="center" wrapText="1"/>
    </xf>
    <xf numFmtId="1" fontId="6" fillId="6" borderId="10" xfId="0" applyNumberFormat="1" applyFont="1" applyFill="1" applyBorder="1" applyAlignment="1">
      <alignment horizontal="center" vertical="center" wrapText="1"/>
    </xf>
    <xf numFmtId="0" fontId="4" fillId="6" borderId="11" xfId="0" applyFont="1" applyFill="1" applyBorder="1" applyAlignment="1">
      <alignment horizontal="center" vertical="center" wrapText="1"/>
    </xf>
    <xf numFmtId="1" fontId="6" fillId="6" borderId="19" xfId="0" applyNumberFormat="1" applyFont="1" applyFill="1" applyBorder="1" applyAlignment="1">
      <alignment horizontal="center" vertical="center" wrapText="1"/>
    </xf>
    <xf numFmtId="43" fontId="4" fillId="0" borderId="14" xfId="1" applyFont="1" applyFill="1" applyBorder="1" applyAlignment="1">
      <alignment vertical="center" wrapText="1"/>
    </xf>
    <xf numFmtId="169" fontId="6" fillId="8" borderId="4" xfId="0" applyNumberFormat="1" applyFont="1" applyFill="1" applyBorder="1" applyAlignment="1">
      <alignment horizontal="center" vertical="center"/>
    </xf>
    <xf numFmtId="0" fontId="6" fillId="8" borderId="4" xfId="0" applyFont="1" applyFill="1" applyBorder="1" applyAlignment="1">
      <alignment horizontal="justify" vertical="center"/>
    </xf>
    <xf numFmtId="43" fontId="6" fillId="8" borderId="9" xfId="1" applyFont="1" applyFill="1" applyBorder="1" applyAlignment="1">
      <alignment horizontal="center" vertical="center"/>
    </xf>
    <xf numFmtId="1" fontId="6" fillId="8" borderId="4" xfId="0" applyNumberFormat="1" applyFont="1" applyFill="1" applyBorder="1" applyAlignment="1">
      <alignment horizontal="center" vertical="center"/>
    </xf>
    <xf numFmtId="14" fontId="4" fillId="8" borderId="7" xfId="0" applyNumberFormat="1" applyFont="1" applyFill="1" applyBorder="1" applyAlignment="1">
      <alignment vertical="center"/>
    </xf>
    <xf numFmtId="0" fontId="4" fillId="8" borderId="64" xfId="0" applyFont="1" applyFill="1" applyBorder="1" applyAlignment="1">
      <alignment horizontal="justify" vertical="center" wrapText="1"/>
    </xf>
    <xf numFmtId="0" fontId="6" fillId="6" borderId="3" xfId="0" applyFont="1" applyFill="1" applyBorder="1" applyAlignment="1">
      <alignment horizontal="center" vertical="center" wrapText="1"/>
    </xf>
    <xf numFmtId="0" fontId="4" fillId="6" borderId="10" xfId="0" applyFont="1" applyFill="1" applyBorder="1" applyAlignment="1">
      <alignment horizontal="center" vertical="center"/>
    </xf>
    <xf numFmtId="1" fontId="4" fillId="0" borderId="18" xfId="0" applyNumberFormat="1" applyFont="1" applyFill="1" applyBorder="1" applyAlignment="1">
      <alignment vertical="center" wrapText="1"/>
    </xf>
    <xf numFmtId="0" fontId="4" fillId="0" borderId="15" xfId="0" applyFont="1" applyFill="1" applyBorder="1" applyAlignment="1">
      <alignment horizontal="justify" vertical="center" wrapText="1"/>
    </xf>
    <xf numFmtId="1" fontId="4" fillId="0" borderId="18" xfId="0" applyNumberFormat="1" applyFont="1" applyFill="1" applyBorder="1" applyAlignment="1">
      <alignment horizontal="center" vertical="center" wrapText="1"/>
    </xf>
    <xf numFmtId="1" fontId="4" fillId="6" borderId="18" xfId="0" applyNumberFormat="1" applyFont="1" applyFill="1" applyBorder="1" applyAlignment="1">
      <alignment horizontal="center" vertical="center" wrapText="1"/>
    </xf>
    <xf numFmtId="169" fontId="6" fillId="8" borderId="2" xfId="0" applyNumberFormat="1" applyFont="1" applyFill="1" applyBorder="1" applyAlignment="1">
      <alignment horizontal="center" vertical="center"/>
    </xf>
    <xf numFmtId="43" fontId="6" fillId="8" borderId="10" xfId="1" applyFont="1" applyFill="1" applyBorder="1" applyAlignment="1">
      <alignment horizontal="center" vertical="center"/>
    </xf>
    <xf numFmtId="1" fontId="6" fillId="8" borderId="0" xfId="0" applyNumberFormat="1" applyFont="1" applyFill="1" applyAlignment="1">
      <alignment horizontal="center" vertical="center"/>
    </xf>
    <xf numFmtId="0" fontId="6" fillId="8" borderId="0" xfId="0" applyFont="1" applyFill="1" applyAlignment="1">
      <alignment horizontal="center" vertical="center"/>
    </xf>
    <xf numFmtId="0" fontId="4" fillId="6" borderId="0" xfId="0" applyFont="1" applyFill="1" applyAlignment="1">
      <alignment horizontal="center"/>
    </xf>
    <xf numFmtId="14" fontId="4" fillId="7" borderId="2" xfId="0" applyNumberFormat="1" applyFont="1" applyFill="1" applyBorder="1" applyAlignment="1">
      <alignment vertical="center"/>
    </xf>
    <xf numFmtId="0" fontId="4" fillId="7" borderId="59" xfId="0" applyFont="1" applyFill="1" applyBorder="1" applyAlignment="1">
      <alignment horizontal="justify" vertical="center" wrapText="1"/>
    </xf>
    <xf numFmtId="43" fontId="6" fillId="8" borderId="1" xfId="1" applyFont="1" applyFill="1" applyBorder="1" applyAlignment="1">
      <alignment horizontal="center" vertical="center"/>
    </xf>
    <xf numFmtId="0" fontId="4" fillId="0" borderId="0" xfId="0" applyFont="1" applyAlignment="1">
      <alignment horizontal="center"/>
    </xf>
    <xf numFmtId="0" fontId="4" fillId="6" borderId="3" xfId="0" applyFont="1" applyFill="1" applyBorder="1" applyAlignment="1">
      <alignment horizontal="center" vertical="center" wrapText="1"/>
    </xf>
    <xf numFmtId="0" fontId="4" fillId="6" borderId="9" xfId="0" applyFont="1" applyFill="1" applyBorder="1" applyAlignment="1">
      <alignment horizontal="center"/>
    </xf>
    <xf numFmtId="1" fontId="4" fillId="6" borderId="10" xfId="0" applyNumberFormat="1" applyFont="1" applyFill="1" applyBorder="1" applyAlignment="1">
      <alignment horizontal="center" vertical="center" wrapText="1"/>
    </xf>
    <xf numFmtId="0" fontId="6" fillId="8" borderId="2" xfId="0" applyFont="1" applyFill="1" applyBorder="1" applyAlignment="1">
      <alignment vertical="center"/>
    </xf>
    <xf numFmtId="0" fontId="6" fillId="8" borderId="2" xfId="0" applyFont="1" applyFill="1" applyBorder="1" applyAlignment="1">
      <alignment horizontal="justify" vertical="center"/>
    </xf>
    <xf numFmtId="0" fontId="6" fillId="8" borderId="2" xfId="0" applyFont="1" applyFill="1" applyBorder="1" applyAlignment="1">
      <alignment horizontal="center" vertical="center"/>
    </xf>
    <xf numFmtId="0" fontId="4" fillId="8" borderId="2" xfId="0" applyFont="1" applyFill="1" applyBorder="1" applyAlignment="1">
      <alignment horizontal="center" vertical="center"/>
    </xf>
    <xf numFmtId="43" fontId="4" fillId="8" borderId="2" xfId="1" applyFont="1" applyFill="1" applyBorder="1" applyAlignment="1">
      <alignment vertical="center"/>
    </xf>
    <xf numFmtId="0" fontId="6" fillId="8" borderId="0" xfId="0" applyFont="1" applyFill="1" applyAlignment="1">
      <alignment horizontal="justify" vertical="center"/>
    </xf>
    <xf numFmtId="166" fontId="4" fillId="8" borderId="2" xfId="1" applyNumberFormat="1" applyFont="1" applyFill="1" applyBorder="1" applyAlignment="1">
      <alignment vertical="center"/>
    </xf>
    <xf numFmtId="14" fontId="4" fillId="8" borderId="2" xfId="0" applyNumberFormat="1" applyFont="1" applyFill="1" applyBorder="1" applyAlignment="1">
      <alignment vertical="center"/>
    </xf>
    <xf numFmtId="0" fontId="4" fillId="8" borderId="59" xfId="0" applyFont="1" applyFill="1" applyBorder="1" applyAlignment="1">
      <alignment horizontal="justify" vertical="center" wrapText="1"/>
    </xf>
    <xf numFmtId="1" fontId="8" fillId="6" borderId="14" xfId="0" applyNumberFormat="1" applyFont="1" applyFill="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1" fontId="4" fillId="0" borderId="28" xfId="0" applyNumberFormat="1" applyFont="1" applyBorder="1"/>
    <xf numFmtId="0" fontId="4" fillId="6" borderId="29" xfId="0" applyFont="1" applyFill="1" applyBorder="1"/>
    <xf numFmtId="0" fontId="7" fillId="6" borderId="29" xfId="0" applyFont="1" applyFill="1" applyBorder="1" applyAlignment="1">
      <alignment horizontal="justify" vertical="center"/>
    </xf>
    <xf numFmtId="169" fontId="4" fillId="6" borderId="30" xfId="0" applyNumberFormat="1" applyFont="1" applyFill="1" applyBorder="1" applyAlignment="1">
      <alignment horizontal="center" vertical="center"/>
    </xf>
    <xf numFmtId="43" fontId="6" fillId="0" borderId="31" xfId="1" applyFont="1" applyBorder="1" applyAlignment="1">
      <alignment horizontal="center" vertical="center"/>
    </xf>
    <xf numFmtId="43" fontId="6" fillId="0" borderId="67" xfId="1" applyFont="1" applyBorder="1" applyAlignment="1">
      <alignment horizontal="center" vertical="center"/>
    </xf>
    <xf numFmtId="1" fontId="4" fillId="6" borderId="32" xfId="0" applyNumberFormat="1" applyFont="1" applyFill="1" applyBorder="1" applyAlignment="1">
      <alignment horizontal="center" vertical="center"/>
    </xf>
    <xf numFmtId="0" fontId="4" fillId="6" borderId="33" xfId="0" applyFont="1" applyFill="1" applyBorder="1" applyAlignment="1">
      <alignment horizontal="center" vertical="center"/>
    </xf>
    <xf numFmtId="166" fontId="4" fillId="0" borderId="29" xfId="1" applyNumberFormat="1" applyFont="1" applyBorder="1"/>
    <xf numFmtId="14" fontId="4" fillId="0" borderId="29" xfId="0" applyNumberFormat="1" applyFont="1" applyBorder="1" applyAlignment="1">
      <alignment horizontal="right" vertical="center"/>
    </xf>
    <xf numFmtId="1" fontId="4" fillId="0" borderId="0" xfId="0" applyNumberFormat="1" applyFont="1"/>
    <xf numFmtId="169" fontId="4" fillId="6" borderId="0" xfId="0" applyNumberFormat="1" applyFont="1" applyFill="1" applyAlignment="1">
      <alignment horizontal="center" vertical="center"/>
    </xf>
    <xf numFmtId="43" fontId="4" fillId="6" borderId="0" xfId="1" applyFont="1" applyFill="1" applyAlignment="1">
      <alignment vertical="center"/>
    </xf>
    <xf numFmtId="168" fontId="4" fillId="0" borderId="0" xfId="0" applyNumberFormat="1" applyFont="1" applyAlignment="1">
      <alignment horizontal="center" vertical="center"/>
    </xf>
    <xf numFmtId="166" fontId="4" fillId="0" borderId="0" xfId="1" applyNumberFormat="1" applyFont="1"/>
    <xf numFmtId="14" fontId="4" fillId="0" borderId="0" xfId="0" applyNumberFormat="1" applyFont="1" applyAlignment="1">
      <alignment horizontal="right" vertical="center"/>
    </xf>
    <xf numFmtId="0" fontId="4" fillId="0" borderId="0" xfId="0" applyFont="1" applyBorder="1"/>
    <xf numFmtId="0" fontId="3" fillId="0" borderId="50" xfId="0" applyFont="1" applyBorder="1" applyAlignment="1">
      <alignment vertical="center"/>
    </xf>
    <xf numFmtId="0" fontId="3" fillId="0" borderId="50" xfId="0" applyFont="1" applyBorder="1" applyAlignment="1">
      <alignment vertical="center" wrapText="1"/>
    </xf>
    <xf numFmtId="0" fontId="6" fillId="0" borderId="5" xfId="0" applyFont="1" applyBorder="1" applyAlignment="1">
      <alignment horizontal="justify" vertical="center"/>
    </xf>
    <xf numFmtId="175" fontId="6" fillId="0" borderId="2" xfId="14" applyNumberFormat="1" applyFont="1" applyBorder="1" applyAlignment="1">
      <alignment horizontal="justify" vertical="center"/>
    </xf>
    <xf numFmtId="175" fontId="6" fillId="0" borderId="2" xfId="14" applyNumberFormat="1" applyFont="1" applyBorder="1" applyAlignment="1">
      <alignment horizontal="right" vertical="center"/>
    </xf>
    <xf numFmtId="0" fontId="6" fillId="0" borderId="59" xfId="0" applyFont="1" applyBorder="1" applyAlignment="1">
      <alignment vertical="center"/>
    </xf>
    <xf numFmtId="1" fontId="6" fillId="15" borderId="9" xfId="0" applyNumberFormat="1" applyFont="1" applyFill="1" applyBorder="1" applyAlignment="1">
      <alignment horizontal="center" vertical="center" wrapText="1"/>
    </xf>
    <xf numFmtId="1" fontId="6" fillId="15" borderId="10" xfId="0" applyNumberFormat="1" applyFont="1" applyFill="1" applyBorder="1" applyAlignment="1">
      <alignment horizontal="center" vertical="center" wrapText="1"/>
    </xf>
    <xf numFmtId="0" fontId="6" fillId="15" borderId="6" xfId="0" applyFont="1" applyFill="1" applyBorder="1" applyAlignment="1">
      <alignment horizontal="center" vertical="center" textRotation="90" wrapText="1"/>
    </xf>
    <xf numFmtId="49" fontId="6" fillId="15" borderId="6" xfId="0" applyNumberFormat="1" applyFont="1" applyFill="1" applyBorder="1" applyAlignment="1">
      <alignment horizontal="center" vertical="center" textRotation="90" wrapText="1"/>
    </xf>
    <xf numFmtId="1" fontId="6" fillId="5" borderId="63" xfId="0" applyNumberFormat="1" applyFont="1" applyFill="1" applyBorder="1" applyAlignment="1">
      <alignment horizontal="left" vertical="center" wrapText="1"/>
    </xf>
    <xf numFmtId="175" fontId="6" fillId="5" borderId="7" xfId="14" applyNumberFormat="1" applyFont="1" applyFill="1" applyBorder="1" applyAlignment="1">
      <alignment horizontal="justify" vertical="center"/>
    </xf>
    <xf numFmtId="175" fontId="6" fillId="5" borderId="7" xfId="14" applyNumberFormat="1" applyFont="1" applyFill="1" applyBorder="1" applyAlignment="1">
      <alignment horizontal="right" vertical="center"/>
    </xf>
    <xf numFmtId="167" fontId="6" fillId="5" borderId="2" xfId="0" applyNumberFormat="1" applyFont="1" applyFill="1" applyBorder="1" applyAlignment="1">
      <alignment vertical="center"/>
    </xf>
    <xf numFmtId="0" fontId="6" fillId="5" borderId="64" xfId="0" applyFont="1" applyFill="1" applyBorder="1" applyAlignment="1">
      <alignment horizontal="justify" vertical="center"/>
    </xf>
    <xf numFmtId="1" fontId="6" fillId="7" borderId="5" xfId="0" applyNumberFormat="1" applyFont="1" applyFill="1" applyBorder="1" applyAlignment="1">
      <alignment horizontal="center" vertical="center"/>
    </xf>
    <xf numFmtId="0" fontId="6" fillId="7" borderId="0" xfId="0" applyFont="1" applyFill="1" applyAlignment="1">
      <alignment horizontal="justify" vertical="center"/>
    </xf>
    <xf numFmtId="175" fontId="6" fillId="7" borderId="2" xfId="14" applyNumberFormat="1" applyFont="1" applyFill="1" applyBorder="1" applyAlignment="1">
      <alignment horizontal="justify" vertical="center"/>
    </xf>
    <xf numFmtId="175" fontId="6" fillId="7" borderId="2" xfId="14" applyNumberFormat="1" applyFont="1" applyFill="1" applyBorder="1" applyAlignment="1">
      <alignment horizontal="right" vertical="center"/>
    </xf>
    <xf numFmtId="0" fontId="6" fillId="7" borderId="59" xfId="0" applyFont="1" applyFill="1" applyBorder="1" applyAlignment="1">
      <alignment horizontal="justify" vertical="center"/>
    </xf>
    <xf numFmtId="0" fontId="6" fillId="8" borderId="9" xfId="0" applyFont="1" applyFill="1" applyBorder="1" applyAlignment="1">
      <alignment horizontal="justify" vertical="center"/>
    </xf>
    <xf numFmtId="175" fontId="6" fillId="8" borderId="4" xfId="14" applyNumberFormat="1" applyFont="1" applyFill="1" applyBorder="1" applyAlignment="1">
      <alignment horizontal="justify" vertical="center"/>
    </xf>
    <xf numFmtId="175" fontId="6" fillId="8" borderId="4" xfId="14" applyNumberFormat="1" applyFont="1" applyFill="1" applyBorder="1" applyAlignment="1">
      <alignment horizontal="right" vertical="center"/>
    </xf>
    <xf numFmtId="167" fontId="6" fillId="8" borderId="4" xfId="0" applyNumberFormat="1" applyFont="1" applyFill="1" applyBorder="1" applyAlignment="1">
      <alignment vertical="center"/>
    </xf>
    <xf numFmtId="0" fontId="6" fillId="8" borderId="71" xfId="0" applyFont="1" applyFill="1" applyBorder="1" applyAlignment="1">
      <alignment horizontal="justify" vertical="center"/>
    </xf>
    <xf numFmtId="1" fontId="4" fillId="6" borderId="56" xfId="0" applyNumberFormat="1" applyFont="1" applyFill="1" applyBorder="1" applyAlignment="1">
      <alignment horizontal="center" vertical="center" wrapText="1"/>
    </xf>
    <xf numFmtId="176" fontId="4" fillId="6" borderId="6" xfId="15" applyFont="1" applyFill="1" applyBorder="1" applyAlignment="1">
      <alignment horizontal="right" vertical="center" wrapText="1"/>
    </xf>
    <xf numFmtId="0" fontId="4" fillId="0" borderId="14" xfId="16" applyNumberFormat="1" applyFont="1" applyBorder="1" applyAlignment="1">
      <alignment horizontal="center" vertical="center" wrapText="1"/>
    </xf>
    <xf numFmtId="0" fontId="4" fillId="0" borderId="3" xfId="0" applyFont="1" applyBorder="1" applyAlignment="1">
      <alignment horizontal="center" vertical="center" wrapText="1"/>
    </xf>
    <xf numFmtId="176" fontId="8" fillId="6" borderId="6" xfId="15" applyFont="1" applyFill="1" applyBorder="1" applyAlignment="1">
      <alignment vertical="center" wrapText="1"/>
    </xf>
    <xf numFmtId="0" fontId="4" fillId="0" borderId="6" xfId="0" applyFont="1" applyBorder="1" applyAlignment="1">
      <alignment horizontal="center" vertical="center" wrapText="1"/>
    </xf>
    <xf numFmtId="9" fontId="4" fillId="0" borderId="1" xfId="4" applyFont="1" applyBorder="1" applyAlignment="1">
      <alignment horizontal="center" vertical="center" wrapText="1"/>
    </xf>
    <xf numFmtId="0" fontId="4" fillId="0" borderId="14" xfId="0" applyFont="1" applyBorder="1" applyAlignment="1">
      <alignment vertical="center" wrapText="1"/>
    </xf>
    <xf numFmtId="1" fontId="4" fillId="0" borderId="28" xfId="0" applyNumberFormat="1" applyFont="1" applyBorder="1" applyAlignment="1">
      <alignment vertical="center"/>
    </xf>
    <xf numFmtId="0" fontId="4" fillId="0" borderId="29" xfId="0" applyFont="1" applyBorder="1" applyAlignment="1">
      <alignment vertical="center"/>
    </xf>
    <xf numFmtId="0" fontId="4" fillId="0" borderId="29" xfId="0" applyFont="1" applyBorder="1" applyAlignment="1">
      <alignment vertical="center" wrapText="1"/>
    </xf>
    <xf numFmtId="0" fontId="4" fillId="0" borderId="29" xfId="0" applyFont="1" applyBorder="1" applyAlignment="1">
      <alignment horizontal="justify" vertical="center"/>
    </xf>
    <xf numFmtId="169" fontId="4" fillId="0" borderId="30" xfId="0" applyNumberFormat="1" applyFont="1" applyBorder="1" applyAlignment="1">
      <alignment horizontal="center" vertical="center"/>
    </xf>
    <xf numFmtId="176" fontId="6" fillId="0" borderId="31" xfId="15" applyFont="1" applyBorder="1" applyAlignment="1">
      <alignment horizontal="justify" vertical="center"/>
    </xf>
    <xf numFmtId="0" fontId="4" fillId="0" borderId="28" xfId="0" applyFont="1" applyBorder="1" applyAlignment="1">
      <alignment horizontal="justify" vertical="center"/>
    </xf>
    <xf numFmtId="176" fontId="6" fillId="0" borderId="31" xfId="15" applyFont="1" applyBorder="1" applyAlignment="1">
      <alignment horizontal="right" vertical="center"/>
    </xf>
    <xf numFmtId="0" fontId="4" fillId="6" borderId="33" xfId="0" applyFont="1" applyFill="1" applyBorder="1" applyAlignment="1">
      <alignment horizontal="justify" vertical="center"/>
    </xf>
    <xf numFmtId="167" fontId="4" fillId="0" borderId="29" xfId="0" applyNumberFormat="1" applyFont="1" applyBorder="1" applyAlignment="1">
      <alignment horizontal="center" vertical="center"/>
    </xf>
    <xf numFmtId="175" fontId="6" fillId="0" borderId="0" xfId="14" applyNumberFormat="1" applyFont="1" applyAlignment="1">
      <alignment horizontal="justify" vertical="center"/>
    </xf>
    <xf numFmtId="175" fontId="6" fillId="0" borderId="0" xfId="14" applyNumberFormat="1" applyFont="1" applyAlignment="1">
      <alignment horizontal="right" vertical="center"/>
    </xf>
    <xf numFmtId="168" fontId="6" fillId="6" borderId="0" xfId="0" applyNumberFormat="1" applyFont="1" applyFill="1" applyAlignment="1">
      <alignment vertical="center"/>
    </xf>
    <xf numFmtId="177" fontId="6" fillId="6" borderId="0" xfId="0" applyNumberFormat="1" applyFont="1" applyFill="1" applyAlignment="1">
      <alignment horizontal="right" vertical="center"/>
    </xf>
    <xf numFmtId="178" fontId="4" fillId="6" borderId="0" xfId="0" applyNumberFormat="1" applyFont="1" applyFill="1" applyAlignment="1">
      <alignment vertical="center"/>
    </xf>
    <xf numFmtId="168" fontId="6" fillId="0" borderId="0" xfId="0" applyNumberFormat="1" applyFont="1" applyAlignment="1">
      <alignment horizontal="justify" vertical="center"/>
    </xf>
    <xf numFmtId="1" fontId="4" fillId="6" borderId="0" xfId="0" applyNumberFormat="1" applyFont="1" applyFill="1"/>
    <xf numFmtId="0" fontId="4" fillId="0" borderId="0" xfId="0" applyFont="1" applyAlignment="1">
      <alignment vertical="center" wrapText="1"/>
    </xf>
    <xf numFmtId="175" fontId="4" fillId="0" borderId="0" xfId="14" applyNumberFormat="1" applyFont="1" applyAlignment="1">
      <alignment horizontal="justify"/>
    </xf>
    <xf numFmtId="175" fontId="4" fillId="0" borderId="0" xfId="14" applyNumberFormat="1" applyFont="1" applyAlignment="1">
      <alignment horizontal="right" vertical="center"/>
    </xf>
    <xf numFmtId="175" fontId="4" fillId="6" borderId="0" xfId="14" applyNumberFormat="1" applyFont="1" applyFill="1" applyAlignment="1">
      <alignment horizontal="justify" vertical="center"/>
    </xf>
    <xf numFmtId="175" fontId="4" fillId="6" borderId="0" xfId="14" applyNumberFormat="1" applyFont="1" applyFill="1" applyAlignment="1">
      <alignment horizontal="right" vertical="center"/>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2" fillId="6" borderId="0" xfId="0" applyFont="1" applyFill="1" applyAlignment="1">
      <alignment horizontal="center" vertical="center"/>
    </xf>
    <xf numFmtId="0" fontId="4" fillId="6" borderId="1" xfId="0" applyFont="1" applyFill="1" applyBorder="1" applyAlignment="1">
      <alignment horizontal="center" vertical="center" wrapText="1"/>
    </xf>
    <xf numFmtId="0" fontId="4" fillId="6" borderId="1" xfId="0" applyFont="1" applyFill="1" applyBorder="1" applyAlignment="1">
      <alignment horizontal="justify" vertical="center" wrapText="1"/>
    </xf>
    <xf numFmtId="3" fontId="4" fillId="6" borderId="1" xfId="0" applyNumberFormat="1" applyFont="1" applyFill="1" applyBorder="1" applyAlignment="1">
      <alignment horizontal="justify" vertical="center" wrapText="1"/>
    </xf>
    <xf numFmtId="43" fontId="4" fillId="6" borderId="1" xfId="1"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0" fontId="8" fillId="0" borderId="9" xfId="0" applyFont="1" applyBorder="1" applyAlignment="1">
      <alignment horizontal="justify" vertical="center" wrapText="1"/>
    </xf>
    <xf numFmtId="0" fontId="8" fillId="0" borderId="19" xfId="0" applyFont="1" applyBorder="1" applyAlignment="1">
      <alignment horizontal="justify" vertical="center" wrapText="1"/>
    </xf>
    <xf numFmtId="0" fontId="8"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2" fillId="6" borderId="0" xfId="0" applyFont="1" applyFill="1" applyAlignment="1">
      <alignment horizontal="center" vertical="center"/>
    </xf>
    <xf numFmtId="0" fontId="12" fillId="0" borderId="9" xfId="0" applyFont="1" applyBorder="1" applyAlignment="1">
      <alignment horizontal="justify"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9" xfId="0" applyFont="1" applyFill="1" applyBorder="1" applyAlignment="1">
      <alignment horizontal="justify" vertical="center" wrapText="1"/>
    </xf>
    <xf numFmtId="0" fontId="12" fillId="6" borderId="19" xfId="0" applyFont="1" applyFill="1" applyBorder="1" applyAlignment="1">
      <alignment horizontal="justify" vertical="center" wrapText="1"/>
    </xf>
    <xf numFmtId="0" fontId="12" fillId="6" borderId="10" xfId="0" applyFont="1" applyFill="1" applyBorder="1" applyAlignment="1">
      <alignment horizontal="justify" vertical="center" wrapText="1"/>
    </xf>
    <xf numFmtId="0" fontId="12" fillId="6" borderId="5" xfId="0" applyFont="1" applyFill="1" applyBorder="1" applyAlignment="1">
      <alignment horizontal="justify" vertical="center" wrapText="1"/>
    </xf>
    <xf numFmtId="0" fontId="12" fillId="6" borderId="1" xfId="0" applyFont="1" applyFill="1" applyBorder="1" applyAlignment="1">
      <alignment horizontal="justify" vertical="center" wrapText="1"/>
    </xf>
    <xf numFmtId="1" fontId="12" fillId="6" borderId="1" xfId="0" applyNumberFormat="1" applyFont="1" applyFill="1" applyBorder="1" applyAlignment="1">
      <alignment horizontal="center" vertical="center" wrapText="1"/>
    </xf>
    <xf numFmtId="0" fontId="4" fillId="6" borderId="9"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24" fillId="0" borderId="1" xfId="0" applyFont="1" applyBorder="1" applyAlignment="1">
      <alignment vertical="center" wrapText="1"/>
    </xf>
    <xf numFmtId="3" fontId="25" fillId="0" borderId="1" xfId="0" applyNumberFormat="1" applyFont="1" applyBorder="1" applyAlignment="1">
      <alignment horizontal="left" vertical="center" wrapText="1"/>
    </xf>
    <xf numFmtId="0" fontId="24" fillId="0" borderId="1" xfId="0" applyFont="1" applyBorder="1" applyAlignment="1">
      <alignment horizontal="center" vertical="center"/>
    </xf>
    <xf numFmtId="0" fontId="24" fillId="0" borderId="5" xfId="0" applyFont="1" applyBorder="1" applyAlignment="1">
      <alignment vertical="center"/>
    </xf>
    <xf numFmtId="0" fontId="24" fillId="0" borderId="2" xfId="0" applyFont="1" applyBorder="1" applyAlignment="1">
      <alignment horizontal="center" vertical="center"/>
    </xf>
    <xf numFmtId="0" fontId="24" fillId="0" borderId="2" xfId="0" applyFont="1" applyBorder="1" applyAlignment="1">
      <alignment vertical="center"/>
    </xf>
    <xf numFmtId="44" fontId="24" fillId="0" borderId="2" xfId="17" applyFont="1" applyBorder="1" applyAlignment="1">
      <alignment vertical="center"/>
    </xf>
    <xf numFmtId="0" fontId="24" fillId="0" borderId="20" xfId="0" applyFont="1" applyBorder="1" applyAlignment="1">
      <alignment vertical="center"/>
    </xf>
    <xf numFmtId="1" fontId="24" fillId="3" borderId="9" xfId="0" applyNumberFormat="1" applyFont="1" applyFill="1" applyBorder="1" applyAlignment="1">
      <alignment horizontal="center" vertical="center" wrapText="1"/>
    </xf>
    <xf numFmtId="0" fontId="27" fillId="4" borderId="1" xfId="0" applyFont="1" applyFill="1" applyBorder="1" applyAlignment="1">
      <alignment horizontal="center" vertical="center" wrapText="1"/>
    </xf>
    <xf numFmtId="1" fontId="24" fillId="3" borderId="10" xfId="0" applyNumberFormat="1" applyFont="1" applyFill="1" applyBorder="1" applyAlignment="1">
      <alignment horizontal="center" vertical="center" wrapText="1"/>
    </xf>
    <xf numFmtId="0" fontId="24" fillId="3" borderId="9" xfId="0" applyFont="1" applyFill="1" applyBorder="1" applyAlignment="1">
      <alignment horizontal="center" vertical="center" textRotation="90" wrapText="1"/>
    </xf>
    <xf numFmtId="49" fontId="24" fillId="3" borderId="9" xfId="0" applyNumberFormat="1" applyFont="1" applyFill="1" applyBorder="1" applyAlignment="1">
      <alignment horizontal="center" vertical="center" textRotation="90" wrapText="1"/>
    </xf>
    <xf numFmtId="0" fontId="24" fillId="3" borderId="3" xfId="0" applyFont="1" applyFill="1" applyBorder="1" applyAlignment="1">
      <alignment horizontal="center" vertical="center" textRotation="90" wrapText="1"/>
    </xf>
    <xf numFmtId="1" fontId="24" fillId="5" borderId="6" xfId="0" applyNumberFormat="1" applyFont="1" applyFill="1" applyBorder="1" applyAlignment="1">
      <alignment horizontal="center" vertical="center" wrapText="1"/>
    </xf>
    <xf numFmtId="0" fontId="24" fillId="5" borderId="7" xfId="0" applyFont="1" applyFill="1" applyBorder="1" applyAlignment="1">
      <alignment vertical="center"/>
    </xf>
    <xf numFmtId="0" fontId="24" fillId="5" borderId="7" xfId="0" applyFont="1" applyFill="1" applyBorder="1" applyAlignment="1">
      <alignment horizontal="justify" vertical="center"/>
    </xf>
    <xf numFmtId="0" fontId="24" fillId="5" borderId="7" xfId="0" applyFont="1" applyFill="1" applyBorder="1" applyAlignment="1">
      <alignment horizontal="center" vertical="center"/>
    </xf>
    <xf numFmtId="169" fontId="24" fillId="5" borderId="7" xfId="0" applyNumberFormat="1" applyFont="1" applyFill="1" applyBorder="1" applyAlignment="1">
      <alignment horizontal="center" vertical="center"/>
    </xf>
    <xf numFmtId="168" fontId="24" fillId="5" borderId="7" xfId="0" applyNumberFormat="1" applyFont="1" applyFill="1" applyBorder="1" applyAlignment="1">
      <alignment vertical="center"/>
    </xf>
    <xf numFmtId="44" fontId="24" fillId="5" borderId="7" xfId="17" applyFont="1" applyFill="1" applyBorder="1" applyAlignment="1">
      <alignment horizontal="center" vertical="center"/>
    </xf>
    <xf numFmtId="1" fontId="24" fillId="5" borderId="7" xfId="0" applyNumberFormat="1" applyFont="1" applyFill="1" applyBorder="1" applyAlignment="1">
      <alignment horizontal="center" vertical="center"/>
    </xf>
    <xf numFmtId="167" fontId="24" fillId="5" borderId="7" xfId="0" applyNumberFormat="1" applyFont="1" applyFill="1" applyBorder="1" applyAlignment="1">
      <alignment vertical="center"/>
    </xf>
    <xf numFmtId="0" fontId="24" fillId="5" borderId="8" xfId="0" applyFont="1" applyFill="1" applyBorder="1" applyAlignment="1">
      <alignment horizontal="justify" vertical="center"/>
    </xf>
    <xf numFmtId="1" fontId="24" fillId="7" borderId="1" xfId="0" applyNumberFormat="1" applyFont="1" applyFill="1" applyBorder="1" applyAlignment="1">
      <alignment horizontal="center" vertical="center"/>
    </xf>
    <xf numFmtId="0" fontId="24" fillId="7" borderId="1" xfId="0" applyFont="1" applyFill="1" applyBorder="1" applyAlignment="1">
      <alignment vertical="center"/>
    </xf>
    <xf numFmtId="0" fontId="24" fillId="7" borderId="1" xfId="0" applyFont="1" applyFill="1" applyBorder="1" applyAlignment="1">
      <alignment horizontal="justify" vertical="center"/>
    </xf>
    <xf numFmtId="0" fontId="24" fillId="7" borderId="1" xfId="0" applyFont="1" applyFill="1" applyBorder="1" applyAlignment="1">
      <alignment horizontal="center" vertical="center"/>
    </xf>
    <xf numFmtId="169" fontId="24" fillId="7" borderId="1" xfId="0" applyNumberFormat="1" applyFont="1" applyFill="1" applyBorder="1" applyAlignment="1">
      <alignment horizontal="center" vertical="center"/>
    </xf>
    <xf numFmtId="168" fontId="24" fillId="7" borderId="1" xfId="0" applyNumberFormat="1" applyFont="1" applyFill="1" applyBorder="1" applyAlignment="1">
      <alignment vertical="center"/>
    </xf>
    <xf numFmtId="44" fontId="24" fillId="7" borderId="1" xfId="17" applyFont="1" applyFill="1" applyBorder="1" applyAlignment="1">
      <alignment horizontal="center" vertical="center"/>
    </xf>
    <xf numFmtId="167" fontId="24" fillId="7" borderId="1" xfId="0" applyNumberFormat="1" applyFont="1" applyFill="1" applyBorder="1" applyAlignment="1">
      <alignment vertical="center"/>
    </xf>
    <xf numFmtId="1" fontId="24" fillId="8" borderId="1" xfId="0" applyNumberFormat="1" applyFont="1" applyFill="1" applyBorder="1" applyAlignment="1">
      <alignment horizontal="center" vertical="center" wrapText="1"/>
    </xf>
    <xf numFmtId="0" fontId="24" fillId="8" borderId="1" xfId="0" applyFont="1" applyFill="1" applyBorder="1" applyAlignment="1">
      <alignment vertical="center"/>
    </xf>
    <xf numFmtId="0" fontId="24" fillId="8" borderId="1" xfId="0" applyFont="1" applyFill="1" applyBorder="1" applyAlignment="1">
      <alignment horizontal="justify" vertical="center"/>
    </xf>
    <xf numFmtId="0" fontId="24" fillId="8" borderId="1" xfId="0" applyFont="1" applyFill="1" applyBorder="1" applyAlignment="1">
      <alignment horizontal="center" vertical="center"/>
    </xf>
    <xf numFmtId="169" fontId="24" fillId="8" borderId="1" xfId="0" applyNumberFormat="1" applyFont="1" applyFill="1" applyBorder="1" applyAlignment="1">
      <alignment horizontal="center" vertical="center"/>
    </xf>
    <xf numFmtId="168" fontId="24" fillId="8" borderId="1" xfId="0" applyNumberFormat="1" applyFont="1" applyFill="1" applyBorder="1" applyAlignment="1">
      <alignment vertical="center"/>
    </xf>
    <xf numFmtId="44" fontId="24" fillId="8" borderId="1" xfId="17" applyFont="1" applyFill="1" applyBorder="1" applyAlignment="1">
      <alignment horizontal="center" vertical="center"/>
    </xf>
    <xf numFmtId="1" fontId="24" fillId="8" borderId="1" xfId="0" applyNumberFormat="1" applyFont="1" applyFill="1" applyBorder="1" applyAlignment="1">
      <alignment horizontal="center" vertical="center"/>
    </xf>
    <xf numFmtId="167" fontId="24" fillId="8" borderId="1" xfId="0" applyNumberFormat="1" applyFont="1" applyFill="1" applyBorder="1" applyAlignment="1">
      <alignment vertical="center"/>
    </xf>
    <xf numFmtId="0" fontId="12" fillId="6" borderId="1" xfId="0" applyFont="1" applyFill="1" applyBorder="1" applyAlignment="1">
      <alignment horizontal="center" vertical="center" wrapText="1"/>
    </xf>
    <xf numFmtId="43" fontId="4" fillId="6" borderId="1" xfId="1" applyFont="1" applyFill="1" applyBorder="1" applyAlignment="1">
      <alignment vertical="center" wrapText="1"/>
    </xf>
    <xf numFmtId="49" fontId="4" fillId="6" borderId="1" xfId="0" applyNumberFormat="1" applyFont="1" applyFill="1" applyBorder="1" applyAlignment="1">
      <alignment horizontal="center" vertical="center" wrapText="1"/>
    </xf>
    <xf numFmtId="0" fontId="4" fillId="6" borderId="1" xfId="0" applyFont="1" applyFill="1" applyBorder="1" applyAlignment="1">
      <alignment vertical="center" wrapText="1"/>
    </xf>
    <xf numFmtId="9" fontId="4" fillId="6" borderId="1" xfId="4" applyFont="1" applyFill="1" applyBorder="1" applyAlignment="1">
      <alignment horizontal="center" vertical="center" wrapText="1"/>
    </xf>
    <xf numFmtId="3" fontId="22" fillId="0" borderId="1" xfId="0" applyNumberFormat="1" applyFont="1" applyBorder="1" applyAlignment="1">
      <alignment horizontal="center" vertical="center"/>
    </xf>
    <xf numFmtId="14" fontId="22" fillId="6" borderId="1" xfId="0" applyNumberFormat="1" applyFont="1" applyFill="1" applyBorder="1" applyAlignment="1">
      <alignment horizontal="center" vertical="center" wrapText="1"/>
    </xf>
    <xf numFmtId="43" fontId="4" fillId="6" borderId="1" xfId="1" applyFont="1" applyFill="1" applyBorder="1" applyAlignment="1">
      <alignment horizontal="center" vertical="center"/>
    </xf>
    <xf numFmtId="0" fontId="7" fillId="5" borderId="56" xfId="0" applyFont="1" applyFill="1" applyBorder="1" applyAlignment="1">
      <alignment vertical="center"/>
    </xf>
    <xf numFmtId="0" fontId="7" fillId="5" borderId="4" xfId="0" applyFont="1" applyFill="1" applyBorder="1" applyAlignment="1">
      <alignment vertical="center"/>
    </xf>
    <xf numFmtId="0" fontId="7" fillId="5" borderId="0" xfId="0" applyFont="1" applyFill="1" applyAlignment="1">
      <alignment vertical="center"/>
    </xf>
    <xf numFmtId="0" fontId="7" fillId="5" borderId="2" xfId="0" applyFont="1" applyFill="1" applyBorder="1" applyAlignment="1">
      <alignment vertical="center"/>
    </xf>
    <xf numFmtId="0" fontId="7" fillId="5" borderId="2" xfId="0" applyFont="1" applyFill="1" applyBorder="1" applyAlignment="1">
      <alignment horizontal="justify" vertical="center"/>
    </xf>
    <xf numFmtId="0" fontId="7" fillId="5" borderId="7" xfId="0" applyFont="1" applyFill="1" applyBorder="1" applyAlignment="1">
      <alignment horizontal="justify" vertical="center"/>
    </xf>
    <xf numFmtId="0" fontId="7" fillId="5" borderId="7" xfId="0" applyFont="1" applyFill="1" applyBorder="1" applyAlignment="1">
      <alignment horizontal="center" vertical="center"/>
    </xf>
    <xf numFmtId="43" fontId="7" fillId="5" borderId="7" xfId="1" applyFont="1" applyFill="1" applyBorder="1" applyAlignment="1">
      <alignment horizontal="center" vertical="center"/>
    </xf>
    <xf numFmtId="43" fontId="7" fillId="5" borderId="2" xfId="1" applyFont="1" applyFill="1" applyBorder="1" applyAlignment="1">
      <alignment horizontal="center" vertical="center"/>
    </xf>
    <xf numFmtId="3" fontId="7" fillId="5" borderId="2" xfId="0" applyNumberFormat="1" applyFont="1" applyFill="1" applyBorder="1" applyAlignment="1">
      <alignment horizontal="center" vertical="center"/>
    </xf>
    <xf numFmtId="1" fontId="7" fillId="5" borderId="2" xfId="0" applyNumberFormat="1" applyFont="1" applyFill="1" applyBorder="1" applyAlignment="1">
      <alignment horizontal="center" vertical="center"/>
    </xf>
    <xf numFmtId="0" fontId="8" fillId="5" borderId="2" xfId="0" applyFont="1" applyFill="1" applyBorder="1" applyAlignment="1">
      <alignment horizontal="left" vertical="center"/>
    </xf>
    <xf numFmtId="0" fontId="7" fillId="5" borderId="7" xfId="0" applyFont="1" applyFill="1" applyBorder="1" applyAlignment="1">
      <alignment vertical="center"/>
    </xf>
    <xf numFmtId="167" fontId="7" fillId="5" borderId="2" xfId="0" applyNumberFormat="1" applyFont="1" applyFill="1" applyBorder="1" applyAlignment="1">
      <alignment vertical="center"/>
    </xf>
    <xf numFmtId="0" fontId="8" fillId="5" borderId="4" xfId="0" applyFont="1" applyFill="1" applyBorder="1" applyAlignment="1">
      <alignment vertical="center"/>
    </xf>
    <xf numFmtId="0" fontId="8" fillId="5" borderId="7" xfId="0" applyFont="1" applyFill="1" applyBorder="1" applyAlignment="1">
      <alignment vertical="center"/>
    </xf>
    <xf numFmtId="0" fontId="8" fillId="5" borderId="8" xfId="0" applyFont="1" applyFill="1" applyBorder="1" applyAlignment="1">
      <alignment vertical="center"/>
    </xf>
    <xf numFmtId="0" fontId="7" fillId="7" borderId="7" xfId="0" applyFont="1" applyFill="1" applyBorder="1" applyAlignment="1">
      <alignment vertical="center"/>
    </xf>
    <xf numFmtId="0" fontId="7" fillId="7" borderId="2" xfId="0" applyFont="1" applyFill="1" applyBorder="1" applyAlignment="1">
      <alignment horizontal="center" vertical="center"/>
    </xf>
    <xf numFmtId="0" fontId="7" fillId="7" borderId="2" xfId="0" applyFont="1" applyFill="1" applyBorder="1" applyAlignment="1">
      <alignment horizontal="justify" vertical="center"/>
    </xf>
    <xf numFmtId="43" fontId="7" fillId="7" borderId="2" xfId="1" applyFont="1" applyFill="1" applyBorder="1" applyAlignment="1">
      <alignment horizontal="center" vertical="center"/>
    </xf>
    <xf numFmtId="3" fontId="7" fillId="7" borderId="2" xfId="0" applyNumberFormat="1" applyFont="1" applyFill="1" applyBorder="1" applyAlignment="1">
      <alignment horizontal="center" vertical="center"/>
    </xf>
    <xf numFmtId="1" fontId="7" fillId="7" borderId="2" xfId="0" applyNumberFormat="1" applyFont="1" applyFill="1" applyBorder="1" applyAlignment="1">
      <alignment horizontal="center" vertical="center"/>
    </xf>
    <xf numFmtId="0" fontId="8" fillId="7" borderId="2" xfId="0" applyFont="1" applyFill="1" applyBorder="1" applyAlignment="1">
      <alignment horizontal="left" vertical="center"/>
    </xf>
    <xf numFmtId="0" fontId="7" fillId="7" borderId="2" xfId="0" applyFont="1" applyFill="1" applyBorder="1" applyAlignment="1">
      <alignment vertical="center"/>
    </xf>
    <xf numFmtId="167" fontId="7" fillId="7" borderId="2" xfId="0" applyNumberFormat="1" applyFont="1" applyFill="1" applyBorder="1" applyAlignment="1">
      <alignment vertical="center"/>
    </xf>
    <xf numFmtId="0" fontId="8" fillId="7" borderId="4" xfId="0" applyFont="1" applyFill="1" applyBorder="1" applyAlignment="1">
      <alignment vertical="center"/>
    </xf>
    <xf numFmtId="0" fontId="8" fillId="7" borderId="7" xfId="0" applyFont="1" applyFill="1" applyBorder="1" applyAlignment="1">
      <alignment vertical="center"/>
    </xf>
    <xf numFmtId="0" fontId="8" fillId="7" borderId="8" xfId="0" applyFont="1" applyFill="1" applyBorder="1" applyAlignment="1">
      <alignment vertical="center"/>
    </xf>
    <xf numFmtId="0" fontId="7" fillId="8" borderId="6" xfId="0" applyFont="1" applyFill="1" applyBorder="1" applyAlignment="1">
      <alignment horizontal="left" vertical="center"/>
    </xf>
    <xf numFmtId="0" fontId="7" fillId="8" borderId="7" xfId="0" applyFont="1" applyFill="1" applyBorder="1" applyAlignment="1">
      <alignment vertical="center"/>
    </xf>
    <xf numFmtId="0" fontId="7" fillId="8" borderId="7" xfId="0" applyFont="1" applyFill="1" applyBorder="1" applyAlignment="1">
      <alignment horizontal="justify" vertical="center"/>
    </xf>
    <xf numFmtId="0" fontId="7" fillId="8" borderId="7" xfId="0" applyFont="1" applyFill="1" applyBorder="1" applyAlignment="1">
      <alignment horizontal="center" vertical="center"/>
    </xf>
    <xf numFmtId="43" fontId="7" fillId="8" borderId="7" xfId="1" applyFont="1" applyFill="1" applyBorder="1" applyAlignment="1">
      <alignment horizontal="center" vertical="center"/>
    </xf>
    <xf numFmtId="0" fontId="7" fillId="8" borderId="4" xfId="0" applyFont="1" applyFill="1" applyBorder="1" applyAlignment="1">
      <alignment horizontal="justify" vertical="center"/>
    </xf>
    <xf numFmtId="43" fontId="7" fillId="8" borderId="4" xfId="1" applyFont="1" applyFill="1" applyBorder="1" applyAlignment="1">
      <alignment horizontal="center" vertical="center"/>
    </xf>
    <xf numFmtId="3" fontId="7" fillId="8" borderId="4" xfId="0" applyNumberFormat="1" applyFont="1" applyFill="1" applyBorder="1" applyAlignment="1">
      <alignment horizontal="center" vertical="center"/>
    </xf>
    <xf numFmtId="1" fontId="7" fillId="8" borderId="4" xfId="0" applyNumberFormat="1" applyFont="1" applyFill="1" applyBorder="1" applyAlignment="1">
      <alignment horizontal="center" vertical="center"/>
    </xf>
    <xf numFmtId="0" fontId="8" fillId="8" borderId="7" xfId="0" applyFont="1" applyFill="1" applyBorder="1" applyAlignment="1">
      <alignment horizontal="left" vertical="center"/>
    </xf>
    <xf numFmtId="167" fontId="7" fillId="8" borderId="7" xfId="0" applyNumberFormat="1" applyFont="1" applyFill="1" applyBorder="1" applyAlignment="1">
      <alignment vertical="center"/>
    </xf>
    <xf numFmtId="0" fontId="8" fillId="8" borderId="4" xfId="0" applyFont="1" applyFill="1" applyBorder="1" applyAlignment="1">
      <alignment vertical="center"/>
    </xf>
    <xf numFmtId="0" fontId="8" fillId="8" borderId="7" xfId="0" applyFont="1" applyFill="1" applyBorder="1" applyAlignment="1">
      <alignment vertical="center"/>
    </xf>
    <xf numFmtId="0" fontId="8" fillId="8" borderId="8" xfId="0" applyFont="1" applyFill="1" applyBorder="1" applyAlignment="1">
      <alignment vertical="center"/>
    </xf>
    <xf numFmtId="43" fontId="8" fillId="6" borderId="1" xfId="1" applyFont="1" applyFill="1" applyBorder="1" applyAlignment="1">
      <alignment horizontal="center" vertical="center" wrapText="1"/>
    </xf>
    <xf numFmtId="0" fontId="8" fillId="6" borderId="1" xfId="17" applyNumberFormat="1" applyFont="1" applyFill="1" applyBorder="1" applyAlignment="1">
      <alignment horizontal="center" vertical="center" wrapText="1"/>
    </xf>
    <xf numFmtId="178" fontId="14" fillId="6" borderId="1"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168" fontId="28" fillId="0" borderId="0" xfId="0" applyNumberFormat="1" applyFont="1" applyAlignment="1">
      <alignment horizontal="left" vertical="center"/>
    </xf>
    <xf numFmtId="43" fontId="8" fillId="0" borderId="1" xfId="1" applyFont="1" applyFill="1" applyBorder="1" applyAlignment="1">
      <alignment horizontal="center" vertical="center" wrapText="1"/>
    </xf>
    <xf numFmtId="0" fontId="12" fillId="0" borderId="1" xfId="0" applyFont="1" applyBorder="1" applyAlignment="1">
      <alignment horizontal="center" vertical="center"/>
    </xf>
    <xf numFmtId="0" fontId="8" fillId="6" borderId="11" xfId="0" applyFont="1" applyFill="1" applyBorder="1" applyAlignment="1">
      <alignment vertical="center" wrapText="1"/>
    </xf>
    <xf numFmtId="0" fontId="8" fillId="6" borderId="0" xfId="0" applyFont="1" applyFill="1" applyAlignment="1">
      <alignment vertical="center" wrapText="1"/>
    </xf>
    <xf numFmtId="0" fontId="8" fillId="6" borderId="13" xfId="0" applyFont="1" applyFill="1" applyBorder="1" applyAlignment="1">
      <alignment vertical="center" wrapText="1"/>
    </xf>
    <xf numFmtId="0" fontId="7" fillId="8" borderId="1" xfId="0" applyFont="1" applyFill="1" applyBorder="1" applyAlignment="1">
      <alignment horizontal="left" vertical="center"/>
    </xf>
    <xf numFmtId="0" fontId="7" fillId="8" borderId="6" xfId="0" applyFont="1" applyFill="1" applyBorder="1" applyAlignment="1">
      <alignment vertical="center"/>
    </xf>
    <xf numFmtId="43" fontId="7" fillId="8" borderId="7" xfId="1" applyFont="1" applyFill="1" applyBorder="1" applyAlignment="1">
      <alignment vertical="center"/>
    </xf>
    <xf numFmtId="0" fontId="7" fillId="8" borderId="4" xfId="0" applyFont="1" applyFill="1" applyBorder="1" applyAlignment="1">
      <alignment vertical="center"/>
    </xf>
    <xf numFmtId="43" fontId="7" fillId="8" borderId="4" xfId="1" applyFont="1" applyFill="1" applyBorder="1" applyAlignment="1">
      <alignment vertical="center"/>
    </xf>
    <xf numFmtId="0" fontId="7" fillId="8" borderId="0" xfId="0" applyFont="1" applyFill="1" applyAlignment="1">
      <alignment vertical="center"/>
    </xf>
    <xf numFmtId="0" fontId="7" fillId="8" borderId="2" xfId="0" applyFont="1" applyFill="1" applyBorder="1" applyAlignment="1">
      <alignment vertical="center"/>
    </xf>
    <xf numFmtId="0" fontId="7" fillId="8" borderId="8" xfId="0" applyFont="1" applyFill="1" applyBorder="1" applyAlignment="1">
      <alignment vertical="center"/>
    </xf>
    <xf numFmtId="0" fontId="8" fillId="6" borderId="1" xfId="0" applyFont="1" applyFill="1" applyBorder="1" applyAlignment="1">
      <alignment horizontal="justify" vertical="center" wrapText="1"/>
    </xf>
    <xf numFmtId="43" fontId="8" fillId="6" borderId="1" xfId="1" applyFont="1" applyFill="1" applyBorder="1" applyAlignment="1">
      <alignment vertical="center" wrapText="1"/>
    </xf>
    <xf numFmtId="3" fontId="8" fillId="6" borderId="1" xfId="0" applyNumberFormat="1" applyFont="1" applyFill="1" applyBorder="1" applyAlignment="1">
      <alignment horizontal="center" vertical="center" wrapText="1"/>
    </xf>
    <xf numFmtId="0" fontId="8" fillId="0" borderId="11" xfId="0" applyFont="1" applyBorder="1" applyAlignment="1">
      <alignment vertical="center" wrapText="1"/>
    </xf>
    <xf numFmtId="0" fontId="8" fillId="0" borderId="0" xfId="0" applyFont="1" applyAlignment="1">
      <alignment vertical="center" wrapText="1"/>
    </xf>
    <xf numFmtId="0" fontId="8" fillId="0" borderId="13" xfId="0" applyFont="1" applyBorder="1" applyAlignment="1">
      <alignment vertical="center" wrapText="1"/>
    </xf>
    <xf numFmtId="43" fontId="8" fillId="0" borderId="1" xfId="1" applyFont="1" applyBorder="1" applyAlignment="1">
      <alignment vertical="center" wrapText="1"/>
    </xf>
    <xf numFmtId="0" fontId="8" fillId="0" borderId="1" xfId="17"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168" fontId="12" fillId="0" borderId="0" xfId="0" applyNumberFormat="1" applyFont="1" applyAlignment="1">
      <alignment horizontal="center" vertical="center"/>
    </xf>
    <xf numFmtId="49" fontId="8" fillId="0" borderId="1" xfId="0" applyNumberFormat="1" applyFont="1" applyBorder="1" applyAlignment="1">
      <alignment horizontal="center" vertical="center" wrapText="1"/>
    </xf>
    <xf numFmtId="43" fontId="8" fillId="0" borderId="1" xfId="1" applyFont="1" applyFill="1" applyBorder="1" applyAlignment="1">
      <alignment vertical="center" wrapText="1"/>
    </xf>
    <xf numFmtId="43" fontId="8" fillId="0" borderId="12" xfId="1" applyFont="1" applyFill="1" applyBorder="1" applyAlignment="1">
      <alignment horizontal="center" vertical="center" wrapText="1"/>
    </xf>
    <xf numFmtId="0" fontId="8" fillId="0" borderId="9" xfId="17" applyNumberFormat="1" applyFont="1" applyBorder="1" applyAlignment="1">
      <alignment horizontal="center" vertical="center" wrapText="1"/>
    </xf>
    <xf numFmtId="0" fontId="12" fillId="0" borderId="15" xfId="0" applyFont="1" applyBorder="1" applyAlignment="1">
      <alignment horizontal="justify" vertical="center" wrapText="1"/>
    </xf>
    <xf numFmtId="43" fontId="12" fillId="0" borderId="14" xfId="1" applyFont="1" applyFill="1" applyBorder="1" applyAlignment="1">
      <alignment horizontal="center" vertical="center"/>
    </xf>
    <xf numFmtId="43" fontId="8" fillId="0" borderId="19" xfId="1" applyFont="1" applyFill="1" applyBorder="1" applyAlignment="1">
      <alignment horizontal="center" vertical="center" wrapText="1"/>
    </xf>
    <xf numFmtId="0" fontId="8" fillId="0" borderId="19" xfId="17" applyNumberFormat="1" applyFont="1" applyBorder="1" applyAlignment="1">
      <alignment horizontal="center" vertical="center" wrapText="1"/>
    </xf>
    <xf numFmtId="0" fontId="7" fillId="6" borderId="14" xfId="0" applyFont="1" applyFill="1" applyBorder="1" applyAlignment="1">
      <alignment horizontal="center" vertical="center"/>
    </xf>
    <xf numFmtId="0" fontId="8" fillId="0" borderId="12" xfId="0" applyFont="1" applyBorder="1" applyAlignment="1">
      <alignment horizontal="justify" vertical="center" wrapText="1"/>
    </xf>
    <xf numFmtId="10" fontId="8" fillId="6" borderId="9" xfId="4" applyNumberFormat="1" applyFont="1" applyFill="1" applyBorder="1" applyAlignment="1">
      <alignment horizontal="center" vertical="center" wrapText="1"/>
    </xf>
    <xf numFmtId="0" fontId="8" fillId="6" borderId="9" xfId="0" applyFont="1" applyFill="1" applyBorder="1" applyAlignment="1">
      <alignment horizontal="justify" vertical="center" wrapText="1"/>
    </xf>
    <xf numFmtId="0" fontId="8" fillId="6" borderId="9" xfId="0" applyFont="1" applyFill="1" applyBorder="1" applyAlignment="1">
      <alignment horizontal="center" vertical="center" wrapText="1"/>
    </xf>
    <xf numFmtId="1" fontId="7" fillId="6" borderId="10" xfId="0" applyNumberFormat="1" applyFont="1" applyFill="1" applyBorder="1" applyAlignment="1">
      <alignment horizontal="center" vertical="center" wrapText="1"/>
    </xf>
    <xf numFmtId="0" fontId="8" fillId="6" borderId="4" xfId="0" applyFont="1" applyFill="1" applyBorder="1" applyAlignment="1">
      <alignment horizontal="center" vertical="center" wrapText="1"/>
    </xf>
    <xf numFmtId="10" fontId="8" fillId="6" borderId="1" xfId="4" applyNumberFormat="1" applyFont="1" applyFill="1" applyBorder="1" applyAlignment="1">
      <alignment horizontal="center" vertical="center" wrapText="1"/>
    </xf>
    <xf numFmtId="3" fontId="8" fillId="0" borderId="8"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170" fontId="8" fillId="0" borderId="1"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8" fillId="0" borderId="7" xfId="0" applyFont="1" applyBorder="1" applyAlignment="1">
      <alignment horizontal="center" vertical="center" wrapText="1"/>
    </xf>
    <xf numFmtId="1" fontId="7" fillId="6" borderId="7" xfId="0" applyNumberFormat="1" applyFont="1" applyFill="1" applyBorder="1" applyAlignment="1">
      <alignment vertical="center" wrapText="1"/>
    </xf>
    <xf numFmtId="0" fontId="8" fillId="6" borderId="7" xfId="0" applyFont="1" applyFill="1" applyBorder="1" applyAlignment="1">
      <alignment vertical="center" wrapText="1"/>
    </xf>
    <xf numFmtId="0" fontId="7" fillId="0" borderId="7" xfId="0" applyFont="1" applyBorder="1" applyAlignment="1">
      <alignment horizontal="center" vertical="center"/>
    </xf>
    <xf numFmtId="0" fontId="7" fillId="0" borderId="7" xfId="0" applyFont="1" applyBorder="1" applyAlignment="1">
      <alignment horizontal="justify" vertical="center"/>
    </xf>
    <xf numFmtId="0" fontId="0" fillId="0" borderId="7" xfId="0" applyBorder="1" applyAlignment="1">
      <alignment horizontal="center" vertical="center" wrapText="1"/>
    </xf>
    <xf numFmtId="44" fontId="7" fillId="0" borderId="19" xfId="17" applyFont="1" applyBorder="1" applyAlignment="1">
      <alignment horizontal="center" vertical="center"/>
    </xf>
    <xf numFmtId="43" fontId="7" fillId="0" borderId="19" xfId="1" applyFont="1"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43" fontId="7" fillId="0" borderId="1" xfId="1" applyFont="1" applyBorder="1" applyAlignment="1">
      <alignment horizontal="center" vertical="center"/>
    </xf>
    <xf numFmtId="178" fontId="7" fillId="0" borderId="1" xfId="0" applyNumberFormat="1" applyFont="1" applyBorder="1" applyAlignment="1">
      <alignment horizontal="center" vertical="center"/>
    </xf>
    <xf numFmtId="0" fontId="7" fillId="0" borderId="1" xfId="0" applyFont="1" applyBorder="1" applyAlignment="1">
      <alignment horizontal="center" vertical="center"/>
    </xf>
    <xf numFmtId="178" fontId="7" fillId="0" borderId="2" xfId="0" applyNumberFormat="1" applyFont="1" applyBorder="1" applyAlignment="1">
      <alignment horizontal="center" vertical="center"/>
    </xf>
    <xf numFmtId="0" fontId="7" fillId="0" borderId="2" xfId="0" applyFont="1" applyBorder="1" applyAlignment="1">
      <alignment vertical="center"/>
    </xf>
    <xf numFmtId="0" fontId="8" fillId="0" borderId="2" xfId="0" applyFont="1" applyBorder="1" applyAlignment="1">
      <alignment horizontal="center" vertical="center"/>
    </xf>
    <xf numFmtId="0" fontId="8" fillId="0" borderId="2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44" fontId="12" fillId="6" borderId="0" xfId="17" applyFont="1" applyFill="1" applyAlignment="1">
      <alignment horizontal="center" vertical="center"/>
    </xf>
    <xf numFmtId="0" fontId="24" fillId="0" borderId="0" xfId="0" applyFont="1"/>
    <xf numFmtId="0" fontId="12" fillId="6" borderId="0" xfId="0" applyFont="1" applyFill="1" applyAlignment="1">
      <alignment vertical="center"/>
    </xf>
    <xf numFmtId="0" fontId="12" fillId="0" borderId="0" xfId="0" applyFont="1" applyAlignment="1">
      <alignment vertical="center"/>
    </xf>
    <xf numFmtId="10" fontId="24" fillId="0" borderId="2" xfId="0" applyNumberFormat="1" applyFont="1" applyBorder="1" applyAlignment="1">
      <alignment vertical="center"/>
    </xf>
    <xf numFmtId="0" fontId="12" fillId="3" borderId="9" xfId="0" applyFont="1" applyFill="1" applyBorder="1" applyAlignment="1">
      <alignment horizontal="center" vertical="center" textRotation="90" wrapText="1"/>
    </xf>
    <xf numFmtId="49" fontId="12" fillId="3" borderId="9" xfId="0" applyNumberFormat="1" applyFont="1" applyFill="1" applyBorder="1" applyAlignment="1">
      <alignment horizontal="center" vertical="center" textRotation="90" wrapText="1"/>
    </xf>
    <xf numFmtId="0" fontId="12" fillId="3" borderId="3" xfId="0" applyFont="1" applyFill="1" applyBorder="1" applyAlignment="1">
      <alignment horizontal="center" vertical="center" textRotation="90" wrapText="1"/>
    </xf>
    <xf numFmtId="0" fontId="12" fillId="0" borderId="0" xfId="0" applyFont="1" applyAlignment="1">
      <alignment horizontal="center" vertical="center"/>
    </xf>
    <xf numFmtId="1" fontId="24" fillId="5" borderId="7" xfId="0" applyNumberFormat="1" applyFont="1" applyFill="1" applyBorder="1" applyAlignment="1">
      <alignment vertical="center" wrapText="1"/>
    </xf>
    <xf numFmtId="1" fontId="24" fillId="5" borderId="7" xfId="0" applyNumberFormat="1" applyFont="1" applyFill="1" applyBorder="1" applyAlignment="1">
      <alignment horizontal="center" vertical="center" wrapText="1"/>
    </xf>
    <xf numFmtId="10" fontId="24" fillId="5" borderId="7" xfId="0" applyNumberFormat="1" applyFont="1" applyFill="1" applyBorder="1" applyAlignment="1">
      <alignment vertical="center" wrapText="1"/>
    </xf>
    <xf numFmtId="1" fontId="24" fillId="5" borderId="8" xfId="0" applyNumberFormat="1" applyFont="1" applyFill="1" applyBorder="1" applyAlignment="1">
      <alignment vertical="center" wrapText="1"/>
    </xf>
    <xf numFmtId="1" fontId="24" fillId="7" borderId="6" xfId="0" applyNumberFormat="1" applyFont="1" applyFill="1" applyBorder="1" applyAlignment="1">
      <alignment horizontal="center" vertical="center"/>
    </xf>
    <xf numFmtId="0" fontId="24" fillId="7" borderId="2" xfId="0" applyFont="1" applyFill="1" applyBorder="1" applyAlignment="1">
      <alignment vertical="center"/>
    </xf>
    <xf numFmtId="0" fontId="24" fillId="7" borderId="2" xfId="0" applyFont="1" applyFill="1" applyBorder="1" applyAlignment="1">
      <alignment horizontal="center" vertical="center"/>
    </xf>
    <xf numFmtId="0" fontId="24" fillId="7" borderId="2" xfId="0" applyFont="1" applyFill="1" applyBorder="1" applyAlignment="1">
      <alignment horizontal="justify" vertical="center"/>
    </xf>
    <xf numFmtId="10" fontId="24" fillId="7" borderId="2" xfId="0" applyNumberFormat="1" applyFont="1" applyFill="1" applyBorder="1" applyAlignment="1">
      <alignment horizontal="center" vertical="center"/>
    </xf>
    <xf numFmtId="168" fontId="24" fillId="7" borderId="2" xfId="0" applyNumberFormat="1" applyFont="1" applyFill="1" applyBorder="1" applyAlignment="1">
      <alignment vertical="center"/>
    </xf>
    <xf numFmtId="168" fontId="24" fillId="7" borderId="2" xfId="0" applyNumberFormat="1" applyFont="1" applyFill="1" applyBorder="1" applyAlignment="1">
      <alignment horizontal="center" vertical="center"/>
    </xf>
    <xf numFmtId="1" fontId="24" fillId="7" borderId="2" xfId="0" applyNumberFormat="1" applyFont="1" applyFill="1" applyBorder="1" applyAlignment="1">
      <alignment horizontal="center" vertical="center"/>
    </xf>
    <xf numFmtId="167" fontId="24" fillId="7" borderId="2" xfId="0" applyNumberFormat="1" applyFont="1" applyFill="1" applyBorder="1" applyAlignment="1">
      <alignment vertical="center"/>
    </xf>
    <xf numFmtId="0" fontId="24" fillId="7" borderId="20" xfId="0" applyFont="1" applyFill="1" applyBorder="1" applyAlignment="1">
      <alignment horizontal="justify" vertical="center"/>
    </xf>
    <xf numFmtId="0" fontId="24" fillId="8" borderId="7" xfId="0" applyFont="1" applyFill="1" applyBorder="1" applyAlignment="1">
      <alignment vertical="center"/>
    </xf>
    <xf numFmtId="0" fontId="24" fillId="8" borderId="7" xfId="0" applyFont="1" applyFill="1" applyBorder="1" applyAlignment="1">
      <alignment horizontal="center" vertical="center"/>
    </xf>
    <xf numFmtId="0" fontId="24" fillId="8" borderId="7" xfId="0" applyFont="1" applyFill="1" applyBorder="1" applyAlignment="1">
      <alignment horizontal="justify" vertical="center"/>
    </xf>
    <xf numFmtId="10" fontId="24" fillId="8" borderId="7" xfId="0" applyNumberFormat="1" applyFont="1" applyFill="1" applyBorder="1" applyAlignment="1">
      <alignment horizontal="center" vertical="center"/>
    </xf>
    <xf numFmtId="168" fontId="24" fillId="8" borderId="7" xfId="0" applyNumberFormat="1" applyFont="1" applyFill="1" applyBorder="1" applyAlignment="1">
      <alignment vertical="center"/>
    </xf>
    <xf numFmtId="168" fontId="24" fillId="8" borderId="7" xfId="0" applyNumberFormat="1" applyFont="1" applyFill="1" applyBorder="1" applyAlignment="1">
      <alignment horizontal="center" vertical="center"/>
    </xf>
    <xf numFmtId="1" fontId="24" fillId="8" borderId="7" xfId="0" applyNumberFormat="1" applyFont="1" applyFill="1" applyBorder="1" applyAlignment="1">
      <alignment horizontal="center" vertical="center"/>
    </xf>
    <xf numFmtId="167" fontId="24" fillId="8" borderId="7" xfId="0" applyNumberFormat="1" applyFont="1" applyFill="1" applyBorder="1" applyAlignment="1">
      <alignment vertical="center"/>
    </xf>
    <xf numFmtId="0" fontId="24" fillId="8" borderId="8" xfId="0" applyFont="1" applyFill="1" applyBorder="1" applyAlignment="1">
      <alignment horizontal="justify" vertical="center"/>
    </xf>
    <xf numFmtId="43" fontId="12" fillId="6" borderId="1" xfId="1" applyFont="1" applyFill="1" applyBorder="1" applyAlignment="1">
      <alignment horizontal="right" vertical="center" wrapText="1"/>
    </xf>
    <xf numFmtId="43" fontId="12" fillId="6" borderId="19" xfId="1" applyFont="1" applyFill="1" applyBorder="1" applyAlignment="1">
      <alignment horizontal="right" vertical="center" wrapText="1"/>
    </xf>
    <xf numFmtId="3" fontId="14" fillId="0" borderId="1" xfId="0" applyNumberFormat="1" applyFont="1" applyBorder="1" applyAlignment="1">
      <alignment horizontal="center" vertical="center" wrapText="1"/>
    </xf>
    <xf numFmtId="10" fontId="12" fillId="6" borderId="1" xfId="0" applyNumberFormat="1" applyFont="1" applyFill="1" applyBorder="1" applyAlignment="1">
      <alignment horizontal="center" vertical="center" wrapText="1"/>
    </xf>
    <xf numFmtId="0" fontId="12" fillId="6" borderId="11" xfId="0" applyFont="1" applyFill="1" applyBorder="1" applyAlignment="1">
      <alignment horizontal="justify" vertical="center" wrapText="1"/>
    </xf>
    <xf numFmtId="43" fontId="12" fillId="6" borderId="10" xfId="1" applyFont="1" applyFill="1" applyBorder="1" applyAlignment="1">
      <alignment horizontal="right" vertical="center" wrapText="1"/>
    </xf>
    <xf numFmtId="0" fontId="12" fillId="8" borderId="1" xfId="0" applyFont="1" applyFill="1" applyBorder="1" applyAlignment="1">
      <alignment horizontal="justify" vertical="center" wrapText="1"/>
    </xf>
    <xf numFmtId="10" fontId="12" fillId="8" borderId="1" xfId="0" applyNumberFormat="1" applyFont="1" applyFill="1" applyBorder="1" applyAlignment="1">
      <alignment vertical="center" wrapText="1"/>
    </xf>
    <xf numFmtId="168" fontId="12" fillId="8" borderId="1" xfId="0" applyNumberFormat="1" applyFont="1" applyFill="1" applyBorder="1" applyAlignment="1">
      <alignment vertical="center" wrapText="1"/>
    </xf>
    <xf numFmtId="43" fontId="12" fillId="8" borderId="1" xfId="1" applyFont="1" applyFill="1" applyBorder="1" applyAlignment="1">
      <alignment horizontal="center" vertical="center" wrapText="1"/>
    </xf>
    <xf numFmtId="1" fontId="12" fillId="8"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1" fontId="24" fillId="8" borderId="1" xfId="0" applyNumberFormat="1" applyFont="1" applyFill="1" applyBorder="1" applyAlignment="1">
      <alignment vertical="center" textRotation="180" wrapText="1" readingOrder="2"/>
    </xf>
    <xf numFmtId="1" fontId="24" fillId="8" borderId="1" xfId="0" applyNumberFormat="1" applyFont="1" applyFill="1" applyBorder="1" applyAlignment="1">
      <alignment vertical="center" textRotation="180" wrapText="1"/>
    </xf>
    <xf numFmtId="1" fontId="12" fillId="8" borderId="1" xfId="0" applyNumberFormat="1" applyFont="1" applyFill="1" applyBorder="1" applyAlignment="1">
      <alignment vertical="center" textRotation="180" wrapText="1"/>
    </xf>
    <xf numFmtId="1" fontId="12" fillId="8" borderId="1" xfId="0" applyNumberFormat="1" applyFont="1" applyFill="1" applyBorder="1" applyAlignment="1">
      <alignment horizontal="center" vertical="center" textRotation="180" wrapText="1"/>
    </xf>
    <xf numFmtId="1" fontId="24" fillId="8" borderId="1" xfId="0" applyNumberFormat="1" applyFont="1" applyFill="1" applyBorder="1" applyAlignment="1">
      <alignment horizontal="center" vertical="center" textRotation="180" wrapText="1"/>
    </xf>
    <xf numFmtId="167" fontId="12" fillId="8" borderId="1" xfId="0" applyNumberFormat="1" applyFont="1" applyFill="1" applyBorder="1" applyAlignment="1">
      <alignment vertical="center" wrapText="1"/>
    </xf>
    <xf numFmtId="3" fontId="12" fillId="8" borderId="1" xfId="0" applyNumberFormat="1" applyFont="1" applyFill="1" applyBorder="1" applyAlignment="1">
      <alignment vertical="center" wrapText="1"/>
    </xf>
    <xf numFmtId="10" fontId="12" fillId="6" borderId="9" xfId="0" applyNumberFormat="1" applyFont="1" applyFill="1" applyBorder="1" applyAlignment="1">
      <alignment horizontal="center" vertical="center" wrapText="1"/>
    </xf>
    <xf numFmtId="43" fontId="12" fillId="6" borderId="1" xfId="1" applyFont="1" applyFill="1" applyBorder="1" applyAlignment="1">
      <alignment horizontal="right" vertical="center"/>
    </xf>
    <xf numFmtId="1" fontId="12" fillId="6" borderId="1" xfId="0" applyNumberFormat="1" applyFont="1" applyFill="1" applyBorder="1" applyAlignment="1">
      <alignment horizontal="center" vertical="center"/>
    </xf>
    <xf numFmtId="0" fontId="12" fillId="8" borderId="0" xfId="0" applyFont="1" applyFill="1" applyAlignment="1">
      <alignment horizontal="center" vertical="center"/>
    </xf>
    <xf numFmtId="0" fontId="12" fillId="8" borderId="0" xfId="0" applyFont="1" applyFill="1" applyAlignment="1">
      <alignment horizontal="justify" vertical="center"/>
    </xf>
    <xf numFmtId="0" fontId="12" fillId="8" borderId="0" xfId="0" applyFont="1" applyFill="1" applyAlignment="1">
      <alignment vertical="center"/>
    </xf>
    <xf numFmtId="0" fontId="12" fillId="8" borderId="0" xfId="0" applyFont="1" applyFill="1" applyAlignment="1">
      <alignment vertical="center" wrapText="1"/>
    </xf>
    <xf numFmtId="10" fontId="12" fillId="8" borderId="0" xfId="0" applyNumberFormat="1" applyFont="1" applyFill="1" applyAlignment="1">
      <alignment horizontal="center" vertical="center"/>
    </xf>
    <xf numFmtId="168" fontId="12" fillId="8" borderId="0" xfId="0" applyNumberFormat="1" applyFont="1" applyFill="1" applyAlignment="1">
      <alignment vertical="center"/>
    </xf>
    <xf numFmtId="0" fontId="12" fillId="8" borderId="0" xfId="0" applyFont="1" applyFill="1" applyAlignment="1">
      <alignment horizontal="justify" vertical="center" wrapText="1"/>
    </xf>
    <xf numFmtId="43" fontId="12" fillId="8" borderId="0" xfId="1" applyFont="1" applyFill="1" applyAlignment="1">
      <alignment horizontal="center" vertical="center"/>
    </xf>
    <xf numFmtId="1" fontId="12" fillId="8" borderId="0" xfId="0" applyNumberFormat="1" applyFont="1" applyFill="1" applyAlignment="1">
      <alignment horizontal="center" vertical="center"/>
    </xf>
    <xf numFmtId="167" fontId="12" fillId="8" borderId="0" xfId="0" applyNumberFormat="1" applyFont="1" applyFill="1" applyAlignment="1">
      <alignment vertical="center" wrapText="1"/>
    </xf>
    <xf numFmtId="3" fontId="12" fillId="8" borderId="0" xfId="0" applyNumberFormat="1" applyFont="1" applyFill="1" applyAlignment="1">
      <alignment vertical="center" wrapText="1"/>
    </xf>
    <xf numFmtId="43" fontId="12" fillId="0" borderId="1" xfId="1" applyFont="1" applyBorder="1" applyAlignment="1">
      <alignment horizontal="right" vertical="center"/>
    </xf>
    <xf numFmtId="1" fontId="12" fillId="0" borderId="1" xfId="0" applyNumberFormat="1" applyFont="1" applyBorder="1" applyAlignment="1">
      <alignment horizontal="center" vertical="center"/>
    </xf>
    <xf numFmtId="43" fontId="12" fillId="0" borderId="1" xfId="1" applyFont="1" applyFill="1" applyBorder="1" applyAlignment="1">
      <alignment horizontal="right" vertical="center"/>
    </xf>
    <xf numFmtId="1"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9" xfId="0" applyFont="1" applyBorder="1" applyAlignment="1">
      <alignment vertical="center" wrapText="1"/>
    </xf>
    <xf numFmtId="0" fontId="12" fillId="0" borderId="10" xfId="0" applyFont="1" applyBorder="1" applyAlignment="1">
      <alignment horizontal="center" vertical="center"/>
    </xf>
    <xf numFmtId="3" fontId="14" fillId="0" borderId="19" xfId="0" applyNumberFormat="1" applyFont="1" applyBorder="1" applyAlignment="1">
      <alignment horizontal="center" vertical="center" wrapText="1"/>
    </xf>
    <xf numFmtId="10" fontId="12" fillId="6" borderId="1" xfId="0" applyNumberFormat="1" applyFont="1" applyFill="1" applyBorder="1" applyAlignment="1">
      <alignment horizontal="center" vertical="center"/>
    </xf>
    <xf numFmtId="0" fontId="17" fillId="0" borderId="1" xfId="0" applyFont="1" applyBorder="1" applyAlignment="1">
      <alignment horizontal="left" vertical="center" wrapText="1" readingOrder="2"/>
    </xf>
    <xf numFmtId="43" fontId="12" fillId="6" borderId="1" xfId="1" applyFont="1" applyFill="1" applyBorder="1" applyAlignment="1">
      <alignment vertical="center"/>
    </xf>
    <xf numFmtId="3" fontId="14" fillId="6" borderId="1" xfId="0" applyNumberFormat="1" applyFont="1" applyFill="1" applyBorder="1" applyAlignment="1">
      <alignment horizontal="center" vertical="center" wrapText="1"/>
    </xf>
    <xf numFmtId="0" fontId="17" fillId="6" borderId="1" xfId="0" applyFont="1" applyFill="1" applyBorder="1" applyAlignment="1">
      <alignment horizontal="justify" vertical="center" wrapText="1"/>
    </xf>
    <xf numFmtId="0" fontId="17" fillId="6" borderId="19" xfId="0" applyFont="1" applyFill="1" applyBorder="1" applyAlignment="1">
      <alignment horizontal="justify" vertical="center" wrapText="1"/>
    </xf>
    <xf numFmtId="0" fontId="12" fillId="0" borderId="9" xfId="0" applyFont="1" applyBorder="1" applyAlignment="1">
      <alignment horizontal="center" vertical="center"/>
    </xf>
    <xf numFmtId="0" fontId="0" fillId="0" borderId="0" xfId="0" applyAlignment="1">
      <alignment horizontal="justify" vertical="center" wrapText="1"/>
    </xf>
    <xf numFmtId="10" fontId="12" fillId="6" borderId="9" xfId="0" applyNumberFormat="1" applyFont="1" applyFill="1" applyBorder="1" applyAlignment="1">
      <alignment horizontal="center" vertical="center"/>
    </xf>
    <xf numFmtId="43" fontId="12" fillId="6" borderId="9" xfId="1" applyFont="1" applyFill="1" applyBorder="1" applyAlignment="1">
      <alignment vertical="center"/>
    </xf>
    <xf numFmtId="1" fontId="12" fillId="6" borderId="9" xfId="0" applyNumberFormat="1" applyFont="1" applyFill="1" applyBorder="1" applyAlignment="1">
      <alignment horizontal="center" vertical="center"/>
    </xf>
    <xf numFmtId="1" fontId="24" fillId="5" borderId="1" xfId="0" applyNumberFormat="1" applyFont="1" applyFill="1" applyBorder="1" applyAlignment="1">
      <alignment horizontal="center" vertical="center"/>
    </xf>
    <xf numFmtId="0" fontId="12" fillId="5" borderId="7" xfId="0" applyFont="1" applyFill="1" applyBorder="1" applyAlignment="1">
      <alignment vertical="center"/>
    </xf>
    <xf numFmtId="0" fontId="12" fillId="5" borderId="7" xfId="0" applyFont="1" applyFill="1" applyBorder="1" applyAlignment="1">
      <alignment horizontal="center" vertical="center"/>
    </xf>
    <xf numFmtId="0" fontId="12" fillId="5" borderId="4" xfId="0" applyFont="1" applyFill="1" applyBorder="1" applyAlignment="1">
      <alignment horizontal="justify" vertical="center"/>
    </xf>
    <xf numFmtId="0" fontId="12" fillId="5" borderId="4" xfId="0" applyFont="1" applyFill="1" applyBorder="1" applyAlignment="1">
      <alignment vertical="center"/>
    </xf>
    <xf numFmtId="0" fontId="12" fillId="5" borderId="4" xfId="0" applyFont="1" applyFill="1" applyBorder="1" applyAlignment="1">
      <alignment horizontal="center" vertical="center"/>
    </xf>
    <xf numFmtId="10" fontId="12" fillId="5" borderId="4" xfId="0" applyNumberFormat="1" applyFont="1" applyFill="1" applyBorder="1" applyAlignment="1">
      <alignment horizontal="center" vertical="center"/>
    </xf>
    <xf numFmtId="168" fontId="12" fillId="5" borderId="4" xfId="0" applyNumberFormat="1" applyFont="1" applyFill="1" applyBorder="1" applyAlignment="1">
      <alignment vertical="center"/>
    </xf>
    <xf numFmtId="168" fontId="12" fillId="5" borderId="4" xfId="0" applyNumberFormat="1" applyFont="1" applyFill="1" applyBorder="1" applyAlignment="1">
      <alignment horizontal="center" vertical="center"/>
    </xf>
    <xf numFmtId="1" fontId="12" fillId="5" borderId="4" xfId="0" applyNumberFormat="1" applyFont="1" applyFill="1" applyBorder="1" applyAlignment="1">
      <alignment horizontal="center" vertical="center"/>
    </xf>
    <xf numFmtId="167" fontId="12" fillId="5" borderId="4" xfId="0" applyNumberFormat="1" applyFont="1" applyFill="1" applyBorder="1" applyAlignment="1">
      <alignment horizontal="right" vertical="center"/>
    </xf>
    <xf numFmtId="167" fontId="12" fillId="5" borderId="4" xfId="0" applyNumberFormat="1" applyFont="1" applyFill="1" applyBorder="1" applyAlignment="1">
      <alignment horizontal="center" vertical="center"/>
    </xf>
    <xf numFmtId="0" fontId="12" fillId="5" borderId="12" xfId="0" applyFont="1" applyFill="1" applyBorder="1" applyAlignment="1">
      <alignment horizontal="justify" vertical="center"/>
    </xf>
    <xf numFmtId="0" fontId="24" fillId="7" borderId="19"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7" xfId="0" applyFont="1" applyFill="1" applyBorder="1" applyAlignment="1">
      <alignment horizontal="justify" vertical="center"/>
    </xf>
    <xf numFmtId="0" fontId="12" fillId="7" borderId="7" xfId="0" applyFont="1" applyFill="1" applyBorder="1" applyAlignment="1">
      <alignment vertical="center"/>
    </xf>
    <xf numFmtId="0" fontId="12" fillId="7" borderId="7" xfId="0" applyFont="1" applyFill="1" applyBorder="1" applyAlignment="1">
      <alignment horizontal="center" vertical="center"/>
    </xf>
    <xf numFmtId="10" fontId="12" fillId="7" borderId="7" xfId="0" applyNumberFormat="1" applyFont="1" applyFill="1" applyBorder="1" applyAlignment="1">
      <alignment horizontal="center" vertical="center"/>
    </xf>
    <xf numFmtId="168" fontId="12" fillId="7" borderId="7" xfId="0" applyNumberFormat="1" applyFont="1" applyFill="1" applyBorder="1" applyAlignment="1">
      <alignment vertical="center"/>
    </xf>
    <xf numFmtId="168" fontId="12" fillId="7" borderId="7" xfId="0" applyNumberFormat="1" applyFont="1" applyFill="1" applyBorder="1" applyAlignment="1">
      <alignment horizontal="center" vertical="center"/>
    </xf>
    <xf numFmtId="1" fontId="12" fillId="7" borderId="7" xfId="0" applyNumberFormat="1" applyFont="1" applyFill="1" applyBorder="1" applyAlignment="1">
      <alignment horizontal="center" vertical="center"/>
    </xf>
    <xf numFmtId="167" fontId="12" fillId="7" borderId="7" xfId="0" applyNumberFormat="1" applyFont="1" applyFill="1" applyBorder="1" applyAlignment="1">
      <alignment horizontal="right" vertical="center"/>
    </xf>
    <xf numFmtId="167" fontId="12" fillId="7" borderId="7" xfId="0" applyNumberFormat="1" applyFont="1" applyFill="1" applyBorder="1" applyAlignment="1">
      <alignment horizontal="center" vertical="center"/>
    </xf>
    <xf numFmtId="0" fontId="12" fillId="7" borderId="8" xfId="0" applyFont="1" applyFill="1" applyBorder="1" applyAlignment="1">
      <alignment horizontal="justify" vertical="center"/>
    </xf>
    <xf numFmtId="0" fontId="24" fillId="8" borderId="4" xfId="0" applyFont="1" applyFill="1" applyBorder="1" applyAlignment="1">
      <alignment vertical="center"/>
    </xf>
    <xf numFmtId="0" fontId="12" fillId="8" borderId="7" xfId="0" applyFont="1" applyFill="1" applyBorder="1" applyAlignment="1">
      <alignment horizontal="justify" vertical="center"/>
    </xf>
    <xf numFmtId="10" fontId="12" fillId="8" borderId="7" xfId="0" applyNumberFormat="1" applyFont="1" applyFill="1" applyBorder="1" applyAlignment="1">
      <alignment horizontal="center" vertical="center"/>
    </xf>
    <xf numFmtId="168" fontId="12" fillId="8" borderId="7" xfId="0" applyNumberFormat="1" applyFont="1" applyFill="1" applyBorder="1" applyAlignment="1">
      <alignment vertical="center"/>
    </xf>
    <xf numFmtId="168" fontId="12" fillId="8" borderId="7" xfId="0" applyNumberFormat="1" applyFont="1" applyFill="1" applyBorder="1" applyAlignment="1">
      <alignment horizontal="center" vertical="center"/>
    </xf>
    <xf numFmtId="1" fontId="12" fillId="8" borderId="7" xfId="0" applyNumberFormat="1" applyFont="1" applyFill="1" applyBorder="1" applyAlignment="1">
      <alignment horizontal="center" vertical="center"/>
    </xf>
    <xf numFmtId="0" fontId="12" fillId="8" borderId="7" xfId="0" applyFont="1" applyFill="1" applyBorder="1" applyAlignment="1">
      <alignment horizontal="center" vertical="center"/>
    </xf>
    <xf numFmtId="0" fontId="12" fillId="8" borderId="7" xfId="0" applyFont="1" applyFill="1" applyBorder="1" applyAlignment="1">
      <alignment vertical="center"/>
    </xf>
    <xf numFmtId="167" fontId="12" fillId="8" borderId="7" xfId="0" applyNumberFormat="1" applyFont="1" applyFill="1" applyBorder="1" applyAlignment="1">
      <alignment horizontal="right" vertical="center"/>
    </xf>
    <xf numFmtId="167" fontId="12" fillId="8" borderId="7" xfId="0" applyNumberFormat="1" applyFont="1" applyFill="1" applyBorder="1" applyAlignment="1">
      <alignment horizontal="center" vertical="center"/>
    </xf>
    <xf numFmtId="0" fontId="12" fillId="8" borderId="8" xfId="0" applyFont="1" applyFill="1" applyBorder="1" applyAlignment="1">
      <alignment horizontal="justify" vertical="center"/>
    </xf>
    <xf numFmtId="0" fontId="14" fillId="6" borderId="1" xfId="0" applyFont="1" applyFill="1" applyBorder="1" applyAlignment="1">
      <alignment horizontal="justify" vertical="center" wrapText="1"/>
    </xf>
    <xf numFmtId="0" fontId="24" fillId="8" borderId="0" xfId="0" applyFont="1" applyFill="1" applyAlignment="1">
      <alignment vertical="center"/>
    </xf>
    <xf numFmtId="43" fontId="12" fillId="8" borderId="7" xfId="1" applyFont="1" applyFill="1" applyBorder="1" applyAlignment="1">
      <alignment horizontal="center" vertical="center"/>
    </xf>
    <xf numFmtId="43" fontId="12" fillId="0" borderId="8" xfId="1" applyFont="1" applyFill="1" applyBorder="1" applyAlignment="1">
      <alignment horizontal="right" vertical="center"/>
    </xf>
    <xf numFmtId="43" fontId="12" fillId="0" borderId="0" xfId="1" applyFont="1" applyFill="1" applyAlignment="1">
      <alignment horizontal="right" vertical="center"/>
    </xf>
    <xf numFmtId="179" fontId="14" fillId="6" borderId="1" xfId="0" applyNumberFormat="1" applyFont="1" applyFill="1" applyBorder="1" applyAlignment="1">
      <alignment horizontal="center" vertical="center" wrapText="1"/>
    </xf>
    <xf numFmtId="0" fontId="12" fillId="6" borderId="9" xfId="0" applyFont="1" applyFill="1" applyBorder="1" applyAlignment="1">
      <alignment vertical="center"/>
    </xf>
    <xf numFmtId="0" fontId="12" fillId="6" borderId="10" xfId="0" applyFont="1" applyFill="1" applyBorder="1" applyAlignment="1">
      <alignment vertical="center"/>
    </xf>
    <xf numFmtId="0" fontId="12" fillId="6" borderId="19" xfId="0" applyFont="1" applyFill="1" applyBorder="1" applyAlignment="1">
      <alignment vertical="center"/>
    </xf>
    <xf numFmtId="43" fontId="12" fillId="0" borderId="9" xfId="1" applyFont="1" applyFill="1" applyBorder="1" applyAlignment="1">
      <alignment horizontal="right" vertical="center"/>
    </xf>
    <xf numFmtId="1" fontId="12" fillId="0" borderId="9" xfId="0" applyNumberFormat="1" applyFont="1" applyFill="1" applyBorder="1" applyAlignment="1">
      <alignment horizontal="center" vertical="center"/>
    </xf>
    <xf numFmtId="0" fontId="12" fillId="0" borderId="10" xfId="0" applyFont="1" applyBorder="1" applyAlignment="1">
      <alignment horizontal="center" vertical="center" textRotation="3"/>
    </xf>
    <xf numFmtId="0" fontId="24" fillId="8" borderId="6" xfId="0" applyFont="1" applyFill="1" applyBorder="1" applyAlignment="1">
      <alignment vertical="center"/>
    </xf>
    <xf numFmtId="0" fontId="24" fillId="8" borderId="8" xfId="0" applyFont="1" applyFill="1" applyBorder="1" applyAlignment="1">
      <alignment vertical="center"/>
    </xf>
    <xf numFmtId="3" fontId="14" fillId="6" borderId="54" xfId="0" applyNumberFormat="1" applyFont="1" applyFill="1" applyBorder="1" applyAlignment="1">
      <alignment horizontal="center" vertical="center" wrapText="1"/>
    </xf>
    <xf numFmtId="43" fontId="12" fillId="6" borderId="9" xfId="1" applyFont="1" applyFill="1" applyBorder="1" applyAlignment="1">
      <alignment horizontal="right" vertical="center"/>
    </xf>
    <xf numFmtId="0" fontId="24" fillId="8" borderId="6" xfId="0" applyFont="1" applyFill="1" applyBorder="1" applyAlignment="1">
      <alignment horizontal="justify" vertical="center"/>
    </xf>
    <xf numFmtId="1" fontId="14" fillId="0" borderId="19" xfId="0" applyNumberFormat="1" applyFont="1" applyBorder="1" applyAlignment="1">
      <alignment horizontal="center" vertical="center" wrapText="1"/>
    </xf>
    <xf numFmtId="0" fontId="12" fillId="6" borderId="1" xfId="0" applyFont="1" applyFill="1" applyBorder="1" applyAlignment="1">
      <alignment horizontal="justify" vertical="center"/>
    </xf>
    <xf numFmtId="43" fontId="12" fillId="0" borderId="1" xfId="1" applyFont="1" applyFill="1" applyBorder="1" applyAlignment="1">
      <alignment vertical="center"/>
    </xf>
    <xf numFmtId="1" fontId="14" fillId="0" borderId="1" xfId="0" applyNumberFormat="1" applyFont="1" applyBorder="1" applyAlignment="1">
      <alignment horizontal="center" vertical="center" wrapText="1"/>
    </xf>
    <xf numFmtId="1" fontId="24" fillId="5" borderId="6" xfId="0" applyNumberFormat="1" applyFont="1" applyFill="1" applyBorder="1" applyAlignment="1">
      <alignment horizontal="center" vertical="center"/>
    </xf>
    <xf numFmtId="0" fontId="24" fillId="5" borderId="4" xfId="0" applyFont="1" applyFill="1" applyBorder="1" applyAlignment="1">
      <alignment vertical="center"/>
    </xf>
    <xf numFmtId="0" fontId="12" fillId="5" borderId="0" xfId="0" applyFont="1" applyFill="1" applyAlignment="1">
      <alignment vertical="center"/>
    </xf>
    <xf numFmtId="0" fontId="12" fillId="5" borderId="2" xfId="0" applyFont="1" applyFill="1" applyBorder="1" applyAlignment="1">
      <alignment vertical="center"/>
    </xf>
    <xf numFmtId="0" fontId="12" fillId="5" borderId="2" xfId="0" applyFont="1" applyFill="1" applyBorder="1" applyAlignment="1">
      <alignment horizontal="center" vertical="center"/>
    </xf>
    <xf numFmtId="0" fontId="12" fillId="5" borderId="2" xfId="0" applyFont="1" applyFill="1" applyBorder="1" applyAlignment="1">
      <alignment horizontal="justify" vertical="center"/>
    </xf>
    <xf numFmtId="10" fontId="12" fillId="5" borderId="2" xfId="0" applyNumberFormat="1" applyFont="1" applyFill="1" applyBorder="1" applyAlignment="1">
      <alignment horizontal="center" vertical="center"/>
    </xf>
    <xf numFmtId="168" fontId="12" fillId="5" borderId="2" xfId="0" applyNumberFormat="1" applyFont="1" applyFill="1" applyBorder="1" applyAlignment="1">
      <alignment vertical="center"/>
    </xf>
    <xf numFmtId="168" fontId="12" fillId="5" borderId="2" xfId="0" applyNumberFormat="1" applyFont="1" applyFill="1" applyBorder="1" applyAlignment="1">
      <alignment horizontal="center" vertical="center"/>
    </xf>
    <xf numFmtId="1" fontId="12" fillId="5" borderId="2" xfId="0" applyNumberFormat="1" applyFont="1" applyFill="1" applyBorder="1" applyAlignment="1">
      <alignment horizontal="center" vertical="center"/>
    </xf>
    <xf numFmtId="167" fontId="12" fillId="5" borderId="2" xfId="0" applyNumberFormat="1" applyFont="1" applyFill="1" applyBorder="1" applyAlignment="1">
      <alignment horizontal="right" vertical="center"/>
    </xf>
    <xf numFmtId="167" fontId="12" fillId="5" borderId="2" xfId="0" applyNumberFormat="1" applyFont="1" applyFill="1" applyBorder="1" applyAlignment="1">
      <alignment horizontal="center" vertical="center"/>
    </xf>
    <xf numFmtId="0" fontId="12" fillId="5" borderId="20" xfId="0" applyFont="1" applyFill="1" applyBorder="1" applyAlignment="1">
      <alignment horizontal="justify" vertical="center"/>
    </xf>
    <xf numFmtId="0" fontId="24" fillId="17" borderId="1" xfId="0" applyFont="1" applyFill="1" applyBorder="1" applyAlignment="1">
      <alignment horizontal="center" vertical="center"/>
    </xf>
    <xf numFmtId="0" fontId="24" fillId="17" borderId="7" xfId="0" applyFont="1" applyFill="1" applyBorder="1" applyAlignment="1">
      <alignment vertical="center"/>
    </xf>
    <xf numFmtId="0" fontId="24" fillId="17" borderId="7" xfId="0" applyFont="1" applyFill="1" applyBorder="1" applyAlignment="1">
      <alignment horizontal="center" vertical="center"/>
    </xf>
    <xf numFmtId="0" fontId="12" fillId="17" borderId="7" xfId="0" applyFont="1" applyFill="1" applyBorder="1" applyAlignment="1">
      <alignment horizontal="center" vertical="center"/>
    </xf>
    <xf numFmtId="0" fontId="12" fillId="17" borderId="7" xfId="0" applyFont="1" applyFill="1" applyBorder="1" applyAlignment="1">
      <alignment horizontal="justify" vertical="center"/>
    </xf>
    <xf numFmtId="0" fontId="12" fillId="17" borderId="7" xfId="0" applyFont="1" applyFill="1" applyBorder="1" applyAlignment="1">
      <alignment vertical="center"/>
    </xf>
    <xf numFmtId="10" fontId="12" fillId="17" borderId="7" xfId="0" applyNumberFormat="1" applyFont="1" applyFill="1" applyBorder="1" applyAlignment="1">
      <alignment horizontal="center" vertical="center"/>
    </xf>
    <xf numFmtId="168" fontId="12" fillId="17" borderId="7" xfId="0" applyNumberFormat="1" applyFont="1" applyFill="1" applyBorder="1" applyAlignment="1">
      <alignment vertical="center"/>
    </xf>
    <xf numFmtId="168" fontId="12" fillId="17" borderId="7" xfId="0" applyNumberFormat="1" applyFont="1" applyFill="1" applyBorder="1" applyAlignment="1">
      <alignment horizontal="center" vertical="center"/>
    </xf>
    <xf numFmtId="1" fontId="12" fillId="17" borderId="7" xfId="0" applyNumberFormat="1" applyFont="1" applyFill="1" applyBorder="1" applyAlignment="1">
      <alignment horizontal="center" vertical="center"/>
    </xf>
    <xf numFmtId="167" fontId="12" fillId="17" borderId="7" xfId="0" applyNumberFormat="1" applyFont="1" applyFill="1" applyBorder="1" applyAlignment="1">
      <alignment horizontal="right" vertical="center"/>
    </xf>
    <xf numFmtId="167" fontId="12" fillId="17" borderId="7" xfId="0" applyNumberFormat="1" applyFont="1" applyFill="1" applyBorder="1" applyAlignment="1">
      <alignment horizontal="center" vertical="center"/>
    </xf>
    <xf numFmtId="0" fontId="12" fillId="17" borderId="8" xfId="0" applyFont="1" applyFill="1" applyBorder="1" applyAlignment="1">
      <alignment horizontal="justify" vertical="center"/>
    </xf>
    <xf numFmtId="1" fontId="14" fillId="6" borderId="1" xfId="0" applyNumberFormat="1" applyFont="1" applyFill="1" applyBorder="1" applyAlignment="1">
      <alignment horizontal="center" vertical="center" wrapText="1"/>
    </xf>
    <xf numFmtId="1" fontId="14" fillId="6" borderId="1" xfId="0" applyNumberFormat="1" applyFont="1" applyFill="1" applyBorder="1" applyAlignment="1">
      <alignment horizontal="center" vertical="center"/>
    </xf>
    <xf numFmtId="1" fontId="24" fillId="0" borderId="1" xfId="0" applyNumberFormat="1" applyFont="1" applyBorder="1" applyAlignment="1">
      <alignment vertical="center"/>
    </xf>
    <xf numFmtId="0" fontId="24" fillId="6" borderId="1" xfId="0" applyFont="1" applyFill="1" applyBorder="1" applyAlignment="1">
      <alignment horizontal="justify" vertical="center"/>
    </xf>
    <xf numFmtId="0" fontId="7" fillId="6" borderId="1" xfId="0" applyFont="1" applyFill="1" applyBorder="1" applyAlignment="1">
      <alignment vertical="center" wrapText="1"/>
    </xf>
    <xf numFmtId="0" fontId="24" fillId="6" borderId="1" xfId="0" applyFont="1" applyFill="1" applyBorder="1" applyAlignment="1">
      <alignment vertical="center"/>
    </xf>
    <xf numFmtId="0" fontId="24" fillId="6" borderId="1" xfId="0" applyFont="1" applyFill="1" applyBorder="1" applyAlignment="1">
      <alignment horizontal="center" vertical="center"/>
    </xf>
    <xf numFmtId="10" fontId="24" fillId="6" borderId="1" xfId="0" applyNumberFormat="1" applyFont="1" applyFill="1" applyBorder="1" applyAlignment="1">
      <alignment horizontal="center" vertical="center"/>
    </xf>
    <xf numFmtId="43" fontId="24" fillId="6" borderId="1" xfId="1" applyFont="1" applyFill="1" applyBorder="1" applyAlignment="1">
      <alignment horizontal="center" vertical="center"/>
    </xf>
    <xf numFmtId="43" fontId="24" fillId="6" borderId="1" xfId="1" applyFont="1" applyFill="1" applyBorder="1" applyAlignment="1">
      <alignment horizontal="justify" vertical="center"/>
    </xf>
    <xf numFmtId="43" fontId="7" fillId="6" borderId="1" xfId="1" applyFont="1" applyFill="1" applyBorder="1" applyAlignment="1">
      <alignment horizontal="justify" vertical="center" wrapText="1"/>
    </xf>
    <xf numFmtId="1" fontId="24" fillId="6" borderId="1" xfId="0" applyNumberFormat="1" applyFont="1" applyFill="1" applyBorder="1" applyAlignment="1">
      <alignment horizontal="center" vertical="center"/>
    </xf>
    <xf numFmtId="167" fontId="24" fillId="0" borderId="1" xfId="0" applyNumberFormat="1" applyFont="1" applyBorder="1" applyAlignment="1">
      <alignment horizontal="right" vertical="center"/>
    </xf>
    <xf numFmtId="167" fontId="24" fillId="0" borderId="1" xfId="0" applyNumberFormat="1" applyFont="1" applyBorder="1" applyAlignment="1">
      <alignment horizontal="center" vertical="center"/>
    </xf>
    <xf numFmtId="0" fontId="24" fillId="0" borderId="1" xfId="0" applyFont="1" applyBorder="1" applyAlignment="1">
      <alignment horizontal="justify" vertical="center"/>
    </xf>
    <xf numFmtId="1" fontId="12" fillId="0" borderId="0" xfId="0" applyNumberFormat="1" applyFont="1" applyAlignment="1">
      <alignment vertical="center"/>
    </xf>
    <xf numFmtId="0" fontId="4" fillId="6" borderId="0" xfId="0" applyFont="1" applyFill="1" applyAlignment="1">
      <alignment vertical="center" wrapText="1"/>
    </xf>
    <xf numFmtId="10" fontId="12" fillId="6" borderId="0" xfId="0" applyNumberFormat="1" applyFont="1" applyFill="1" applyAlignment="1">
      <alignment horizontal="center" vertical="center"/>
    </xf>
    <xf numFmtId="167" fontId="12" fillId="0" borderId="0" xfId="0" applyNumberFormat="1" applyFont="1" applyAlignment="1">
      <alignment horizontal="center" vertical="center"/>
    </xf>
    <xf numFmtId="3" fontId="31" fillId="0" borderId="0" xfId="18" applyNumberFormat="1" applyFont="1" applyAlignment="1">
      <alignment horizontal="center" vertical="center"/>
    </xf>
    <xf numFmtId="3" fontId="31" fillId="0" borderId="0" xfId="0" applyNumberFormat="1" applyFont="1" applyAlignment="1">
      <alignment horizontal="center" vertical="center"/>
    </xf>
    <xf numFmtId="166" fontId="31" fillId="0" borderId="0" xfId="18" applyNumberFormat="1" applyFont="1" applyAlignment="1">
      <alignment horizontal="center" vertical="center"/>
    </xf>
    <xf numFmtId="0" fontId="8" fillId="0" borderId="1" xfId="0" applyFont="1" applyBorder="1" applyAlignment="1">
      <alignment horizontal="center" vertical="center" wrapText="1"/>
    </xf>
    <xf numFmtId="0" fontId="8" fillId="6" borderId="1" xfId="0" applyFont="1" applyFill="1" applyBorder="1" applyAlignment="1">
      <alignment horizontal="justify" vertical="center" wrapText="1"/>
    </xf>
    <xf numFmtId="0" fontId="8" fillId="6" borderId="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12" fillId="8" borderId="2" xfId="0" applyFont="1" applyFill="1" applyBorder="1" applyAlignment="1">
      <alignment vertical="center"/>
    </xf>
    <xf numFmtId="0" fontId="24" fillId="7" borderId="7" xfId="0" applyFont="1" applyFill="1" applyBorder="1" applyAlignment="1">
      <alignment horizontal="center" vertical="center"/>
    </xf>
    <xf numFmtId="0" fontId="24" fillId="0" borderId="2" xfId="0" applyFont="1" applyBorder="1" applyAlignment="1">
      <alignment horizontal="center" vertical="center"/>
    </xf>
    <xf numFmtId="0" fontId="27" fillId="4" borderId="1" xfId="0" applyFont="1" applyFill="1" applyBorder="1" applyAlignment="1">
      <alignment horizontal="center" vertical="center" wrapText="1"/>
    </xf>
    <xf numFmtId="1" fontId="12" fillId="6" borderId="1" xfId="0" applyNumberFormat="1" applyFont="1" applyFill="1" applyBorder="1" applyAlignment="1">
      <alignment horizontal="center" vertical="center" wrapText="1"/>
    </xf>
    <xf numFmtId="0" fontId="12" fillId="6" borderId="0" xfId="0" applyFont="1" applyFill="1" applyAlignment="1">
      <alignment horizontal="center" vertical="center"/>
    </xf>
    <xf numFmtId="1" fontId="4" fillId="6" borderId="10" xfId="0" applyNumberFormat="1" applyFont="1" applyFill="1" applyBorder="1" applyAlignment="1">
      <alignment horizontal="center" vertical="center" wrapText="1"/>
    </xf>
    <xf numFmtId="1" fontId="4" fillId="6" borderId="9" xfId="0" applyNumberFormat="1" applyFont="1" applyFill="1" applyBorder="1" applyAlignment="1">
      <alignment horizontal="center" vertical="center" wrapText="1"/>
    </xf>
    <xf numFmtId="1" fontId="4" fillId="6" borderId="19" xfId="0" applyNumberFormat="1"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0" xfId="0" applyFont="1" applyFill="1" applyAlignment="1">
      <alignment horizontal="center" vertical="center" wrapText="1"/>
    </xf>
    <xf numFmtId="0" fontId="12" fillId="6" borderId="3"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5" xfId="0" applyFont="1" applyFill="1" applyBorder="1" applyAlignment="1">
      <alignment horizontal="center" vertical="center" wrapText="1"/>
    </xf>
    <xf numFmtId="1" fontId="12" fillId="6" borderId="19" xfId="0" applyNumberFormat="1" applyFont="1" applyFill="1" applyBorder="1" applyAlignment="1">
      <alignment horizontal="center" vertical="center" wrapText="1"/>
    </xf>
    <xf numFmtId="0" fontId="7" fillId="0" borderId="54" xfId="0" applyFont="1" applyBorder="1"/>
    <xf numFmtId="0" fontId="7" fillId="0" borderId="55" xfId="0" applyFont="1" applyBorder="1"/>
    <xf numFmtId="0" fontId="8" fillId="0" borderId="0" xfId="0" applyFont="1"/>
    <xf numFmtId="0" fontId="7" fillId="0" borderId="1" xfId="0" applyFont="1" applyBorder="1" applyAlignment="1">
      <alignment horizontal="left"/>
    </xf>
    <xf numFmtId="164" fontId="7" fillId="0" borderId="50" xfId="0" applyNumberFormat="1" applyFont="1" applyBorder="1" applyAlignment="1">
      <alignment horizontal="left"/>
    </xf>
    <xf numFmtId="0" fontId="7" fillId="0" borderId="1" xfId="0" applyFont="1" applyBorder="1"/>
    <xf numFmtId="17" fontId="7" fillId="0" borderId="50" xfId="0" applyNumberFormat="1" applyFont="1" applyBorder="1" applyAlignment="1">
      <alignment horizontal="left"/>
    </xf>
    <xf numFmtId="0" fontId="7" fillId="0" borderId="1" xfId="0" applyFont="1" applyBorder="1" applyAlignment="1">
      <alignment vertical="center"/>
    </xf>
    <xf numFmtId="3" fontId="7" fillId="2" borderId="50" xfId="0" applyNumberFormat="1" applyFont="1" applyFill="1" applyBorder="1" applyAlignment="1">
      <alignment horizontal="left" vertical="center" wrapText="1"/>
    </xf>
    <xf numFmtId="0" fontId="8" fillId="0" borderId="0" xfId="0" applyFont="1" applyAlignment="1">
      <alignment wrapText="1"/>
    </xf>
    <xf numFmtId="0" fontId="7" fillId="3" borderId="1" xfId="0" applyFont="1" applyFill="1" applyBorder="1" applyAlignment="1">
      <alignment horizontal="center" vertical="center" textRotation="90" wrapText="1"/>
    </xf>
    <xf numFmtId="49" fontId="7" fillId="3" borderId="1" xfId="0" applyNumberFormat="1" applyFont="1" applyFill="1" applyBorder="1" applyAlignment="1">
      <alignment horizontal="center" vertical="center" textRotation="90" wrapText="1"/>
    </xf>
    <xf numFmtId="1" fontId="7" fillId="18" borderId="6" xfId="0" applyNumberFormat="1" applyFont="1" applyFill="1" applyBorder="1" applyAlignment="1">
      <alignment horizontal="left" vertical="center" wrapText="1"/>
    </xf>
    <xf numFmtId="0" fontId="7" fillId="18" borderId="7" xfId="0" applyFont="1" applyFill="1" applyBorder="1" applyAlignment="1">
      <alignment vertical="center"/>
    </xf>
    <xf numFmtId="0" fontId="7" fillId="18" borderId="7" xfId="0" applyFont="1" applyFill="1" applyBorder="1" applyAlignment="1">
      <alignment horizontal="justify" vertical="center"/>
    </xf>
    <xf numFmtId="0" fontId="7" fillId="18" borderId="7" xfId="0" applyFont="1" applyFill="1" applyBorder="1" applyAlignment="1">
      <alignment horizontal="center" vertical="center"/>
    </xf>
    <xf numFmtId="169" fontId="7" fillId="18" borderId="7" xfId="0" applyNumberFormat="1" applyFont="1" applyFill="1" applyBorder="1" applyAlignment="1">
      <alignment horizontal="center" vertical="center"/>
    </xf>
    <xf numFmtId="168" fontId="7" fillId="18" borderId="7" xfId="0" applyNumberFormat="1" applyFont="1" applyFill="1" applyBorder="1" applyAlignment="1">
      <alignment vertical="center"/>
    </xf>
    <xf numFmtId="180" fontId="7" fillId="18" borderId="7" xfId="19" applyFont="1" applyFill="1" applyBorder="1" applyAlignment="1">
      <alignment vertical="center"/>
    </xf>
    <xf numFmtId="1" fontId="7" fillId="18" borderId="7" xfId="0" applyNumberFormat="1" applyFont="1" applyFill="1" applyBorder="1" applyAlignment="1">
      <alignment horizontal="center" vertical="center"/>
    </xf>
    <xf numFmtId="167" fontId="7" fillId="18" borderId="7" xfId="0" applyNumberFormat="1" applyFont="1" applyFill="1" applyBorder="1" applyAlignment="1">
      <alignment vertical="center"/>
    </xf>
    <xf numFmtId="0" fontId="7" fillId="18" borderId="8" xfId="0" applyFont="1" applyFill="1" applyBorder="1" applyAlignment="1">
      <alignment horizontal="justify" vertical="center"/>
    </xf>
    <xf numFmtId="0" fontId="8" fillId="6" borderId="0" xfId="0" applyFont="1" applyFill="1"/>
    <xf numFmtId="0" fontId="8" fillId="6" borderId="3" xfId="0" applyFont="1" applyFill="1" applyBorder="1" applyAlignment="1">
      <alignment vertical="center" wrapText="1"/>
    </xf>
    <xf numFmtId="0" fontId="8" fillId="6" borderId="4" xfId="0" applyFont="1" applyFill="1" applyBorder="1" applyAlignment="1">
      <alignment vertical="center" wrapText="1"/>
    </xf>
    <xf numFmtId="0" fontId="8" fillId="6" borderId="12" xfId="0" applyFont="1" applyFill="1" applyBorder="1" applyAlignment="1">
      <alignment vertical="center" wrapText="1"/>
    </xf>
    <xf numFmtId="1" fontId="7" fillId="10" borderId="5" xfId="0" applyNumberFormat="1" applyFont="1" applyFill="1" applyBorder="1" applyAlignment="1">
      <alignment horizontal="center" vertical="center"/>
    </xf>
    <xf numFmtId="0" fontId="7" fillId="10" borderId="2" xfId="0" applyFont="1" applyFill="1" applyBorder="1" applyAlignment="1">
      <alignment vertical="center"/>
    </xf>
    <xf numFmtId="0" fontId="7" fillId="10" borderId="2" xfId="0" applyFont="1" applyFill="1" applyBorder="1" applyAlignment="1">
      <alignment horizontal="justify" vertical="center"/>
    </xf>
    <xf numFmtId="0" fontId="7" fillId="10" borderId="2" xfId="0" applyFont="1" applyFill="1" applyBorder="1" applyAlignment="1">
      <alignment horizontal="center" vertical="center"/>
    </xf>
    <xf numFmtId="169" fontId="7" fillId="10" borderId="2" xfId="0" applyNumberFormat="1" applyFont="1" applyFill="1" applyBorder="1" applyAlignment="1">
      <alignment horizontal="center" vertical="center"/>
    </xf>
    <xf numFmtId="168" fontId="7" fillId="10" borderId="2" xfId="0" applyNumberFormat="1" applyFont="1" applyFill="1" applyBorder="1" applyAlignment="1">
      <alignment vertical="center"/>
    </xf>
    <xf numFmtId="180" fontId="7" fillId="10" borderId="2" xfId="19" applyFont="1" applyFill="1" applyBorder="1" applyAlignment="1">
      <alignment vertical="center"/>
    </xf>
    <xf numFmtId="1" fontId="7" fillId="10" borderId="2" xfId="0" applyNumberFormat="1" applyFont="1" applyFill="1" applyBorder="1" applyAlignment="1">
      <alignment horizontal="center" vertical="center"/>
    </xf>
    <xf numFmtId="167" fontId="7" fillId="10" borderId="2" xfId="0" applyNumberFormat="1" applyFont="1" applyFill="1" applyBorder="1" applyAlignment="1">
      <alignment vertical="center"/>
    </xf>
    <xf numFmtId="0" fontId="7" fillId="10" borderId="20" xfId="0" applyFont="1" applyFill="1" applyBorder="1" applyAlignment="1">
      <alignment horizontal="justify" vertical="center"/>
    </xf>
    <xf numFmtId="0" fontId="7" fillId="6" borderId="3" xfId="0" applyFont="1" applyFill="1" applyBorder="1" applyAlignment="1">
      <alignment horizontal="center" vertical="center" wrapText="1"/>
    </xf>
    <xf numFmtId="0" fontId="7" fillId="6" borderId="0" xfId="0" applyFont="1" applyFill="1" applyAlignment="1">
      <alignment horizontal="center" vertical="center" wrapText="1"/>
    </xf>
    <xf numFmtId="1" fontId="7" fillId="19" borderId="6" xfId="0" applyNumberFormat="1" applyFont="1" applyFill="1" applyBorder="1" applyAlignment="1">
      <alignment horizontal="left" vertical="center" wrapText="1" indent="1"/>
    </xf>
    <xf numFmtId="0" fontId="7" fillId="19" borderId="7" xfId="0" applyFont="1" applyFill="1" applyBorder="1" applyAlignment="1">
      <alignment vertical="center"/>
    </xf>
    <xf numFmtId="0" fontId="7" fillId="19" borderId="7" xfId="0" applyFont="1" applyFill="1" applyBorder="1" applyAlignment="1">
      <alignment horizontal="justify" vertical="center"/>
    </xf>
    <xf numFmtId="0" fontId="7" fillId="19" borderId="4" xfId="0" applyFont="1" applyFill="1" applyBorder="1" applyAlignment="1">
      <alignment horizontal="center" vertical="center"/>
    </xf>
    <xf numFmtId="0" fontId="7" fillId="19" borderId="7" xfId="0" applyFont="1" applyFill="1" applyBorder="1" applyAlignment="1">
      <alignment horizontal="center" vertical="center"/>
    </xf>
    <xf numFmtId="169" fontId="7" fillId="19" borderId="7" xfId="0" applyNumberFormat="1" applyFont="1" applyFill="1" applyBorder="1" applyAlignment="1">
      <alignment horizontal="center" vertical="center"/>
    </xf>
    <xf numFmtId="168" fontId="7" fillId="19" borderId="7" xfId="0" applyNumberFormat="1" applyFont="1" applyFill="1" applyBorder="1" applyAlignment="1">
      <alignment vertical="center"/>
    </xf>
    <xf numFmtId="180" fontId="7" fillId="19" borderId="7" xfId="19" applyFont="1" applyFill="1" applyBorder="1" applyAlignment="1">
      <alignment vertical="center"/>
    </xf>
    <xf numFmtId="1" fontId="7" fillId="19" borderId="7" xfId="0" applyNumberFormat="1" applyFont="1" applyFill="1" applyBorder="1" applyAlignment="1">
      <alignment horizontal="center" vertical="center"/>
    </xf>
    <xf numFmtId="167" fontId="7" fillId="19" borderId="7" xfId="0" applyNumberFormat="1" applyFont="1" applyFill="1" applyBorder="1" applyAlignment="1">
      <alignment vertical="center"/>
    </xf>
    <xf numFmtId="0" fontId="7" fillId="19" borderId="8" xfId="0" applyFont="1" applyFill="1" applyBorder="1" applyAlignment="1">
      <alignment horizontal="justify" vertical="center"/>
    </xf>
    <xf numFmtId="9" fontId="8" fillId="6" borderId="1" xfId="0" applyNumberFormat="1" applyFont="1" applyFill="1" applyBorder="1" applyAlignment="1">
      <alignment horizontal="center" vertical="center" wrapText="1"/>
    </xf>
    <xf numFmtId="43" fontId="8" fillId="6" borderId="19" xfId="1" applyFont="1" applyFill="1" applyBorder="1" applyAlignment="1">
      <alignment vertical="center" wrapText="1"/>
    </xf>
    <xf numFmtId="1" fontId="8" fillId="6" borderId="19" xfId="0"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10" xfId="0" applyFont="1" applyFill="1" applyBorder="1" applyAlignment="1">
      <alignment horizontal="center" vertical="center"/>
    </xf>
    <xf numFmtId="43" fontId="8" fillId="6" borderId="1" xfId="1" applyFont="1" applyFill="1" applyBorder="1" applyAlignment="1">
      <alignment vertical="center"/>
    </xf>
    <xf numFmtId="0" fontId="8" fillId="6" borderId="6"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5" xfId="0" applyFont="1" applyFill="1" applyBorder="1" applyAlignment="1">
      <alignment horizontal="justify" vertical="center" wrapText="1"/>
    </xf>
    <xf numFmtId="43" fontId="7" fillId="19" borderId="7" xfId="1" applyFont="1" applyFill="1" applyBorder="1" applyAlignment="1">
      <alignment vertical="center"/>
    </xf>
    <xf numFmtId="168" fontId="7" fillId="19" borderId="7" xfId="0" applyNumberFormat="1" applyFont="1" applyFill="1" applyBorder="1" applyAlignment="1">
      <alignment horizontal="center" vertical="center"/>
    </xf>
    <xf numFmtId="0" fontId="8" fillId="19" borderId="8" xfId="0" applyFont="1" applyFill="1" applyBorder="1" applyAlignment="1">
      <alignment horizontal="justify" vertical="center"/>
    </xf>
    <xf numFmtId="0" fontId="7" fillId="19" borderId="0" xfId="0" applyFont="1" applyFill="1" applyBorder="1" applyAlignment="1">
      <alignment horizontal="center" vertical="center"/>
    </xf>
    <xf numFmtId="0" fontId="8" fillId="19" borderId="7" xfId="0" applyFont="1" applyFill="1" applyBorder="1" applyAlignment="1">
      <alignment vertical="center"/>
    </xf>
    <xf numFmtId="1" fontId="8" fillId="6" borderId="1" xfId="0" applyNumberFormat="1" applyFont="1" applyFill="1" applyBorder="1" applyAlignment="1">
      <alignment horizontal="center" vertical="center" wrapText="1"/>
    </xf>
    <xf numFmtId="0" fontId="8" fillId="6" borderId="19" xfId="0" applyFont="1" applyFill="1" applyBorder="1" applyAlignment="1">
      <alignment horizontal="center" vertical="center"/>
    </xf>
    <xf numFmtId="43" fontId="8" fillId="6" borderId="0" xfId="1" applyFont="1" applyFill="1" applyAlignment="1">
      <alignment vertical="center"/>
    </xf>
    <xf numFmtId="43" fontId="8" fillId="6" borderId="54" xfId="1" applyFont="1" applyFill="1" applyBorder="1" applyAlignment="1">
      <alignment vertical="center" wrapText="1"/>
    </xf>
    <xf numFmtId="0" fontId="8" fillId="6" borderId="54" xfId="0" applyFont="1" applyFill="1" applyBorder="1" applyAlignment="1">
      <alignment horizontal="center" vertical="center" wrapText="1"/>
    </xf>
    <xf numFmtId="43" fontId="7" fillId="10" borderId="2" xfId="1" applyFont="1" applyFill="1" applyBorder="1" applyAlignment="1">
      <alignment vertical="center"/>
    </xf>
    <xf numFmtId="0" fontId="8" fillId="0" borderId="10" xfId="0" applyFont="1" applyBorder="1" applyAlignment="1">
      <alignment horizontal="center" vertical="center"/>
    </xf>
    <xf numFmtId="43" fontId="8" fillId="0" borderId="1" xfId="1" applyFont="1" applyBorder="1" applyAlignment="1">
      <alignment vertical="center"/>
    </xf>
    <xf numFmtId="0" fontId="8" fillId="6" borderId="0" xfId="0" applyFont="1" applyFill="1" applyAlignment="1">
      <alignment horizontal="center" vertical="center"/>
    </xf>
    <xf numFmtId="0" fontId="8" fillId="6" borderId="0" xfId="0" applyFont="1" applyFill="1" applyAlignment="1">
      <alignment vertical="center"/>
    </xf>
    <xf numFmtId="1" fontId="8" fillId="0" borderId="6" xfId="0" applyNumberFormat="1" applyFont="1" applyBorder="1"/>
    <xf numFmtId="0" fontId="8" fillId="0" borderId="7" xfId="0" applyFont="1" applyBorder="1"/>
    <xf numFmtId="0" fontId="8" fillId="6" borderId="7" xfId="0" applyFont="1" applyFill="1" applyBorder="1" applyAlignment="1">
      <alignment horizontal="justify" vertical="center"/>
    </xf>
    <xf numFmtId="0" fontId="8" fillId="6" borderId="7" xfId="0" applyFont="1" applyFill="1" applyBorder="1" applyAlignment="1">
      <alignment horizontal="justify"/>
    </xf>
    <xf numFmtId="0" fontId="8" fillId="6" borderId="7" xfId="0" applyFont="1" applyFill="1" applyBorder="1"/>
    <xf numFmtId="0" fontId="8" fillId="6" borderId="2" xfId="0" applyFont="1" applyFill="1" applyBorder="1" applyAlignment="1">
      <alignment horizontal="center"/>
    </xf>
    <xf numFmtId="0" fontId="8" fillId="6" borderId="7" xfId="0" applyFont="1" applyFill="1" applyBorder="1" applyAlignment="1">
      <alignment horizontal="center"/>
    </xf>
    <xf numFmtId="169" fontId="8" fillId="6" borderId="7" xfId="0" applyNumberFormat="1" applyFont="1" applyFill="1" applyBorder="1" applyAlignment="1">
      <alignment horizontal="center" vertical="center"/>
    </xf>
    <xf numFmtId="43" fontId="7" fillId="6" borderId="7" xfId="1" applyFont="1" applyFill="1" applyBorder="1" applyAlignment="1">
      <alignment vertical="center"/>
    </xf>
    <xf numFmtId="0" fontId="8" fillId="6" borderId="8" xfId="0" applyFont="1" applyFill="1" applyBorder="1" applyAlignment="1">
      <alignment horizontal="justify" vertical="center"/>
    </xf>
    <xf numFmtId="43" fontId="7" fillId="6" borderId="6" xfId="1" applyFont="1" applyFill="1" applyBorder="1" applyAlignment="1">
      <alignment vertical="center"/>
    </xf>
    <xf numFmtId="1" fontId="8" fillId="6" borderId="6" xfId="0" applyNumberFormat="1" applyFont="1" applyFill="1" applyBorder="1" applyAlignment="1">
      <alignment horizontal="center" vertical="center"/>
    </xf>
    <xf numFmtId="0" fontId="8" fillId="6" borderId="7" xfId="0" applyFont="1" applyFill="1" applyBorder="1" applyAlignment="1">
      <alignment horizontal="center" vertical="center"/>
    </xf>
    <xf numFmtId="167" fontId="8" fillId="0" borderId="7" xfId="0" applyNumberFormat="1" applyFont="1" applyBorder="1" applyAlignment="1">
      <alignment horizontal="right" vertical="center"/>
    </xf>
    <xf numFmtId="167" fontId="8" fillId="0" borderId="7" xfId="0" applyNumberFormat="1" applyFont="1" applyBorder="1" applyAlignment="1">
      <alignment horizontal="center"/>
    </xf>
    <xf numFmtId="0" fontId="8" fillId="0" borderId="8" xfId="0" applyFont="1" applyBorder="1"/>
    <xf numFmtId="1" fontId="8" fillId="0" borderId="0" xfId="0" applyNumberFormat="1" applyFont="1"/>
    <xf numFmtId="0" fontId="8" fillId="6" borderId="0" xfId="0" applyFont="1" applyFill="1" applyAlignment="1">
      <alignment horizontal="justify" vertical="center"/>
    </xf>
    <xf numFmtId="0" fontId="8" fillId="6" borderId="0" xfId="0" applyFont="1" applyFill="1" applyAlignment="1">
      <alignment horizontal="justify"/>
    </xf>
    <xf numFmtId="0" fontId="8" fillId="6" borderId="0" xfId="0" applyFont="1" applyFill="1" applyAlignment="1">
      <alignment horizontal="center"/>
    </xf>
    <xf numFmtId="169" fontId="8" fillId="6" borderId="0" xfId="0" applyNumberFormat="1" applyFont="1" applyFill="1" applyAlignment="1">
      <alignment horizontal="center" vertical="center"/>
    </xf>
    <xf numFmtId="168" fontId="8" fillId="6" borderId="0" xfId="0" applyNumberFormat="1" applyFont="1" applyFill="1" applyAlignment="1">
      <alignment vertical="center"/>
    </xf>
    <xf numFmtId="180" fontId="8" fillId="6" borderId="0" xfId="19" applyFont="1" applyFill="1" applyAlignment="1">
      <alignment vertical="center"/>
    </xf>
    <xf numFmtId="1" fontId="8" fillId="6" borderId="0" xfId="0" applyNumberFormat="1" applyFont="1" applyFill="1" applyAlignment="1">
      <alignment horizontal="center" vertical="center"/>
    </xf>
    <xf numFmtId="167" fontId="8" fillId="0" borderId="0" xfId="0" applyNumberFormat="1" applyFont="1" applyAlignment="1">
      <alignment horizontal="right" vertical="center"/>
    </xf>
    <xf numFmtId="167" fontId="8" fillId="0" borderId="0" xfId="0" applyNumberFormat="1" applyFont="1" applyAlignment="1">
      <alignment horizontal="center"/>
    </xf>
    <xf numFmtId="168" fontId="8" fillId="6" borderId="0" xfId="0" applyNumberFormat="1" applyFont="1" applyFill="1" applyAlignment="1">
      <alignment horizontal="justify" vertical="center"/>
    </xf>
    <xf numFmtId="0" fontId="6" fillId="0" borderId="1" xfId="0" applyFont="1" applyBorder="1" applyAlignment="1">
      <alignment horizontal="center" vertical="center"/>
    </xf>
    <xf numFmtId="1" fontId="6" fillId="3" borderId="9" xfId="0" applyNumberFormat="1" applyFont="1" applyFill="1" applyBorder="1" applyAlignment="1">
      <alignment horizontal="center" vertical="center" wrapText="1"/>
    </xf>
    <xf numFmtId="169" fontId="6" fillId="3" borderId="9" xfId="0" applyNumberFormat="1" applyFont="1" applyFill="1" applyBorder="1" applyAlignment="1">
      <alignment horizontal="center" vertical="center" wrapText="1"/>
    </xf>
    <xf numFmtId="0" fontId="6" fillId="8" borderId="7" xfId="0" applyFont="1" applyFill="1" applyBorder="1" applyAlignment="1">
      <alignment horizontal="left" vertical="center"/>
    </xf>
    <xf numFmtId="0" fontId="4" fillId="0" borderId="1"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9" xfId="0" applyFont="1" applyBorder="1" applyAlignment="1">
      <alignment horizontal="justify" vertical="center" wrapText="1"/>
    </xf>
    <xf numFmtId="0" fontId="6" fillId="7" borderId="7" xfId="0" applyFont="1" applyFill="1" applyBorder="1" applyAlignment="1">
      <alignment horizontal="left" vertical="center"/>
    </xf>
    <xf numFmtId="1"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43" fontId="4" fillId="0" borderId="1" xfId="3" applyFont="1" applyBorder="1" applyAlignment="1">
      <alignment horizontal="center" vertical="center"/>
    </xf>
    <xf numFmtId="1" fontId="4" fillId="0" borderId="1" xfId="0" applyNumberFormat="1" applyFont="1" applyBorder="1" applyAlignment="1">
      <alignment horizontal="center" vertical="center"/>
    </xf>
    <xf numFmtId="1" fontId="4" fillId="0" borderId="9" xfId="0" applyNumberFormat="1" applyFont="1" applyFill="1" applyBorder="1" applyAlignment="1">
      <alignment horizontal="center" vertical="center"/>
    </xf>
    <xf numFmtId="0" fontId="4" fillId="0" borderId="12" xfId="0" applyFont="1" applyFill="1" applyBorder="1" applyAlignment="1">
      <alignment horizontal="justify" vertical="center" wrapText="1"/>
    </xf>
    <xf numFmtId="1" fontId="4" fillId="0" borderId="1" xfId="0" applyNumberFormat="1" applyFont="1" applyFill="1" applyBorder="1" applyAlignment="1">
      <alignment horizontal="center" vertical="center"/>
    </xf>
    <xf numFmtId="1" fontId="4" fillId="0" borderId="14" xfId="0" applyNumberFormat="1" applyFont="1" applyBorder="1" applyAlignment="1">
      <alignment horizontal="center" vertical="center"/>
    </xf>
    <xf numFmtId="1" fontId="4" fillId="0" borderId="14" xfId="0" applyNumberFormat="1" applyFont="1" applyBorder="1" applyAlignment="1">
      <alignment horizontal="center" vertical="center" wrapText="1"/>
    </xf>
    <xf numFmtId="1" fontId="4" fillId="0" borderId="14" xfId="0" applyNumberFormat="1" applyFont="1" applyFill="1" applyBorder="1" applyAlignment="1">
      <alignment horizontal="center" vertical="center" wrapText="1"/>
    </xf>
    <xf numFmtId="0" fontId="4" fillId="0" borderId="14" xfId="0" applyFont="1" applyBorder="1" applyAlignment="1">
      <alignment horizontal="justify" vertical="center" wrapText="1"/>
    </xf>
    <xf numFmtId="1" fontId="4" fillId="0" borderId="19"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 fontId="4" fillId="0" borderId="19" xfId="0" applyNumberFormat="1" applyFont="1" applyBorder="1" applyAlignment="1">
      <alignment horizontal="center" vertical="center"/>
    </xf>
    <xf numFmtId="0" fontId="4" fillId="0" borderId="19" xfId="0" applyFont="1" applyBorder="1" applyAlignment="1">
      <alignment horizontal="center" vertical="center" wrapText="1"/>
    </xf>
    <xf numFmtId="1" fontId="4" fillId="0" borderId="9" xfId="0" applyNumberFormat="1" applyFont="1" applyBorder="1" applyAlignment="1">
      <alignment horizontal="center" vertical="center"/>
    </xf>
    <xf numFmtId="0" fontId="4" fillId="0" borderId="19" xfId="0" applyFont="1" applyBorder="1" applyAlignment="1">
      <alignment horizontal="justify" vertical="center"/>
    </xf>
    <xf numFmtId="0" fontId="4" fillId="0" borderId="1" xfId="0" applyFont="1" applyBorder="1" applyAlignment="1">
      <alignment horizontal="justify"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166" fontId="4" fillId="0" borderId="10" xfId="3" applyNumberFormat="1" applyFont="1" applyBorder="1" applyAlignment="1">
      <alignment horizontal="center" vertical="center"/>
    </xf>
    <xf numFmtId="0" fontId="4" fillId="0" borderId="9" xfId="0" applyFont="1" applyBorder="1" applyAlignment="1">
      <alignment horizontal="justify" vertical="center"/>
    </xf>
    <xf numFmtId="3" fontId="4" fillId="0" borderId="9"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19" xfId="0" applyNumberFormat="1" applyFont="1" applyBorder="1" applyAlignment="1">
      <alignment horizontal="center" vertical="center"/>
    </xf>
    <xf numFmtId="0" fontId="4" fillId="0" borderId="8" xfId="0" applyFont="1" applyBorder="1" applyAlignment="1">
      <alignment horizontal="justify" vertical="center" wrapText="1"/>
    </xf>
    <xf numFmtId="0" fontId="4" fillId="0" borderId="9"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justify"/>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9" xfId="0"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4" fillId="6" borderId="14" xfId="0" applyFont="1" applyFill="1" applyBorder="1" applyAlignment="1">
      <alignment horizontal="center" vertical="center" wrapText="1"/>
    </xf>
    <xf numFmtId="1" fontId="4" fillId="6" borderId="9" xfId="0" applyNumberFormat="1" applyFont="1" applyFill="1" applyBorder="1" applyAlignment="1">
      <alignment horizontal="center" vertical="center" wrapText="1"/>
    </xf>
    <xf numFmtId="1" fontId="4" fillId="6" borderId="10" xfId="0" applyNumberFormat="1" applyFont="1" applyFill="1" applyBorder="1" applyAlignment="1">
      <alignment horizontal="center" vertical="center" wrapText="1"/>
    </xf>
    <xf numFmtId="0" fontId="4" fillId="6" borderId="9" xfId="0" applyFont="1" applyFill="1" applyBorder="1" applyAlignment="1">
      <alignment horizontal="justify" vertical="center" wrapText="1"/>
    </xf>
    <xf numFmtId="0" fontId="4" fillId="6" borderId="10" xfId="0" applyFont="1" applyFill="1" applyBorder="1" applyAlignment="1">
      <alignment horizontal="justify" vertical="center" wrapText="1"/>
    </xf>
    <xf numFmtId="0" fontId="4" fillId="0" borderId="0" xfId="0" applyFont="1" applyAlignment="1">
      <alignment horizontal="center"/>
    </xf>
    <xf numFmtId="0" fontId="4" fillId="6" borderId="19" xfId="0" applyFont="1" applyFill="1" applyBorder="1" applyAlignment="1">
      <alignment horizontal="justify" vertical="center" wrapText="1"/>
    </xf>
    <xf numFmtId="1" fontId="4" fillId="6" borderId="19" xfId="0" applyNumberFormat="1" applyFont="1" applyFill="1" applyBorder="1" applyAlignment="1">
      <alignment horizontal="center" vertical="center" wrapText="1"/>
    </xf>
    <xf numFmtId="1" fontId="4" fillId="6" borderId="14" xfId="0" applyNumberFormat="1" applyFont="1" applyFill="1" applyBorder="1" applyAlignment="1">
      <alignment horizontal="center" vertical="center" wrapText="1"/>
    </xf>
    <xf numFmtId="0" fontId="4" fillId="6" borderId="4" xfId="0" applyFont="1" applyFill="1" applyBorder="1" applyAlignment="1">
      <alignment horizontal="center"/>
    </xf>
    <xf numFmtId="0" fontId="4" fillId="6" borderId="0" xfId="0" applyFont="1" applyFill="1" applyAlignment="1">
      <alignment horizontal="center"/>
    </xf>
    <xf numFmtId="0" fontId="4" fillId="6" borderId="13" xfId="0" applyFont="1" applyFill="1" applyBorder="1" applyAlignment="1">
      <alignment horizontal="center"/>
    </xf>
    <xf numFmtId="1" fontId="6" fillId="6" borderId="4" xfId="0" applyNumberFormat="1" applyFont="1" applyFill="1" applyBorder="1" applyAlignment="1">
      <alignment horizontal="center" vertical="center" wrapText="1"/>
    </xf>
    <xf numFmtId="1" fontId="6" fillId="6" borderId="12" xfId="0" applyNumberFormat="1" applyFont="1" applyFill="1" applyBorder="1" applyAlignment="1">
      <alignment horizontal="center" vertical="center" wrapText="1"/>
    </xf>
    <xf numFmtId="1" fontId="6" fillId="6" borderId="0" xfId="0" applyNumberFormat="1" applyFont="1" applyFill="1" applyAlignment="1">
      <alignment horizontal="center" vertical="center" wrapText="1"/>
    </xf>
    <xf numFmtId="0" fontId="4" fillId="6"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3" fontId="4" fillId="0" borderId="1" xfId="0" applyNumberFormat="1" applyFont="1" applyBorder="1" applyAlignment="1">
      <alignment horizontal="center" vertical="center"/>
    </xf>
    <xf numFmtId="43" fontId="4" fillId="0" borderId="19" xfId="3" applyFont="1" applyFill="1" applyBorder="1" applyAlignment="1">
      <alignment horizontal="center" vertical="center" wrapText="1"/>
    </xf>
    <xf numFmtId="1" fontId="6" fillId="20" borderId="69" xfId="0" applyNumberFormat="1" applyFont="1" applyFill="1" applyBorder="1" applyAlignment="1">
      <alignment horizontal="left" vertical="center" wrapText="1"/>
    </xf>
    <xf numFmtId="0" fontId="6" fillId="20" borderId="6" xfId="0" applyFont="1" applyFill="1" applyBorder="1" applyAlignment="1">
      <alignment vertical="center"/>
    </xf>
    <xf numFmtId="0" fontId="6" fillId="20" borderId="7" xfId="0" applyFont="1" applyFill="1" applyBorder="1" applyAlignment="1">
      <alignment vertical="center"/>
    </xf>
    <xf numFmtId="0" fontId="6" fillId="20" borderId="7" xfId="0" applyFont="1" applyFill="1" applyBorder="1" applyAlignment="1">
      <alignment horizontal="justify" vertical="center"/>
    </xf>
    <xf numFmtId="0" fontId="6" fillId="20" borderId="7" xfId="0" applyFont="1" applyFill="1" applyBorder="1" applyAlignment="1">
      <alignment horizontal="center" vertical="center"/>
    </xf>
    <xf numFmtId="169" fontId="6" fillId="20" borderId="7" xfId="0" applyNumberFormat="1" applyFont="1" applyFill="1" applyBorder="1" applyAlignment="1">
      <alignment horizontal="center" vertical="center"/>
    </xf>
    <xf numFmtId="168" fontId="6" fillId="20" borderId="7" xfId="0" applyNumberFormat="1" applyFont="1" applyFill="1" applyBorder="1" applyAlignment="1">
      <alignment vertical="center"/>
    </xf>
    <xf numFmtId="168" fontId="6" fillId="20" borderId="7" xfId="0" applyNumberFormat="1" applyFont="1" applyFill="1" applyBorder="1" applyAlignment="1">
      <alignment horizontal="center" vertical="center"/>
    </xf>
    <xf numFmtId="1" fontId="6" fillId="20" borderId="7" xfId="0" applyNumberFormat="1" applyFont="1" applyFill="1" applyBorder="1" applyAlignment="1">
      <alignment horizontal="center" vertical="center"/>
    </xf>
    <xf numFmtId="1" fontId="24" fillId="6" borderId="3" xfId="0" applyNumberFormat="1" applyFont="1" applyFill="1" applyBorder="1" applyAlignment="1">
      <alignment horizontal="center" vertical="center" wrapText="1"/>
    </xf>
    <xf numFmtId="0" fontId="24" fillId="7" borderId="7" xfId="0" applyFont="1" applyFill="1" applyBorder="1" applyAlignment="1">
      <alignment vertical="center"/>
    </xf>
    <xf numFmtId="0" fontId="24" fillId="7" borderId="7" xfId="0" applyFont="1" applyFill="1" applyBorder="1" applyAlignment="1">
      <alignment horizontal="justify" vertical="center"/>
    </xf>
    <xf numFmtId="169" fontId="24" fillId="7" borderId="7" xfId="0" applyNumberFormat="1" applyFont="1" applyFill="1" applyBorder="1" applyAlignment="1">
      <alignment horizontal="center" vertical="center"/>
    </xf>
    <xf numFmtId="168" fontId="24" fillId="7" borderId="7" xfId="0" applyNumberFormat="1" applyFont="1" applyFill="1" applyBorder="1" applyAlignment="1">
      <alignment vertical="center"/>
    </xf>
    <xf numFmtId="168" fontId="24" fillId="7" borderId="7" xfId="0" applyNumberFormat="1" applyFont="1" applyFill="1" applyBorder="1" applyAlignment="1">
      <alignment horizontal="center" vertical="center"/>
    </xf>
    <xf numFmtId="1" fontId="24" fillId="7" borderId="7" xfId="0" applyNumberFormat="1" applyFont="1" applyFill="1" applyBorder="1" applyAlignment="1">
      <alignment horizontal="center" vertical="center"/>
    </xf>
    <xf numFmtId="167" fontId="24" fillId="7" borderId="7" xfId="0" applyNumberFormat="1" applyFont="1" applyFill="1" applyBorder="1" applyAlignment="1">
      <alignment vertical="center"/>
    </xf>
    <xf numFmtId="0" fontId="24" fillId="7" borderId="8" xfId="0" applyFont="1" applyFill="1" applyBorder="1" applyAlignment="1">
      <alignment horizontal="justify" vertical="center"/>
    </xf>
    <xf numFmtId="1" fontId="24" fillId="6" borderId="11" xfId="0" applyNumberFormat="1" applyFont="1" applyFill="1" applyBorder="1" applyAlignment="1">
      <alignment horizontal="center" vertical="center" wrapText="1"/>
    </xf>
    <xf numFmtId="0" fontId="24" fillId="6" borderId="3" xfId="0" applyFont="1" applyFill="1" applyBorder="1" applyAlignment="1">
      <alignment horizontal="center" vertical="center" wrapText="1"/>
    </xf>
    <xf numFmtId="169" fontId="24" fillId="8" borderId="7" xfId="0" applyNumberFormat="1" applyFont="1" applyFill="1" applyBorder="1" applyAlignment="1">
      <alignment horizontal="center" vertical="center"/>
    </xf>
    <xf numFmtId="1" fontId="12" fillId="6" borderId="11" xfId="0" applyNumberFormat="1" applyFont="1" applyFill="1" applyBorder="1" applyAlignment="1">
      <alignment horizontal="center" vertical="center" wrapText="1"/>
    </xf>
    <xf numFmtId="0" fontId="4" fillId="0" borderId="19" xfId="0" applyFont="1" applyBorder="1" applyAlignment="1">
      <alignment vertical="center" wrapText="1"/>
    </xf>
    <xf numFmtId="9" fontId="4" fillId="6" borderId="9" xfId="6" applyFont="1" applyFill="1" applyBorder="1" applyAlignment="1">
      <alignment horizontal="center" vertical="center"/>
    </xf>
    <xf numFmtId="9" fontId="4" fillId="6" borderId="10" xfId="6" applyFont="1" applyFill="1" applyBorder="1" applyAlignment="1">
      <alignment horizontal="center" vertical="center"/>
    </xf>
    <xf numFmtId="1" fontId="12" fillId="6" borderId="5" xfId="0" applyNumberFormat="1" applyFont="1" applyFill="1" applyBorder="1" applyAlignment="1">
      <alignment horizontal="center" vertical="center" wrapText="1"/>
    </xf>
    <xf numFmtId="0" fontId="12" fillId="6" borderId="2" xfId="0" applyFont="1" applyFill="1" applyBorder="1" applyAlignment="1">
      <alignment horizontal="center" vertical="center" wrapText="1"/>
    </xf>
    <xf numFmtId="9" fontId="4" fillId="6" borderId="19" xfId="6" applyFont="1" applyFill="1" applyBorder="1" applyAlignment="1">
      <alignment horizontal="center" vertical="center"/>
    </xf>
    <xf numFmtId="168" fontId="24" fillId="6" borderId="1" xfId="0" applyNumberFormat="1" applyFont="1" applyFill="1" applyBorder="1" applyAlignment="1">
      <alignment vertical="center"/>
    </xf>
    <xf numFmtId="0" fontId="12" fillId="6" borderId="1" xfId="0" applyFont="1" applyFill="1" applyBorder="1" applyAlignment="1">
      <alignment horizontal="center" vertical="center"/>
    </xf>
    <xf numFmtId="0" fontId="12" fillId="0" borderId="1" xfId="0" applyFont="1" applyBorder="1"/>
    <xf numFmtId="167" fontId="12" fillId="0" borderId="1" xfId="0" applyNumberFormat="1" applyFont="1" applyBorder="1" applyAlignment="1">
      <alignment horizontal="right" vertical="center"/>
    </xf>
    <xf numFmtId="167" fontId="12" fillId="0" borderId="1" xfId="0" applyNumberFormat="1" applyFont="1" applyBorder="1" applyAlignment="1">
      <alignment horizontal="center"/>
    </xf>
    <xf numFmtId="0" fontId="12" fillId="0" borderId="1" xfId="0" applyFont="1" applyBorder="1" applyAlignment="1">
      <alignment horizontal="justify" vertical="center"/>
    </xf>
    <xf numFmtId="164" fontId="3" fillId="0" borderId="1" xfId="0" applyNumberFormat="1" applyFont="1" applyBorder="1" applyAlignment="1">
      <alignment horizontal="left" vertical="center"/>
    </xf>
    <xf numFmtId="17" fontId="3" fillId="0" borderId="1" xfId="0" applyNumberFormat="1" applyFont="1" applyBorder="1" applyAlignment="1">
      <alignment horizontal="left" vertical="center"/>
    </xf>
    <xf numFmtId="168" fontId="6" fillId="3" borderId="6" xfId="0" applyNumberFormat="1" applyFont="1" applyFill="1" applyBorder="1" applyAlignment="1">
      <alignment horizontal="center" vertical="center" wrapText="1"/>
    </xf>
    <xf numFmtId="1" fontId="6" fillId="5" borderId="3" xfId="0" applyNumberFormat="1" applyFont="1" applyFill="1" applyBorder="1" applyAlignment="1">
      <alignment horizontal="left" vertical="center"/>
    </xf>
    <xf numFmtId="0" fontId="6" fillId="5" borderId="4" xfId="0" applyFont="1" applyFill="1" applyBorder="1" applyAlignment="1">
      <alignment horizontal="left" vertical="center"/>
    </xf>
    <xf numFmtId="169" fontId="6" fillId="5" borderId="4" xfId="0" applyNumberFormat="1" applyFont="1" applyFill="1" applyBorder="1" applyAlignment="1">
      <alignment horizontal="left" vertical="center"/>
    </xf>
    <xf numFmtId="168" fontId="6" fillId="5" borderId="4" xfId="0" applyNumberFormat="1" applyFont="1" applyFill="1" applyBorder="1" applyAlignment="1">
      <alignment horizontal="left" vertical="center"/>
    </xf>
    <xf numFmtId="167" fontId="6" fillId="5" borderId="4" xfId="0" applyNumberFormat="1" applyFont="1" applyFill="1" applyBorder="1" applyAlignment="1">
      <alignment horizontal="left" vertical="center"/>
    </xf>
    <xf numFmtId="0" fontId="34" fillId="5" borderId="4" xfId="0" applyFont="1" applyFill="1" applyBorder="1"/>
    <xf numFmtId="0" fontId="34" fillId="5" borderId="4" xfId="0" applyFont="1" applyFill="1" applyBorder="1" applyAlignment="1">
      <alignment horizontal="center"/>
    </xf>
    <xf numFmtId="0" fontId="34" fillId="5" borderId="12" xfId="0" applyFont="1" applyFill="1" applyBorder="1" applyAlignment="1">
      <alignment horizontal="justify"/>
    </xf>
    <xf numFmtId="0" fontId="34" fillId="0" borderId="0" xfId="0" applyFont="1"/>
    <xf numFmtId="1" fontId="6" fillId="6" borderId="3" xfId="0" applyNumberFormat="1" applyFont="1" applyFill="1" applyBorder="1" applyAlignment="1">
      <alignment horizontal="center" vertical="center" wrapText="1"/>
    </xf>
    <xf numFmtId="1" fontId="6" fillId="7" borderId="4" xfId="0" applyNumberFormat="1" applyFont="1" applyFill="1" applyBorder="1" applyAlignment="1">
      <alignment horizontal="left" vertical="center"/>
    </xf>
    <xf numFmtId="0" fontId="6" fillId="7" borderId="4" xfId="0" applyFont="1" applyFill="1" applyBorder="1" applyAlignment="1">
      <alignment horizontal="left" vertical="center"/>
    </xf>
    <xf numFmtId="169" fontId="6" fillId="7" borderId="4" xfId="0" applyNumberFormat="1" applyFont="1" applyFill="1" applyBorder="1" applyAlignment="1">
      <alignment horizontal="left" vertical="center"/>
    </xf>
    <xf numFmtId="168" fontId="6" fillId="7" borderId="4" xfId="0" applyNumberFormat="1" applyFont="1" applyFill="1" applyBorder="1" applyAlignment="1">
      <alignment horizontal="left" vertical="center"/>
    </xf>
    <xf numFmtId="167" fontId="6" fillId="7" borderId="4" xfId="0" applyNumberFormat="1" applyFont="1" applyFill="1" applyBorder="1" applyAlignment="1">
      <alignment horizontal="left" vertical="center"/>
    </xf>
    <xf numFmtId="0" fontId="34" fillId="7" borderId="4" xfId="0" applyFont="1" applyFill="1" applyBorder="1"/>
    <xf numFmtId="0" fontId="34" fillId="7" borderId="4" xfId="0" applyFont="1" applyFill="1" applyBorder="1" applyAlignment="1">
      <alignment horizontal="center"/>
    </xf>
    <xf numFmtId="0" fontId="34" fillId="7" borderId="12" xfId="0" applyFont="1" applyFill="1" applyBorder="1" applyAlignment="1">
      <alignment horizontal="justify"/>
    </xf>
    <xf numFmtId="1" fontId="6" fillId="6" borderId="11" xfId="0" applyNumberFormat="1" applyFont="1" applyFill="1" applyBorder="1" applyAlignment="1">
      <alignment horizontal="center" vertical="center" wrapText="1"/>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12" xfId="0" applyFont="1" applyFill="1" applyBorder="1" applyAlignment="1">
      <alignment horizontal="center" vertical="center"/>
    </xf>
    <xf numFmtId="1" fontId="6" fillId="8" borderId="7" xfId="0" applyNumberFormat="1" applyFont="1" applyFill="1" applyBorder="1" applyAlignment="1">
      <alignment horizontal="left" vertical="center"/>
    </xf>
    <xf numFmtId="169" fontId="6" fillId="8" borderId="7" xfId="0" applyNumberFormat="1" applyFont="1" applyFill="1" applyBorder="1" applyAlignment="1">
      <alignment horizontal="left" vertical="center"/>
    </xf>
    <xf numFmtId="168" fontId="6" fillId="8" borderId="7" xfId="0" applyNumberFormat="1" applyFont="1" applyFill="1" applyBorder="1" applyAlignment="1">
      <alignment horizontal="left" vertical="center"/>
    </xf>
    <xf numFmtId="0" fontId="6" fillId="8" borderId="14" xfId="0" applyFont="1" applyFill="1" applyBorder="1" applyAlignment="1">
      <alignment horizontal="justify" vertical="center"/>
    </xf>
    <xf numFmtId="0" fontId="6" fillId="8" borderId="14" xfId="0" applyFont="1" applyFill="1" applyBorder="1" applyAlignment="1">
      <alignment horizontal="center" vertical="center"/>
    </xf>
    <xf numFmtId="0" fontId="6" fillId="8" borderId="14" xfId="0" applyFont="1" applyFill="1" applyBorder="1" applyAlignment="1">
      <alignment horizontal="left" vertical="center"/>
    </xf>
    <xf numFmtId="1" fontId="4" fillId="8" borderId="7" xfId="0" applyNumberFormat="1" applyFont="1" applyFill="1" applyBorder="1" applyAlignment="1">
      <alignment vertical="center" wrapText="1"/>
    </xf>
    <xf numFmtId="167" fontId="6" fillId="8" borderId="7" xfId="0" applyNumberFormat="1" applyFont="1" applyFill="1" applyBorder="1" applyAlignment="1">
      <alignment horizontal="left" vertical="center"/>
    </xf>
    <xf numFmtId="0" fontId="34" fillId="8" borderId="7" xfId="0" applyFont="1" applyFill="1" applyBorder="1"/>
    <xf numFmtId="0" fontId="34" fillId="8" borderId="7" xfId="0" applyFont="1" applyFill="1" applyBorder="1" applyAlignment="1">
      <alignment horizontal="center"/>
    </xf>
    <xf numFmtId="0" fontId="34" fillId="8" borderId="8" xfId="0" applyFont="1" applyFill="1" applyBorder="1" applyAlignment="1">
      <alignment horizontal="justify"/>
    </xf>
    <xf numFmtId="0" fontId="6" fillId="6" borderId="11" xfId="0" applyFont="1" applyFill="1" applyBorder="1" applyAlignment="1">
      <alignment horizontal="center" vertical="center"/>
    </xf>
    <xf numFmtId="0" fontId="6" fillId="6" borderId="0" xfId="0" applyFont="1" applyFill="1" applyAlignment="1">
      <alignment horizontal="center" vertical="center"/>
    </xf>
    <xf numFmtId="0" fontId="6" fillId="6" borderId="13" xfId="0" applyFont="1" applyFill="1" applyBorder="1" applyAlignment="1">
      <alignment horizontal="center" vertical="center"/>
    </xf>
    <xf numFmtId="0" fontId="4" fillId="6" borderId="13" xfId="0" applyFont="1" applyFill="1" applyBorder="1" applyAlignment="1">
      <alignment horizontal="center" vertical="center"/>
    </xf>
    <xf numFmtId="4" fontId="8" fillId="0" borderId="14" xfId="1" applyNumberFormat="1" applyFont="1" applyFill="1" applyBorder="1" applyAlignment="1">
      <alignment horizontal="right" vertical="center"/>
    </xf>
    <xf numFmtId="41" fontId="4" fillId="0" borderId="14" xfId="0" applyNumberFormat="1" applyFont="1" applyBorder="1" applyAlignment="1">
      <alignment horizontal="left" vertical="center" wrapText="1"/>
    </xf>
    <xf numFmtId="4" fontId="34" fillId="0" borderId="14" xfId="0" applyNumberFormat="1" applyFont="1" applyFill="1" applyBorder="1" applyAlignment="1">
      <alignment horizontal="right" vertical="center"/>
    </xf>
    <xf numFmtId="1" fontId="34" fillId="0" borderId="14" xfId="0" applyNumberFormat="1" applyFont="1" applyBorder="1" applyAlignment="1">
      <alignment horizontal="center" vertical="center" wrapText="1"/>
    </xf>
    <xf numFmtId="41" fontId="34" fillId="0" borderId="14" xfId="0" applyNumberFormat="1" applyFont="1" applyBorder="1" applyAlignment="1">
      <alignment horizontal="left" vertical="center"/>
    </xf>
    <xf numFmtId="4" fontId="4" fillId="0" borderId="14" xfId="3" applyNumberFormat="1" applyFont="1" applyFill="1" applyBorder="1" applyAlignment="1">
      <alignment vertical="center"/>
    </xf>
    <xf numFmtId="0" fontId="4" fillId="0" borderId="14" xfId="0" applyFont="1" applyBorder="1" applyAlignment="1">
      <alignment horizontal="left" vertical="center" wrapText="1"/>
    </xf>
    <xf numFmtId="0" fontId="4" fillId="0" borderId="14" xfId="0" applyFont="1" applyFill="1" applyBorder="1" applyAlignment="1">
      <alignment horizontal="left" vertical="center" wrapText="1"/>
    </xf>
    <xf numFmtId="4" fontId="4" fillId="0" borderId="14" xfId="3" applyNumberFormat="1" applyFont="1" applyFill="1" applyBorder="1" applyAlignment="1">
      <alignment horizontal="right" vertical="center"/>
    </xf>
    <xf numFmtId="4" fontId="4" fillId="0" borderId="14" xfId="3" applyNumberFormat="1" applyFont="1" applyFill="1" applyBorder="1" applyAlignment="1">
      <alignment horizontal="right" vertical="center" wrapText="1"/>
    </xf>
    <xf numFmtId="0" fontId="34" fillId="0" borderId="0" xfId="0" applyFont="1" applyAlignment="1">
      <alignment wrapText="1"/>
    </xf>
    <xf numFmtId="0" fontId="4" fillId="0" borderId="14" xfId="0" applyFont="1" applyBorder="1" applyAlignment="1">
      <alignment horizontal="left" vertical="center"/>
    </xf>
    <xf numFmtId="0" fontId="34" fillId="0" borderId="14" xfId="0" applyFont="1" applyBorder="1" applyAlignment="1">
      <alignment horizontal="center" vertical="center"/>
    </xf>
    <xf numFmtId="0" fontId="34" fillId="0" borderId="14" xfId="0" applyFont="1" applyBorder="1" applyAlignment="1">
      <alignment horizontal="left" vertical="center"/>
    </xf>
    <xf numFmtId="1" fontId="6" fillId="6" borderId="11" xfId="0" applyNumberFormat="1" applyFont="1" applyFill="1" applyBorder="1" applyAlignment="1">
      <alignment horizontal="justify" vertical="center"/>
    </xf>
    <xf numFmtId="1" fontId="6" fillId="6" borderId="0" xfId="0" applyNumberFormat="1" applyFont="1" applyFill="1" applyAlignment="1">
      <alignment horizontal="justify" vertical="center"/>
    </xf>
    <xf numFmtId="1" fontId="6" fillId="6" borderId="13" xfId="0" applyNumberFormat="1" applyFont="1" applyFill="1" applyBorder="1" applyAlignment="1">
      <alignment horizontal="justify" vertical="center"/>
    </xf>
    <xf numFmtId="1" fontId="6" fillId="8" borderId="4" xfId="0" applyNumberFormat="1" applyFont="1" applyFill="1" applyBorder="1" applyAlignment="1">
      <alignment horizontal="justify" vertical="center"/>
    </xf>
    <xf numFmtId="43" fontId="6" fillId="8" borderId="7" xfId="3" applyFont="1" applyFill="1" applyBorder="1" applyAlignment="1">
      <alignment vertical="center"/>
    </xf>
    <xf numFmtId="43" fontId="6" fillId="8" borderId="14" xfId="3" applyFont="1" applyFill="1" applyBorder="1" applyAlignment="1">
      <alignment horizontal="justify" vertical="center"/>
    </xf>
    <xf numFmtId="0" fontId="34" fillId="8" borderId="8" xfId="0" applyFont="1" applyFill="1" applyBorder="1" applyAlignment="1">
      <alignment horizontal="center" vertical="center"/>
    </xf>
    <xf numFmtId="1" fontId="4" fillId="6" borderId="11" xfId="0" applyNumberFormat="1" applyFont="1" applyFill="1" applyBorder="1" applyAlignment="1">
      <alignment horizontal="justify" vertical="center"/>
    </xf>
    <xf numFmtId="1" fontId="4" fillId="6" borderId="0" xfId="0" applyNumberFormat="1" applyFont="1" applyFill="1" applyAlignment="1">
      <alignment horizontal="justify" vertical="center"/>
    </xf>
    <xf numFmtId="0" fontId="4" fillId="6" borderId="11" xfId="0" applyFont="1" applyFill="1" applyBorder="1" applyAlignment="1">
      <alignment horizontal="justify" vertical="center"/>
    </xf>
    <xf numFmtId="0" fontId="4" fillId="6" borderId="3" xfId="0" applyFont="1" applyFill="1" applyBorder="1" applyAlignment="1">
      <alignment horizontal="justify" vertical="center"/>
    </xf>
    <xf numFmtId="0" fontId="4" fillId="6" borderId="4" xfId="0" applyFont="1" applyFill="1" applyBorder="1" applyAlignment="1">
      <alignment horizontal="justify" vertical="center"/>
    </xf>
    <xf numFmtId="0" fontId="4" fillId="6" borderId="12" xfId="0" applyFont="1" applyFill="1" applyBorder="1" applyAlignment="1">
      <alignment horizontal="justify" vertical="center"/>
    </xf>
    <xf numFmtId="0" fontId="4" fillId="6" borderId="19" xfId="0" applyFont="1" applyFill="1" applyBorder="1" applyAlignment="1">
      <alignment horizontal="justify" vertical="center"/>
    </xf>
    <xf numFmtId="43" fontId="4" fillId="0" borderId="27" xfId="3" applyFont="1" applyBorder="1" applyAlignment="1">
      <alignment horizontal="center" vertical="center"/>
    </xf>
    <xf numFmtId="1" fontId="4" fillId="6" borderId="27" xfId="0" applyNumberFormat="1" applyFont="1" applyFill="1" applyBorder="1" applyAlignment="1">
      <alignment horizontal="center" vertical="center"/>
    </xf>
    <xf numFmtId="0" fontId="4" fillId="6" borderId="27" xfId="0" applyFont="1" applyFill="1" applyBorder="1" applyAlignment="1">
      <alignment horizontal="left" vertical="center"/>
    </xf>
    <xf numFmtId="0" fontId="4" fillId="6" borderId="13" xfId="0" applyFont="1" applyFill="1" applyBorder="1" applyAlignment="1">
      <alignment horizontal="justify" vertical="center"/>
    </xf>
    <xf numFmtId="1" fontId="4" fillId="6" borderId="14" xfId="0" applyNumberFormat="1" applyFont="1" applyFill="1" applyBorder="1" applyAlignment="1">
      <alignment horizontal="center" vertical="center"/>
    </xf>
    <xf numFmtId="0" fontId="4" fillId="6" borderId="14" xfId="0" applyFont="1" applyFill="1" applyBorder="1" applyAlignment="1">
      <alignment horizontal="left" vertical="center"/>
    </xf>
    <xf numFmtId="0" fontId="4" fillId="0" borderId="8" xfId="0" applyFont="1" applyBorder="1" applyAlignment="1">
      <alignment horizontal="center" vertical="center"/>
    </xf>
    <xf numFmtId="0" fontId="4" fillId="6" borderId="1" xfId="0" applyFont="1" applyFill="1" applyBorder="1" applyAlignment="1">
      <alignment horizontal="justify" vertical="center"/>
    </xf>
    <xf numFmtId="10" fontId="4" fillId="6" borderId="9" xfId="4" applyNumberFormat="1" applyFont="1" applyFill="1" applyBorder="1" applyAlignment="1">
      <alignment horizontal="center" vertical="center"/>
    </xf>
    <xf numFmtId="43" fontId="4" fillId="0" borderId="19" xfId="3" applyFont="1" applyBorder="1" applyAlignment="1">
      <alignment horizontal="center" vertical="center"/>
    </xf>
    <xf numFmtId="1" fontId="4" fillId="6" borderId="19" xfId="0" applyNumberFormat="1" applyFont="1" applyFill="1" applyBorder="1" applyAlignment="1">
      <alignment horizontal="center" vertical="center"/>
    </xf>
    <xf numFmtId="0" fontId="4" fillId="6" borderId="19" xfId="0" applyFont="1" applyFill="1" applyBorder="1" applyAlignment="1">
      <alignment horizontal="left" vertical="center"/>
    </xf>
    <xf numFmtId="1" fontId="4" fillId="6" borderId="1" xfId="0" applyNumberFormat="1" applyFont="1" applyFill="1" applyBorder="1" applyAlignment="1">
      <alignment horizontal="center" vertical="center"/>
    </xf>
    <xf numFmtId="0" fontId="4" fillId="6" borderId="1" xfId="0" applyFont="1" applyFill="1" applyBorder="1" applyAlignment="1">
      <alignment horizontal="left" vertical="center"/>
    </xf>
    <xf numFmtId="43" fontId="4" fillId="0" borderId="19" xfId="3" applyFont="1" applyBorder="1" applyAlignment="1">
      <alignment horizontal="center" vertical="center" wrapText="1"/>
    </xf>
    <xf numFmtId="0" fontId="34" fillId="0" borderId="1" xfId="0" applyFont="1" applyBorder="1" applyAlignment="1">
      <alignment horizontal="left"/>
    </xf>
    <xf numFmtId="0" fontId="4" fillId="6" borderId="1" xfId="0" applyFont="1" applyFill="1" applyBorder="1" applyAlignment="1">
      <alignment horizontal="center" vertical="center"/>
    </xf>
    <xf numFmtId="9" fontId="4" fillId="6" borderId="9" xfId="4" applyFont="1" applyFill="1" applyBorder="1" applyAlignment="1">
      <alignment horizontal="center" vertical="center"/>
    </xf>
    <xf numFmtId="0" fontId="4" fillId="6" borderId="10" xfId="0" applyFont="1" applyFill="1" applyBorder="1" applyAlignment="1">
      <alignment horizontal="justify" vertical="center"/>
    </xf>
    <xf numFmtId="1" fontId="4" fillId="6" borderId="9" xfId="0" applyNumberFormat="1" applyFont="1" applyFill="1" applyBorder="1" applyAlignment="1">
      <alignment horizontal="center" vertical="center"/>
    </xf>
    <xf numFmtId="43" fontId="4" fillId="0" borderId="9" xfId="3" applyFont="1" applyFill="1" applyBorder="1" applyAlignment="1">
      <alignment horizontal="center" vertical="center"/>
    </xf>
    <xf numFmtId="0" fontId="4" fillId="0" borderId="9" xfId="0" applyFont="1" applyFill="1" applyBorder="1" applyAlignment="1">
      <alignment horizontal="left" vertical="center"/>
    </xf>
    <xf numFmtId="166" fontId="4" fillId="0" borderId="9" xfId="3" applyNumberFormat="1" applyFont="1" applyFill="1" applyBorder="1" applyAlignment="1">
      <alignment horizontal="center" vertical="center" wrapText="1"/>
    </xf>
    <xf numFmtId="0" fontId="4" fillId="6" borderId="9" xfId="0" applyFont="1" applyFill="1" applyBorder="1" applyAlignment="1">
      <alignment horizontal="justify" vertical="center"/>
    </xf>
    <xf numFmtId="166" fontId="4" fillId="0" borderId="12" xfId="3" applyNumberFormat="1" applyFont="1" applyFill="1" applyBorder="1" applyAlignment="1">
      <alignment horizontal="center" vertical="center" wrapText="1"/>
    </xf>
    <xf numFmtId="4" fontId="4" fillId="0" borderId="14" xfId="3" applyNumberFormat="1" applyFont="1" applyBorder="1" applyAlignment="1">
      <alignment horizontal="right" vertical="center" wrapText="1"/>
    </xf>
    <xf numFmtId="0" fontId="4" fillId="6" borderId="14" xfId="0" applyFont="1" applyFill="1" applyBorder="1" applyAlignment="1">
      <alignment horizontal="left" vertical="center" wrapText="1"/>
    </xf>
    <xf numFmtId="0" fontId="4" fillId="6" borderId="14" xfId="0" applyFont="1" applyFill="1" applyBorder="1" applyAlignment="1">
      <alignment horizontal="center" vertical="center"/>
    </xf>
    <xf numFmtId="4" fontId="4" fillId="0" borderId="14" xfId="3" applyNumberFormat="1" applyFont="1" applyBorder="1" applyAlignment="1">
      <alignment horizontal="right" vertical="center"/>
    </xf>
    <xf numFmtId="0" fontId="4" fillId="6" borderId="2" xfId="0" applyFont="1" applyFill="1" applyBorder="1" applyAlignment="1">
      <alignment horizontal="justify" vertical="center"/>
    </xf>
    <xf numFmtId="0" fontId="6" fillId="7" borderId="0" xfId="0" applyFont="1" applyFill="1" applyAlignment="1">
      <alignment horizontal="left" vertical="center"/>
    </xf>
    <xf numFmtId="169" fontId="6" fillId="7" borderId="4" xfId="0" applyNumberFormat="1" applyFont="1" applyFill="1" applyBorder="1" applyAlignment="1">
      <alignment horizontal="center" vertical="center"/>
    </xf>
    <xf numFmtId="43" fontId="6" fillId="7" borderId="4" xfId="3" applyFont="1" applyFill="1" applyBorder="1" applyAlignment="1">
      <alignment vertical="center"/>
    </xf>
    <xf numFmtId="43" fontId="6" fillId="7" borderId="0" xfId="3" applyFont="1" applyFill="1" applyAlignment="1">
      <alignment horizontal="justify" vertical="center"/>
    </xf>
    <xf numFmtId="166" fontId="6" fillId="7" borderId="0" xfId="0" applyNumberFormat="1" applyFont="1" applyFill="1" applyAlignment="1">
      <alignment horizontal="center" vertical="center"/>
    </xf>
    <xf numFmtId="167" fontId="6" fillId="7" borderId="4" xfId="0" applyNumberFormat="1" applyFont="1" applyFill="1" applyBorder="1" applyAlignment="1">
      <alignment horizontal="center" vertical="center"/>
    </xf>
    <xf numFmtId="0" fontId="34" fillId="7" borderId="12" xfId="0" applyFont="1" applyFill="1" applyBorder="1" applyAlignment="1">
      <alignment horizontal="center" vertical="center"/>
    </xf>
    <xf numFmtId="0" fontId="6" fillId="6" borderId="0" xfId="0" applyFont="1" applyFill="1" applyAlignment="1">
      <alignment horizontal="justify" vertical="center"/>
    </xf>
    <xf numFmtId="0" fontId="6" fillId="6" borderId="3" xfId="0" applyFont="1" applyFill="1" applyBorder="1" applyAlignment="1">
      <alignment horizontal="justify" vertical="center"/>
    </xf>
    <xf numFmtId="0" fontId="6" fillId="6" borderId="4" xfId="0" applyFont="1" applyFill="1" applyBorder="1" applyAlignment="1">
      <alignment horizontal="justify" vertical="center"/>
    </xf>
    <xf numFmtId="0" fontId="6" fillId="6" borderId="12" xfId="0" applyFont="1" applyFill="1" applyBorder="1" applyAlignment="1">
      <alignment horizontal="justify" vertical="center"/>
    </xf>
    <xf numFmtId="1" fontId="6" fillId="8" borderId="7" xfId="0" applyNumberFormat="1" applyFont="1" applyFill="1" applyBorder="1" applyAlignment="1">
      <alignment horizontal="justify" vertical="center"/>
    </xf>
    <xf numFmtId="43" fontId="6" fillId="8" borderId="7" xfId="3" applyFont="1" applyFill="1" applyBorder="1" applyAlignment="1">
      <alignment horizontal="justify" vertical="center"/>
    </xf>
    <xf numFmtId="0" fontId="6" fillId="6" borderId="11" xfId="0" applyFont="1" applyFill="1" applyBorder="1" applyAlignment="1">
      <alignment horizontal="justify" vertical="center"/>
    </xf>
    <xf numFmtId="0" fontId="6" fillId="6" borderId="13" xfId="0" applyFont="1" applyFill="1" applyBorder="1" applyAlignment="1">
      <alignment horizontal="justify" vertical="center"/>
    </xf>
    <xf numFmtId="0" fontId="4" fillId="0" borderId="19" xfId="0" applyFont="1" applyBorder="1" applyAlignment="1">
      <alignment horizontal="center" vertical="center"/>
    </xf>
    <xf numFmtId="0" fontId="4" fillId="6" borderId="10" xfId="0" applyFont="1" applyFill="1" applyBorder="1" applyAlignment="1">
      <alignment horizontal="center"/>
    </xf>
    <xf numFmtId="0" fontId="4" fillId="0" borderId="10" xfId="0" applyFont="1" applyBorder="1" applyAlignment="1">
      <alignment horizontal="justify" vertical="center"/>
    </xf>
    <xf numFmtId="43" fontId="4" fillId="0" borderId="10" xfId="3" applyFont="1" applyBorder="1" applyAlignment="1">
      <alignment horizontal="justify" vertical="center"/>
    </xf>
    <xf numFmtId="0" fontId="34" fillId="0" borderId="9" xfId="0" applyFont="1" applyBorder="1" applyAlignment="1">
      <alignment horizontal="left"/>
    </xf>
    <xf numFmtId="41" fontId="4" fillId="0" borderId="14" xfId="3" applyNumberFormat="1" applyFont="1" applyBorder="1" applyAlignment="1">
      <alignment horizontal="right" vertical="center" wrapText="1"/>
    </xf>
    <xf numFmtId="41" fontId="34" fillId="0" borderId="14" xfId="0" applyNumberFormat="1" applyFont="1" applyFill="1" applyBorder="1" applyAlignment="1">
      <alignment horizontal="right" vertical="center"/>
    </xf>
    <xf numFmtId="43" fontId="4" fillId="0" borderId="19" xfId="3" applyFont="1" applyBorder="1" applyAlignment="1">
      <alignment horizontal="justify" vertical="center"/>
    </xf>
    <xf numFmtId="0" fontId="4" fillId="6" borderId="19" xfId="0" applyFont="1" applyFill="1" applyBorder="1" applyAlignment="1">
      <alignment horizontal="left" vertical="center" wrapText="1"/>
    </xf>
    <xf numFmtId="9" fontId="4" fillId="6" borderId="1" xfId="6" applyFont="1" applyFill="1" applyBorder="1" applyAlignment="1">
      <alignment horizontal="center" vertical="center"/>
    </xf>
    <xf numFmtId="43" fontId="4" fillId="0" borderId="1" xfId="3" applyFont="1" applyFill="1" applyBorder="1" applyAlignment="1">
      <alignment horizontal="justify" vertical="center"/>
    </xf>
    <xf numFmtId="43" fontId="10" fillId="0" borderId="1" xfId="3" applyFont="1" applyFill="1" applyBorder="1" applyAlignment="1">
      <alignment horizontal="center" vertical="center"/>
    </xf>
    <xf numFmtId="0" fontId="4" fillId="6" borderId="1" xfId="0" applyFont="1" applyFill="1" applyBorder="1" applyAlignment="1">
      <alignment horizontal="left" vertical="center" wrapText="1"/>
    </xf>
    <xf numFmtId="43" fontId="4" fillId="0" borderId="1" xfId="3" applyFont="1" applyBorder="1" applyAlignment="1">
      <alignment horizontal="justify" vertical="center"/>
    </xf>
    <xf numFmtId="0" fontId="4" fillId="0" borderId="9" xfId="0" applyFont="1" applyBorder="1" applyAlignment="1">
      <alignment horizontal="center" vertical="center"/>
    </xf>
    <xf numFmtId="43" fontId="4" fillId="0" borderId="9" xfId="3" applyFont="1" applyBorder="1" applyAlignment="1">
      <alignment horizontal="justify" vertical="center"/>
    </xf>
    <xf numFmtId="0" fontId="4" fillId="6" borderId="11" xfId="0" applyFont="1" applyFill="1" applyBorder="1"/>
    <xf numFmtId="0" fontId="6" fillId="6" borderId="11" xfId="0" applyFont="1" applyFill="1" applyBorder="1" applyAlignment="1">
      <alignment vertical="center"/>
    </xf>
    <xf numFmtId="0" fontId="6" fillId="6" borderId="0" xfId="0" applyFont="1" applyFill="1" applyAlignment="1">
      <alignment vertical="center"/>
    </xf>
    <xf numFmtId="0" fontId="6" fillId="6" borderId="13" xfId="0" applyFont="1" applyFill="1" applyBorder="1" applyAlignment="1">
      <alignment vertical="center"/>
    </xf>
    <xf numFmtId="0" fontId="4" fillId="0" borderId="1" xfId="0" applyFont="1" applyBorder="1" applyAlignment="1">
      <alignment horizontal="left" vertical="center" wrapText="1"/>
    </xf>
    <xf numFmtId="10" fontId="4" fillId="0" borderId="6" xfId="6" applyNumberFormat="1" applyFont="1" applyBorder="1" applyAlignment="1">
      <alignment horizontal="center" vertical="center"/>
    </xf>
    <xf numFmtId="166" fontId="4" fillId="0" borderId="1" xfId="3" applyNumberFormat="1" applyFont="1" applyFill="1" applyBorder="1" applyAlignment="1">
      <alignment vertical="center"/>
    </xf>
    <xf numFmtId="166" fontId="4" fillId="0" borderId="9" xfId="3" applyNumberFormat="1" applyFont="1" applyFill="1" applyBorder="1" applyAlignment="1">
      <alignment horizontal="center" vertical="center"/>
    </xf>
    <xf numFmtId="0" fontId="34" fillId="0" borderId="14" xfId="0" applyFont="1" applyBorder="1" applyAlignment="1">
      <alignment horizontal="justify" vertical="center" wrapText="1"/>
    </xf>
    <xf numFmtId="43" fontId="34" fillId="0" borderId="15" xfId="1" applyFont="1" applyBorder="1" applyAlignment="1">
      <alignment vertical="center"/>
    </xf>
    <xf numFmtId="43" fontId="4" fillId="0" borderId="1" xfId="3" applyFont="1" applyBorder="1" applyAlignment="1">
      <alignment horizontal="justify" vertical="center" wrapText="1"/>
    </xf>
    <xf numFmtId="0" fontId="4" fillId="0" borderId="1" xfId="0" applyFont="1" applyFill="1" applyBorder="1" applyAlignment="1">
      <alignment horizontal="left" vertical="center" wrapText="1"/>
    </xf>
    <xf numFmtId="10" fontId="4" fillId="0" borderId="3" xfId="6" applyNumberFormat="1" applyFont="1" applyBorder="1" applyAlignment="1">
      <alignment horizontal="center" vertical="center"/>
    </xf>
    <xf numFmtId="43" fontId="4" fillId="0" borderId="9" xfId="3" applyFont="1" applyFill="1" applyBorder="1" applyAlignment="1">
      <alignment horizontal="justify" vertical="center"/>
    </xf>
    <xf numFmtId="43" fontId="6" fillId="8" borderId="4" xfId="3" applyFont="1" applyFill="1" applyBorder="1" applyAlignment="1">
      <alignment horizontal="justify" vertical="center"/>
    </xf>
    <xf numFmtId="0" fontId="6" fillId="8" borderId="4" xfId="0" applyFont="1" applyFill="1" applyBorder="1" applyAlignment="1">
      <alignment horizontal="left" vertical="center"/>
    </xf>
    <xf numFmtId="3" fontId="4" fillId="0" borderId="5" xfId="0" applyNumberFormat="1" applyFont="1" applyBorder="1" applyAlignment="1">
      <alignment horizontal="center" vertical="center"/>
    </xf>
    <xf numFmtId="166" fontId="4" fillId="0" borderId="14" xfId="3" applyNumberFormat="1" applyFont="1" applyBorder="1" applyAlignment="1">
      <alignment horizontal="center" vertical="center"/>
    </xf>
    <xf numFmtId="3" fontId="4" fillId="0" borderId="11" xfId="0" applyNumberFormat="1" applyFont="1" applyBorder="1" applyAlignment="1">
      <alignment horizontal="center" vertical="center"/>
    </xf>
    <xf numFmtId="166" fontId="4" fillId="0" borderId="14" xfId="3" applyNumberFormat="1" applyFont="1" applyFill="1" applyBorder="1" applyAlignment="1">
      <alignment horizontal="center" vertical="center"/>
    </xf>
    <xf numFmtId="0" fontId="4" fillId="6" borderId="9" xfId="0" applyFont="1" applyFill="1" applyBorder="1" applyAlignment="1">
      <alignment horizontal="left" vertical="center" wrapText="1"/>
    </xf>
    <xf numFmtId="166" fontId="4" fillId="0" borderId="9" xfId="3" applyNumberFormat="1" applyFont="1" applyBorder="1" applyAlignment="1">
      <alignment horizontal="center" vertical="center" wrapText="1"/>
    </xf>
    <xf numFmtId="3" fontId="4" fillId="0" borderId="3" xfId="0" applyNumberFormat="1" applyFont="1" applyBorder="1" applyAlignment="1">
      <alignment horizontal="center" vertical="center"/>
    </xf>
    <xf numFmtId="9" fontId="4" fillId="6" borderId="3" xfId="6" applyFont="1" applyFill="1" applyBorder="1" applyAlignment="1">
      <alignment horizontal="center" vertical="center"/>
    </xf>
    <xf numFmtId="0" fontId="4" fillId="6" borderId="11" xfId="0" applyFont="1" applyFill="1" applyBorder="1" applyAlignment="1">
      <alignment vertical="center"/>
    </xf>
    <xf numFmtId="0" fontId="4" fillId="6" borderId="0" xfId="0" applyFont="1" applyFill="1" applyAlignment="1">
      <alignment vertical="center"/>
    </xf>
    <xf numFmtId="0" fontId="4" fillId="6" borderId="13" xfId="0" applyFont="1" applyFill="1" applyBorder="1" applyAlignment="1">
      <alignment vertical="center"/>
    </xf>
    <xf numFmtId="43" fontId="8" fillId="0" borderId="18" xfId="3" applyFont="1" applyBorder="1" applyAlignment="1">
      <alignment vertical="center" wrapText="1"/>
    </xf>
    <xf numFmtId="0" fontId="4" fillId="6" borderId="5" xfId="0" applyFont="1" applyFill="1" applyBorder="1" applyAlignment="1">
      <alignment vertical="center"/>
    </xf>
    <xf numFmtId="0" fontId="4" fillId="6" borderId="2" xfId="0" applyFont="1" applyFill="1" applyBorder="1" applyAlignment="1">
      <alignment vertical="center"/>
    </xf>
    <xf numFmtId="0" fontId="4" fillId="6" borderId="20" xfId="0" applyFont="1" applyFill="1" applyBorder="1" applyAlignment="1">
      <alignment vertical="center"/>
    </xf>
    <xf numFmtId="0" fontId="8" fillId="0" borderId="11" xfId="0" applyFont="1" applyBorder="1" applyAlignment="1">
      <alignment horizontal="justify" vertical="center" wrapText="1"/>
    </xf>
    <xf numFmtId="43" fontId="8" fillId="0" borderId="14" xfId="3" applyFont="1" applyFill="1" applyBorder="1" applyAlignment="1">
      <alignment vertical="center" wrapText="1"/>
    </xf>
    <xf numFmtId="1" fontId="6" fillId="6" borderId="11" xfId="0" applyNumberFormat="1" applyFont="1" applyFill="1" applyBorder="1" applyAlignment="1">
      <alignment vertical="center" wrapText="1"/>
    </xf>
    <xf numFmtId="1" fontId="6" fillId="6" borderId="0" xfId="0" applyNumberFormat="1" applyFont="1" applyFill="1" applyAlignment="1">
      <alignment vertical="center" wrapText="1"/>
    </xf>
    <xf numFmtId="1" fontId="6" fillId="6" borderId="13" xfId="0" applyNumberFormat="1" applyFont="1" applyFill="1" applyBorder="1" applyAlignment="1">
      <alignment vertical="center" wrapText="1"/>
    </xf>
    <xf numFmtId="0" fontId="6" fillId="7" borderId="7" xfId="0" applyFont="1" applyFill="1" applyBorder="1" applyAlignment="1">
      <alignment horizontal="justify" vertical="center"/>
    </xf>
    <xf numFmtId="0" fontId="6" fillId="7" borderId="7" xfId="0" applyFont="1" applyFill="1" applyBorder="1" applyAlignment="1">
      <alignment horizontal="center" vertical="center"/>
    </xf>
    <xf numFmtId="0" fontId="6" fillId="7" borderId="7" xfId="0" applyFont="1" applyFill="1" applyBorder="1" applyAlignment="1">
      <alignment horizontal="justify" vertical="center" wrapText="1"/>
    </xf>
    <xf numFmtId="169" fontId="6" fillId="7" borderId="7" xfId="0" applyNumberFormat="1" applyFont="1" applyFill="1" applyBorder="1" applyAlignment="1">
      <alignment horizontal="center" vertical="center"/>
    </xf>
    <xf numFmtId="43" fontId="6" fillId="7" borderId="7" xfId="3" applyFont="1" applyFill="1" applyBorder="1" applyAlignment="1">
      <alignment vertical="center"/>
    </xf>
    <xf numFmtId="43" fontId="6" fillId="7" borderId="2" xfId="3" applyFont="1" applyFill="1" applyBorder="1" applyAlignment="1">
      <alignment horizontal="justify" vertical="center"/>
    </xf>
    <xf numFmtId="0" fontId="6" fillId="7" borderId="2" xfId="0" applyFont="1" applyFill="1" applyBorder="1" applyAlignment="1">
      <alignment horizontal="left" vertical="center"/>
    </xf>
    <xf numFmtId="167" fontId="6" fillId="7" borderId="7" xfId="0" applyNumberFormat="1" applyFont="1" applyFill="1" applyBorder="1" applyAlignment="1">
      <alignment horizontal="center" vertical="center"/>
    </xf>
    <xf numFmtId="0" fontId="34" fillId="7" borderId="7" xfId="0" applyFont="1" applyFill="1" applyBorder="1"/>
    <xf numFmtId="0" fontId="35" fillId="7" borderId="7" xfId="0" applyFont="1" applyFill="1" applyBorder="1"/>
    <xf numFmtId="0" fontId="34" fillId="4" borderId="7" xfId="0" applyFont="1" applyFill="1" applyBorder="1"/>
    <xf numFmtId="0" fontId="34" fillId="4" borderId="7" xfId="0" applyFont="1" applyFill="1" applyBorder="1" applyAlignment="1">
      <alignment horizontal="center"/>
    </xf>
    <xf numFmtId="0" fontId="34" fillId="4" borderId="8" xfId="0" applyFont="1" applyFill="1" applyBorder="1" applyAlignment="1">
      <alignment horizontal="center" vertical="center"/>
    </xf>
    <xf numFmtId="1" fontId="6" fillId="8" borderId="2" xfId="0" applyNumberFormat="1" applyFont="1" applyFill="1" applyBorder="1" applyAlignment="1">
      <alignment horizontal="justify" vertical="center"/>
    </xf>
    <xf numFmtId="0" fontId="6" fillId="8" borderId="5" xfId="0" applyFont="1" applyFill="1" applyBorder="1" applyAlignment="1">
      <alignment horizontal="left" vertical="center"/>
    </xf>
    <xf numFmtId="0" fontId="6" fillId="8" borderId="2" xfId="0" applyFont="1" applyFill="1" applyBorder="1" applyAlignment="1">
      <alignment horizontal="left" vertical="center"/>
    </xf>
    <xf numFmtId="0" fontId="6" fillId="8" borderId="2" xfId="0" applyFont="1" applyFill="1" applyBorder="1" applyAlignment="1">
      <alignment horizontal="justify" vertical="center" wrapText="1"/>
    </xf>
    <xf numFmtId="43" fontId="6" fillId="8" borderId="2" xfId="3" applyFont="1" applyFill="1" applyBorder="1" applyAlignment="1">
      <alignment vertical="center"/>
    </xf>
    <xf numFmtId="43" fontId="6" fillId="8" borderId="2" xfId="3" applyFont="1" applyFill="1" applyBorder="1" applyAlignment="1">
      <alignment horizontal="justify" vertical="center"/>
    </xf>
    <xf numFmtId="0" fontId="34" fillId="8" borderId="2" xfId="0" applyFont="1" applyFill="1" applyBorder="1"/>
    <xf numFmtId="0" fontId="35" fillId="8" borderId="2" xfId="0" applyFont="1" applyFill="1" applyBorder="1"/>
    <xf numFmtId="0" fontId="34" fillId="8" borderId="2" xfId="0" applyFont="1" applyFill="1" applyBorder="1" applyAlignment="1">
      <alignment horizontal="center"/>
    </xf>
    <xf numFmtId="0" fontId="34" fillId="8" borderId="20" xfId="0" applyFont="1" applyFill="1" applyBorder="1" applyAlignment="1">
      <alignment horizontal="center" vertical="center"/>
    </xf>
    <xf numFmtId="9" fontId="4" fillId="6" borderId="5" xfId="6" applyFont="1" applyFill="1" applyBorder="1" applyAlignment="1">
      <alignment horizontal="center" vertical="center"/>
    </xf>
    <xf numFmtId="0" fontId="34" fillId="0" borderId="0" xfId="0" applyFont="1" applyAlignment="1">
      <alignment horizontal="center"/>
    </xf>
    <xf numFmtId="9" fontId="4" fillId="6" borderId="6" xfId="6" applyFont="1" applyFill="1" applyBorder="1" applyAlignment="1">
      <alignment horizontal="center" vertical="center"/>
    </xf>
    <xf numFmtId="168" fontId="4" fillId="0" borderId="1" xfId="0" applyNumberFormat="1" applyFont="1" applyBorder="1" applyAlignment="1">
      <alignment horizontal="justify" vertical="center"/>
    </xf>
    <xf numFmtId="0" fontId="4" fillId="6" borderId="9" xfId="0" applyFont="1" applyFill="1" applyBorder="1" applyAlignment="1">
      <alignment horizontal="center" vertical="center"/>
    </xf>
    <xf numFmtId="43" fontId="4" fillId="0" borderId="9" xfId="3" applyFont="1" applyBorder="1" applyAlignment="1">
      <alignment horizontal="center" vertical="center" wrapText="1"/>
    </xf>
    <xf numFmtId="1" fontId="6" fillId="6" borderId="11" xfId="0" applyNumberFormat="1" applyFont="1" applyFill="1" applyBorder="1" applyAlignment="1">
      <alignment vertical="center"/>
    </xf>
    <xf numFmtId="1" fontId="6" fillId="6" borderId="0" xfId="0" applyNumberFormat="1" applyFont="1" applyFill="1" applyAlignment="1">
      <alignment vertical="center"/>
    </xf>
    <xf numFmtId="1" fontId="6" fillId="6" borderId="13" xfId="0" applyNumberFormat="1" applyFont="1" applyFill="1" applyBorder="1" applyAlignment="1">
      <alignment vertical="center"/>
    </xf>
    <xf numFmtId="43" fontId="6" fillId="8" borderId="7" xfId="3" applyFont="1" applyFill="1" applyBorder="1" applyAlignment="1">
      <alignment horizontal="left" vertical="center"/>
    </xf>
    <xf numFmtId="0" fontId="4" fillId="6" borderId="13" xfId="0" applyFont="1" applyFill="1" applyBorder="1"/>
    <xf numFmtId="0" fontId="4" fillId="6" borderId="10" xfId="0" applyFont="1" applyFill="1" applyBorder="1" applyAlignment="1">
      <alignment horizontal="left" vertical="center" wrapText="1"/>
    </xf>
    <xf numFmtId="14" fontId="34" fillId="0" borderId="10" xfId="0" applyNumberFormat="1" applyFont="1" applyBorder="1" applyAlignment="1">
      <alignment horizontal="center" vertical="center" wrapText="1"/>
    </xf>
    <xf numFmtId="43" fontId="4" fillId="0" borderId="5" xfId="3" applyFont="1" applyFill="1" applyBorder="1" applyAlignment="1">
      <alignment horizontal="center" vertical="center"/>
    </xf>
    <xf numFmtId="0" fontId="4" fillId="6" borderId="0" xfId="0" applyFont="1" applyFill="1" applyBorder="1"/>
    <xf numFmtId="166" fontId="4" fillId="0" borderId="1" xfId="3" applyNumberFormat="1" applyFont="1" applyBorder="1" applyAlignment="1">
      <alignment horizontal="center" vertical="center"/>
    </xf>
    <xf numFmtId="0" fontId="6" fillId="7" borderId="0" xfId="0" applyFont="1" applyFill="1" applyAlignment="1">
      <alignment horizontal="center" vertical="center"/>
    </xf>
    <xf numFmtId="0" fontId="6" fillId="7" borderId="0" xfId="0" applyFont="1" applyFill="1" applyAlignment="1">
      <alignment horizontal="justify" vertical="center" wrapText="1"/>
    </xf>
    <xf numFmtId="169" fontId="6" fillId="7" borderId="0" xfId="0" applyNumberFormat="1" applyFont="1" applyFill="1" applyAlignment="1">
      <alignment horizontal="center" vertical="center"/>
    </xf>
    <xf numFmtId="43" fontId="6" fillId="7" borderId="0" xfId="3" applyFont="1" applyFill="1" applyAlignment="1">
      <alignment vertical="center"/>
    </xf>
    <xf numFmtId="1" fontId="6" fillId="7" borderId="0" xfId="0" applyNumberFormat="1" applyFont="1" applyFill="1" applyAlignment="1">
      <alignment horizontal="center" vertical="center"/>
    </xf>
    <xf numFmtId="1" fontId="6" fillId="7" borderId="0" xfId="0" applyNumberFormat="1" applyFont="1" applyFill="1" applyAlignment="1">
      <alignment vertical="center"/>
    </xf>
    <xf numFmtId="1" fontId="34" fillId="7" borderId="0" xfId="0" applyNumberFormat="1" applyFont="1" applyFill="1"/>
    <xf numFmtId="0" fontId="34" fillId="4" borderId="0" xfId="0" applyFont="1" applyFill="1"/>
    <xf numFmtId="0" fontId="34" fillId="4" borderId="0" xfId="0" applyFont="1" applyFill="1" applyAlignment="1">
      <alignment horizontal="center"/>
    </xf>
    <xf numFmtId="0" fontId="34" fillId="4" borderId="13" xfId="0" applyFont="1" applyFill="1" applyBorder="1" applyAlignment="1">
      <alignment horizontal="center" vertical="center"/>
    </xf>
    <xf numFmtId="0" fontId="6" fillId="6" borderId="3" xfId="0" applyFont="1" applyFill="1" applyBorder="1" applyAlignment="1">
      <alignment vertical="center" wrapText="1"/>
    </xf>
    <xf numFmtId="0" fontId="6" fillId="6" borderId="4" xfId="0" applyFont="1" applyFill="1" applyBorder="1" applyAlignment="1">
      <alignment vertical="center" wrapText="1"/>
    </xf>
    <xf numFmtId="0" fontId="6" fillId="6" borderId="12" xfId="0" applyFont="1" applyFill="1" applyBorder="1" applyAlignment="1">
      <alignment vertical="center" wrapText="1"/>
    </xf>
    <xf numFmtId="0" fontId="6" fillId="6" borderId="11" xfId="0" applyFont="1" applyFill="1" applyBorder="1" applyAlignment="1">
      <alignment vertical="center" wrapText="1"/>
    </xf>
    <xf numFmtId="0" fontId="6" fillId="6" borderId="0" xfId="0" applyFont="1" applyFill="1" applyAlignment="1">
      <alignment vertical="center" wrapText="1"/>
    </xf>
    <xf numFmtId="0" fontId="6" fillId="6" borderId="13" xfId="0" applyFont="1" applyFill="1" applyBorder="1" applyAlignment="1">
      <alignment vertical="center" wrapText="1"/>
    </xf>
    <xf numFmtId="43" fontId="4" fillId="0" borderId="9" xfId="3" applyFont="1" applyBorder="1" applyAlignment="1">
      <alignment horizontal="center" vertical="center"/>
    </xf>
    <xf numFmtId="0" fontId="4" fillId="6" borderId="0" xfId="0" applyFont="1" applyFill="1" applyBorder="1" applyAlignment="1">
      <alignment horizontal="center" vertical="center" wrapText="1"/>
    </xf>
    <xf numFmtId="0" fontId="4" fillId="0" borderId="10" xfId="0" applyFont="1" applyBorder="1" applyAlignment="1">
      <alignment horizontal="center" vertical="center"/>
    </xf>
    <xf numFmtId="9" fontId="4" fillId="0" borderId="10" xfId="20" applyFont="1" applyBorder="1" applyAlignment="1">
      <alignment horizontal="center" vertical="center"/>
    </xf>
    <xf numFmtId="43" fontId="4" fillId="6" borderId="10" xfId="3" applyFont="1" applyFill="1" applyBorder="1" applyAlignment="1">
      <alignment horizontal="center" vertical="center"/>
    </xf>
    <xf numFmtId="43" fontId="4" fillId="0" borderId="10" xfId="3" applyFont="1" applyBorder="1" applyAlignment="1">
      <alignment horizontal="center" vertical="center"/>
    </xf>
    <xf numFmtId="1" fontId="4" fillId="6" borderId="10" xfId="0" applyNumberFormat="1" applyFont="1" applyFill="1" applyBorder="1" applyAlignment="1">
      <alignment horizontal="center" vertical="center"/>
    </xf>
    <xf numFmtId="1" fontId="4" fillId="6" borderId="11" xfId="0" applyNumberFormat="1" applyFont="1" applyFill="1" applyBorder="1" applyAlignment="1">
      <alignment horizontal="center" vertical="center"/>
    </xf>
    <xf numFmtId="1" fontId="34" fillId="0" borderId="10" xfId="0" applyNumberFormat="1" applyFont="1" applyBorder="1" applyAlignment="1">
      <alignment horizontal="center" vertical="center"/>
    </xf>
    <xf numFmtId="0" fontId="34" fillId="0" borderId="10" xfId="0" applyFont="1" applyBorder="1" applyAlignment="1">
      <alignment horizontal="center" vertical="center"/>
    </xf>
    <xf numFmtId="14" fontId="34" fillId="0" borderId="10" xfId="0" applyNumberFormat="1" applyFont="1" applyBorder="1" applyAlignment="1">
      <alignment horizontal="center" vertical="center"/>
    </xf>
    <xf numFmtId="0" fontId="34" fillId="0" borderId="10" xfId="0" applyFont="1" applyBorder="1" applyAlignment="1">
      <alignment horizontal="center" vertical="center" wrapText="1"/>
    </xf>
    <xf numFmtId="166" fontId="6" fillId="8" borderId="7" xfId="0" applyNumberFormat="1" applyFont="1" applyFill="1" applyBorder="1" applyAlignment="1">
      <alignment horizontal="center" vertical="center"/>
    </xf>
    <xf numFmtId="167" fontId="6" fillId="8" borderId="7" xfId="0" applyNumberFormat="1" applyFont="1" applyFill="1" applyBorder="1" applyAlignment="1">
      <alignment horizontal="center" vertical="center"/>
    </xf>
    <xf numFmtId="0" fontId="34" fillId="8" borderId="1" xfId="0" applyFont="1" applyFill="1" applyBorder="1" applyAlignment="1">
      <alignment horizontal="center" wrapText="1"/>
    </xf>
    <xf numFmtId="0" fontId="6" fillId="7" borderId="4" xfId="0" applyFont="1" applyFill="1" applyBorder="1" applyAlignment="1">
      <alignment horizontal="justify" vertical="center" wrapText="1"/>
    </xf>
    <xf numFmtId="43" fontId="6" fillId="7" borderId="4" xfId="3" applyFont="1" applyFill="1" applyBorder="1" applyAlignment="1">
      <alignment horizontal="justify" vertical="center"/>
    </xf>
    <xf numFmtId="1" fontId="6" fillId="7" borderId="4" xfId="0" applyNumberFormat="1" applyFont="1" applyFill="1" applyBorder="1" applyAlignment="1">
      <alignment horizontal="center" vertical="center"/>
    </xf>
    <xf numFmtId="0" fontId="6" fillId="6" borderId="4" xfId="0" applyFont="1" applyFill="1" applyBorder="1" applyAlignment="1">
      <alignment vertical="center"/>
    </xf>
    <xf numFmtId="0" fontId="6" fillId="6" borderId="12" xfId="0" applyFont="1" applyFill="1" applyBorder="1" applyAlignment="1">
      <alignment vertical="center"/>
    </xf>
    <xf numFmtId="0" fontId="6" fillId="8" borderId="7" xfId="0" applyFont="1" applyFill="1" applyBorder="1" applyAlignment="1">
      <alignment vertical="center" wrapText="1"/>
    </xf>
    <xf numFmtId="0" fontId="6" fillId="8" borderId="7" xfId="0" applyFont="1" applyFill="1" applyBorder="1" applyAlignment="1">
      <alignment horizontal="center" vertical="center" wrapText="1"/>
    </xf>
    <xf numFmtId="1" fontId="6" fillId="6" borderId="0" xfId="0" applyNumberFormat="1" applyFont="1" applyFill="1" applyBorder="1" applyAlignment="1">
      <alignment vertical="center"/>
    </xf>
    <xf numFmtId="0" fontId="6" fillId="6" borderId="0" xfId="0" applyFont="1" applyFill="1" applyBorder="1" applyAlignment="1">
      <alignment vertical="center"/>
    </xf>
    <xf numFmtId="0" fontId="4" fillId="6" borderId="0" xfId="0" applyFont="1" applyFill="1" applyBorder="1" applyAlignment="1">
      <alignment horizontal="justify"/>
    </xf>
    <xf numFmtId="0" fontId="4" fillId="6" borderId="19" xfId="0" applyFont="1" applyFill="1" applyBorder="1" applyAlignment="1">
      <alignment horizontal="center" vertical="center"/>
    </xf>
    <xf numFmtId="0" fontId="4" fillId="0" borderId="19" xfId="0" applyFont="1" applyFill="1" applyBorder="1" applyAlignment="1">
      <alignment horizontal="justify" vertical="center"/>
    </xf>
    <xf numFmtId="0" fontId="34" fillId="0" borderId="19" xfId="0" applyFont="1" applyBorder="1" applyAlignment="1">
      <alignment horizontal="center" vertical="center" wrapText="1"/>
    </xf>
    <xf numFmtId="1" fontId="6" fillId="6" borderId="20" xfId="0" applyNumberFormat="1" applyFont="1" applyFill="1" applyBorder="1" applyAlignment="1">
      <alignment vertical="center"/>
    </xf>
    <xf numFmtId="0" fontId="6" fillId="6" borderId="20" xfId="0" applyFont="1" applyFill="1" applyBorder="1" applyAlignment="1">
      <alignment vertical="center"/>
    </xf>
    <xf numFmtId="0" fontId="6" fillId="6" borderId="1" xfId="0" applyFont="1" applyFill="1" applyBorder="1" applyAlignment="1">
      <alignment horizontal="justify" vertical="center"/>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9" fontId="6" fillId="6" borderId="1" xfId="6" applyFont="1" applyFill="1" applyBorder="1" applyAlignment="1">
      <alignment horizontal="center" vertical="center"/>
    </xf>
    <xf numFmtId="43" fontId="6" fillId="6" borderId="1" xfId="3" applyFont="1" applyFill="1" applyBorder="1" applyAlignment="1">
      <alignment horizontal="center" vertical="center"/>
    </xf>
    <xf numFmtId="168" fontId="6" fillId="6" borderId="1" xfId="0" applyNumberFormat="1" applyFont="1" applyFill="1" applyBorder="1" applyAlignment="1">
      <alignment horizontal="center" vertical="center"/>
    </xf>
    <xf numFmtId="168" fontId="6" fillId="6" borderId="1" xfId="0" applyNumberFormat="1" applyFont="1" applyFill="1" applyBorder="1" applyAlignment="1">
      <alignment horizontal="left" vertical="center"/>
    </xf>
    <xf numFmtId="14" fontId="33" fillId="0" borderId="1" xfId="0" applyNumberFormat="1" applyFont="1" applyBorder="1" applyAlignment="1">
      <alignment horizontal="center" vertical="center"/>
    </xf>
    <xf numFmtId="0" fontId="33" fillId="0" borderId="1" xfId="0" applyFont="1" applyBorder="1" applyAlignment="1">
      <alignment horizontal="justify" vertical="center" wrapText="1"/>
    </xf>
    <xf numFmtId="0" fontId="33" fillId="0" borderId="0" xfId="0" applyFont="1"/>
    <xf numFmtId="168" fontId="8" fillId="0" borderId="0" xfId="21" applyNumberFormat="1" applyFont="1" applyAlignment="1">
      <alignment horizontal="center" vertical="center"/>
    </xf>
    <xf numFmtId="0" fontId="4" fillId="0" borderId="0" xfId="0" applyFont="1" applyAlignment="1">
      <alignment horizontal="left"/>
    </xf>
    <xf numFmtId="0" fontId="34" fillId="0" borderId="0" xfId="0" applyFont="1" applyAlignment="1">
      <alignment horizontal="justify"/>
    </xf>
    <xf numFmtId="3" fontId="4" fillId="0" borderId="0" xfId="0" applyNumberFormat="1" applyFont="1" applyAlignment="1">
      <alignment horizontal="right" vertical="center"/>
    </xf>
    <xf numFmtId="4" fontId="4" fillId="0" borderId="0" xfId="0" applyNumberFormat="1" applyFont="1" applyAlignment="1">
      <alignment horizontal="justify" vertical="center"/>
    </xf>
    <xf numFmtId="43" fontId="4" fillId="0" borderId="0" xfId="0" applyNumberFormat="1" applyFont="1" applyAlignment="1">
      <alignment horizontal="justify" vertical="center"/>
    </xf>
    <xf numFmtId="0" fontId="9" fillId="0" borderId="0" xfId="0" applyFont="1" applyAlignment="1">
      <alignment horizontal="justify"/>
    </xf>
    <xf numFmtId="42" fontId="9" fillId="0" borderId="0" xfId="21" applyFont="1" applyAlignment="1">
      <alignment horizontal="justify"/>
    </xf>
    <xf numFmtId="168" fontId="4" fillId="0" borderId="0" xfId="0" applyNumberFormat="1" applyFont="1" applyAlignment="1">
      <alignment horizontal="justify"/>
    </xf>
    <xf numFmtId="42" fontId="4" fillId="0" borderId="0" xfId="21" applyFont="1" applyAlignment="1">
      <alignment horizontal="justify"/>
    </xf>
    <xf numFmtId="0" fontId="4" fillId="0" borderId="0" xfId="0" applyFont="1" applyAlignment="1">
      <alignment horizontal="center" wrapText="1"/>
    </xf>
    <xf numFmtId="0" fontId="11" fillId="0" borderId="0" xfId="0" applyFont="1" applyAlignment="1">
      <alignment horizontal="justify" vertical="top" wrapText="1"/>
    </xf>
    <xf numFmtId="0" fontId="12" fillId="0" borderId="1" xfId="0" applyFont="1" applyBorder="1" applyAlignment="1">
      <alignment horizontal="justify" vertical="center" wrapText="1"/>
    </xf>
    <xf numFmtId="0" fontId="24" fillId="7" borderId="7" xfId="0" applyFont="1" applyFill="1" applyBorder="1" applyAlignment="1">
      <alignment horizontal="center" vertical="center"/>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12" fillId="6" borderId="9" xfId="0" applyFont="1" applyFill="1" applyBorder="1" applyAlignment="1">
      <alignment horizontal="justify" vertical="center" wrapText="1"/>
    </xf>
    <xf numFmtId="0" fontId="12" fillId="0" borderId="9" xfId="0" applyFont="1" applyBorder="1" applyAlignment="1">
      <alignment horizontal="justify" vertical="center" wrapText="1"/>
    </xf>
    <xf numFmtId="0" fontId="12" fillId="0" borderId="19" xfId="0" applyFont="1" applyBorder="1" applyAlignment="1">
      <alignment horizontal="justify" vertical="center" wrapText="1"/>
    </xf>
    <xf numFmtId="0" fontId="12" fillId="6" borderId="1" xfId="0" applyFont="1" applyFill="1" applyBorder="1" applyAlignment="1">
      <alignment horizontal="justify" vertical="center" wrapText="1"/>
    </xf>
    <xf numFmtId="43" fontId="12" fillId="6" borderId="1" xfId="1" applyFont="1" applyFill="1" applyBorder="1" applyAlignment="1">
      <alignment horizontal="center" vertical="center" wrapText="1"/>
    </xf>
    <xf numFmtId="43" fontId="12" fillId="6" borderId="9" xfId="1" applyFont="1" applyFill="1" applyBorder="1" applyAlignment="1">
      <alignment horizontal="center" vertical="center" wrapText="1"/>
    </xf>
    <xf numFmtId="0" fontId="24" fillId="0" borderId="6" xfId="0" applyFont="1" applyBorder="1"/>
    <xf numFmtId="0" fontId="24" fillId="0" borderId="1" xfId="0" applyFont="1" applyBorder="1"/>
    <xf numFmtId="164" fontId="24" fillId="0" borderId="1" xfId="0" applyNumberFormat="1" applyFont="1" applyBorder="1" applyAlignment="1">
      <alignment horizontal="left"/>
    </xf>
    <xf numFmtId="17" fontId="24" fillId="0" borderId="1" xfId="0" applyNumberFormat="1" applyFont="1" applyBorder="1" applyAlignment="1">
      <alignment horizontal="left"/>
    </xf>
    <xf numFmtId="0" fontId="24" fillId="0" borderId="6" xfId="0" applyFont="1" applyBorder="1" applyAlignment="1">
      <alignment vertical="center"/>
    </xf>
    <xf numFmtId="3" fontId="25" fillId="2" borderId="1" xfId="0" applyNumberFormat="1" applyFont="1" applyFill="1" applyBorder="1" applyAlignment="1">
      <alignment horizontal="left" vertical="center" wrapText="1"/>
    </xf>
    <xf numFmtId="0" fontId="25" fillId="15" borderId="6" xfId="0" applyFont="1" applyFill="1" applyBorder="1" applyAlignment="1">
      <alignment horizontal="center" vertical="center" textRotation="90" wrapText="1"/>
    </xf>
    <xf numFmtId="0" fontId="25" fillId="15" borderId="1" xfId="0" applyFont="1" applyFill="1" applyBorder="1" applyAlignment="1">
      <alignment horizontal="center" vertical="center" textRotation="90" wrapText="1"/>
    </xf>
    <xf numFmtId="0" fontId="24" fillId="5" borderId="63" xfId="22" applyFont="1" applyFill="1" applyBorder="1" applyAlignment="1">
      <alignment horizontal="center" vertical="center" wrapText="1"/>
    </xf>
    <xf numFmtId="0" fontId="24" fillId="5" borderId="7" xfId="22" applyFont="1" applyFill="1" applyBorder="1" applyAlignment="1">
      <alignment vertical="center"/>
    </xf>
    <xf numFmtId="0" fontId="24" fillId="5" borderId="7" xfId="22" applyFont="1" applyFill="1" applyBorder="1" applyAlignment="1">
      <alignment horizontal="justify" vertical="center"/>
    </xf>
    <xf numFmtId="0" fontId="24" fillId="5" borderId="7" xfId="22" applyFont="1" applyFill="1" applyBorder="1" applyAlignment="1">
      <alignment horizontal="center" vertical="center"/>
    </xf>
    <xf numFmtId="0" fontId="12" fillId="5" borderId="7" xfId="22" applyFont="1" applyFill="1" applyBorder="1" applyAlignment="1">
      <alignment vertical="center"/>
    </xf>
    <xf numFmtId="0" fontId="24" fillId="5" borderId="7" xfId="3" applyNumberFormat="1" applyFont="1" applyFill="1" applyBorder="1" applyAlignment="1">
      <alignment vertical="center"/>
    </xf>
    <xf numFmtId="166" fontId="24" fillId="5" borderId="7" xfId="3" applyNumberFormat="1" applyFont="1" applyFill="1" applyBorder="1" applyAlignment="1">
      <alignment vertical="center"/>
    </xf>
    <xf numFmtId="0" fontId="24" fillId="5" borderId="7" xfId="3" applyNumberFormat="1" applyFont="1" applyFill="1" applyBorder="1" applyAlignment="1">
      <alignment horizontal="center" vertical="center"/>
    </xf>
    <xf numFmtId="0" fontId="24" fillId="5" borderId="64" xfId="22" applyFont="1" applyFill="1" applyBorder="1" applyAlignment="1">
      <alignment vertical="center"/>
    </xf>
    <xf numFmtId="0" fontId="12" fillId="0" borderId="0" xfId="22" applyFont="1"/>
    <xf numFmtId="0" fontId="24" fillId="7" borderId="4" xfId="22" applyFont="1" applyFill="1" applyBorder="1" applyAlignment="1">
      <alignment horizontal="center" vertical="center"/>
    </xf>
    <xf numFmtId="0" fontId="24" fillId="7" borderId="4" xfId="22" applyFont="1" applyFill="1" applyBorder="1" applyAlignment="1">
      <alignment vertical="center"/>
    </xf>
    <xf numFmtId="0" fontId="24" fillId="7" borderId="7" xfId="22" applyFont="1" applyFill="1" applyBorder="1" applyAlignment="1">
      <alignment vertical="center"/>
    </xf>
    <xf numFmtId="0" fontId="24" fillId="7" borderId="7" xfId="22" applyFont="1" applyFill="1" applyBorder="1" applyAlignment="1">
      <alignment horizontal="justify" vertical="center"/>
    </xf>
    <xf numFmtId="0" fontId="24" fillId="7" borderId="7" xfId="22" applyFont="1" applyFill="1" applyBorder="1" applyAlignment="1">
      <alignment horizontal="center" vertical="center"/>
    </xf>
    <xf numFmtId="0" fontId="12" fillId="7" borderId="7" xfId="22" applyFont="1" applyFill="1" applyBorder="1" applyAlignment="1">
      <alignment vertical="center"/>
    </xf>
    <xf numFmtId="0" fontId="24" fillId="7" borderId="7" xfId="3" applyNumberFormat="1" applyFont="1" applyFill="1" applyBorder="1" applyAlignment="1">
      <alignment vertical="center"/>
    </xf>
    <xf numFmtId="166" fontId="24" fillId="7" borderId="7" xfId="3" applyNumberFormat="1" applyFont="1" applyFill="1" applyBorder="1" applyAlignment="1">
      <alignment vertical="center"/>
    </xf>
    <xf numFmtId="0" fontId="24" fillId="7" borderId="7" xfId="3" applyNumberFormat="1" applyFont="1" applyFill="1" applyBorder="1" applyAlignment="1">
      <alignment horizontal="center" vertical="center"/>
    </xf>
    <xf numFmtId="0" fontId="24" fillId="7" borderId="64" xfId="22" applyFont="1" applyFill="1" applyBorder="1" applyAlignment="1">
      <alignment vertical="center"/>
    </xf>
    <xf numFmtId="0" fontId="24" fillId="0" borderId="56" xfId="22" applyFont="1" applyBorder="1" applyAlignment="1">
      <alignment vertical="center" wrapText="1"/>
    </xf>
    <xf numFmtId="0" fontId="24" fillId="0" borderId="0" xfId="22" applyFont="1" applyAlignment="1">
      <alignment vertical="center" wrapText="1"/>
    </xf>
    <xf numFmtId="0" fontId="24" fillId="0" borderId="13" xfId="22" applyFont="1" applyBorder="1" applyAlignment="1">
      <alignment vertical="center" wrapText="1"/>
    </xf>
    <xf numFmtId="0" fontId="24" fillId="0" borderId="4" xfId="22" applyFont="1" applyBorder="1" applyAlignment="1">
      <alignment vertical="center" wrapText="1"/>
    </xf>
    <xf numFmtId="0" fontId="24" fillId="0" borderId="12" xfId="22" applyFont="1" applyBorder="1" applyAlignment="1">
      <alignment vertical="center" wrapText="1"/>
    </xf>
    <xf numFmtId="0" fontId="24" fillId="21" borderId="7" xfId="22" applyFont="1" applyFill="1" applyBorder="1" applyAlignment="1">
      <alignment horizontal="center" vertical="center" wrapText="1"/>
    </xf>
    <xf numFmtId="0" fontId="24" fillId="21" borderId="7" xfId="22" applyFont="1" applyFill="1" applyBorder="1" applyAlignment="1">
      <alignment vertical="center"/>
    </xf>
    <xf numFmtId="0" fontId="24" fillId="21" borderId="7" xfId="22" applyFont="1" applyFill="1" applyBorder="1" applyAlignment="1">
      <alignment horizontal="justify" vertical="center"/>
    </xf>
    <xf numFmtId="0" fontId="24" fillId="21" borderId="7" xfId="22" applyFont="1" applyFill="1" applyBorder="1" applyAlignment="1">
      <alignment horizontal="center" vertical="center"/>
    </xf>
    <xf numFmtId="0" fontId="12" fillId="21" borderId="7" xfId="22" applyFont="1" applyFill="1" applyBorder="1" applyAlignment="1">
      <alignment vertical="center"/>
    </xf>
    <xf numFmtId="0" fontId="24" fillId="21" borderId="7" xfId="3" applyNumberFormat="1" applyFont="1" applyFill="1" applyBorder="1" applyAlignment="1">
      <alignment vertical="center"/>
    </xf>
    <xf numFmtId="166" fontId="24" fillId="21" borderId="7" xfId="3" applyNumberFormat="1" applyFont="1" applyFill="1" applyBorder="1" applyAlignment="1">
      <alignment vertical="center"/>
    </xf>
    <xf numFmtId="0" fontId="24" fillId="21" borderId="7" xfId="3" applyNumberFormat="1" applyFont="1" applyFill="1" applyBorder="1" applyAlignment="1">
      <alignment horizontal="center" vertical="center"/>
    </xf>
    <xf numFmtId="0" fontId="24" fillId="21" borderId="64" xfId="22" applyFont="1" applyFill="1" applyBorder="1" applyAlignment="1">
      <alignment vertical="center"/>
    </xf>
    <xf numFmtId="0" fontId="12" fillId="6" borderId="56" xfId="22" applyFont="1" applyFill="1" applyBorder="1" applyAlignment="1">
      <alignment vertical="center" wrapText="1"/>
    </xf>
    <xf numFmtId="0" fontId="12" fillId="6" borderId="0" xfId="22" applyFont="1" applyFill="1" applyAlignment="1">
      <alignment vertical="center" wrapText="1"/>
    </xf>
    <xf numFmtId="0" fontId="12" fillId="6" borderId="13" xfId="22" applyFont="1" applyFill="1" applyBorder="1" applyAlignment="1">
      <alignment vertical="center" wrapText="1"/>
    </xf>
    <xf numFmtId="0" fontId="12" fillId="6" borderId="3" xfId="22" applyFont="1" applyFill="1" applyBorder="1" applyAlignment="1">
      <alignment vertical="center" wrapText="1"/>
    </xf>
    <xf numFmtId="0" fontId="12" fillId="6" borderId="4" xfId="22" applyFont="1" applyFill="1" applyBorder="1" applyAlignment="1">
      <alignment vertical="center" wrapText="1"/>
    </xf>
    <xf numFmtId="0" fontId="12" fillId="6" borderId="12" xfId="22" applyFont="1" applyFill="1" applyBorder="1" applyAlignment="1">
      <alignment vertical="center" wrapText="1"/>
    </xf>
    <xf numFmtId="43" fontId="14" fillId="6" borderId="1" xfId="3" applyFont="1" applyFill="1" applyBorder="1" applyAlignment="1">
      <alignment horizontal="center" vertical="center" wrapText="1"/>
    </xf>
    <xf numFmtId="1" fontId="12" fillId="6" borderId="1" xfId="22" applyNumberFormat="1" applyFont="1" applyFill="1" applyBorder="1" applyAlignment="1">
      <alignment horizontal="center" vertical="center" wrapText="1"/>
    </xf>
    <xf numFmtId="0" fontId="12" fillId="6" borderId="0" xfId="22" applyFont="1" applyFill="1"/>
    <xf numFmtId="0" fontId="12" fillId="6" borderId="11" xfId="22" applyFont="1" applyFill="1" applyBorder="1" applyAlignment="1">
      <alignment vertical="center" wrapText="1"/>
    </xf>
    <xf numFmtId="49" fontId="12" fillId="6" borderId="1" xfId="23" applyNumberFormat="1" applyFont="1" applyFill="1" applyBorder="1" applyAlignment="1">
      <alignment horizontal="justify" vertical="center" wrapText="1"/>
    </xf>
    <xf numFmtId="0" fontId="12" fillId="6" borderId="2" xfId="22" applyFont="1" applyFill="1" applyBorder="1" applyAlignment="1">
      <alignment vertical="center" wrapText="1"/>
    </xf>
    <xf numFmtId="0" fontId="12" fillId="6" borderId="20" xfId="22" applyFont="1" applyFill="1" applyBorder="1" applyAlignment="1">
      <alignment vertical="center" wrapText="1"/>
    </xf>
    <xf numFmtId="0" fontId="12" fillId="6" borderId="5" xfId="22" applyFont="1" applyFill="1" applyBorder="1" applyAlignment="1">
      <alignment vertical="center" wrapText="1"/>
    </xf>
    <xf numFmtId="0" fontId="12" fillId="0" borderId="13" xfId="22" applyFont="1" applyBorder="1"/>
    <xf numFmtId="0" fontId="24" fillId="7" borderId="7" xfId="22" applyFont="1" applyFill="1" applyBorder="1" applyAlignment="1">
      <alignment horizontal="justify" vertical="center" wrapText="1"/>
    </xf>
    <xf numFmtId="0" fontId="24" fillId="7" borderId="8" xfId="22" applyFont="1" applyFill="1" applyBorder="1" applyAlignment="1">
      <alignment vertical="center"/>
    </xf>
    <xf numFmtId="0" fontId="24" fillId="7" borderId="6" xfId="22" applyFont="1" applyFill="1" applyBorder="1" applyAlignment="1">
      <alignment vertical="center"/>
    </xf>
    <xf numFmtId="43" fontId="24" fillId="7" borderId="7" xfId="3" applyFont="1" applyFill="1" applyBorder="1" applyAlignment="1">
      <alignment horizontal="center" vertical="center"/>
    </xf>
    <xf numFmtId="43" fontId="12" fillId="7" borderId="7" xfId="3" applyFont="1" applyFill="1" applyBorder="1" applyAlignment="1">
      <alignment vertical="center"/>
    </xf>
    <xf numFmtId="1" fontId="24" fillId="7" borderId="7" xfId="22" applyNumberFormat="1" applyFont="1" applyFill="1" applyBorder="1" applyAlignment="1">
      <alignment horizontal="center" vertical="center"/>
    </xf>
    <xf numFmtId="0" fontId="24" fillId="21" borderId="7" xfId="22" applyFont="1" applyFill="1" applyBorder="1" applyAlignment="1">
      <alignment horizontal="justify" vertical="center" wrapText="1"/>
    </xf>
    <xf numFmtId="43" fontId="24" fillId="21" borderId="7" xfId="3" applyFont="1" applyFill="1" applyBorder="1" applyAlignment="1">
      <alignment horizontal="center" vertical="center"/>
    </xf>
    <xf numFmtId="43" fontId="12" fillId="21" borderId="7" xfId="3" applyFont="1" applyFill="1" applyBorder="1" applyAlignment="1">
      <alignment vertical="center"/>
    </xf>
    <xf numFmtId="1" fontId="24" fillId="21" borderId="7" xfId="22" applyNumberFormat="1" applyFont="1" applyFill="1" applyBorder="1" applyAlignment="1">
      <alignment horizontal="center" vertical="center"/>
    </xf>
    <xf numFmtId="43" fontId="14" fillId="0" borderId="1" xfId="3" applyFont="1" applyBorder="1" applyAlignment="1">
      <alignment horizontal="center" vertical="center" wrapText="1"/>
    </xf>
    <xf numFmtId="0" fontId="24" fillId="6" borderId="56" xfId="22" applyFont="1" applyFill="1" applyBorder="1" applyAlignment="1">
      <alignment vertical="center" wrapText="1"/>
    </xf>
    <xf numFmtId="0" fontId="24" fillId="6" borderId="0" xfId="22" applyFont="1" applyFill="1" applyAlignment="1">
      <alignment vertical="center" wrapText="1"/>
    </xf>
    <xf numFmtId="0" fontId="24" fillId="6" borderId="13" xfId="22" applyFont="1" applyFill="1" applyBorder="1" applyAlignment="1">
      <alignment vertical="center" wrapText="1"/>
    </xf>
    <xf numFmtId="0" fontId="24" fillId="6" borderId="3" xfId="22" applyFont="1" applyFill="1" applyBorder="1" applyAlignment="1">
      <alignment vertical="center" wrapText="1"/>
    </xf>
    <xf numFmtId="0" fontId="24" fillId="6" borderId="4" xfId="22" applyFont="1" applyFill="1" applyBorder="1" applyAlignment="1">
      <alignment vertical="center" wrapText="1"/>
    </xf>
    <xf numFmtId="0" fontId="24" fillId="6" borderId="12" xfId="22" applyFont="1" applyFill="1" applyBorder="1" applyAlignment="1">
      <alignment vertical="center" wrapText="1"/>
    </xf>
    <xf numFmtId="43" fontId="14" fillId="0" borderId="6" xfId="3" applyFont="1" applyBorder="1" applyAlignment="1">
      <alignment horizontal="center" vertical="center" wrapText="1"/>
    </xf>
    <xf numFmtId="0" fontId="24" fillId="6" borderId="11" xfId="22" applyFont="1" applyFill="1" applyBorder="1" applyAlignment="1">
      <alignment vertical="center" wrapText="1"/>
    </xf>
    <xf numFmtId="43" fontId="14" fillId="6" borderId="6" xfId="3" applyFont="1" applyFill="1" applyBorder="1" applyAlignment="1">
      <alignment horizontal="center" vertical="center" wrapText="1"/>
    </xf>
    <xf numFmtId="0" fontId="24" fillId="6" borderId="5" xfId="22" applyFont="1" applyFill="1" applyBorder="1" applyAlignment="1">
      <alignment vertical="center" wrapText="1"/>
    </xf>
    <xf numFmtId="0" fontId="24" fillId="6" borderId="2" xfId="22" applyFont="1" applyFill="1" applyBorder="1" applyAlignment="1">
      <alignment vertical="center" wrapText="1"/>
    </xf>
    <xf numFmtId="0" fontId="24" fillId="6" borderId="20" xfId="22" applyFont="1" applyFill="1" applyBorder="1" applyAlignment="1">
      <alignment vertical="center" wrapText="1"/>
    </xf>
    <xf numFmtId="0" fontId="12" fillId="6" borderId="1" xfId="22" applyFont="1" applyFill="1" applyBorder="1" applyAlignment="1">
      <alignment horizontal="justify" vertical="center" wrapText="1"/>
    </xf>
    <xf numFmtId="49" fontId="12" fillId="6" borderId="1" xfId="23" applyNumberFormat="1" applyFont="1" applyFill="1" applyBorder="1" applyAlignment="1">
      <alignment horizontal="justify" vertical="top" wrapText="1"/>
    </xf>
    <xf numFmtId="0" fontId="14" fillId="6" borderId="0" xfId="22" applyFont="1" applyFill="1"/>
    <xf numFmtId="0" fontId="14" fillId="22" borderId="0" xfId="22" applyFont="1" applyFill="1"/>
    <xf numFmtId="0" fontId="14" fillId="6" borderId="56" xfId="22" applyFont="1" applyFill="1" applyBorder="1" applyAlignment="1">
      <alignment vertical="center" wrapText="1"/>
    </xf>
    <xf numFmtId="0" fontId="14" fillId="6" borderId="0" xfId="22" applyFont="1" applyFill="1" applyAlignment="1">
      <alignment vertical="center" wrapText="1"/>
    </xf>
    <xf numFmtId="0" fontId="14" fillId="6" borderId="13" xfId="22" applyFont="1" applyFill="1" applyBorder="1" applyAlignment="1">
      <alignment vertical="center" wrapText="1"/>
    </xf>
    <xf numFmtId="0" fontId="14" fillId="6" borderId="3" xfId="22" applyFont="1" applyFill="1" applyBorder="1" applyAlignment="1">
      <alignment vertical="center" wrapText="1"/>
    </xf>
    <xf numFmtId="0" fontId="14" fillId="6" borderId="4" xfId="22" applyFont="1" applyFill="1" applyBorder="1" applyAlignment="1">
      <alignment vertical="center" wrapText="1"/>
    </xf>
    <xf numFmtId="0" fontId="14" fillId="6" borderId="12" xfId="22" applyFont="1" applyFill="1" applyBorder="1" applyAlignment="1">
      <alignment vertical="center" wrapText="1"/>
    </xf>
    <xf numFmtId="1" fontId="14" fillId="6" borderId="1" xfId="22" applyNumberFormat="1" applyFont="1" applyFill="1" applyBorder="1" applyAlignment="1">
      <alignment horizontal="center" vertical="center" wrapText="1"/>
    </xf>
    <xf numFmtId="0" fontId="14" fillId="6" borderId="11" xfId="22" applyFont="1" applyFill="1" applyBorder="1" applyAlignment="1">
      <alignment vertical="center" wrapText="1"/>
    </xf>
    <xf numFmtId="1" fontId="14" fillId="0" borderId="1" xfId="22" applyNumberFormat="1" applyFont="1" applyBorder="1" applyAlignment="1">
      <alignment horizontal="center" vertical="center" wrapText="1"/>
    </xf>
    <xf numFmtId="0" fontId="14" fillId="6" borderId="5" xfId="22" applyFont="1" applyFill="1" applyBorder="1" applyAlignment="1">
      <alignment vertical="center" wrapText="1"/>
    </xf>
    <xf numFmtId="0" fontId="14" fillId="6" borderId="2" xfId="22" applyFont="1" applyFill="1" applyBorder="1" applyAlignment="1">
      <alignment vertical="center" wrapText="1"/>
    </xf>
    <xf numFmtId="0" fontId="14" fillId="6" borderId="20" xfId="22" applyFont="1" applyFill="1" applyBorder="1" applyAlignment="1">
      <alignment vertical="center" wrapText="1"/>
    </xf>
    <xf numFmtId="0" fontId="24" fillId="21" borderId="4" xfId="22" applyFont="1" applyFill="1" applyBorder="1" applyAlignment="1">
      <alignment horizontal="center" vertical="center"/>
    </xf>
    <xf numFmtId="0" fontId="12" fillId="6" borderId="19" xfId="22" applyFont="1" applyFill="1" applyBorder="1" applyAlignment="1">
      <alignment horizontal="justify" vertical="center" wrapText="1"/>
    </xf>
    <xf numFmtId="1" fontId="12" fillId="6" borderId="6" xfId="22" applyNumberFormat="1" applyFont="1" applyFill="1" applyBorder="1" applyAlignment="1">
      <alignment horizontal="center" vertical="center" wrapText="1"/>
    </xf>
    <xf numFmtId="43" fontId="14" fillId="6" borderId="19" xfId="3" applyFont="1" applyFill="1" applyBorder="1" applyAlignment="1">
      <alignment horizontal="center" vertical="center" wrapText="1"/>
    </xf>
    <xf numFmtId="0" fontId="14" fillId="0" borderId="56" xfId="22" applyFont="1" applyBorder="1" applyAlignment="1">
      <alignment vertical="center" wrapText="1"/>
    </xf>
    <xf numFmtId="0" fontId="14" fillId="0" borderId="0" xfId="22" applyFont="1" applyAlignment="1">
      <alignment vertical="center" wrapText="1"/>
    </xf>
    <xf numFmtId="0" fontId="14" fillId="0" borderId="13" xfId="22" applyFont="1" applyBorder="1" applyAlignment="1">
      <alignment vertical="center" wrapText="1"/>
    </xf>
    <xf numFmtId="0" fontId="14" fillId="0" borderId="11" xfId="22" applyFont="1" applyBorder="1" applyAlignment="1">
      <alignment vertical="center" wrapText="1"/>
    </xf>
    <xf numFmtId="41" fontId="14" fillId="0" borderId="1" xfId="3" applyNumberFormat="1" applyFont="1" applyBorder="1" applyAlignment="1">
      <alignment horizontal="center" vertical="center" wrapText="1"/>
    </xf>
    <xf numFmtId="0" fontId="14" fillId="0" borderId="1" xfId="22" applyFont="1" applyBorder="1" applyAlignment="1">
      <alignment horizontal="center" vertical="center"/>
    </xf>
    <xf numFmtId="0" fontId="14" fillId="0" borderId="0" xfId="22" applyFont="1"/>
    <xf numFmtId="41" fontId="14" fillId="0" borderId="9" xfId="3" applyNumberFormat="1" applyFont="1" applyBorder="1" applyAlignment="1">
      <alignment horizontal="center" vertical="center" wrapText="1"/>
    </xf>
    <xf numFmtId="1" fontId="14" fillId="0" borderId="9" xfId="22" applyNumberFormat="1" applyFont="1" applyBorder="1" applyAlignment="1">
      <alignment horizontal="center" vertical="center" wrapText="1"/>
    </xf>
    <xf numFmtId="41" fontId="14" fillId="0" borderId="16" xfId="22" applyNumberFormat="1" applyFont="1" applyBorder="1" applyAlignment="1">
      <alignment vertical="center"/>
    </xf>
    <xf numFmtId="0" fontId="14" fillId="0" borderId="16" xfId="22" applyFont="1" applyBorder="1" applyAlignment="1">
      <alignment horizontal="center" vertical="center"/>
    </xf>
    <xf numFmtId="43" fontId="14" fillId="0" borderId="14" xfId="3" applyFont="1" applyBorder="1" applyAlignment="1">
      <alignment horizontal="center" vertical="center" wrapText="1"/>
    </xf>
    <xf numFmtId="1" fontId="14" fillId="0" borderId="14" xfId="22" applyNumberFormat="1" applyFont="1" applyBorder="1" applyAlignment="1">
      <alignment horizontal="center" vertical="center" wrapText="1"/>
    </xf>
    <xf numFmtId="43" fontId="14" fillId="0" borderId="19" xfId="3" applyFont="1" applyBorder="1" applyAlignment="1">
      <alignment horizontal="center" vertical="center" wrapText="1"/>
    </xf>
    <xf numFmtId="1" fontId="14" fillId="0" borderId="19" xfId="22" applyNumberFormat="1" applyFont="1" applyBorder="1" applyAlignment="1">
      <alignment horizontal="center" vertical="center" wrapText="1"/>
    </xf>
    <xf numFmtId="43" fontId="14" fillId="0" borderId="9" xfId="3" applyFont="1" applyBorder="1" applyAlignment="1">
      <alignment horizontal="center" vertical="center" wrapText="1"/>
    </xf>
    <xf numFmtId="0" fontId="12" fillId="0" borderId="56" xfId="22" applyFont="1" applyBorder="1" applyAlignment="1">
      <alignment vertical="center" wrapText="1"/>
    </xf>
    <xf numFmtId="0" fontId="12" fillId="0" borderId="0" xfId="22" applyFont="1" applyAlignment="1">
      <alignment vertical="center" wrapText="1"/>
    </xf>
    <xf numFmtId="0" fontId="12" fillId="0" borderId="13" xfId="22" applyFont="1" applyBorder="1" applyAlignment="1">
      <alignment vertical="center" wrapText="1"/>
    </xf>
    <xf numFmtId="0" fontId="12" fillId="0" borderId="11" xfId="22" applyFont="1" applyBorder="1" applyAlignment="1">
      <alignment vertical="center" wrapText="1"/>
    </xf>
    <xf numFmtId="43" fontId="14" fillId="0" borderId="10" xfId="3" applyFont="1" applyBorder="1" applyAlignment="1">
      <alignment horizontal="center" vertical="center" wrapText="1"/>
    </xf>
    <xf numFmtId="1" fontId="14" fillId="0" borderId="10" xfId="22" applyNumberFormat="1" applyFont="1" applyBorder="1" applyAlignment="1">
      <alignment horizontal="center" vertical="center" wrapText="1"/>
    </xf>
    <xf numFmtId="0" fontId="12" fillId="0" borderId="9" xfId="22" applyFont="1" applyBorder="1" applyAlignment="1">
      <alignment horizontal="center" vertical="center" wrapText="1"/>
    </xf>
    <xf numFmtId="43" fontId="12" fillId="6" borderId="1" xfId="3" applyFont="1" applyFill="1" applyBorder="1" applyAlignment="1">
      <alignment horizontal="center" vertical="center" wrapText="1"/>
    </xf>
    <xf numFmtId="0" fontId="12" fillId="0" borderId="10" xfId="22" applyFont="1" applyBorder="1" applyAlignment="1">
      <alignment horizontal="center" vertical="center" wrapText="1"/>
    </xf>
    <xf numFmtId="43" fontId="12" fillId="0" borderId="1" xfId="3" applyFont="1" applyBorder="1" applyAlignment="1">
      <alignment horizontal="center" vertical="center" wrapText="1"/>
    </xf>
    <xf numFmtId="0" fontId="12" fillId="0" borderId="10" xfId="22" applyFont="1" applyBorder="1" applyAlignment="1">
      <alignment horizontal="right" vertical="center" wrapText="1"/>
    </xf>
    <xf numFmtId="49" fontId="12" fillId="6" borderId="6" xfId="23" applyNumberFormat="1" applyFont="1" applyFill="1" applyBorder="1" applyAlignment="1">
      <alignment horizontal="justify" vertical="center" wrapText="1"/>
    </xf>
    <xf numFmtId="0" fontId="12" fillId="0" borderId="10" xfId="22" applyFont="1" applyBorder="1" applyAlignment="1">
      <alignment horizontal="right" vertical="center" wrapText="1" indent="1"/>
    </xf>
    <xf numFmtId="0" fontId="12" fillId="0" borderId="5" xfId="22" applyFont="1" applyBorder="1" applyAlignment="1">
      <alignment vertical="center" wrapText="1"/>
    </xf>
    <xf numFmtId="0" fontId="12" fillId="0" borderId="2" xfId="22" applyFont="1" applyBorder="1" applyAlignment="1">
      <alignment vertical="center" wrapText="1"/>
    </xf>
    <xf numFmtId="0" fontId="12" fillId="0" borderId="20" xfId="22" applyFont="1" applyBorder="1" applyAlignment="1">
      <alignment vertical="center" wrapText="1"/>
    </xf>
    <xf numFmtId="0" fontId="12" fillId="0" borderId="19" xfId="22" applyFont="1" applyBorder="1" applyAlignment="1">
      <alignment horizontal="center" vertical="center" wrapText="1"/>
    </xf>
    <xf numFmtId="0" fontId="24" fillId="21" borderId="2" xfId="22" applyFont="1" applyFill="1" applyBorder="1" applyAlignment="1">
      <alignment horizontal="justify" vertical="center"/>
    </xf>
    <xf numFmtId="1" fontId="12" fillId="0" borderId="1" xfId="22" applyNumberFormat="1" applyFont="1" applyBorder="1" applyAlignment="1">
      <alignment horizontal="center" vertical="center" wrapText="1"/>
    </xf>
    <xf numFmtId="43" fontId="12" fillId="21" borderId="1" xfId="3" applyFont="1" applyFill="1" applyBorder="1" applyAlignment="1">
      <alignment vertical="center"/>
    </xf>
    <xf numFmtId="1" fontId="24" fillId="21" borderId="1" xfId="22" applyNumberFormat="1" applyFont="1" applyFill="1" applyBorder="1" applyAlignment="1">
      <alignment horizontal="center" vertical="center"/>
    </xf>
    <xf numFmtId="0" fontId="24" fillId="21" borderId="1" xfId="22" applyFont="1" applyFill="1" applyBorder="1" applyAlignment="1">
      <alignment horizontal="center" vertical="center"/>
    </xf>
    <xf numFmtId="0" fontId="12" fillId="6" borderId="9" xfId="22" applyFont="1" applyFill="1" applyBorder="1" applyAlignment="1">
      <alignment horizontal="center" vertical="center" wrapText="1"/>
    </xf>
    <xf numFmtId="0" fontId="12" fillId="6" borderId="10" xfId="22" applyFont="1" applyFill="1" applyBorder="1" applyAlignment="1">
      <alignment horizontal="center" vertical="center" wrapText="1"/>
    </xf>
    <xf numFmtId="0" fontId="12" fillId="6" borderId="13" xfId="22" applyFont="1" applyFill="1" applyBorder="1" applyAlignment="1">
      <alignment horizontal="center" vertical="center" wrapText="1"/>
    </xf>
    <xf numFmtId="49" fontId="12" fillId="0" borderId="6" xfId="23" applyNumberFormat="1" applyFont="1" applyBorder="1" applyAlignment="1">
      <alignment horizontal="justify" vertical="center" wrapText="1"/>
    </xf>
    <xf numFmtId="49" fontId="17" fillId="6" borderId="6" xfId="23" applyNumberFormat="1" applyFont="1" applyFill="1" applyBorder="1" applyAlignment="1">
      <alignment horizontal="justify" vertical="center" wrapText="1"/>
    </xf>
    <xf numFmtId="0" fontId="12" fillId="6" borderId="10" xfId="22" applyFont="1" applyFill="1" applyBorder="1" applyAlignment="1">
      <alignment horizontal="center" wrapText="1"/>
    </xf>
    <xf numFmtId="0" fontId="12" fillId="6" borderId="0" xfId="22" applyFont="1" applyFill="1" applyAlignment="1">
      <alignment horizontal="center"/>
    </xf>
    <xf numFmtId="0" fontId="12" fillId="6" borderId="19" xfId="22" applyFont="1" applyFill="1" applyBorder="1" applyAlignment="1">
      <alignment horizontal="center" vertical="center" wrapText="1"/>
    </xf>
    <xf numFmtId="43" fontId="24" fillId="21" borderId="1" xfId="3" applyFont="1" applyFill="1" applyBorder="1" applyAlignment="1">
      <alignment vertical="center"/>
    </xf>
    <xf numFmtId="43" fontId="24" fillId="21" borderId="1" xfId="3" applyFont="1" applyFill="1" applyBorder="1" applyAlignment="1">
      <alignment horizontal="justify" vertical="center"/>
    </xf>
    <xf numFmtId="0" fontId="12" fillId="0" borderId="1" xfId="22" applyFont="1" applyBorder="1" applyAlignment="1">
      <alignment horizontal="center" vertical="center" wrapText="1"/>
    </xf>
    <xf numFmtId="0" fontId="12" fillId="6" borderId="1" xfId="22" applyFont="1" applyFill="1" applyBorder="1" applyAlignment="1">
      <alignment horizontal="center" vertical="center" wrapText="1"/>
    </xf>
    <xf numFmtId="9" fontId="12" fillId="6" borderId="1" xfId="6" applyFont="1" applyFill="1" applyBorder="1" applyAlignment="1">
      <alignment horizontal="center" vertical="center" wrapText="1"/>
    </xf>
    <xf numFmtId="180" fontId="14" fillId="0" borderId="1" xfId="24" applyFont="1" applyBorder="1" applyAlignment="1">
      <alignment horizontal="center" vertical="center" wrapText="1"/>
    </xf>
    <xf numFmtId="1" fontId="12" fillId="6" borderId="1" xfId="22" applyNumberFormat="1" applyFont="1" applyFill="1" applyBorder="1" applyAlignment="1">
      <alignment horizontal="center" wrapText="1"/>
    </xf>
    <xf numFmtId="1" fontId="12" fillId="0" borderId="1" xfId="22" applyNumberFormat="1" applyFont="1" applyBorder="1" applyAlignment="1">
      <alignment horizontal="center" wrapText="1"/>
    </xf>
    <xf numFmtId="183" fontId="12" fillId="0" borderId="1" xfId="22" applyNumberFormat="1" applyFont="1" applyBorder="1" applyAlignment="1">
      <alignment vertical="center"/>
    </xf>
    <xf numFmtId="0" fontId="12" fillId="0" borderId="1" xfId="22" applyFont="1" applyBorder="1" applyAlignment="1">
      <alignment horizontal="center" vertical="center"/>
    </xf>
    <xf numFmtId="0" fontId="12" fillId="22" borderId="0" xfId="22" applyFont="1" applyFill="1"/>
    <xf numFmtId="0" fontId="24" fillId="7" borderId="0" xfId="22" applyFont="1" applyFill="1" applyAlignment="1">
      <alignment horizontal="justify" vertical="center" wrapText="1"/>
    </xf>
    <xf numFmtId="0" fontId="24" fillId="7" borderId="0" xfId="22" applyFont="1" applyFill="1" applyAlignment="1">
      <alignment vertical="center"/>
    </xf>
    <xf numFmtId="0" fontId="24" fillId="7" borderId="2" xfId="22" applyFont="1" applyFill="1" applyBorder="1" applyAlignment="1">
      <alignment vertical="center"/>
    </xf>
    <xf numFmtId="0" fontId="24" fillId="7" borderId="2" xfId="22" applyFont="1" applyFill="1" applyBorder="1" applyAlignment="1">
      <alignment horizontal="justify" vertical="center"/>
    </xf>
    <xf numFmtId="0" fontId="24" fillId="7" borderId="2" xfId="22" applyFont="1" applyFill="1" applyBorder="1" applyAlignment="1">
      <alignment horizontal="center" vertical="center"/>
    </xf>
    <xf numFmtId="43" fontId="24" fillId="7" borderId="2" xfId="3" applyFont="1" applyFill="1" applyBorder="1" applyAlignment="1">
      <alignment horizontal="center" vertical="center"/>
    </xf>
    <xf numFmtId="43" fontId="12" fillId="7" borderId="1" xfId="3" applyFont="1" applyFill="1" applyBorder="1" applyAlignment="1">
      <alignment vertical="center"/>
    </xf>
    <xf numFmtId="1" fontId="24" fillId="7" borderId="1" xfId="22" applyNumberFormat="1" applyFont="1" applyFill="1" applyBorder="1" applyAlignment="1">
      <alignment horizontal="center" vertical="center"/>
    </xf>
    <xf numFmtId="0" fontId="24" fillId="7" borderId="1" xfId="22" applyFont="1" applyFill="1" applyBorder="1" applyAlignment="1">
      <alignment horizontal="center" vertical="center"/>
    </xf>
    <xf numFmtId="0" fontId="24" fillId="7" borderId="59" xfId="22" applyFont="1" applyFill="1" applyBorder="1" applyAlignment="1">
      <alignment vertical="center"/>
    </xf>
    <xf numFmtId="0" fontId="12" fillId="6" borderId="6" xfId="22" quotePrefix="1" applyFont="1" applyFill="1" applyBorder="1" applyAlignment="1">
      <alignment horizontal="justify" vertical="center" wrapText="1"/>
    </xf>
    <xf numFmtId="1" fontId="12" fillId="6" borderId="1" xfId="22" quotePrefix="1" applyNumberFormat="1" applyFont="1" applyFill="1" applyBorder="1" applyAlignment="1">
      <alignment vertical="center" wrapText="1"/>
    </xf>
    <xf numFmtId="0" fontId="24" fillId="21" borderId="14" xfId="22" applyFont="1" applyFill="1" applyBorder="1" applyAlignment="1">
      <alignment horizontal="justify" vertical="center" wrapText="1"/>
    </xf>
    <xf numFmtId="0" fontId="24" fillId="21" borderId="14" xfId="22" applyFont="1" applyFill="1" applyBorder="1" applyAlignment="1">
      <alignment vertical="center"/>
    </xf>
    <xf numFmtId="0" fontId="24" fillId="21" borderId="4" xfId="22" applyFont="1" applyFill="1" applyBorder="1" applyAlignment="1">
      <alignment vertical="center"/>
    </xf>
    <xf numFmtId="0" fontId="24" fillId="21" borderId="4" xfId="22" applyFont="1" applyFill="1" applyBorder="1" applyAlignment="1">
      <alignment horizontal="justify" vertical="center"/>
    </xf>
    <xf numFmtId="0" fontId="24" fillId="21" borderId="1" xfId="22" applyFont="1" applyFill="1" applyBorder="1" applyAlignment="1">
      <alignment vertical="center"/>
    </xf>
    <xf numFmtId="0" fontId="12" fillId="21" borderId="1" xfId="22" applyFont="1" applyFill="1" applyBorder="1" applyAlignment="1">
      <alignment vertical="center"/>
    </xf>
    <xf numFmtId="1" fontId="12" fillId="6" borderId="1" xfId="22" quotePrefix="1" applyNumberFormat="1" applyFont="1" applyFill="1" applyBorder="1" applyAlignment="1">
      <alignment horizontal="center" vertical="center" wrapText="1"/>
    </xf>
    <xf numFmtId="0" fontId="24" fillId="21" borderId="2" xfId="22" applyFont="1" applyFill="1" applyBorder="1" applyAlignment="1">
      <alignment horizontal="justify" vertical="center" wrapText="1"/>
    </xf>
    <xf numFmtId="0" fontId="24" fillId="21" borderId="2" xfId="22" applyFont="1" applyFill="1" applyBorder="1" applyAlignment="1">
      <alignment vertical="center"/>
    </xf>
    <xf numFmtId="0" fontId="24" fillId="21" borderId="0" xfId="22" applyFont="1" applyFill="1" applyAlignment="1">
      <alignment horizontal="justify" vertical="center"/>
    </xf>
    <xf numFmtId="3" fontId="24" fillId="7" borderId="4" xfId="22" applyNumberFormat="1" applyFont="1" applyFill="1" applyBorder="1" applyAlignment="1">
      <alignment horizontal="justify" vertical="center" wrapText="1"/>
    </xf>
    <xf numFmtId="0" fontId="24" fillId="21" borderId="4" xfId="22" applyFont="1" applyFill="1" applyBorder="1" applyAlignment="1">
      <alignment horizontal="justify" vertical="center" wrapText="1"/>
    </xf>
    <xf numFmtId="43" fontId="24" fillId="21" borderId="4" xfId="3" applyFont="1" applyFill="1" applyBorder="1" applyAlignment="1">
      <alignment horizontal="center" vertical="center"/>
    </xf>
    <xf numFmtId="0" fontId="24" fillId="21" borderId="71" xfId="22" applyFont="1" applyFill="1" applyBorder="1" applyAlignment="1">
      <alignment vertical="center"/>
    </xf>
    <xf numFmtId="0" fontId="12" fillId="0" borderId="9" xfId="22" applyFont="1" applyBorder="1" applyAlignment="1">
      <alignment horizontal="justify" vertical="center" wrapText="1"/>
    </xf>
    <xf numFmtId="0" fontId="12" fillId="0" borderId="9" xfId="22" applyFont="1" applyBorder="1" applyAlignment="1">
      <alignment horizontal="center" vertical="center"/>
    </xf>
    <xf numFmtId="9" fontId="12" fillId="6" borderId="9" xfId="6" applyFont="1" applyFill="1" applyBorder="1" applyAlignment="1">
      <alignment horizontal="center" vertical="center" wrapText="1"/>
    </xf>
    <xf numFmtId="0" fontId="12" fillId="6" borderId="1" xfId="22" applyFont="1" applyFill="1" applyBorder="1" applyAlignment="1">
      <alignment vertical="center" wrapText="1"/>
    </xf>
    <xf numFmtId="0" fontId="12" fillId="0" borderId="1" xfId="22" applyFont="1" applyBorder="1" applyAlignment="1">
      <alignment horizontal="center"/>
    </xf>
    <xf numFmtId="184" fontId="38" fillId="0" borderId="1" xfId="0" applyNumberFormat="1" applyFont="1" applyBorder="1" applyAlignment="1">
      <alignment horizontal="right" vertical="center"/>
    </xf>
    <xf numFmtId="0" fontId="12" fillId="0" borderId="0" xfId="22" applyFont="1" applyAlignment="1">
      <alignment horizontal="center"/>
    </xf>
    <xf numFmtId="4" fontId="12" fillId="0" borderId="1" xfId="22" applyNumberFormat="1" applyFont="1" applyBorder="1" applyAlignment="1">
      <alignment horizontal="right"/>
    </xf>
    <xf numFmtId="0" fontId="24" fillId="0" borderId="2" xfId="22" applyFont="1" applyBorder="1" applyAlignment="1">
      <alignment vertical="center" wrapText="1"/>
    </xf>
    <xf numFmtId="0" fontId="24" fillId="0" borderId="20" xfId="22" applyFont="1" applyBorder="1" applyAlignment="1">
      <alignment vertical="center" wrapText="1"/>
    </xf>
    <xf numFmtId="0" fontId="24" fillId="21" borderId="0" xfId="22" applyFont="1" applyFill="1" applyAlignment="1">
      <alignment horizontal="justify" vertical="center" wrapText="1"/>
    </xf>
    <xf numFmtId="0" fontId="24" fillId="21" borderId="0" xfId="22" applyFont="1" applyFill="1" applyAlignment="1">
      <alignment vertical="center"/>
    </xf>
    <xf numFmtId="166" fontId="24" fillId="21" borderId="7" xfId="3" applyNumberFormat="1" applyFont="1" applyFill="1" applyBorder="1" applyAlignment="1">
      <alignment horizontal="center" vertical="center" textRotation="180" wrapText="1"/>
    </xf>
    <xf numFmtId="0" fontId="12" fillId="6" borderId="56" xfId="22" applyFont="1" applyFill="1" applyBorder="1" applyAlignment="1">
      <alignment horizontal="center" vertical="center" wrapText="1"/>
    </xf>
    <xf numFmtId="0" fontId="12" fillId="6" borderId="0" xfId="22" applyFont="1" applyFill="1" applyAlignment="1">
      <alignment horizontal="center" vertical="center" wrapText="1"/>
    </xf>
    <xf numFmtId="0" fontId="12" fillId="6" borderId="4" xfId="22" applyFont="1" applyFill="1" applyBorder="1" applyAlignment="1">
      <alignment horizontal="center" vertical="center" wrapText="1"/>
    </xf>
    <xf numFmtId="0" fontId="12" fillId="6" borderId="12" xfId="22" applyFont="1" applyFill="1" applyBorder="1" applyAlignment="1">
      <alignment horizontal="center" vertical="center" wrapText="1"/>
    </xf>
    <xf numFmtId="0" fontId="12" fillId="6" borderId="6" xfId="22" applyFont="1" applyFill="1" applyBorder="1" applyAlignment="1">
      <alignment horizontal="justify" vertical="center" wrapText="1"/>
    </xf>
    <xf numFmtId="166" fontId="24" fillId="21" borderId="0" xfId="3" applyNumberFormat="1" applyFont="1" applyFill="1" applyAlignment="1">
      <alignment horizontal="center" vertical="center" textRotation="180" wrapText="1"/>
    </xf>
    <xf numFmtId="0" fontId="14" fillId="6" borderId="6" xfId="23" quotePrefix="1" applyFont="1" applyFill="1" applyBorder="1" applyAlignment="1">
      <alignment horizontal="justify" vertical="center" wrapText="1"/>
    </xf>
    <xf numFmtId="43" fontId="14" fillId="6" borderId="1" xfId="3" quotePrefix="1" applyFont="1" applyFill="1" applyBorder="1" applyAlignment="1">
      <alignment vertical="center" wrapText="1"/>
    </xf>
    <xf numFmtId="49" fontId="12" fillId="6" borderId="6" xfId="23" quotePrefix="1" applyNumberFormat="1" applyFont="1" applyFill="1" applyBorder="1" applyAlignment="1">
      <alignment horizontal="justify" vertical="center" wrapText="1"/>
    </xf>
    <xf numFmtId="49" fontId="14" fillId="6" borderId="3" xfId="23" quotePrefix="1" applyNumberFormat="1" applyFont="1" applyFill="1" applyBorder="1" applyAlignment="1">
      <alignment horizontal="justify" vertical="center" wrapText="1"/>
    </xf>
    <xf numFmtId="0" fontId="24" fillId="21" borderId="7" xfId="3" applyNumberFormat="1" applyFont="1" applyFill="1" applyBorder="1" applyAlignment="1">
      <alignment vertical="center" textRotation="180" wrapText="1"/>
    </xf>
    <xf numFmtId="166" fontId="24" fillId="21" borderId="7" xfId="3" applyNumberFormat="1" applyFont="1" applyFill="1" applyBorder="1" applyAlignment="1">
      <alignment vertical="center" textRotation="180" wrapText="1"/>
    </xf>
    <xf numFmtId="0" fontId="24" fillId="21" borderId="7" xfId="3" applyNumberFormat="1" applyFont="1" applyFill="1" applyBorder="1" applyAlignment="1">
      <alignment horizontal="center" vertical="center" textRotation="180" wrapText="1"/>
    </xf>
    <xf numFmtId="49" fontId="14" fillId="0" borderId="6" xfId="23" applyNumberFormat="1" applyFont="1" applyBorder="1" applyAlignment="1">
      <alignment horizontal="justify" vertical="center" wrapText="1"/>
    </xf>
    <xf numFmtId="49" fontId="14" fillId="0" borderId="7" xfId="23" applyNumberFormat="1" applyFont="1" applyBorder="1" applyAlignment="1">
      <alignment horizontal="justify" vertical="center" wrapText="1"/>
    </xf>
    <xf numFmtId="0" fontId="12" fillId="6" borderId="2" xfId="22" applyFont="1" applyFill="1" applyBorder="1" applyAlignment="1">
      <alignment horizontal="center" vertical="center" wrapText="1"/>
    </xf>
    <xf numFmtId="0" fontId="12" fillId="0" borderId="14" xfId="22" applyFont="1" applyBorder="1" applyAlignment="1">
      <alignment horizontal="center" vertical="center" wrapText="1"/>
    </xf>
    <xf numFmtId="0" fontId="12" fillId="6" borderId="76" xfId="22" applyFont="1" applyFill="1" applyBorder="1" applyAlignment="1">
      <alignment horizontal="justify" vertical="center" wrapText="1"/>
    </xf>
    <xf numFmtId="0" fontId="12" fillId="6" borderId="14" xfId="22" applyFont="1" applyFill="1" applyBorder="1" applyAlignment="1">
      <alignment horizontal="justify" vertical="center" wrapText="1"/>
    </xf>
    <xf numFmtId="0" fontId="12" fillId="6" borderId="7" xfId="22" applyFont="1" applyFill="1" applyBorder="1" applyAlignment="1">
      <alignment horizontal="justify" vertical="center" wrapText="1"/>
    </xf>
    <xf numFmtId="43" fontId="14" fillId="6" borderId="1" xfId="3" quotePrefix="1" applyFont="1" applyFill="1" applyBorder="1" applyAlignment="1">
      <alignment horizontal="center" vertical="center"/>
    </xf>
    <xf numFmtId="0" fontId="12" fillId="0" borderId="10" xfId="22" applyFont="1" applyBorder="1" applyAlignment="1">
      <alignment horizontal="justify" vertical="center" wrapText="1"/>
    </xf>
    <xf numFmtId="0" fontId="12" fillId="0" borderId="1" xfId="22" applyFont="1" applyBorder="1" applyAlignment="1">
      <alignment horizontal="justify" vertical="center" wrapText="1"/>
    </xf>
    <xf numFmtId="9" fontId="12" fillId="0" borderId="1" xfId="6" applyFont="1" applyBorder="1" applyAlignment="1">
      <alignment horizontal="center" vertical="center" wrapText="1"/>
    </xf>
    <xf numFmtId="0" fontId="24" fillId="7" borderId="7" xfId="3" applyNumberFormat="1" applyFont="1" applyFill="1" applyBorder="1" applyAlignment="1">
      <alignment vertical="center" textRotation="180" wrapText="1"/>
    </xf>
    <xf numFmtId="166" fontId="24" fillId="7" borderId="7" xfId="3" applyNumberFormat="1" applyFont="1" applyFill="1" applyBorder="1" applyAlignment="1">
      <alignment vertical="center" textRotation="180" wrapText="1"/>
    </xf>
    <xf numFmtId="0" fontId="24" fillId="7" borderId="7" xfId="3" applyNumberFormat="1" applyFont="1" applyFill="1" applyBorder="1" applyAlignment="1">
      <alignment horizontal="center" vertical="center" textRotation="180" wrapText="1"/>
    </xf>
    <xf numFmtId="0" fontId="24" fillId="21" borderId="2" xfId="22" applyFont="1" applyFill="1" applyBorder="1" applyAlignment="1">
      <alignment horizontal="center" vertical="center"/>
    </xf>
    <xf numFmtId="0" fontId="24" fillId="21" borderId="2" xfId="3" applyNumberFormat="1" applyFont="1" applyFill="1" applyBorder="1" applyAlignment="1">
      <alignment vertical="center" textRotation="180" wrapText="1"/>
    </xf>
    <xf numFmtId="166" fontId="24" fillId="21" borderId="2" xfId="3" applyNumberFormat="1" applyFont="1" applyFill="1" applyBorder="1" applyAlignment="1">
      <alignment vertical="center" textRotation="180" wrapText="1"/>
    </xf>
    <xf numFmtId="0" fontId="24" fillId="21" borderId="2" xfId="3" applyNumberFormat="1" applyFont="1" applyFill="1" applyBorder="1" applyAlignment="1">
      <alignment horizontal="center" vertical="center" textRotation="180" wrapText="1"/>
    </xf>
    <xf numFmtId="9" fontId="12" fillId="6" borderId="19" xfId="6" applyFont="1" applyFill="1" applyBorder="1" applyAlignment="1">
      <alignment horizontal="center" vertical="center" wrapText="1"/>
    </xf>
    <xf numFmtId="0" fontId="12" fillId="6" borderId="9" xfId="22" applyFont="1" applyFill="1" applyBorder="1" applyAlignment="1">
      <alignment horizontal="justify" vertical="center" wrapText="1"/>
    </xf>
    <xf numFmtId="43" fontId="12" fillId="6" borderId="1" xfId="3" applyFont="1" applyFill="1" applyBorder="1" applyAlignment="1">
      <alignment vertical="center"/>
    </xf>
    <xf numFmtId="1" fontId="12" fillId="6" borderId="1" xfId="22" applyNumberFormat="1" applyFont="1" applyFill="1" applyBorder="1" applyAlignment="1">
      <alignment horizontal="center" vertical="center"/>
    </xf>
    <xf numFmtId="49" fontId="14" fillId="6" borderId="6" xfId="23" applyNumberFormat="1" applyFont="1" applyFill="1" applyBorder="1" applyAlignment="1">
      <alignment horizontal="justify" vertical="center" wrapText="1"/>
    </xf>
    <xf numFmtId="0" fontId="14" fillId="6" borderId="6" xfId="23" applyFont="1" applyFill="1" applyBorder="1" applyAlignment="1">
      <alignment horizontal="justify" vertical="center" wrapText="1"/>
    </xf>
    <xf numFmtId="0" fontId="14" fillId="6" borderId="3" xfId="23" applyFont="1" applyFill="1" applyBorder="1" applyAlignment="1">
      <alignment horizontal="justify" vertical="center" wrapText="1"/>
    </xf>
    <xf numFmtId="0" fontId="12" fillId="0" borderId="1" xfId="22" applyFont="1" applyBorder="1"/>
    <xf numFmtId="43" fontId="24" fillId="0" borderId="31" xfId="3" applyFont="1" applyBorder="1" applyAlignment="1">
      <alignment horizontal="center" vertical="center"/>
    </xf>
    <xf numFmtId="0" fontId="12" fillId="6" borderId="28" xfId="22" applyFont="1" applyFill="1" applyBorder="1"/>
    <xf numFmtId="0" fontId="12" fillId="6" borderId="29" xfId="22" applyFont="1" applyFill="1" applyBorder="1" applyAlignment="1">
      <alignment horizontal="justify"/>
    </xf>
    <xf numFmtId="0" fontId="12" fillId="6" borderId="30" xfId="22" applyFont="1" applyFill="1" applyBorder="1" applyAlignment="1">
      <alignment horizontal="right" vertical="center"/>
    </xf>
    <xf numFmtId="43" fontId="24" fillId="0" borderId="67" xfId="3" applyFont="1" applyBorder="1" applyAlignment="1">
      <alignment horizontal="justify" vertical="center"/>
    </xf>
    <xf numFmtId="0" fontId="12" fillId="6" borderId="32" xfId="22" applyFont="1" applyFill="1" applyBorder="1" applyAlignment="1">
      <alignment horizontal="center" vertical="center"/>
    </xf>
    <xf numFmtId="0" fontId="12" fillId="6" borderId="33" xfId="22" applyFont="1" applyFill="1" applyBorder="1" applyAlignment="1">
      <alignment horizontal="center" vertical="center"/>
    </xf>
    <xf numFmtId="0" fontId="12" fillId="0" borderId="29" xfId="3" applyNumberFormat="1" applyFont="1" applyBorder="1"/>
    <xf numFmtId="166" fontId="12" fillId="0" borderId="29" xfId="3" applyNumberFormat="1" applyFont="1" applyBorder="1"/>
    <xf numFmtId="0" fontId="12" fillId="0" borderId="29" xfId="3" applyNumberFormat="1" applyFont="1" applyBorder="1" applyAlignment="1">
      <alignment horizontal="center" vertical="center"/>
    </xf>
    <xf numFmtId="0" fontId="12" fillId="0" borderId="29" xfId="22" applyFont="1" applyBorder="1"/>
    <xf numFmtId="0" fontId="12" fillId="0" borderId="30" xfId="22" applyFont="1" applyBorder="1"/>
    <xf numFmtId="0" fontId="12" fillId="6" borderId="0" xfId="22" applyFont="1" applyFill="1" applyAlignment="1">
      <alignment horizontal="justify"/>
    </xf>
    <xf numFmtId="0" fontId="12" fillId="6" borderId="0" xfId="22" applyFont="1" applyFill="1" applyAlignment="1">
      <alignment horizontal="center" vertical="center"/>
    </xf>
    <xf numFmtId="0" fontId="12" fillId="6" borderId="0" xfId="22" applyFont="1" applyFill="1" applyAlignment="1">
      <alignment horizontal="justify" vertical="center"/>
    </xf>
    <xf numFmtId="166" fontId="12" fillId="6" borderId="0" xfId="22" applyNumberFormat="1" applyFont="1" applyFill="1" applyAlignment="1">
      <alignment horizontal="justify" vertical="center"/>
    </xf>
    <xf numFmtId="0" fontId="12" fillId="0" borderId="0" xfId="3" applyNumberFormat="1" applyFont="1"/>
    <xf numFmtId="166" fontId="12" fillId="0" borderId="0" xfId="3" applyNumberFormat="1" applyFont="1"/>
    <xf numFmtId="0" fontId="12" fillId="0" borderId="0" xfId="3" applyNumberFormat="1" applyFont="1" applyAlignment="1">
      <alignment horizontal="center" vertical="center"/>
    </xf>
    <xf numFmtId="176" fontId="12" fillId="6" borderId="0" xfId="22" applyNumberFormat="1" applyFont="1" applyFill="1" applyAlignment="1">
      <alignment horizontal="center"/>
    </xf>
    <xf numFmtId="185" fontId="12" fillId="6" borderId="0" xfId="25" applyFont="1" applyFill="1" applyAlignment="1">
      <alignment horizontal="justify" vertical="center"/>
    </xf>
    <xf numFmtId="185" fontId="12" fillId="6" borderId="0" xfId="22" applyNumberFormat="1" applyFont="1" applyFill="1" applyAlignment="1">
      <alignment horizontal="justify" vertical="center"/>
    </xf>
    <xf numFmtId="43" fontId="12" fillId="0" borderId="1" xfId="1" applyFont="1" applyBorder="1" applyAlignment="1">
      <alignment horizontal="center" vertical="center"/>
    </xf>
    <xf numFmtId="0" fontId="24" fillId="0" borderId="1" xfId="0" applyFont="1" applyBorder="1" applyAlignment="1">
      <alignment horizontal="justify" vertical="center" wrapText="1"/>
    </xf>
    <xf numFmtId="3" fontId="25" fillId="0" borderId="1" xfId="0" applyNumberFormat="1" applyFont="1" applyBorder="1" applyAlignment="1">
      <alignment horizontal="justify" vertical="center" wrapText="1"/>
    </xf>
    <xf numFmtId="0" fontId="12" fillId="0" borderId="0" xfId="0" applyFont="1" applyAlignment="1">
      <alignment horizontal="justify" vertical="center" wrapText="1"/>
    </xf>
    <xf numFmtId="0" fontId="24" fillId="3" borderId="1" xfId="0" applyFont="1" applyFill="1" applyBorder="1" applyAlignment="1">
      <alignment horizontal="center" vertical="center" textRotation="90" wrapText="1"/>
    </xf>
    <xf numFmtId="49" fontId="24" fillId="3" borderId="1" xfId="0" applyNumberFormat="1" applyFont="1" applyFill="1" applyBorder="1" applyAlignment="1">
      <alignment horizontal="center" vertical="center" textRotation="90" wrapText="1"/>
    </xf>
    <xf numFmtId="0" fontId="24" fillId="5" borderId="78" xfId="0" applyFont="1" applyFill="1" applyBorder="1" applyAlignment="1">
      <alignment horizontal="center" vertical="center" wrapText="1"/>
    </xf>
    <xf numFmtId="0" fontId="24" fillId="5" borderId="5" xfId="0" applyFont="1" applyFill="1" applyBorder="1" applyAlignment="1">
      <alignment horizontal="left" vertical="center"/>
    </xf>
    <xf numFmtId="0" fontId="24" fillId="5" borderId="2" xfId="0" applyFont="1" applyFill="1" applyBorder="1" applyAlignment="1">
      <alignment horizontal="left" vertical="center" wrapText="1"/>
    </xf>
    <xf numFmtId="0" fontId="24" fillId="5" borderId="2" xfId="0" applyFont="1" applyFill="1" applyBorder="1" applyAlignment="1">
      <alignment horizontal="justify" vertical="center" wrapText="1"/>
    </xf>
    <xf numFmtId="0" fontId="24" fillId="5" borderId="2" xfId="0" applyFont="1" applyFill="1" applyBorder="1" applyAlignment="1">
      <alignment horizontal="center" vertical="center" wrapText="1"/>
    </xf>
    <xf numFmtId="0" fontId="24" fillId="5" borderId="59" xfId="0" applyFont="1" applyFill="1" applyBorder="1" applyAlignment="1">
      <alignment horizontal="justify" vertical="center" wrapText="1"/>
    </xf>
    <xf numFmtId="0" fontId="24" fillId="6" borderId="56" xfId="0" applyFont="1" applyFill="1" applyBorder="1" applyAlignment="1">
      <alignment vertical="center" wrapText="1"/>
    </xf>
    <xf numFmtId="0" fontId="24" fillId="6" borderId="13" xfId="0" applyFont="1" applyFill="1" applyBorder="1" applyAlignment="1">
      <alignment vertical="center" wrapText="1"/>
    </xf>
    <xf numFmtId="0" fontId="24" fillId="7" borderId="1" xfId="0" applyFont="1" applyFill="1" applyBorder="1" applyAlignment="1">
      <alignment horizontal="center" vertical="center" wrapText="1"/>
    </xf>
    <xf numFmtId="0" fontId="24" fillId="7" borderId="6" xfId="0" applyFont="1" applyFill="1" applyBorder="1" applyAlignment="1">
      <alignment vertical="center"/>
    </xf>
    <xf numFmtId="0" fontId="24" fillId="7" borderId="0" xfId="0" applyFont="1" applyFill="1" applyAlignment="1">
      <alignment vertical="center"/>
    </xf>
    <xf numFmtId="0" fontId="24" fillId="7" borderId="0" xfId="0" applyFont="1" applyFill="1" applyAlignment="1">
      <alignment horizontal="justify" vertical="center"/>
    </xf>
    <xf numFmtId="0" fontId="24" fillId="7" borderId="0" xfId="0" applyFont="1" applyFill="1" applyAlignment="1">
      <alignment horizontal="center" vertical="center"/>
    </xf>
    <xf numFmtId="0" fontId="24" fillId="7" borderId="73" xfId="0" applyFont="1" applyFill="1" applyBorder="1" applyAlignment="1">
      <alignment horizontal="justify" vertical="center"/>
    </xf>
    <xf numFmtId="0" fontId="24" fillId="6" borderId="11" xfId="0" applyFont="1" applyFill="1" applyBorder="1" applyAlignment="1">
      <alignment vertical="center" wrapText="1"/>
    </xf>
    <xf numFmtId="0" fontId="15" fillId="8" borderId="6" xfId="0" applyFont="1" applyFill="1" applyBorder="1" applyAlignment="1">
      <alignment horizontal="left" vertical="center"/>
    </xf>
    <xf numFmtId="0" fontId="15" fillId="8" borderId="7" xfId="0" applyFont="1" applyFill="1" applyBorder="1" applyAlignment="1">
      <alignment horizontal="left" vertical="center"/>
    </xf>
    <xf numFmtId="0" fontId="15" fillId="8" borderId="7" xfId="0" applyFont="1" applyFill="1" applyBorder="1" applyAlignment="1">
      <alignment horizontal="justify" vertical="center"/>
    </xf>
    <xf numFmtId="0" fontId="15" fillId="8" borderId="7" xfId="0" applyFont="1" applyFill="1" applyBorder="1" applyAlignment="1">
      <alignment horizontal="center" vertical="center"/>
    </xf>
    <xf numFmtId="0" fontId="14" fillId="8" borderId="8" xfId="0" applyFont="1" applyFill="1" applyBorder="1" applyAlignment="1">
      <alignment horizontal="justify" vertical="center"/>
    </xf>
    <xf numFmtId="0" fontId="38" fillId="0" borderId="9" xfId="0" applyFont="1" applyBorder="1" applyAlignment="1">
      <alignment horizontal="center" vertical="center" wrapText="1"/>
    </xf>
    <xf numFmtId="0" fontId="17" fillId="6" borderId="9" xfId="0" applyFont="1" applyFill="1" applyBorder="1" applyAlignment="1">
      <alignment horizontal="justify" vertical="center" wrapText="1"/>
    </xf>
    <xf numFmtId="0" fontId="24" fillId="6" borderId="5" xfId="0" applyFont="1" applyFill="1" applyBorder="1" applyAlignment="1">
      <alignment vertical="center" wrapText="1"/>
    </xf>
    <xf numFmtId="0" fontId="24" fillId="6" borderId="20" xfId="0" applyFont="1" applyFill="1" applyBorder="1" applyAlignment="1">
      <alignment vertical="center" wrapText="1"/>
    </xf>
    <xf numFmtId="0" fontId="24" fillId="7" borderId="6" xfId="0" applyFont="1" applyFill="1" applyBorder="1" applyAlignment="1">
      <alignment horizontal="left" vertical="center"/>
    </xf>
    <xf numFmtId="0" fontId="24" fillId="7" borderId="7" xfId="0" applyFont="1" applyFill="1" applyBorder="1" applyAlignment="1">
      <alignment horizontal="left" vertical="center"/>
    </xf>
    <xf numFmtId="0" fontId="24" fillId="7" borderId="7" xfId="0" applyFont="1" applyFill="1" applyBorder="1" applyAlignment="1">
      <alignment horizontal="justify" vertical="center" wrapText="1"/>
    </xf>
    <xf numFmtId="43" fontId="24" fillId="7" borderId="7" xfId="1" applyFont="1" applyFill="1" applyBorder="1" applyAlignment="1">
      <alignment horizontal="left" vertical="center"/>
    </xf>
    <xf numFmtId="0" fontId="12" fillId="6" borderId="11" xfId="0" applyFont="1" applyFill="1" applyBorder="1" applyAlignment="1">
      <alignment vertical="center" wrapText="1"/>
    </xf>
    <xf numFmtId="0" fontId="15" fillId="8" borderId="7" xfId="0" applyFont="1" applyFill="1" applyBorder="1" applyAlignment="1">
      <alignment horizontal="justify" vertical="center" wrapText="1"/>
    </xf>
    <xf numFmtId="0" fontId="15" fillId="8" borderId="4" xfId="0" applyFont="1" applyFill="1" applyBorder="1" applyAlignment="1">
      <alignment horizontal="justify" vertical="center" wrapText="1"/>
    </xf>
    <xf numFmtId="43" fontId="15" fillId="8" borderId="7" xfId="1" applyFont="1" applyFill="1" applyBorder="1" applyAlignment="1">
      <alignment horizontal="left" vertical="center"/>
    </xf>
    <xf numFmtId="0" fontId="15" fillId="8" borderId="4" xfId="0" applyFont="1" applyFill="1" applyBorder="1" applyAlignment="1">
      <alignment horizontal="center" vertical="center"/>
    </xf>
    <xf numFmtId="0" fontId="15" fillId="8" borderId="4" xfId="0" applyFont="1" applyFill="1" applyBorder="1" applyAlignment="1">
      <alignment horizontal="justify" vertical="center"/>
    </xf>
    <xf numFmtId="0" fontId="12" fillId="6" borderId="12" xfId="0" applyFont="1" applyFill="1" applyBorder="1" applyAlignment="1">
      <alignment vertical="center" wrapText="1"/>
    </xf>
    <xf numFmtId="43" fontId="12" fillId="6" borderId="2" xfId="1" applyFont="1" applyFill="1" applyBorder="1" applyAlignment="1">
      <alignment horizontal="center" vertical="center" wrapText="1"/>
    </xf>
    <xf numFmtId="0" fontId="38" fillId="0" borderId="14" xfId="0" applyFont="1" applyBorder="1" applyAlignment="1">
      <alignment horizontal="center" vertical="center" wrapText="1"/>
    </xf>
    <xf numFmtId="0" fontId="38" fillId="0" borderId="18" xfId="0" applyFont="1" applyBorder="1" applyAlignment="1">
      <alignment horizontal="center" vertical="center" wrapText="1"/>
    </xf>
    <xf numFmtId="43" fontId="12" fillId="0" borderId="2" xfId="1" applyFont="1" applyFill="1" applyBorder="1" applyAlignment="1">
      <alignment horizontal="center" vertical="center" wrapText="1"/>
    </xf>
    <xf numFmtId="43" fontId="12" fillId="6" borderId="5" xfId="1" applyFont="1" applyFill="1" applyBorder="1" applyAlignment="1">
      <alignment horizontal="center" vertical="center" wrapText="1"/>
    </xf>
    <xf numFmtId="43" fontId="12" fillId="6" borderId="3" xfId="1" applyFont="1" applyFill="1" applyBorder="1" applyAlignment="1">
      <alignment horizontal="center" vertical="center" wrapText="1"/>
    </xf>
    <xf numFmtId="0" fontId="15" fillId="8" borderId="4" xfId="0" applyFont="1" applyFill="1" applyBorder="1" applyAlignment="1">
      <alignment horizontal="left" vertical="center"/>
    </xf>
    <xf numFmtId="0" fontId="15" fillId="8" borderId="14" xfId="0" applyFont="1" applyFill="1" applyBorder="1" applyAlignment="1">
      <alignment horizontal="center" vertical="center"/>
    </xf>
    <xf numFmtId="0" fontId="15" fillId="8" borderId="2" xfId="0" applyFont="1" applyFill="1" applyBorder="1" applyAlignment="1">
      <alignment horizontal="justify" vertical="center"/>
    </xf>
    <xf numFmtId="0" fontId="12" fillId="6" borderId="0" xfId="0" applyFont="1" applyFill="1" applyAlignment="1">
      <alignment vertical="center" wrapText="1"/>
    </xf>
    <xf numFmtId="0" fontId="38" fillId="0" borderId="12" xfId="0" applyFont="1" applyBorder="1" applyAlignment="1">
      <alignment vertical="center" wrapText="1"/>
    </xf>
    <xf numFmtId="43" fontId="12" fillId="6" borderId="6" xfId="1" applyFont="1" applyFill="1" applyBorder="1" applyAlignment="1">
      <alignment horizontal="center" vertical="center" wrapText="1"/>
    </xf>
    <xf numFmtId="43" fontId="12" fillId="0" borderId="5" xfId="1" applyFont="1" applyFill="1" applyBorder="1" applyAlignment="1">
      <alignment horizontal="center" vertical="center" wrapText="1"/>
    </xf>
    <xf numFmtId="0" fontId="17" fillId="6" borderId="3" xfId="0" applyFont="1" applyFill="1" applyBorder="1" applyAlignment="1">
      <alignment horizontal="justify" vertical="center" wrapText="1"/>
    </xf>
    <xf numFmtId="0" fontId="24" fillId="8" borderId="10" xfId="0" applyFont="1" applyFill="1" applyBorder="1" applyAlignment="1">
      <alignment horizontal="center" vertical="center" wrapText="1"/>
    </xf>
    <xf numFmtId="43" fontId="15" fillId="8" borderId="1" xfId="1" applyFont="1" applyFill="1" applyBorder="1" applyAlignment="1">
      <alignment horizontal="left" vertical="center"/>
    </xf>
    <xf numFmtId="0" fontId="15" fillId="8" borderId="2" xfId="0" applyFont="1" applyFill="1" applyBorder="1" applyAlignment="1">
      <alignment horizontal="center" vertical="center"/>
    </xf>
    <xf numFmtId="43" fontId="12" fillId="0" borderId="1" xfId="1" applyFont="1" applyFill="1" applyBorder="1" applyAlignment="1">
      <alignment horizontal="center" vertical="center" wrapText="1"/>
    </xf>
    <xf numFmtId="43" fontId="12" fillId="0" borderId="6" xfId="1" applyFont="1" applyFill="1" applyBorder="1" applyAlignment="1">
      <alignment horizontal="center" vertical="center" wrapText="1"/>
    </xf>
    <xf numFmtId="43" fontId="12" fillId="0" borderId="3" xfId="1" applyFont="1" applyFill="1" applyBorder="1" applyAlignment="1">
      <alignment horizontal="center" vertical="center" wrapText="1"/>
    </xf>
    <xf numFmtId="43" fontId="24" fillId="7" borderId="7" xfId="1" applyFont="1" applyFill="1" applyBorder="1" applyAlignment="1">
      <alignment vertical="center"/>
    </xf>
    <xf numFmtId="0" fontId="24" fillId="0" borderId="0" xfId="0" applyFont="1" applyAlignment="1">
      <alignment horizontal="justify" vertical="center"/>
    </xf>
    <xf numFmtId="0" fontId="14" fillId="6" borderId="1" xfId="9" applyFont="1" applyFill="1" applyBorder="1" applyAlignment="1">
      <alignment horizontal="justify" vertical="center" wrapText="1"/>
    </xf>
    <xf numFmtId="43" fontId="12" fillId="6" borderId="6" xfId="1" applyFont="1" applyFill="1" applyBorder="1" applyAlignment="1">
      <alignment vertical="center"/>
    </xf>
    <xf numFmtId="43" fontId="12" fillId="0" borderId="6" xfId="1" applyFont="1" applyFill="1" applyBorder="1" applyAlignment="1">
      <alignment vertical="center"/>
    </xf>
    <xf numFmtId="0" fontId="14" fillId="0" borderId="1" xfId="9" applyFont="1" applyFill="1" applyBorder="1" applyAlignment="1">
      <alignment horizontal="justify" vertical="center" wrapText="1"/>
    </xf>
    <xf numFmtId="0" fontId="12" fillId="6" borderId="5" xfId="0" applyFont="1" applyFill="1" applyBorder="1" applyAlignment="1">
      <alignment vertical="center" wrapText="1"/>
    </xf>
    <xf numFmtId="0" fontId="24" fillId="8" borderId="19" xfId="0" applyFont="1" applyFill="1" applyBorder="1" applyAlignment="1">
      <alignment horizontal="center" vertical="center" wrapText="1"/>
    </xf>
    <xf numFmtId="0" fontId="25" fillId="8" borderId="6" xfId="0" applyFont="1" applyFill="1" applyBorder="1" applyAlignment="1">
      <alignment horizontal="left" vertical="center"/>
    </xf>
    <xf numFmtId="0" fontId="25" fillId="8" borderId="7" xfId="0" applyFont="1" applyFill="1" applyBorder="1" applyAlignment="1">
      <alignment horizontal="left" vertical="center"/>
    </xf>
    <xf numFmtId="0" fontId="25" fillId="8" borderId="7" xfId="0" applyFont="1" applyFill="1" applyBorder="1" applyAlignment="1">
      <alignment horizontal="justify" vertical="center" wrapText="1"/>
    </xf>
    <xf numFmtId="0" fontId="25" fillId="8" borderId="7" xfId="0" applyFont="1" applyFill="1" applyBorder="1" applyAlignment="1">
      <alignment horizontal="justify" vertical="center"/>
    </xf>
    <xf numFmtId="43" fontId="25" fillId="8" borderId="7" xfId="1" applyFont="1" applyFill="1" applyBorder="1" applyAlignment="1">
      <alignment horizontal="left" vertical="center"/>
    </xf>
    <xf numFmtId="0" fontId="25" fillId="8" borderId="7" xfId="0" applyFont="1" applyFill="1" applyBorder="1" applyAlignment="1">
      <alignment horizontal="center" vertical="center"/>
    </xf>
    <xf numFmtId="0" fontId="38" fillId="8" borderId="8" xfId="0" applyFont="1" applyFill="1" applyBorder="1" applyAlignment="1">
      <alignment horizontal="justify" vertical="center"/>
    </xf>
    <xf numFmtId="43" fontId="14" fillId="6" borderId="1" xfId="1" applyFont="1" applyFill="1" applyBorder="1" applyAlignment="1">
      <alignment horizontal="center" vertical="center" wrapText="1"/>
    </xf>
    <xf numFmtId="0" fontId="25" fillId="8" borderId="6" xfId="0" applyFont="1" applyFill="1" applyBorder="1" applyAlignment="1">
      <alignment vertical="center"/>
    </xf>
    <xf numFmtId="0" fontId="25" fillId="8" borderId="7" xfId="0" applyFont="1" applyFill="1" applyBorder="1" applyAlignment="1">
      <alignment vertical="center"/>
    </xf>
    <xf numFmtId="43" fontId="25" fillId="8" borderId="7" xfId="1" applyFont="1" applyFill="1" applyBorder="1" applyAlignment="1">
      <alignment vertical="center"/>
    </xf>
    <xf numFmtId="43" fontId="12" fillId="6" borderId="1" xfId="1" applyFont="1" applyFill="1" applyBorder="1" applyAlignment="1">
      <alignment horizontal="center" vertical="center" wrapText="1" readingOrder="1"/>
    </xf>
    <xf numFmtId="186" fontId="12" fillId="6" borderId="9" xfId="0" applyNumberFormat="1" applyFont="1" applyFill="1" applyBorder="1" applyAlignment="1">
      <alignment vertical="center" wrapText="1"/>
    </xf>
    <xf numFmtId="186" fontId="12" fillId="6" borderId="10" xfId="0" applyNumberFormat="1" applyFont="1" applyFill="1" applyBorder="1" applyAlignment="1">
      <alignment vertical="center" wrapText="1"/>
    </xf>
    <xf numFmtId="0" fontId="12" fillId="6" borderId="20" xfId="0" applyFont="1" applyFill="1" applyBorder="1" applyAlignment="1">
      <alignment vertical="center" wrapText="1"/>
    </xf>
    <xf numFmtId="186" fontId="12" fillId="6" borderId="19" xfId="0" applyNumberFormat="1" applyFont="1" applyFill="1" applyBorder="1" applyAlignment="1">
      <alignment vertical="center" wrapText="1"/>
    </xf>
    <xf numFmtId="0" fontId="24" fillId="7" borderId="10" xfId="0" applyFont="1" applyFill="1" applyBorder="1" applyAlignment="1">
      <alignment horizontal="center" vertical="center" wrapText="1"/>
    </xf>
    <xf numFmtId="0" fontId="25" fillId="8" borderId="4" xfId="0" applyFont="1" applyFill="1" applyBorder="1" applyAlignment="1">
      <alignment vertical="center"/>
    </xf>
    <xf numFmtId="0" fontId="25" fillId="8" borderId="4" xfId="0" applyFont="1" applyFill="1" applyBorder="1" applyAlignment="1">
      <alignment horizontal="center" vertical="center"/>
    </xf>
    <xf numFmtId="0" fontId="25" fillId="8" borderId="4" xfId="0" applyFont="1" applyFill="1" applyBorder="1" applyAlignment="1">
      <alignment horizontal="justify" vertical="center"/>
    </xf>
    <xf numFmtId="43" fontId="14" fillId="0" borderId="6" xfId="1" applyFont="1" applyBorder="1" applyAlignment="1">
      <alignment horizontal="center" vertical="center" wrapText="1"/>
    </xf>
    <xf numFmtId="0" fontId="38" fillId="6" borderId="15" xfId="0" applyFont="1" applyFill="1" applyBorder="1" applyAlignment="1">
      <alignment horizontal="center" vertical="center" wrapText="1"/>
    </xf>
    <xf numFmtId="0" fontId="38" fillId="0" borderId="14" xfId="0" applyFont="1" applyBorder="1" applyAlignment="1">
      <alignment vertical="center" wrapText="1"/>
    </xf>
    <xf numFmtId="43" fontId="14" fillId="0" borderId="6" xfId="1" applyFont="1" applyFill="1" applyBorder="1" applyAlignment="1">
      <alignment horizontal="center" vertical="center" wrapText="1"/>
    </xf>
    <xf numFmtId="0" fontId="17" fillId="0" borderId="1" xfId="0" applyFont="1" applyBorder="1" applyAlignment="1">
      <alignment horizontal="justify" vertical="center" wrapText="1"/>
    </xf>
    <xf numFmtId="0" fontId="38" fillId="0" borderId="1" xfId="0" applyFont="1" applyBorder="1" applyAlignment="1">
      <alignment horizontal="center" vertical="center" wrapText="1"/>
    </xf>
    <xf numFmtId="0" fontId="38" fillId="0" borderId="1" xfId="0" applyFont="1" applyBorder="1" applyAlignment="1">
      <alignment horizontal="justify" vertical="center" wrapText="1"/>
    </xf>
    <xf numFmtId="1" fontId="38" fillId="0" borderId="3" xfId="0" applyNumberFormat="1" applyFont="1" applyBorder="1" applyAlignment="1">
      <alignment horizontal="center" vertical="center" wrapText="1"/>
    </xf>
    <xf numFmtId="0" fontId="38" fillId="6" borderId="14" xfId="0" applyFont="1" applyFill="1" applyBorder="1" applyAlignment="1">
      <alignment horizontal="center" vertical="center" wrapText="1"/>
    </xf>
    <xf numFmtId="182" fontId="12" fillId="0" borderId="1" xfId="4" applyNumberFormat="1" applyFont="1" applyBorder="1" applyAlignment="1">
      <alignment horizontal="center" vertical="center"/>
    </xf>
    <xf numFmtId="43" fontId="4" fillId="0" borderId="9" xfId="1" applyFont="1" applyBorder="1" applyAlignment="1">
      <alignment horizontal="right" vertical="center" wrapText="1"/>
    </xf>
    <xf numFmtId="164" fontId="38" fillId="6" borderId="11" xfId="0" applyNumberFormat="1" applyFont="1" applyFill="1" applyBorder="1" applyAlignment="1">
      <alignment horizontal="center" vertical="center" wrapText="1"/>
    </xf>
    <xf numFmtId="43" fontId="12" fillId="0" borderId="14" xfId="1" applyFont="1" applyBorder="1" applyAlignment="1">
      <alignment horizontal="right" vertical="center"/>
    </xf>
    <xf numFmtId="0" fontId="38" fillId="0" borderId="18" xfId="0" applyFont="1" applyBorder="1" applyAlignment="1">
      <alignment vertical="center" wrapText="1"/>
    </xf>
    <xf numFmtId="43" fontId="4" fillId="0" borderId="19" xfId="1" applyFont="1" applyBorder="1" applyAlignment="1">
      <alignment horizontal="right" vertical="center" wrapText="1"/>
    </xf>
    <xf numFmtId="0" fontId="38" fillId="0" borderId="16" xfId="0" applyFont="1" applyBorder="1" applyAlignment="1">
      <alignment horizontal="center" vertical="center" wrapText="1"/>
    </xf>
    <xf numFmtId="0" fontId="24" fillId="6" borderId="57" xfId="0" applyFont="1" applyFill="1" applyBorder="1" applyAlignment="1">
      <alignment vertical="center" wrapText="1"/>
    </xf>
    <xf numFmtId="43" fontId="4" fillId="0" borderId="6" xfId="1" applyFont="1" applyBorder="1" applyAlignment="1">
      <alignment horizontal="right" vertical="center" wrapText="1"/>
    </xf>
    <xf numFmtId="164" fontId="38" fillId="6" borderId="14" xfId="0" applyNumberFormat="1" applyFont="1" applyFill="1" applyBorder="1" applyAlignment="1">
      <alignment horizontal="center" vertical="center" wrapText="1"/>
    </xf>
    <xf numFmtId="168" fontId="24" fillId="0" borderId="1" xfId="0" applyNumberFormat="1" applyFont="1" applyBorder="1" applyAlignment="1">
      <alignment horizontal="center" vertical="center" wrapText="1"/>
    </xf>
    <xf numFmtId="168" fontId="25" fillId="6" borderId="1" xfId="0" applyNumberFormat="1" applyFont="1" applyFill="1" applyBorder="1" applyAlignment="1">
      <alignment horizontal="justify" vertical="center" wrapText="1"/>
    </xf>
    <xf numFmtId="0" fontId="25" fillId="6" borderId="1" xfId="0" applyFont="1" applyFill="1" applyBorder="1" applyAlignment="1">
      <alignment horizontal="justify" vertical="center" wrapText="1"/>
    </xf>
    <xf numFmtId="43" fontId="24" fillId="0" borderId="1" xfId="1" applyFont="1" applyBorder="1" applyAlignment="1">
      <alignment horizontal="center" vertical="center" wrapText="1"/>
    </xf>
    <xf numFmtId="0" fontId="25" fillId="6" borderId="19" xfId="0" applyFont="1" applyFill="1" applyBorder="1" applyAlignment="1">
      <alignment horizontal="center" vertical="center" wrapText="1"/>
    </xf>
    <xf numFmtId="0" fontId="25" fillId="6" borderId="19" xfId="0" applyFont="1" applyFill="1" applyBorder="1" applyAlignment="1">
      <alignment horizontal="justify" vertical="center" wrapText="1"/>
    </xf>
    <xf numFmtId="0" fontId="25" fillId="6" borderId="1" xfId="0" applyFont="1" applyFill="1" applyBorder="1" applyAlignment="1">
      <alignment vertical="center" wrapText="1"/>
    </xf>
    <xf numFmtId="0" fontId="12" fillId="0" borderId="0" xfId="0" applyFont="1" applyAlignment="1">
      <alignment horizontal="center" wrapText="1"/>
    </xf>
    <xf numFmtId="0" fontId="38" fillId="0" borderId="0" xfId="0" applyFont="1" applyAlignment="1">
      <alignment vertical="center" wrapText="1"/>
    </xf>
    <xf numFmtId="0" fontId="38" fillId="0" borderId="0" xfId="0" applyFont="1" applyAlignment="1">
      <alignment horizontal="justify" vertical="center" wrapText="1"/>
    </xf>
    <xf numFmtId="0" fontId="12" fillId="6" borderId="0" xfId="0" applyFont="1" applyFill="1" applyAlignment="1">
      <alignment horizontal="justify" vertical="center" wrapText="1"/>
    </xf>
    <xf numFmtId="168" fontId="24" fillId="0" borderId="0" xfId="0" applyNumberFormat="1" applyFont="1" applyAlignment="1">
      <alignment wrapText="1"/>
    </xf>
    <xf numFmtId="168" fontId="12" fillId="0" borderId="0" xfId="0" applyNumberFormat="1" applyFont="1" applyAlignment="1">
      <alignment horizontal="center" vertical="center" wrapText="1"/>
    </xf>
    <xf numFmtId="0" fontId="12" fillId="0" borderId="0" xfId="0" applyFont="1" applyAlignment="1">
      <alignment horizontal="justify" wrapText="1"/>
    </xf>
    <xf numFmtId="168" fontId="12" fillId="0" borderId="0" xfId="0" applyNumberFormat="1" applyFont="1" applyAlignment="1">
      <alignment wrapText="1"/>
    </xf>
    <xf numFmtId="0" fontId="12" fillId="0" borderId="0" xfId="0" applyFont="1" applyAlignment="1">
      <alignment horizontal="justify"/>
    </xf>
    <xf numFmtId="0" fontId="12" fillId="0" borderId="0" xfId="0" applyFont="1" applyAlignment="1">
      <alignment horizontal="center"/>
    </xf>
    <xf numFmtId="43" fontId="12" fillId="0" borderId="1" xfId="1" applyFont="1" applyBorder="1" applyAlignment="1">
      <alignment horizontal="center" vertical="center" wrapText="1"/>
    </xf>
    <xf numFmtId="0" fontId="14" fillId="6" borderId="9" xfId="0" applyFont="1" applyFill="1" applyBorder="1" applyAlignment="1">
      <alignment horizontal="justify" vertical="center" wrapText="1"/>
    </xf>
    <xf numFmtId="0" fontId="24" fillId="0" borderId="9" xfId="0" applyFont="1" applyBorder="1" applyAlignment="1">
      <alignment vertical="center"/>
    </xf>
    <xf numFmtId="3" fontId="25" fillId="0" borderId="9" xfId="0" applyNumberFormat="1" applyFont="1" applyBorder="1" applyAlignment="1">
      <alignment horizontal="left" vertical="center" wrapText="1"/>
    </xf>
    <xf numFmtId="0" fontId="26" fillId="5" borderId="9" xfId="0" applyFont="1" applyFill="1" applyBorder="1" applyAlignment="1">
      <alignment horizontal="center" vertical="center" wrapText="1"/>
    </xf>
    <xf numFmtId="0" fontId="26" fillId="5" borderId="7" xfId="0" applyFont="1" applyFill="1" applyBorder="1" applyAlignment="1">
      <alignment vertical="center" wrapText="1"/>
    </xf>
    <xf numFmtId="0" fontId="26" fillId="5" borderId="7" xfId="0" applyFont="1" applyFill="1" applyBorder="1" applyAlignment="1">
      <alignment horizontal="justify" vertical="center" wrapText="1"/>
    </xf>
    <xf numFmtId="14" fontId="26" fillId="5" borderId="7" xfId="0" applyNumberFormat="1" applyFont="1" applyFill="1" applyBorder="1" applyAlignment="1">
      <alignment vertical="center" wrapText="1"/>
    </xf>
    <xf numFmtId="0" fontId="26" fillId="5" borderId="8" xfId="0" applyFont="1" applyFill="1" applyBorder="1" applyAlignment="1">
      <alignment vertical="center" wrapText="1"/>
    </xf>
    <xf numFmtId="0" fontId="26" fillId="6" borderId="9" xfId="0" applyFont="1" applyFill="1" applyBorder="1" applyAlignment="1">
      <alignment horizontal="center" vertical="center" wrapText="1"/>
    </xf>
    <xf numFmtId="0" fontId="26" fillId="6" borderId="9" xfId="0" applyFont="1" applyFill="1" applyBorder="1" applyAlignment="1">
      <alignment vertical="center" wrapText="1"/>
    </xf>
    <xf numFmtId="0" fontId="26" fillId="16" borderId="12"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10" xfId="0" applyFont="1" applyFill="1" applyBorder="1" applyAlignment="1">
      <alignment vertical="center" wrapText="1"/>
    </xf>
    <xf numFmtId="0" fontId="26" fillId="8" borderId="1" xfId="0" applyFont="1" applyFill="1" applyBorder="1" applyAlignment="1">
      <alignment horizontal="center" vertical="center" wrapText="1"/>
    </xf>
    <xf numFmtId="49" fontId="13" fillId="6" borderId="10" xfId="0" applyNumberFormat="1" applyFont="1" applyFill="1" applyBorder="1" applyAlignment="1">
      <alignment vertical="center" wrapText="1"/>
    </xf>
    <xf numFmtId="0" fontId="13" fillId="6" borderId="10" xfId="0" applyFont="1" applyFill="1" applyBorder="1" applyAlignment="1">
      <alignment vertical="center" wrapText="1"/>
    </xf>
    <xf numFmtId="43" fontId="14" fillId="0" borderId="1" xfId="1" applyFont="1" applyBorder="1" applyAlignment="1">
      <alignment vertical="center" wrapText="1"/>
    </xf>
    <xf numFmtId="49" fontId="14" fillId="6" borderId="1" xfId="0" applyNumberFormat="1" applyFont="1" applyFill="1" applyBorder="1" applyAlignment="1">
      <alignment horizontal="center" vertical="center" wrapText="1"/>
    </xf>
    <xf numFmtId="189" fontId="14" fillId="0" borderId="1" xfId="0" applyNumberFormat="1" applyFont="1" applyBorder="1" applyAlignment="1">
      <alignment horizontal="center" vertical="center" wrapText="1"/>
    </xf>
    <xf numFmtId="0" fontId="15" fillId="8" borderId="1" xfId="0" applyFont="1" applyFill="1" applyBorder="1" applyAlignment="1">
      <alignment horizontal="center" vertical="center" wrapText="1"/>
    </xf>
    <xf numFmtId="0" fontId="15" fillId="8" borderId="1" xfId="0" applyFont="1" applyFill="1" applyBorder="1" applyAlignment="1">
      <alignment horizontal="left" vertical="center" wrapText="1"/>
    </xf>
    <xf numFmtId="0" fontId="15" fillId="8" borderId="1" xfId="0" applyFont="1" applyFill="1" applyBorder="1" applyAlignment="1">
      <alignment horizontal="justify" vertical="center" wrapText="1"/>
    </xf>
    <xf numFmtId="43" fontId="15" fillId="8" borderId="1" xfId="1" applyFont="1" applyFill="1" applyBorder="1" applyAlignment="1">
      <alignment horizontal="left" vertical="center" wrapText="1"/>
    </xf>
    <xf numFmtId="0" fontId="15" fillId="8" borderId="19" xfId="0" applyFont="1" applyFill="1" applyBorder="1" applyAlignment="1">
      <alignment horizontal="justify" vertical="center" wrapText="1"/>
    </xf>
    <xf numFmtId="43" fontId="15" fillId="8" borderId="19" xfId="1" applyFont="1" applyFill="1" applyBorder="1" applyAlignment="1">
      <alignment horizontal="left" vertical="center" wrapText="1"/>
    </xf>
    <xf numFmtId="0" fontId="15" fillId="8" borderId="19" xfId="0" applyFont="1" applyFill="1" applyBorder="1" applyAlignment="1">
      <alignment horizontal="left" vertical="center" wrapText="1"/>
    </xf>
    <xf numFmtId="0" fontId="15" fillId="8" borderId="19" xfId="0" applyFont="1" applyFill="1" applyBorder="1" applyAlignment="1">
      <alignment horizontal="center" vertical="center" wrapText="1"/>
    </xf>
    <xf numFmtId="14" fontId="15" fillId="8" borderId="1" xfId="0" applyNumberFormat="1" applyFont="1" applyFill="1" applyBorder="1" applyAlignment="1">
      <alignment horizontal="left" vertical="center" wrapText="1"/>
    </xf>
    <xf numFmtId="49" fontId="13" fillId="6" borderId="10" xfId="0" applyNumberFormat="1" applyFont="1" applyFill="1" applyBorder="1" applyAlignment="1">
      <alignment horizontal="center" vertical="center" wrapText="1"/>
    </xf>
    <xf numFmtId="0" fontId="14" fillId="6" borderId="9" xfId="0" applyFont="1" applyFill="1" applyBorder="1" applyAlignment="1">
      <alignment horizontal="center" vertical="center" wrapText="1"/>
    </xf>
    <xf numFmtId="9" fontId="14" fillId="6" borderId="9" xfId="4" applyNumberFormat="1" applyFont="1" applyFill="1" applyBorder="1" applyAlignment="1">
      <alignment horizontal="center" vertical="center" wrapText="1"/>
    </xf>
    <xf numFmtId="43" fontId="14" fillId="0" borderId="9" xfId="1" applyFont="1" applyBorder="1" applyAlignment="1">
      <alignment horizontal="center" vertical="center" wrapText="1"/>
    </xf>
    <xf numFmtId="49" fontId="14" fillId="6" borderId="9" xfId="0" applyNumberFormat="1" applyFont="1" applyFill="1" applyBorder="1" applyAlignment="1">
      <alignment horizontal="center" vertical="center" wrapText="1"/>
    </xf>
    <xf numFmtId="189" fontId="14" fillId="6" borderId="9" xfId="0" applyNumberFormat="1" applyFont="1" applyFill="1" applyBorder="1" applyAlignment="1">
      <alignment horizontal="center" vertical="center" wrapText="1"/>
    </xf>
    <xf numFmtId="189" fontId="14" fillId="6" borderId="1" xfId="0" applyNumberFormat="1"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0" xfId="0" applyFont="1" applyFill="1" applyBorder="1" applyAlignment="1">
      <alignment horizontal="justify" vertical="center" wrapText="1"/>
    </xf>
    <xf numFmtId="43" fontId="14" fillId="0" borderId="19" xfId="1" applyFont="1" applyBorder="1" applyAlignment="1">
      <alignment horizontal="center" vertical="center" wrapText="1"/>
    </xf>
    <xf numFmtId="49" fontId="14" fillId="6" borderId="19" xfId="0" applyNumberFormat="1" applyFont="1" applyFill="1" applyBorder="1" applyAlignment="1">
      <alignment horizontal="center" vertical="center" wrapText="1"/>
    </xf>
    <xf numFmtId="189" fontId="14" fillId="6" borderId="19" xfId="0" applyNumberFormat="1" applyFont="1" applyFill="1" applyBorder="1" applyAlignment="1">
      <alignment horizontal="center" vertical="center" wrapText="1"/>
    </xf>
    <xf numFmtId="43" fontId="14" fillId="0" borderId="1" xfId="1" applyFont="1" applyBorder="1" applyAlignment="1">
      <alignment horizontal="center" vertical="center" wrapText="1"/>
    </xf>
    <xf numFmtId="43" fontId="7" fillId="6" borderId="1" xfId="1" applyFont="1" applyFill="1" applyBorder="1" applyAlignment="1">
      <alignment horizontal="right" vertical="center" wrapText="1"/>
    </xf>
    <xf numFmtId="0" fontId="7" fillId="6" borderId="1" xfId="0" applyFont="1" applyFill="1" applyBorder="1" applyAlignment="1">
      <alignment horizontal="justify" vertical="center" wrapText="1"/>
    </xf>
    <xf numFmtId="43" fontId="7" fillId="6" borderId="1" xfId="1" applyFont="1" applyFill="1" applyBorder="1" applyAlignment="1">
      <alignment horizontal="center" vertical="center" wrapText="1"/>
    </xf>
    <xf numFmtId="189" fontId="7" fillId="6" borderId="1" xfId="0" applyNumberFormat="1" applyFont="1" applyFill="1" applyBorder="1" applyAlignment="1">
      <alignment horizontal="center" vertical="center" wrapText="1"/>
    </xf>
    <xf numFmtId="0" fontId="7" fillId="6" borderId="1" xfId="0" applyFont="1" applyFill="1" applyBorder="1" applyAlignment="1">
      <alignment vertical="center"/>
    </xf>
    <xf numFmtId="14" fontId="7" fillId="6" borderId="1" xfId="0" applyNumberFormat="1" applyFont="1" applyFill="1" applyBorder="1" applyAlignment="1">
      <alignment horizontal="right" vertical="center"/>
    </xf>
    <xf numFmtId="14" fontId="7" fillId="6" borderId="1" xfId="0" applyNumberFormat="1" applyFont="1" applyFill="1" applyBorder="1" applyAlignment="1">
      <alignment horizontal="left" vertical="center"/>
    </xf>
    <xf numFmtId="0" fontId="7" fillId="6" borderId="1" xfId="0" applyFont="1" applyFill="1" applyBorder="1" applyAlignment="1">
      <alignment horizontal="left" vertical="center"/>
    </xf>
    <xf numFmtId="0" fontId="8" fillId="0" borderId="0" xfId="0" applyFont="1" applyAlignment="1">
      <alignment horizontal="center"/>
    </xf>
    <xf numFmtId="0" fontId="8" fillId="0" borderId="0" xfId="0" applyFont="1" applyAlignment="1">
      <alignment horizontal="justify"/>
    </xf>
    <xf numFmtId="0" fontId="8" fillId="0" borderId="0" xfId="0" applyFont="1" applyAlignment="1">
      <alignment horizontal="center" vertical="center"/>
    </xf>
    <xf numFmtId="0" fontId="8" fillId="0" borderId="0" xfId="0" applyFont="1" applyAlignment="1">
      <alignment horizontal="justify" vertical="center"/>
    </xf>
    <xf numFmtId="14" fontId="8" fillId="0" borderId="0" xfId="0" applyNumberFormat="1" applyFont="1" applyAlignment="1">
      <alignment horizontal="right" vertical="center"/>
    </xf>
    <xf numFmtId="14" fontId="8" fillId="0" borderId="0" xfId="0" applyNumberFormat="1" applyFont="1" applyAlignment="1">
      <alignment horizontal="left"/>
    </xf>
    <xf numFmtId="0" fontId="39" fillId="0" borderId="0" xfId="0" applyFont="1"/>
    <xf numFmtId="0" fontId="39" fillId="0" borderId="0" xfId="0" applyFont="1" applyAlignment="1">
      <alignment horizontal="center"/>
    </xf>
    <xf numFmtId="0" fontId="39" fillId="0" borderId="0" xfId="0" applyFont="1" applyAlignment="1">
      <alignment horizontal="justify"/>
    </xf>
    <xf numFmtId="0" fontId="39" fillId="0" borderId="0" xfId="0" applyFont="1" applyAlignment="1">
      <alignment horizontal="center" vertical="center"/>
    </xf>
    <xf numFmtId="0" fontId="39" fillId="0" borderId="0" xfId="0" applyFont="1" applyAlignment="1">
      <alignment horizontal="justify" vertical="center"/>
    </xf>
    <xf numFmtId="0" fontId="40" fillId="0" borderId="0" xfId="0" applyFont="1" applyAlignment="1">
      <alignment horizontal="right" vertical="center"/>
    </xf>
    <xf numFmtId="165" fontId="39" fillId="0" borderId="0" xfId="0" applyNumberFormat="1" applyFont="1" applyAlignment="1">
      <alignment horizontal="center"/>
    </xf>
    <xf numFmtId="0" fontId="39" fillId="0" borderId="0" xfId="0" applyFont="1" applyAlignment="1">
      <alignment horizontal="left"/>
    </xf>
    <xf numFmtId="0" fontId="41" fillId="0" borderId="0" xfId="0" applyFont="1"/>
    <xf numFmtId="0" fontId="42" fillId="0" borderId="0" xfId="0" applyFont="1"/>
    <xf numFmtId="0" fontId="42" fillId="0" borderId="0" xfId="0" applyFont="1" applyAlignment="1">
      <alignment horizontal="center"/>
    </xf>
    <xf numFmtId="0" fontId="42" fillId="0" borderId="0" xfId="0" applyFont="1" applyAlignment="1">
      <alignment horizontal="justify"/>
    </xf>
    <xf numFmtId="0" fontId="43" fillId="0" borderId="0" xfId="0" applyFont="1"/>
    <xf numFmtId="0" fontId="44" fillId="0" borderId="0" xfId="0" applyFont="1"/>
    <xf numFmtId="0" fontId="45" fillId="0" borderId="0" xfId="0" applyFont="1"/>
    <xf numFmtId="0" fontId="45" fillId="0" borderId="0" xfId="0" applyFont="1" applyAlignment="1">
      <alignment horizontal="center"/>
    </xf>
    <xf numFmtId="0" fontId="6" fillId="0" borderId="57" xfId="0" applyFont="1" applyBorder="1" applyAlignment="1">
      <alignment horizontal="center" vertical="center"/>
    </xf>
    <xf numFmtId="0" fontId="6" fillId="0" borderId="2" xfId="0" applyFont="1" applyBorder="1" applyAlignment="1">
      <alignment horizontal="center" vertical="center"/>
    </xf>
    <xf numFmtId="0" fontId="12" fillId="6" borderId="1" xfId="0" applyFont="1" applyFill="1" applyBorder="1" applyAlignment="1">
      <alignment horizontal="justify" vertical="center" wrapText="1"/>
    </xf>
    <xf numFmtId="0" fontId="4" fillId="6" borderId="0" xfId="0" applyFont="1" applyFill="1" applyAlignment="1">
      <alignment horizontal="center"/>
    </xf>
    <xf numFmtId="0" fontId="6" fillId="0" borderId="5" xfId="0" applyFont="1" applyBorder="1" applyAlignment="1">
      <alignment horizontal="center" vertical="center"/>
    </xf>
    <xf numFmtId="0" fontId="4" fillId="6" borderId="0" xfId="0" applyFont="1" applyFill="1" applyAlignment="1">
      <alignment horizontal="center" vertical="center"/>
    </xf>
    <xf numFmtId="0" fontId="26" fillId="0" borderId="54" xfId="0" applyFont="1" applyBorder="1" applyAlignment="1">
      <alignment vertical="center"/>
    </xf>
    <xf numFmtId="0" fontId="26" fillId="0" borderId="55" xfId="0" applyFont="1" applyBorder="1" applyAlignment="1">
      <alignment horizontal="justify" vertical="center" wrapText="1"/>
    </xf>
    <xf numFmtId="0" fontId="26" fillId="0" borderId="1" xfId="0" applyFont="1" applyBorder="1" applyAlignment="1">
      <alignment horizontal="left" vertical="center"/>
    </xf>
    <xf numFmtId="0" fontId="26" fillId="0" borderId="50" xfId="0" applyFont="1" applyBorder="1" applyAlignment="1">
      <alignment horizontal="justify" vertical="center" wrapText="1"/>
    </xf>
    <xf numFmtId="0" fontId="26" fillId="0" borderId="1" xfId="0" applyFont="1" applyBorder="1" applyAlignment="1">
      <alignment vertical="center"/>
    </xf>
    <xf numFmtId="3" fontId="26" fillId="0" borderId="50" xfId="0" applyNumberFormat="1" applyFont="1" applyBorder="1" applyAlignment="1">
      <alignment horizontal="justify" vertical="center" wrapText="1"/>
    </xf>
    <xf numFmtId="0" fontId="4" fillId="0" borderId="5" xfId="0" applyFont="1" applyBorder="1" applyAlignment="1">
      <alignment horizontal="center" vertical="center"/>
    </xf>
    <xf numFmtId="0" fontId="6" fillId="0" borderId="2" xfId="0" applyFont="1" applyBorder="1" applyAlignment="1">
      <alignment horizontal="justify" vertical="center" wrapText="1"/>
    </xf>
    <xf numFmtId="41" fontId="6" fillId="0" borderId="2" xfId="0" applyNumberFormat="1" applyFont="1" applyBorder="1" applyAlignment="1">
      <alignment vertical="center"/>
    </xf>
    <xf numFmtId="0" fontId="6" fillId="0" borderId="59" xfId="0" applyFont="1" applyBorder="1" applyAlignment="1">
      <alignment horizontal="justify" vertical="center" wrapText="1"/>
    </xf>
    <xf numFmtId="0" fontId="6" fillId="0" borderId="20" xfId="0" applyFont="1" applyBorder="1" applyAlignment="1">
      <alignment horizontal="center" vertical="center"/>
    </xf>
    <xf numFmtId="0" fontId="6" fillId="6" borderId="0" xfId="0" applyFont="1" applyFill="1"/>
    <xf numFmtId="1" fontId="24" fillId="5" borderId="6" xfId="0" applyNumberFormat="1" applyFont="1" applyFill="1" applyBorder="1" applyAlignment="1">
      <alignment horizontal="left" vertical="center" wrapText="1"/>
    </xf>
    <xf numFmtId="0" fontId="24" fillId="5" borderId="4" xfId="0" applyFont="1" applyFill="1" applyBorder="1" applyAlignment="1">
      <alignment horizontal="justify" vertical="center" wrapText="1"/>
    </xf>
    <xf numFmtId="0" fontId="24" fillId="5" borderId="4" xfId="0" applyFont="1" applyFill="1" applyBorder="1" applyAlignment="1">
      <alignment horizontal="justify" vertical="center"/>
    </xf>
    <xf numFmtId="169" fontId="12" fillId="5" borderId="4" xfId="0" applyNumberFormat="1" applyFont="1" applyFill="1" applyBorder="1" applyAlignment="1">
      <alignment horizontal="center" vertical="center"/>
    </xf>
    <xf numFmtId="168" fontId="24" fillId="5" borderId="4" xfId="0" applyNumberFormat="1" applyFont="1" applyFill="1" applyBorder="1" applyAlignment="1">
      <alignment vertical="center"/>
    </xf>
    <xf numFmtId="168" fontId="24" fillId="5" borderId="4" xfId="0" applyNumberFormat="1" applyFont="1" applyFill="1" applyBorder="1" applyAlignment="1">
      <alignment horizontal="center" vertical="center"/>
    </xf>
    <xf numFmtId="0" fontId="24" fillId="5" borderId="4" xfId="0" applyFont="1" applyFill="1" applyBorder="1" applyAlignment="1">
      <alignment horizontal="center" vertical="center"/>
    </xf>
    <xf numFmtId="167" fontId="24" fillId="5" borderId="4" xfId="0" applyNumberFormat="1" applyFont="1" applyFill="1" applyBorder="1" applyAlignment="1">
      <alignment vertical="center"/>
    </xf>
    <xf numFmtId="0" fontId="24" fillId="5" borderId="12" xfId="0" applyFont="1" applyFill="1" applyBorder="1" applyAlignment="1">
      <alignment horizontal="justify" vertical="center"/>
    </xf>
    <xf numFmtId="0" fontId="24" fillId="7" borderId="4" xfId="0" applyFont="1" applyFill="1" applyBorder="1" applyAlignment="1">
      <alignment vertical="center"/>
    </xf>
    <xf numFmtId="0" fontId="12" fillId="7" borderId="4" xfId="0" applyFont="1" applyFill="1" applyBorder="1" applyAlignment="1">
      <alignment vertical="center"/>
    </xf>
    <xf numFmtId="0" fontId="24" fillId="7" borderId="4" xfId="0" applyFont="1" applyFill="1" applyBorder="1" applyAlignment="1">
      <alignment horizontal="justify" vertical="center" wrapText="1"/>
    </xf>
    <xf numFmtId="0" fontId="24" fillId="7" borderId="4" xfId="0" applyFont="1" applyFill="1" applyBorder="1" applyAlignment="1">
      <alignment horizontal="justify" vertical="center"/>
    </xf>
    <xf numFmtId="0" fontId="12" fillId="7" borderId="4" xfId="0" applyFont="1" applyFill="1" applyBorder="1" applyAlignment="1">
      <alignment horizontal="center" vertical="center"/>
    </xf>
    <xf numFmtId="169" fontId="12" fillId="7" borderId="4" xfId="0" applyNumberFormat="1" applyFont="1" applyFill="1" applyBorder="1" applyAlignment="1">
      <alignment horizontal="center" vertical="center"/>
    </xf>
    <xf numFmtId="168" fontId="24" fillId="7" borderId="4" xfId="0" applyNumberFormat="1" applyFont="1" applyFill="1" applyBorder="1" applyAlignment="1">
      <alignment vertical="center"/>
    </xf>
    <xf numFmtId="168" fontId="24" fillId="7" borderId="4" xfId="0" applyNumberFormat="1" applyFont="1" applyFill="1" applyBorder="1" applyAlignment="1">
      <alignment horizontal="center" vertical="center"/>
    </xf>
    <xf numFmtId="0" fontId="24" fillId="7" borderId="4" xfId="0" applyFont="1" applyFill="1" applyBorder="1" applyAlignment="1">
      <alignment horizontal="center" vertical="center"/>
    </xf>
    <xf numFmtId="167" fontId="24" fillId="7" borderId="4" xfId="0" applyNumberFormat="1" applyFont="1" applyFill="1" applyBorder="1" applyAlignment="1">
      <alignment vertical="center"/>
    </xf>
    <xf numFmtId="0" fontId="24" fillId="7" borderId="12" xfId="0" applyFont="1" applyFill="1" applyBorder="1" applyAlignment="1">
      <alignment horizontal="justify" vertical="center"/>
    </xf>
    <xf numFmtId="1" fontId="24" fillId="8" borderId="7" xfId="0" applyNumberFormat="1" applyFont="1" applyFill="1" applyBorder="1" applyAlignment="1">
      <alignment horizontal="left" vertical="center" wrapText="1" indent="1"/>
    </xf>
    <xf numFmtId="0" fontId="12" fillId="8" borderId="4" xfId="0" applyFont="1" applyFill="1" applyBorder="1" applyAlignment="1">
      <alignment vertical="center"/>
    </xf>
    <xf numFmtId="0" fontId="24" fillId="8" borderId="4" xfId="0" applyFont="1" applyFill="1" applyBorder="1" applyAlignment="1">
      <alignment horizontal="justify" vertical="center" wrapText="1"/>
    </xf>
    <xf numFmtId="0" fontId="24" fillId="8" borderId="4" xfId="0" applyFont="1" applyFill="1" applyBorder="1" applyAlignment="1">
      <alignment horizontal="justify" vertical="center"/>
    </xf>
    <xf numFmtId="169" fontId="12" fillId="8" borderId="4" xfId="0" applyNumberFormat="1" applyFont="1" applyFill="1" applyBorder="1" applyAlignment="1">
      <alignment horizontal="center" vertical="center"/>
    </xf>
    <xf numFmtId="168" fontId="24" fillId="8" borderId="4" xfId="0" applyNumberFormat="1" applyFont="1" applyFill="1" applyBorder="1" applyAlignment="1">
      <alignment vertical="center"/>
    </xf>
    <xf numFmtId="168" fontId="24" fillId="8" borderId="4" xfId="0" applyNumberFormat="1" applyFont="1" applyFill="1" applyBorder="1" applyAlignment="1">
      <alignment horizontal="center" vertical="center"/>
    </xf>
    <xf numFmtId="0" fontId="24" fillId="8" borderId="4" xfId="0" applyFont="1" applyFill="1" applyBorder="1" applyAlignment="1">
      <alignment horizontal="center" vertical="center"/>
    </xf>
    <xf numFmtId="167" fontId="24" fillId="8" borderId="4" xfId="0" applyNumberFormat="1" applyFont="1" applyFill="1" applyBorder="1" applyAlignment="1">
      <alignment vertical="center"/>
    </xf>
    <xf numFmtId="0" fontId="24" fillId="8" borderId="12" xfId="0" applyFont="1" applyFill="1" applyBorder="1" applyAlignment="1">
      <alignment horizontal="justify" vertical="center"/>
    </xf>
    <xf numFmtId="0" fontId="12" fillId="6" borderId="3" xfId="0" applyFont="1" applyFill="1" applyBorder="1"/>
    <xf numFmtId="0" fontId="12" fillId="6" borderId="12" xfId="0" applyFont="1" applyFill="1" applyBorder="1"/>
    <xf numFmtId="43" fontId="12" fillId="0" borderId="9" xfId="1" applyFont="1" applyFill="1" applyBorder="1" applyAlignment="1">
      <alignment horizontal="center" vertical="center" wrapText="1"/>
    </xf>
    <xf numFmtId="3" fontId="12" fillId="0" borderId="1" xfId="27" applyNumberFormat="1" applyFont="1" applyBorder="1" applyAlignment="1">
      <alignment horizontal="center" vertical="center" wrapText="1"/>
    </xf>
    <xf numFmtId="3" fontId="12" fillId="6" borderId="1" xfId="27" applyNumberFormat="1" applyFont="1" applyFill="1" applyBorder="1" applyAlignment="1">
      <alignment horizontal="center" vertical="center" wrapText="1"/>
    </xf>
    <xf numFmtId="0" fontId="12" fillId="6" borderId="11" xfId="0" applyFont="1" applyFill="1" applyBorder="1"/>
    <xf numFmtId="0" fontId="12" fillId="6" borderId="13" xfId="0" applyFont="1" applyFill="1" applyBorder="1"/>
    <xf numFmtId="190" fontId="12" fillId="6" borderId="1" xfId="27" applyFont="1" applyFill="1" applyBorder="1" applyAlignment="1">
      <alignment horizontal="justify" vertical="center" wrapText="1"/>
    </xf>
    <xf numFmtId="190" fontId="12" fillId="0" borderId="1" xfId="27" applyFont="1" applyBorder="1" applyAlignment="1">
      <alignment horizontal="justify" vertical="center" wrapText="1"/>
    </xf>
    <xf numFmtId="3" fontId="12" fillId="6" borderId="1" xfId="27" applyNumberFormat="1" applyFont="1" applyFill="1" applyBorder="1" applyAlignment="1">
      <alignment horizontal="center" vertical="center"/>
    </xf>
    <xf numFmtId="10" fontId="14" fillId="6" borderId="14" xfId="27" applyNumberFormat="1" applyFont="1" applyFill="1" applyBorder="1" applyAlignment="1">
      <alignment horizontal="center" vertical="center" wrapText="1"/>
    </xf>
    <xf numFmtId="0" fontId="12" fillId="6" borderId="1" xfId="27" applyNumberFormat="1" applyFont="1" applyFill="1" applyBorder="1" applyAlignment="1">
      <alignment horizontal="justify" vertical="center" wrapText="1"/>
    </xf>
    <xf numFmtId="0" fontId="17" fillId="6" borderId="1" xfId="27" applyNumberFormat="1" applyFont="1" applyFill="1" applyBorder="1" applyAlignment="1">
      <alignment horizontal="justify" vertical="center" wrapText="1"/>
    </xf>
    <xf numFmtId="0" fontId="12" fillId="0" borderId="1" xfId="0" applyFont="1" applyBorder="1" applyAlignment="1">
      <alignment horizontal="center"/>
    </xf>
    <xf numFmtId="0" fontId="12" fillId="0" borderId="1" xfId="0" applyFont="1" applyBorder="1" applyAlignment="1">
      <alignment horizontal="center" vertical="center" wrapText="1"/>
    </xf>
    <xf numFmtId="0" fontId="17" fillId="6" borderId="9" xfId="27" applyNumberFormat="1" applyFont="1" applyFill="1" applyBorder="1" applyAlignment="1">
      <alignment horizontal="justify" vertical="center" wrapText="1"/>
    </xf>
    <xf numFmtId="43" fontId="12" fillId="0" borderId="18" xfId="1" applyFont="1" applyFill="1" applyBorder="1" applyAlignment="1">
      <alignment horizontal="center" vertical="center" wrapText="1"/>
    </xf>
    <xf numFmtId="0" fontId="12" fillId="0" borderId="14" xfId="0" applyFont="1" applyBorder="1" applyAlignment="1">
      <alignment horizontal="center" vertical="center" wrapText="1"/>
    </xf>
    <xf numFmtId="190" fontId="12" fillId="6" borderId="13" xfId="27" applyFont="1" applyFill="1" applyBorder="1" applyAlignment="1">
      <alignment horizontal="center" vertical="center" wrapText="1"/>
    </xf>
    <xf numFmtId="43" fontId="12" fillId="0" borderId="19" xfId="1" applyFont="1" applyFill="1" applyBorder="1" applyAlignment="1">
      <alignment horizontal="center" vertical="center" wrapText="1"/>
    </xf>
    <xf numFmtId="3" fontId="12" fillId="0" borderId="19" xfId="27" applyNumberFormat="1" applyFont="1" applyBorder="1" applyAlignment="1">
      <alignment horizontal="center" vertical="center" wrapText="1"/>
    </xf>
    <xf numFmtId="3" fontId="12" fillId="6" borderId="19" xfId="27" applyNumberFormat="1" applyFont="1" applyFill="1" applyBorder="1" applyAlignment="1">
      <alignment horizontal="center" vertical="center" wrapText="1"/>
    </xf>
    <xf numFmtId="0" fontId="17" fillId="0" borderId="1" xfId="0" applyFont="1" applyFill="1" applyBorder="1" applyAlignment="1">
      <alignment horizontal="justify" vertical="center" wrapText="1"/>
    </xf>
    <xf numFmtId="3" fontId="12" fillId="0" borderId="9" xfId="27" applyNumberFormat="1" applyFont="1" applyBorder="1" applyAlignment="1">
      <alignment horizontal="center" vertical="center" wrapText="1"/>
    </xf>
    <xf numFmtId="3" fontId="12" fillId="6" borderId="9" xfId="27" applyNumberFormat="1" applyFont="1" applyFill="1" applyBorder="1" applyAlignment="1">
      <alignment horizontal="center" vertical="center" wrapText="1"/>
    </xf>
    <xf numFmtId="43" fontId="12" fillId="0" borderId="1" xfId="1" applyFont="1" applyFill="1" applyBorder="1" applyAlignment="1">
      <alignment horizontal="center" vertical="center"/>
    </xf>
    <xf numFmtId="0" fontId="12" fillId="6" borderId="5" xfId="0" applyFont="1" applyFill="1" applyBorder="1"/>
    <xf numFmtId="0" fontId="12" fillId="6" borderId="20" xfId="0" applyFont="1" applyFill="1" applyBorder="1"/>
    <xf numFmtId="0" fontId="24" fillId="8" borderId="0" xfId="0" applyFont="1" applyFill="1" applyAlignment="1">
      <alignment horizontal="justify" vertical="center" wrapText="1"/>
    </xf>
    <xf numFmtId="0" fontId="24" fillId="8" borderId="0" xfId="0" applyFont="1" applyFill="1" applyAlignment="1">
      <alignment horizontal="justify" vertical="center"/>
    </xf>
    <xf numFmtId="169" fontId="12" fillId="8" borderId="0" xfId="0" applyNumberFormat="1" applyFont="1" applyFill="1" applyAlignment="1">
      <alignment horizontal="center" vertical="center"/>
    </xf>
    <xf numFmtId="43" fontId="24" fillId="8" borderId="0" xfId="1" applyFont="1" applyFill="1" applyAlignment="1">
      <alignment vertical="center"/>
    </xf>
    <xf numFmtId="43" fontId="24" fillId="8" borderId="0" xfId="1" applyFont="1" applyFill="1" applyAlignment="1">
      <alignment horizontal="center" vertical="center"/>
    </xf>
    <xf numFmtId="168" fontId="24" fillId="8" borderId="0" xfId="0" applyNumberFormat="1" applyFont="1" applyFill="1" applyAlignment="1">
      <alignment horizontal="center" vertical="center"/>
    </xf>
    <xf numFmtId="0" fontId="24" fillId="8" borderId="0" xfId="0" applyFont="1" applyFill="1" applyAlignment="1">
      <alignment horizontal="center" vertical="center"/>
    </xf>
    <xf numFmtId="190" fontId="12" fillId="6" borderId="0" xfId="27" applyFont="1" applyFill="1" applyBorder="1" applyAlignment="1">
      <alignment horizontal="center" vertical="center" wrapText="1"/>
    </xf>
    <xf numFmtId="0" fontId="0" fillId="0" borderId="9" xfId="0" applyBorder="1" applyAlignment="1">
      <alignment horizontal="center" vertical="top" wrapText="1"/>
    </xf>
    <xf numFmtId="190" fontId="12" fillId="6" borderId="9" xfId="27" applyFont="1" applyFill="1" applyBorder="1" applyAlignment="1">
      <alignment horizontal="center" vertical="center" wrapText="1"/>
    </xf>
    <xf numFmtId="0" fontId="0" fillId="0" borderId="1" xfId="0" applyBorder="1" applyAlignment="1">
      <alignment horizontal="center" vertical="center" wrapText="1"/>
    </xf>
    <xf numFmtId="190" fontId="12" fillId="6" borderId="1" xfId="27" applyFont="1" applyFill="1" applyBorder="1" applyAlignment="1">
      <alignment horizontal="center" vertical="center" wrapText="1"/>
    </xf>
    <xf numFmtId="43" fontId="12" fillId="0" borderId="9" xfId="1" applyFont="1" applyFill="1" applyBorder="1" applyAlignment="1">
      <alignment horizontal="center" vertical="center"/>
    </xf>
    <xf numFmtId="0" fontId="0" fillId="0" borderId="9" xfId="0" applyBorder="1" applyAlignment="1">
      <alignment horizontal="center" vertical="center" wrapText="1"/>
    </xf>
    <xf numFmtId="0" fontId="0" fillId="0" borderId="8" xfId="0" applyBorder="1" applyAlignment="1">
      <alignment horizontal="center" vertical="center" wrapText="1"/>
    </xf>
    <xf numFmtId="1" fontId="14" fillId="6" borderId="1" xfId="8" applyNumberFormat="1" applyFont="1" applyFill="1" applyBorder="1" applyAlignment="1">
      <alignment horizontal="center" vertical="center" wrapText="1"/>
    </xf>
    <xf numFmtId="1" fontId="12" fillId="0" borderId="1" xfId="27" applyNumberFormat="1" applyFont="1" applyBorder="1" applyAlignment="1">
      <alignment horizontal="center" vertical="center"/>
    </xf>
    <xf numFmtId="0" fontId="12" fillId="0" borderId="1" xfId="27" applyNumberFormat="1" applyFont="1" applyFill="1" applyBorder="1" applyAlignment="1">
      <alignment horizontal="justify" vertical="center" wrapText="1"/>
    </xf>
    <xf numFmtId="43" fontId="12" fillId="0" borderId="19" xfId="1" applyFont="1" applyFill="1" applyBorder="1" applyAlignment="1">
      <alignment vertical="center" wrapText="1"/>
    </xf>
    <xf numFmtId="0" fontId="0" fillId="0" borderId="19" xfId="0" applyBorder="1" applyAlignment="1">
      <alignment horizontal="center" vertical="center" wrapText="1"/>
    </xf>
    <xf numFmtId="190" fontId="12" fillId="6" borderId="19" xfId="27" applyFont="1" applyFill="1" applyBorder="1" applyAlignment="1">
      <alignment horizontal="center" vertical="center" wrapText="1"/>
    </xf>
    <xf numFmtId="0" fontId="12" fillId="7" borderId="0" xfId="0" applyFont="1" applyFill="1" applyAlignment="1">
      <alignment vertical="center"/>
    </xf>
    <xf numFmtId="0" fontId="24" fillId="7" borderId="0" xfId="0" applyFont="1" applyFill="1" applyAlignment="1">
      <alignment horizontal="justify" vertical="center" wrapText="1"/>
    </xf>
    <xf numFmtId="169" fontId="12" fillId="7" borderId="0" xfId="0" applyNumberFormat="1" applyFont="1" applyFill="1" applyAlignment="1">
      <alignment horizontal="center" vertical="center"/>
    </xf>
    <xf numFmtId="43" fontId="24" fillId="7" borderId="0" xfId="1" applyFont="1" applyFill="1" applyAlignment="1">
      <alignment vertical="center"/>
    </xf>
    <xf numFmtId="43" fontId="24" fillId="7" borderId="0" xfId="1" applyFont="1" applyFill="1" applyAlignment="1">
      <alignment horizontal="center" vertical="center"/>
    </xf>
    <xf numFmtId="168" fontId="24" fillId="7" borderId="0" xfId="0" applyNumberFormat="1" applyFont="1" applyFill="1" applyAlignment="1">
      <alignment horizontal="center" vertical="center"/>
    </xf>
    <xf numFmtId="10" fontId="12" fillId="8" borderId="14" xfId="0" applyNumberFormat="1" applyFont="1" applyFill="1" applyBorder="1" applyAlignment="1">
      <alignment horizontal="center" vertical="center"/>
    </xf>
    <xf numFmtId="43" fontId="24" fillId="8" borderId="4" xfId="1" applyFont="1" applyFill="1" applyBorder="1" applyAlignment="1">
      <alignment vertical="center"/>
    </xf>
    <xf numFmtId="43" fontId="24" fillId="8" borderId="1" xfId="1" applyFont="1" applyFill="1" applyBorder="1" applyAlignment="1">
      <alignment horizontal="center" vertical="center"/>
    </xf>
    <xf numFmtId="168" fontId="24" fillId="8" borderId="8" xfId="0" applyNumberFormat="1" applyFont="1" applyFill="1" applyBorder="1" applyAlignment="1">
      <alignment horizontal="center" vertical="center"/>
    </xf>
    <xf numFmtId="0" fontId="12" fillId="6" borderId="4" xfId="0" applyFont="1" applyFill="1" applyBorder="1"/>
    <xf numFmtId="0" fontId="0" fillId="6" borderId="3" xfId="0" applyFill="1" applyBorder="1"/>
    <xf numFmtId="0" fontId="0" fillId="6" borderId="12" xfId="0" applyFill="1" applyBorder="1"/>
    <xf numFmtId="43" fontId="12" fillId="0" borderId="1" xfId="1" applyFont="1" applyFill="1" applyBorder="1" applyAlignment="1">
      <alignment vertical="center" wrapText="1"/>
    </xf>
    <xf numFmtId="190" fontId="12" fillId="6" borderId="9" xfId="27" applyFont="1" applyFill="1" applyBorder="1" applyAlignment="1">
      <alignment horizontal="center" vertical="center"/>
    </xf>
    <xf numFmtId="0" fontId="0" fillId="6" borderId="0" xfId="0" applyFill="1"/>
    <xf numFmtId="0" fontId="0" fillId="6" borderId="11" xfId="0" applyFill="1" applyBorder="1"/>
    <xf numFmtId="0" fontId="0" fillId="6" borderId="13" xfId="0" applyFill="1" applyBorder="1"/>
    <xf numFmtId="43" fontId="12" fillId="0" borderId="6" xfId="1" applyFont="1" applyFill="1" applyBorder="1" applyAlignment="1">
      <alignment vertical="center" wrapText="1"/>
    </xf>
    <xf numFmtId="190" fontId="12" fillId="6" borderId="1" xfId="27" applyFont="1" applyFill="1" applyBorder="1" applyAlignment="1">
      <alignment horizontal="center" vertical="center"/>
    </xf>
    <xf numFmtId="190" fontId="12" fillId="6" borderId="1" xfId="27" applyFont="1" applyFill="1" applyBorder="1" applyAlignment="1">
      <alignment horizontal="left" vertical="center"/>
    </xf>
    <xf numFmtId="0" fontId="0" fillId="6" borderId="2" xfId="0" applyFill="1" applyBorder="1"/>
    <xf numFmtId="0" fontId="0" fillId="6" borderId="5" xfId="0" applyFill="1" applyBorder="1"/>
    <xf numFmtId="0" fontId="0" fillId="6" borderId="20" xfId="0" applyFill="1" applyBorder="1"/>
    <xf numFmtId="10" fontId="12" fillId="8" borderId="16" xfId="0" applyNumberFormat="1" applyFont="1" applyFill="1" applyBorder="1" applyAlignment="1">
      <alignment horizontal="center" vertical="center"/>
    </xf>
    <xf numFmtId="43" fontId="24" fillId="8" borderId="0" xfId="1" applyFont="1" applyFill="1" applyAlignment="1">
      <alignment horizontal="justify" vertical="center" wrapText="1"/>
    </xf>
    <xf numFmtId="168" fontId="24" fillId="8" borderId="9" xfId="0" applyNumberFormat="1" applyFont="1" applyFill="1" applyBorder="1" applyAlignment="1">
      <alignment horizontal="center" vertical="center"/>
    </xf>
    <xf numFmtId="43" fontId="12" fillId="0" borderId="6" xfId="1" applyFont="1" applyFill="1" applyBorder="1" applyAlignment="1">
      <alignment horizontal="justify" vertical="center"/>
    </xf>
    <xf numFmtId="3" fontId="12" fillId="0" borderId="14" xfId="27" applyNumberFormat="1" applyFont="1" applyBorder="1" applyAlignment="1">
      <alignment horizontal="center" vertical="center" wrapText="1"/>
    </xf>
    <xf numFmtId="190" fontId="12" fillId="6" borderId="14" xfId="27" applyFont="1" applyFill="1" applyBorder="1" applyAlignment="1">
      <alignment horizontal="center" vertical="center" wrapText="1"/>
    </xf>
    <xf numFmtId="3" fontId="12" fillId="0" borderId="14" xfId="27" applyNumberFormat="1" applyFont="1" applyBorder="1" applyAlignment="1">
      <alignment horizontal="center" vertical="center"/>
    </xf>
    <xf numFmtId="0" fontId="17" fillId="0" borderId="9" xfId="0" applyFont="1" applyFill="1" applyBorder="1" applyAlignment="1">
      <alignment horizontal="justify" vertical="center" wrapText="1"/>
    </xf>
    <xf numFmtId="43" fontId="12" fillId="6" borderId="6" xfId="1" applyFont="1" applyFill="1" applyBorder="1" applyAlignment="1">
      <alignment horizontal="justify" vertical="center"/>
    </xf>
    <xf numFmtId="168" fontId="24" fillId="8" borderId="2" xfId="0" applyNumberFormat="1" applyFont="1" applyFill="1" applyBorder="1" applyAlignment="1">
      <alignment horizontal="center" vertical="center"/>
    </xf>
    <xf numFmtId="167" fontId="24" fillId="8" borderId="8" xfId="0" applyNumberFormat="1" applyFont="1" applyFill="1" applyBorder="1" applyAlignment="1">
      <alignment vertical="center"/>
    </xf>
    <xf numFmtId="43" fontId="12" fillId="0" borderId="1" xfId="1" applyFont="1" applyFill="1" applyBorder="1" applyAlignment="1">
      <alignment horizontal="justify" vertical="center"/>
    </xf>
    <xf numFmtId="1" fontId="12" fillId="0" borderId="9" xfId="27" applyNumberFormat="1" applyFont="1" applyBorder="1" applyAlignment="1">
      <alignment horizontal="center" vertical="center" wrapText="1"/>
    </xf>
    <xf numFmtId="1" fontId="12" fillId="0" borderId="1" xfId="27" applyNumberFormat="1" applyFont="1" applyFill="1" applyBorder="1" applyAlignment="1">
      <alignment horizontal="center" vertical="center"/>
    </xf>
    <xf numFmtId="3" fontId="12" fillId="0" borderId="1" xfId="27" applyNumberFormat="1" applyFont="1" applyFill="1" applyBorder="1" applyAlignment="1">
      <alignment horizontal="center" vertical="center"/>
    </xf>
    <xf numFmtId="1" fontId="12" fillId="0" borderId="9" xfId="27" applyNumberFormat="1" applyFont="1" applyBorder="1" applyAlignment="1">
      <alignment horizontal="center" vertical="center"/>
    </xf>
    <xf numFmtId="1" fontId="12" fillId="0" borderId="14" xfId="27" applyNumberFormat="1" applyFont="1" applyBorder="1" applyAlignment="1">
      <alignment horizontal="center" vertical="center"/>
    </xf>
    <xf numFmtId="3" fontId="12" fillId="6" borderId="14" xfId="27" applyNumberFormat="1" applyFont="1" applyFill="1" applyBorder="1" applyAlignment="1">
      <alignment horizontal="center" vertical="center"/>
    </xf>
    <xf numFmtId="0" fontId="12" fillId="0" borderId="14" xfId="0" applyFont="1" applyFill="1" applyBorder="1" applyAlignment="1">
      <alignment horizontal="center" vertical="center"/>
    </xf>
    <xf numFmtId="1" fontId="12" fillId="0" borderId="16" xfId="27" applyNumberFormat="1" applyFont="1" applyFill="1" applyBorder="1" applyAlignment="1">
      <alignment horizontal="center" vertical="center"/>
    </xf>
    <xf numFmtId="3" fontId="12" fillId="0" borderId="14" xfId="27" applyNumberFormat="1" applyFont="1" applyFill="1" applyBorder="1" applyAlignment="1">
      <alignment horizontal="center" vertical="center"/>
    </xf>
    <xf numFmtId="168" fontId="24" fillId="7" borderId="0" xfId="0" applyNumberFormat="1" applyFont="1" applyFill="1" applyBorder="1" applyAlignment="1">
      <alignment horizontal="center" vertical="center"/>
    </xf>
    <xf numFmtId="43" fontId="24" fillId="8" borderId="4" xfId="1" applyFont="1" applyFill="1" applyBorder="1" applyAlignment="1">
      <alignment horizontal="center" vertical="center"/>
    </xf>
    <xf numFmtId="1" fontId="12" fillId="0" borderId="1" xfId="27" applyNumberFormat="1" applyFont="1" applyBorder="1" applyAlignment="1">
      <alignment horizontal="center" vertical="center" wrapText="1"/>
    </xf>
    <xf numFmtId="1" fontId="12" fillId="0" borderId="9" xfId="27" applyNumberFormat="1" applyFont="1" applyFill="1" applyBorder="1" applyAlignment="1">
      <alignment horizontal="center" vertical="center" wrapText="1"/>
    </xf>
    <xf numFmtId="3" fontId="12" fillId="0" borderId="9" xfId="27" applyNumberFormat="1" applyFont="1" applyFill="1" applyBorder="1" applyAlignment="1">
      <alignment horizontal="center" vertical="center"/>
    </xf>
    <xf numFmtId="0" fontId="17" fillId="6" borderId="6" xfId="27" applyNumberFormat="1" applyFont="1" applyFill="1" applyBorder="1" applyAlignment="1">
      <alignment horizontal="justify" vertical="center" wrapText="1"/>
    </xf>
    <xf numFmtId="43" fontId="12" fillId="0" borderId="14" xfId="1" applyFont="1" applyFill="1" applyBorder="1" applyAlignment="1">
      <alignment vertical="center"/>
    </xf>
    <xf numFmtId="1" fontId="12" fillId="0" borderId="14" xfId="27" applyNumberFormat="1" applyFont="1" applyFill="1" applyBorder="1" applyAlignment="1">
      <alignment horizontal="center" vertical="center"/>
    </xf>
    <xf numFmtId="0" fontId="17" fillId="6" borderId="3" xfId="27" applyNumberFormat="1" applyFont="1" applyFill="1" applyBorder="1" applyAlignment="1">
      <alignment horizontal="justify" vertical="center" wrapText="1"/>
    </xf>
    <xf numFmtId="43" fontId="12" fillId="0" borderId="20" xfId="1" applyFont="1" applyFill="1" applyBorder="1" applyAlignment="1">
      <alignment horizontal="center" vertical="center"/>
    </xf>
    <xf numFmtId="1" fontId="12" fillId="0" borderId="19" xfId="27" applyNumberFormat="1" applyFont="1" applyFill="1" applyBorder="1" applyAlignment="1">
      <alignment horizontal="center" vertical="center"/>
    </xf>
    <xf numFmtId="3" fontId="12" fillId="0" borderId="19" xfId="27" applyNumberFormat="1" applyFont="1" applyFill="1" applyBorder="1" applyAlignment="1">
      <alignment horizontal="center" vertical="center"/>
    </xf>
    <xf numFmtId="43" fontId="12" fillId="0" borderId="12" xfId="1" applyFont="1" applyFill="1" applyBorder="1" applyAlignment="1">
      <alignment horizontal="center" vertical="center"/>
    </xf>
    <xf numFmtId="1" fontId="12" fillId="0" borderId="9" xfId="27" applyNumberFormat="1" applyFont="1" applyFill="1" applyBorder="1" applyAlignment="1">
      <alignment horizontal="center" vertical="center"/>
    </xf>
    <xf numFmtId="43" fontId="12" fillId="0" borderId="8" xfId="1" applyFont="1" applyFill="1" applyBorder="1" applyAlignment="1">
      <alignment horizontal="center" vertical="center"/>
    </xf>
    <xf numFmtId="43" fontId="12" fillId="0" borderId="37" xfId="1" applyFont="1" applyFill="1" applyBorder="1" applyAlignment="1">
      <alignment horizontal="center" vertical="center"/>
    </xf>
    <xf numFmtId="43" fontId="12" fillId="0" borderId="42" xfId="1" applyFont="1" applyFill="1" applyBorder="1" applyAlignment="1">
      <alignment horizontal="center" vertical="center"/>
    </xf>
    <xf numFmtId="0" fontId="12" fillId="0" borderId="14" xfId="0" applyFont="1" applyFill="1" applyBorder="1" applyAlignment="1">
      <alignment horizontal="justify" vertical="center"/>
    </xf>
    <xf numFmtId="43" fontId="12" fillId="0" borderId="14" xfId="1" applyFont="1" applyBorder="1"/>
    <xf numFmtId="43" fontId="12" fillId="0" borderId="0" xfId="1" applyFont="1" applyBorder="1" applyAlignment="1">
      <alignment horizontal="right"/>
    </xf>
    <xf numFmtId="3" fontId="12" fillId="0" borderId="20" xfId="27" applyNumberFormat="1" applyFont="1" applyFill="1" applyBorder="1" applyAlignment="1">
      <alignment horizontal="center" vertical="center"/>
    </xf>
    <xf numFmtId="43" fontId="12" fillId="0" borderId="14" xfId="1" applyFont="1" applyBorder="1" applyAlignment="1">
      <alignment horizontal="right"/>
    </xf>
    <xf numFmtId="0" fontId="17" fillId="0" borderId="1" xfId="27" applyNumberFormat="1" applyFont="1" applyFill="1" applyBorder="1" applyAlignment="1">
      <alignment horizontal="justify" vertical="center" wrapText="1"/>
    </xf>
    <xf numFmtId="0" fontId="17" fillId="0" borderId="14" xfId="27" applyNumberFormat="1" applyFont="1" applyFill="1" applyBorder="1" applyAlignment="1">
      <alignment horizontal="justify" vertical="center" wrapText="1"/>
    </xf>
    <xf numFmtId="43" fontId="12" fillId="0" borderId="19" xfId="1" applyFont="1" applyFill="1" applyBorder="1" applyAlignment="1">
      <alignment horizontal="center" vertical="center"/>
    </xf>
    <xf numFmtId="0" fontId="17" fillId="0" borderId="19" xfId="27" applyNumberFormat="1" applyFont="1" applyFill="1" applyBorder="1" applyAlignment="1">
      <alignment horizontal="justify" vertical="center" wrapText="1"/>
    </xf>
    <xf numFmtId="0" fontId="17" fillId="0" borderId="1" xfId="27" applyNumberFormat="1" applyFont="1" applyBorder="1" applyAlignment="1">
      <alignment horizontal="justify" vertical="center" wrapText="1"/>
    </xf>
    <xf numFmtId="43" fontId="12" fillId="6" borderId="1" xfId="1" applyFont="1" applyFill="1" applyBorder="1" applyAlignment="1">
      <alignment horizontal="center" vertical="center"/>
    </xf>
    <xf numFmtId="1" fontId="24" fillId="7" borderId="1" xfId="0" applyNumberFormat="1" applyFont="1" applyFill="1" applyBorder="1" applyAlignment="1">
      <alignment vertical="center"/>
    </xf>
    <xf numFmtId="1" fontId="24" fillId="7" borderId="4" xfId="0" applyNumberFormat="1" applyFont="1" applyFill="1" applyBorder="1" applyAlignment="1">
      <alignment vertical="center"/>
    </xf>
    <xf numFmtId="43" fontId="14" fillId="0" borderId="1" xfId="1" applyFont="1" applyFill="1" applyBorder="1" applyAlignment="1">
      <alignment horizontal="center" vertical="center"/>
    </xf>
    <xf numFmtId="3" fontId="12" fillId="6" borderId="9" xfId="27" applyNumberFormat="1" applyFont="1" applyFill="1" applyBorder="1" applyAlignment="1">
      <alignment horizontal="center" vertical="center"/>
    </xf>
    <xf numFmtId="1" fontId="12" fillId="0" borderId="19" xfId="27" applyNumberFormat="1" applyFont="1" applyBorder="1" applyAlignment="1">
      <alignment horizontal="center" vertical="center"/>
    </xf>
    <xf numFmtId="3" fontId="12" fillId="6" borderId="19" xfId="27" applyNumberFormat="1" applyFont="1" applyFill="1" applyBorder="1" applyAlignment="1">
      <alignment horizontal="center" vertical="center"/>
    </xf>
    <xf numFmtId="43" fontId="24" fillId="7" borderId="1" xfId="1" applyFont="1" applyFill="1" applyBorder="1" applyAlignment="1">
      <alignment vertical="center"/>
    </xf>
    <xf numFmtId="0" fontId="12" fillId="6" borderId="1" xfId="0" applyFont="1" applyFill="1" applyBorder="1" applyAlignment="1">
      <alignment horizontal="justify" vertical="center" wrapText="1" readingOrder="2"/>
    </xf>
    <xf numFmtId="49" fontId="12" fillId="0" borderId="9" xfId="27" applyNumberFormat="1" applyFont="1" applyBorder="1" applyAlignment="1">
      <alignment horizontal="center" vertical="center" wrapText="1"/>
    </xf>
    <xf numFmtId="49" fontId="12" fillId="0" borderId="1" xfId="27" applyNumberFormat="1" applyFont="1" applyBorder="1" applyAlignment="1">
      <alignment horizontal="center" vertical="center"/>
    </xf>
    <xf numFmtId="49" fontId="12" fillId="0" borderId="19" xfId="27" applyNumberFormat="1" applyFont="1" applyBorder="1" applyAlignment="1">
      <alignment horizontal="center" vertical="center"/>
    </xf>
    <xf numFmtId="0" fontId="24" fillId="5" borderId="0" xfId="0" applyFont="1" applyFill="1" applyAlignment="1">
      <alignment horizontal="justify" vertical="center" wrapText="1"/>
    </xf>
    <xf numFmtId="0" fontId="24" fillId="5" borderId="0" xfId="0" applyFont="1" applyFill="1" applyAlignment="1">
      <alignment horizontal="justify" vertical="center"/>
    </xf>
    <xf numFmtId="0" fontId="24" fillId="5" borderId="0" xfId="0" applyFont="1" applyFill="1" applyAlignment="1">
      <alignment vertical="center"/>
    </xf>
    <xf numFmtId="169" fontId="12" fillId="5" borderId="0" xfId="0" applyNumberFormat="1" applyFont="1" applyFill="1" applyAlignment="1">
      <alignment horizontal="center" vertical="center"/>
    </xf>
    <xf numFmtId="43" fontId="24" fillId="5" borderId="0" xfId="1" applyFont="1" applyFill="1" applyAlignment="1">
      <alignment vertical="center"/>
    </xf>
    <xf numFmtId="43" fontId="24" fillId="5" borderId="0" xfId="1" applyFont="1" applyFill="1" applyAlignment="1">
      <alignment horizontal="center" vertical="center"/>
    </xf>
    <xf numFmtId="168" fontId="24" fillId="5" borderId="12" xfId="0" applyNumberFormat="1" applyFont="1" applyFill="1" applyBorder="1" applyAlignment="1">
      <alignment horizontal="center" vertical="center"/>
    </xf>
    <xf numFmtId="43" fontId="24" fillId="7" borderId="4" xfId="1" applyFont="1" applyFill="1" applyBorder="1" applyAlignment="1">
      <alignment vertical="center"/>
    </xf>
    <xf numFmtId="43" fontId="24" fillId="7" borderId="4" xfId="1" applyFont="1" applyFill="1" applyBorder="1" applyAlignment="1">
      <alignment horizontal="center" vertical="center"/>
    </xf>
    <xf numFmtId="1" fontId="24" fillId="8" borderId="4" xfId="0" applyNumberFormat="1" applyFont="1" applyFill="1" applyBorder="1" applyAlignment="1">
      <alignment horizontal="left" vertical="center" wrapText="1" indent="1"/>
    </xf>
    <xf numFmtId="169" fontId="12" fillId="8" borderId="7" xfId="0" applyNumberFormat="1" applyFont="1" applyFill="1" applyBorder="1" applyAlignment="1">
      <alignment horizontal="center" vertical="center"/>
    </xf>
    <xf numFmtId="43" fontId="24" fillId="8" borderId="7" xfId="1" applyFont="1" applyFill="1" applyBorder="1" applyAlignment="1">
      <alignment vertical="center"/>
    </xf>
    <xf numFmtId="43" fontId="24" fillId="8" borderId="7" xfId="1" applyFont="1" applyFill="1" applyBorder="1" applyAlignment="1">
      <alignment horizontal="center" vertical="center"/>
    </xf>
    <xf numFmtId="0" fontId="0" fillId="6" borderId="4" xfId="0" applyFill="1" applyBorder="1"/>
    <xf numFmtId="190" fontId="24" fillId="6" borderId="1" xfId="27" applyFont="1" applyFill="1" applyBorder="1" applyAlignment="1">
      <alignment horizontal="justify" vertical="center" wrapText="1"/>
    </xf>
    <xf numFmtId="0" fontId="6" fillId="6" borderId="1" xfId="0" applyFont="1" applyFill="1" applyBorder="1" applyAlignment="1">
      <alignment horizontal="justify" vertical="center" wrapText="1"/>
    </xf>
    <xf numFmtId="1" fontId="24" fillId="0" borderId="1" xfId="27" applyNumberFormat="1" applyFont="1" applyBorder="1" applyAlignment="1">
      <alignment horizontal="center" vertical="center"/>
    </xf>
    <xf numFmtId="3" fontId="24" fillId="6" borderId="1" xfId="27" applyNumberFormat="1" applyFont="1" applyFill="1" applyBorder="1" applyAlignment="1">
      <alignment horizontal="center" vertical="center"/>
    </xf>
    <xf numFmtId="0" fontId="36" fillId="0" borderId="1" xfId="0" applyFont="1" applyBorder="1" applyAlignment="1">
      <alignment vertical="center"/>
    </xf>
    <xf numFmtId="14" fontId="24" fillId="0" borderId="1" xfId="0" applyNumberFormat="1" applyFont="1" applyBorder="1" applyAlignment="1">
      <alignment vertical="center"/>
    </xf>
    <xf numFmtId="0" fontId="36" fillId="0" borderId="1" xfId="0" applyFont="1" applyBorder="1" applyAlignment="1">
      <alignment horizontal="left" vertical="center"/>
    </xf>
    <xf numFmtId="0" fontId="4" fillId="6" borderId="0" xfId="0" applyFont="1" applyFill="1" applyAlignment="1">
      <alignment horizontal="justify" vertical="center" wrapText="1"/>
    </xf>
    <xf numFmtId="168" fontId="4" fillId="6" borderId="0" xfId="0" applyNumberFormat="1" applyFont="1" applyFill="1" applyAlignment="1">
      <alignment vertical="center"/>
    </xf>
    <xf numFmtId="41" fontId="4" fillId="6" borderId="0" xfId="0" applyNumberFormat="1" applyFont="1" applyFill="1" applyAlignment="1">
      <alignment horizontal="center" vertical="center"/>
    </xf>
    <xf numFmtId="168" fontId="4" fillId="6" borderId="2" xfId="0" applyNumberFormat="1" applyFont="1" applyFill="1" applyBorder="1" applyAlignment="1">
      <alignment vertical="center"/>
    </xf>
    <xf numFmtId="0" fontId="4" fillId="0" borderId="2" xfId="0" applyFont="1" applyBorder="1"/>
    <xf numFmtId="0" fontId="6" fillId="0" borderId="0" xfId="0" applyFont="1" applyBorder="1"/>
    <xf numFmtId="1" fontId="24" fillId="7" borderId="6" xfId="0" applyNumberFormat="1" applyFont="1" applyFill="1" applyBorder="1" applyAlignment="1">
      <alignment vertical="center"/>
    </xf>
    <xf numFmtId="1" fontId="24" fillId="7" borderId="8" xfId="0" applyNumberFormat="1" applyFont="1" applyFill="1" applyBorder="1" applyAlignment="1">
      <alignment vertical="center"/>
    </xf>
    <xf numFmtId="43" fontId="14" fillId="0" borderId="19" xfId="1" applyFont="1" applyFill="1" applyBorder="1" applyAlignment="1">
      <alignment horizontal="center" vertical="center"/>
    </xf>
    <xf numFmtId="43" fontId="14" fillId="6" borderId="1" xfId="1" applyFont="1" applyFill="1" applyBorder="1" applyAlignment="1">
      <alignment horizontal="center" vertical="center"/>
    </xf>
    <xf numFmtId="1" fontId="24" fillId="7" borderId="1" xfId="0" applyNumberFormat="1" applyFont="1" applyFill="1" applyBorder="1" applyAlignment="1">
      <alignment horizontal="justify" vertical="center"/>
    </xf>
    <xf numFmtId="0" fontId="17" fillId="0" borderId="10" xfId="0" applyFont="1" applyFill="1" applyBorder="1" applyAlignment="1">
      <alignment horizontal="justify" vertical="center" wrapText="1"/>
    </xf>
    <xf numFmtId="0" fontId="17" fillId="6" borderId="1" xfId="0" applyFont="1" applyFill="1" applyBorder="1" applyAlignment="1">
      <alignment horizontal="justify" vertical="center" wrapText="1" readingOrder="2"/>
    </xf>
    <xf numFmtId="43" fontId="8" fillId="6" borderId="1" xfId="1" applyFont="1" applyFill="1" applyBorder="1" applyAlignment="1">
      <alignment horizontal="center" vertical="center" wrapText="1"/>
    </xf>
    <xf numFmtId="43" fontId="8" fillId="0" borderId="80" xfId="1" applyFont="1" applyFill="1" applyBorder="1" applyAlignment="1">
      <alignment horizontal="center" vertical="center" wrapText="1"/>
    </xf>
    <xf numFmtId="0" fontId="20" fillId="11" borderId="9" xfId="0" applyFont="1" applyFill="1" applyBorder="1" applyAlignment="1">
      <alignment horizontal="center" vertical="center" wrapText="1"/>
    </xf>
    <xf numFmtId="0" fontId="20" fillId="11" borderId="10" xfId="0" applyFont="1" applyFill="1" applyBorder="1" applyAlignment="1">
      <alignment horizontal="center" vertical="center" wrapText="1"/>
    </xf>
    <xf numFmtId="3" fontId="20" fillId="11" borderId="9" xfId="0" applyNumberFormat="1" applyFont="1" applyFill="1" applyBorder="1" applyAlignment="1">
      <alignment horizontal="center" vertical="center" wrapText="1"/>
    </xf>
    <xf numFmtId="3" fontId="20" fillId="11" borderId="10" xfId="0" applyNumberFormat="1" applyFont="1" applyFill="1" applyBorder="1" applyAlignment="1">
      <alignment horizontal="center" vertical="center" wrapText="1"/>
    </xf>
    <xf numFmtId="3" fontId="20" fillId="11" borderId="19" xfId="0" applyNumberFormat="1" applyFont="1" applyFill="1" applyBorder="1" applyAlignment="1">
      <alignment horizontal="center" vertical="center" wrapText="1"/>
    </xf>
    <xf numFmtId="1" fontId="20" fillId="11" borderId="10" xfId="0" applyNumberFormat="1" applyFont="1" applyFill="1" applyBorder="1" applyAlignment="1">
      <alignment horizontal="center" vertical="center" wrapText="1"/>
    </xf>
    <xf numFmtId="0" fontId="20" fillId="11" borderId="9" xfId="0" applyFont="1" applyFill="1" applyBorder="1" applyAlignment="1">
      <alignment horizontal="center" vertical="center" textRotation="90" wrapText="1"/>
    </xf>
    <xf numFmtId="0" fontId="20" fillId="11" borderId="10" xfId="0" applyFont="1" applyFill="1" applyBorder="1" applyAlignment="1">
      <alignment horizontal="center" vertical="center" textRotation="90" wrapText="1"/>
    </xf>
    <xf numFmtId="0" fontId="20" fillId="11" borderId="19" xfId="0" applyFont="1" applyFill="1" applyBorder="1" applyAlignment="1">
      <alignment horizontal="center" vertical="center" textRotation="90" wrapText="1"/>
    </xf>
    <xf numFmtId="3" fontId="7" fillId="12" borderId="6" xfId="0" applyNumberFormat="1" applyFont="1" applyFill="1" applyBorder="1" applyAlignment="1">
      <alignment horizontal="center" vertical="center" wrapText="1"/>
    </xf>
    <xf numFmtId="3" fontId="7" fillId="12" borderId="7" xfId="0" applyNumberFormat="1"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2" xfId="0" applyFont="1" applyBorder="1" applyAlignment="1">
      <alignment horizontal="center" vertical="center" wrapText="1"/>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20" fillId="0" borderId="20" xfId="0" applyFont="1" applyBorder="1" applyAlignment="1">
      <alignment horizontal="center" vertical="center"/>
    </xf>
    <xf numFmtId="1" fontId="20" fillId="11" borderId="12" xfId="0" applyNumberFormat="1" applyFont="1" applyFill="1" applyBorder="1" applyAlignment="1">
      <alignment horizontal="center" vertical="center" wrapText="1"/>
    </xf>
    <xf numFmtId="1" fontId="20" fillId="11" borderId="13" xfId="0" applyNumberFormat="1"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11" borderId="12" xfId="0" applyFont="1" applyFill="1" applyBorder="1" applyAlignment="1">
      <alignment horizontal="center" vertical="center" wrapText="1"/>
    </xf>
    <xf numFmtId="0" fontId="20" fillId="11" borderId="11" xfId="0" applyFont="1" applyFill="1" applyBorder="1" applyAlignment="1">
      <alignment horizontal="center" vertical="center" wrapText="1"/>
    </xf>
    <xf numFmtId="0" fontId="20" fillId="11" borderId="13" xfId="0" applyFont="1" applyFill="1" applyBorder="1" applyAlignment="1">
      <alignment horizontal="center" vertical="center" wrapText="1"/>
    </xf>
    <xf numFmtId="0" fontId="20" fillId="11" borderId="5" xfId="0" applyFont="1" applyFill="1" applyBorder="1" applyAlignment="1">
      <alignment horizontal="center" vertical="center" wrapText="1"/>
    </xf>
    <xf numFmtId="0" fontId="20" fillId="11" borderId="20" xfId="0" applyFont="1" applyFill="1" applyBorder="1" applyAlignment="1">
      <alignment horizontal="center" vertical="center" wrapText="1"/>
    </xf>
    <xf numFmtId="0" fontId="20" fillId="11" borderId="19" xfId="0" applyFont="1" applyFill="1" applyBorder="1" applyAlignment="1">
      <alignment horizontal="center" vertical="center" wrapText="1"/>
    </xf>
    <xf numFmtId="10" fontId="7" fillId="11" borderId="9" xfId="11" applyNumberFormat="1" applyFont="1" applyFill="1" applyBorder="1" applyAlignment="1">
      <alignment horizontal="center" vertical="center" wrapText="1"/>
    </xf>
    <xf numFmtId="10" fontId="7" fillId="11" borderId="10" xfId="11" applyNumberFormat="1" applyFont="1" applyFill="1" applyBorder="1" applyAlignment="1">
      <alignment horizontal="center" vertical="center" wrapText="1"/>
    </xf>
    <xf numFmtId="43" fontId="20" fillId="11" borderId="9" xfId="12" applyFont="1" applyFill="1" applyBorder="1" applyAlignment="1">
      <alignment horizontal="center" vertical="center" wrapText="1"/>
    </xf>
    <xf numFmtId="43" fontId="20" fillId="11" borderId="10" xfId="12" applyFont="1" applyFill="1" applyBorder="1" applyAlignment="1">
      <alignment horizontal="center" vertical="center" wrapText="1"/>
    </xf>
    <xf numFmtId="0" fontId="7" fillId="12" borderId="9" xfId="0" applyFont="1" applyFill="1" applyBorder="1" applyAlignment="1">
      <alignment horizontal="center" vertical="center" textRotation="90" wrapText="1"/>
    </xf>
    <xf numFmtId="0" fontId="7" fillId="12" borderId="10" xfId="0" applyFont="1" applyFill="1" applyBorder="1" applyAlignment="1">
      <alignment horizontal="center" vertical="center" textRotation="90" wrapText="1"/>
    </xf>
    <xf numFmtId="0" fontId="7" fillId="12" borderId="19" xfId="0" applyFont="1" applyFill="1" applyBorder="1" applyAlignment="1">
      <alignment horizontal="center" vertical="center" textRotation="90" wrapText="1"/>
    </xf>
    <xf numFmtId="165" fontId="20" fillId="11" borderId="9" xfId="0" applyNumberFormat="1" applyFont="1" applyFill="1" applyBorder="1" applyAlignment="1">
      <alignment horizontal="center" vertical="center" wrapText="1"/>
    </xf>
    <xf numFmtId="165" fontId="20" fillId="11" borderId="10" xfId="0" applyNumberFormat="1" applyFont="1" applyFill="1" applyBorder="1" applyAlignment="1">
      <alignment horizontal="center" vertical="center" wrapText="1"/>
    </xf>
    <xf numFmtId="165" fontId="20" fillId="11" borderId="19" xfId="0" applyNumberFormat="1" applyFont="1" applyFill="1" applyBorder="1" applyAlignment="1">
      <alignment horizontal="center" vertical="center" wrapText="1"/>
    </xf>
    <xf numFmtId="0" fontId="19" fillId="0" borderId="1" xfId="0" applyFont="1" applyBorder="1" applyAlignment="1">
      <alignment horizontal="justify" vertical="center" wrapText="1"/>
    </xf>
    <xf numFmtId="3" fontId="19" fillId="0" borderId="1" xfId="0" applyNumberFormat="1" applyFont="1" applyBorder="1" applyAlignment="1">
      <alignment horizontal="center" vertical="center"/>
    </xf>
    <xf numFmtId="0" fontId="20" fillId="13" borderId="7" xfId="0" applyFont="1" applyFill="1" applyBorder="1" applyAlignment="1">
      <alignment horizontal="center" vertical="center"/>
    </xf>
    <xf numFmtId="0" fontId="7" fillId="12" borderId="6" xfId="0" applyFont="1" applyFill="1" applyBorder="1" applyAlignment="1">
      <alignment horizontal="center" vertical="center"/>
    </xf>
    <xf numFmtId="0" fontId="7" fillId="12" borderId="7" xfId="0" applyFont="1" applyFill="1" applyBorder="1" applyAlignment="1">
      <alignment horizontal="center" vertical="center"/>
    </xf>
    <xf numFmtId="49" fontId="20" fillId="11" borderId="9" xfId="0" applyNumberFormat="1" applyFont="1" applyFill="1" applyBorder="1" applyAlignment="1">
      <alignment horizontal="center" vertical="center" textRotation="90" wrapText="1"/>
    </xf>
    <xf numFmtId="49" fontId="20" fillId="11" borderId="10" xfId="0" applyNumberFormat="1" applyFont="1" applyFill="1" applyBorder="1" applyAlignment="1">
      <alignment horizontal="center" vertical="center" textRotation="90" wrapText="1"/>
    </xf>
    <xf numFmtId="49" fontId="20" fillId="11" borderId="19" xfId="0" applyNumberFormat="1" applyFont="1" applyFill="1" applyBorder="1" applyAlignment="1">
      <alignment horizontal="center" vertical="center" textRotation="90" wrapText="1"/>
    </xf>
    <xf numFmtId="0" fontId="19" fillId="0" borderId="1" xfId="0" applyFont="1" applyBorder="1" applyAlignment="1">
      <alignment horizontal="center" vertical="center" wrapText="1"/>
    </xf>
    <xf numFmtId="0" fontId="19" fillId="6" borderId="1" xfId="0" applyFont="1" applyFill="1" applyBorder="1" applyAlignment="1">
      <alignment horizontal="center" vertical="center" wrapText="1"/>
    </xf>
    <xf numFmtId="9" fontId="8" fillId="0" borderId="1" xfId="11" applyFont="1" applyBorder="1" applyAlignment="1">
      <alignment horizontal="center" vertical="center" wrapText="1"/>
    </xf>
    <xf numFmtId="43" fontId="19" fillId="0" borderId="1" xfId="12" applyFont="1" applyBorder="1" applyAlignment="1">
      <alignment horizontal="center" vertical="center" wrapText="1"/>
    </xf>
    <xf numFmtId="3" fontId="19" fillId="0" borderId="9" xfId="0" applyNumberFormat="1" applyFont="1" applyBorder="1" applyAlignment="1">
      <alignment horizontal="center" vertical="center"/>
    </xf>
    <xf numFmtId="3" fontId="19" fillId="0" borderId="10" xfId="0" applyNumberFormat="1" applyFont="1" applyBorder="1" applyAlignment="1">
      <alignment horizontal="center" vertical="center"/>
    </xf>
    <xf numFmtId="3" fontId="19" fillId="0" borderId="26" xfId="0" applyNumberFormat="1" applyFont="1" applyBorder="1" applyAlignment="1">
      <alignment horizontal="center" vertical="center"/>
    </xf>
    <xf numFmtId="165" fontId="19" fillId="0" borderId="1" xfId="0" applyNumberFormat="1" applyFont="1" applyBorder="1" applyAlignment="1">
      <alignment horizontal="center" vertical="center" wrapText="1"/>
    </xf>
    <xf numFmtId="3" fontId="19" fillId="0" borderId="50" xfId="0" applyNumberFormat="1" applyFont="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9" xfId="0" applyFont="1" applyFill="1" applyBorder="1" applyAlignment="1">
      <alignment horizontal="justify" vertical="center" wrapText="1"/>
    </xf>
    <xf numFmtId="0" fontId="19" fillId="2" borderId="10" xfId="0" applyFont="1" applyFill="1" applyBorder="1" applyAlignment="1">
      <alignment horizontal="justify" vertical="center" wrapText="1"/>
    </xf>
    <xf numFmtId="0" fontId="19" fillId="2" borderId="26" xfId="0" applyFont="1" applyFill="1" applyBorder="1" applyAlignment="1">
      <alignment horizontal="justify" vertical="center" wrapText="1"/>
    </xf>
    <xf numFmtId="43" fontId="19" fillId="2" borderId="9" xfId="12" applyFont="1" applyFill="1" applyBorder="1" applyAlignment="1">
      <alignment horizontal="center" vertical="center" wrapText="1"/>
    </xf>
    <xf numFmtId="43" fontId="19" fillId="2" borderId="10" xfId="12" applyFont="1" applyFill="1" applyBorder="1" applyAlignment="1">
      <alignment horizontal="center" vertical="center" wrapText="1"/>
    </xf>
    <xf numFmtId="43" fontId="19" fillId="2" borderId="26" xfId="12" applyFont="1" applyFill="1" applyBorder="1" applyAlignment="1">
      <alignment horizontal="center" vertical="center" wrapText="1"/>
    </xf>
    <xf numFmtId="0" fontId="11" fillId="0" borderId="0" xfId="0" applyFont="1" applyAlignment="1">
      <alignment horizontal="justify" vertical="top" wrapText="1"/>
    </xf>
    <xf numFmtId="0" fontId="20" fillId="0" borderId="0" xfId="0" applyFont="1" applyAlignment="1">
      <alignment horizontal="center"/>
    </xf>
    <xf numFmtId="0" fontId="19" fillId="0" borderId="0" xfId="0" applyFont="1" applyAlignment="1">
      <alignment horizontal="center"/>
    </xf>
    <xf numFmtId="165" fontId="19" fillId="2" borderId="9" xfId="0" applyNumberFormat="1" applyFont="1" applyFill="1" applyBorder="1" applyAlignment="1">
      <alignment horizontal="center" vertical="center" wrapText="1"/>
    </xf>
    <xf numFmtId="165" fontId="19" fillId="2" borderId="10" xfId="0" applyNumberFormat="1" applyFont="1" applyFill="1" applyBorder="1" applyAlignment="1">
      <alignment horizontal="center" vertical="center" wrapText="1"/>
    </xf>
    <xf numFmtId="165" fontId="19" fillId="2" borderId="26"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9" xfId="0" applyFont="1" applyBorder="1" applyAlignment="1">
      <alignment horizontal="center" vertical="center" wrapText="1"/>
    </xf>
    <xf numFmtId="0" fontId="19" fillId="0" borderId="6" xfId="0" applyFont="1" applyBorder="1" applyAlignment="1">
      <alignment horizontal="center" vertical="center" wrapText="1"/>
    </xf>
    <xf numFmtId="10" fontId="8" fillId="2" borderId="9" xfId="11" applyNumberFormat="1" applyFont="1" applyFill="1" applyBorder="1" applyAlignment="1">
      <alignment horizontal="center" vertical="center" wrapText="1"/>
    </xf>
    <xf numFmtId="10" fontId="8" fillId="2" borderId="19" xfId="11" applyNumberFormat="1" applyFont="1" applyFill="1" applyBorder="1" applyAlignment="1">
      <alignment horizontal="center" vertical="center" wrapText="1"/>
    </xf>
    <xf numFmtId="0" fontId="17" fillId="0" borderId="14" xfId="0" applyFont="1" applyBorder="1" applyAlignment="1">
      <alignment horizontal="center" vertical="center" wrapText="1"/>
    </xf>
    <xf numFmtId="0" fontId="14" fillId="0" borderId="14" xfId="0" applyFont="1" applyBorder="1" applyAlignment="1">
      <alignment horizontal="justify" vertical="center" wrapText="1"/>
    </xf>
    <xf numFmtId="0" fontId="14" fillId="6" borderId="47" xfId="0" applyFont="1" applyFill="1" applyBorder="1" applyAlignment="1" applyProtection="1">
      <alignment horizontal="justify" vertical="center" wrapText="1"/>
      <protection locked="0"/>
    </xf>
    <xf numFmtId="0" fontId="14" fillId="6" borderId="48" xfId="0" applyFont="1" applyFill="1" applyBorder="1" applyAlignment="1" applyProtection="1">
      <alignment horizontal="justify" vertical="center" wrapText="1"/>
      <protection locked="0"/>
    </xf>
    <xf numFmtId="0" fontId="14" fillId="6" borderId="49" xfId="0" applyFont="1" applyFill="1" applyBorder="1" applyAlignment="1" applyProtection="1">
      <alignment horizontal="justify" vertical="center" wrapText="1"/>
      <protection locked="0"/>
    </xf>
    <xf numFmtId="1" fontId="14" fillId="0" borderId="9" xfId="0" applyNumberFormat="1" applyFont="1" applyBorder="1" applyAlignment="1">
      <alignment horizontal="center" vertical="center"/>
    </xf>
    <xf numFmtId="1" fontId="14" fillId="0" borderId="10" xfId="0" applyNumberFormat="1" applyFont="1" applyBorder="1" applyAlignment="1">
      <alignment horizontal="center" vertical="center"/>
    </xf>
    <xf numFmtId="1" fontId="14" fillId="0" borderId="19" xfId="0" applyNumberFormat="1" applyFont="1" applyBorder="1" applyAlignment="1">
      <alignment horizontal="center" vertical="center"/>
    </xf>
    <xf numFmtId="9" fontId="4" fillId="0" borderId="9" xfId="4" applyNumberFormat="1" applyFont="1" applyFill="1" applyBorder="1" applyAlignment="1">
      <alignment horizontal="center" vertical="center"/>
    </xf>
    <xf numFmtId="9" fontId="4" fillId="0" borderId="10" xfId="4" applyNumberFormat="1" applyFont="1" applyFill="1" applyBorder="1" applyAlignment="1">
      <alignment horizontal="center" vertical="center"/>
    </xf>
    <xf numFmtId="9" fontId="4" fillId="0" borderId="19" xfId="4" applyNumberFormat="1" applyFont="1" applyFill="1" applyBorder="1" applyAlignment="1">
      <alignment horizontal="center" vertical="center"/>
    </xf>
    <xf numFmtId="1" fontId="4" fillId="0" borderId="1"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1" xfId="0" applyFont="1" applyBorder="1" applyAlignment="1">
      <alignment horizontal="justify" vertical="center" wrapText="1"/>
    </xf>
    <xf numFmtId="0" fontId="14" fillId="0" borderId="19" xfId="0" applyFont="1" applyBorder="1" applyAlignment="1">
      <alignment horizontal="justify" vertical="center" wrapText="1"/>
    </xf>
    <xf numFmtId="0" fontId="14" fillId="6" borderId="9" xfId="0" applyFont="1" applyFill="1" applyBorder="1" applyAlignment="1" applyProtection="1">
      <alignment horizontal="justify" vertical="center" wrapText="1"/>
      <protection locked="0"/>
    </xf>
    <xf numFmtId="0" fontId="14" fillId="6" borderId="10" xfId="0" applyFont="1" applyFill="1" applyBorder="1" applyAlignment="1" applyProtection="1">
      <alignment horizontal="justify" vertical="center" wrapText="1"/>
      <protection locked="0"/>
    </xf>
    <xf numFmtId="0" fontId="14" fillId="6" borderId="19" xfId="0" applyFont="1" applyFill="1" applyBorder="1" applyAlignment="1" applyProtection="1">
      <alignment horizontal="justify" vertical="center" wrapText="1"/>
      <protection locked="0"/>
    </xf>
    <xf numFmtId="0" fontId="4" fillId="0" borderId="1"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17" fillId="0" borderId="44" xfId="10" applyFont="1" applyFill="1" applyBorder="1" applyAlignment="1">
      <alignment horizontal="left" vertical="center" wrapText="1"/>
    </xf>
    <xf numFmtId="0" fontId="17" fillId="0" borderId="5" xfId="10" applyFont="1" applyFill="1" applyBorder="1" applyAlignment="1">
      <alignment horizontal="left" vertical="center" wrapText="1"/>
    </xf>
    <xf numFmtId="0" fontId="14" fillId="0" borderId="9" xfId="0" applyFont="1" applyBorder="1" applyAlignment="1">
      <alignment horizontal="center" vertical="center" wrapText="1"/>
    </xf>
    <xf numFmtId="0" fontId="14" fillId="0" borderId="9" xfId="0" applyFont="1" applyBorder="1" applyAlignment="1">
      <alignment horizontal="justify" vertical="center" wrapText="1"/>
    </xf>
    <xf numFmtId="1" fontId="4" fillId="0" borderId="1"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170" fontId="4" fillId="0" borderId="1" xfId="0" applyNumberFormat="1" applyFont="1" applyBorder="1" applyAlignment="1">
      <alignment horizontal="center" vertical="center"/>
    </xf>
    <xf numFmtId="170" fontId="4" fillId="0" borderId="9" xfId="0" applyNumberFormat="1" applyFont="1" applyBorder="1" applyAlignment="1">
      <alignment horizontal="center" vertical="center"/>
    </xf>
    <xf numFmtId="1" fontId="4" fillId="0" borderId="8" xfId="0" applyNumberFormat="1" applyFont="1" applyBorder="1" applyAlignment="1">
      <alignment horizontal="center" vertical="center"/>
    </xf>
    <xf numFmtId="2" fontId="4" fillId="0" borderId="1" xfId="0" applyNumberFormat="1" applyFont="1" applyBorder="1" applyAlignment="1">
      <alignment vertical="center" wrapText="1"/>
    </xf>
    <xf numFmtId="2" fontId="4" fillId="0" borderId="9" xfId="0" applyNumberFormat="1" applyFont="1" applyBorder="1" applyAlignment="1">
      <alignment vertical="center" wrapText="1"/>
    </xf>
    <xf numFmtId="0" fontId="4" fillId="0" borderId="1" xfId="0" applyFont="1" applyBorder="1" applyAlignment="1">
      <alignment horizontal="justify" vertical="center"/>
    </xf>
    <xf numFmtId="0" fontId="4" fillId="0" borderId="9" xfId="0" applyFont="1" applyBorder="1" applyAlignment="1">
      <alignment horizontal="justify" vertical="center"/>
    </xf>
    <xf numFmtId="3" fontId="4" fillId="0" borderId="1" xfId="0" applyNumberFormat="1" applyFont="1" applyFill="1" applyBorder="1" applyAlignment="1">
      <alignment horizontal="center" vertical="center"/>
    </xf>
    <xf numFmtId="3" fontId="4" fillId="0" borderId="9" xfId="0" applyNumberFormat="1" applyFont="1" applyFill="1" applyBorder="1" applyAlignment="1">
      <alignment horizontal="center" vertical="center"/>
    </xf>
    <xf numFmtId="0" fontId="4" fillId="0" borderId="45" xfId="0" applyFont="1" applyFill="1" applyBorder="1" applyAlignment="1">
      <alignment horizontal="justify" vertical="center" wrapText="1"/>
    </xf>
    <xf numFmtId="0" fontId="4" fillId="0" borderId="46" xfId="0" applyFont="1" applyFill="1" applyBorder="1" applyAlignment="1">
      <alignment horizontal="justify" vertical="center" wrapText="1"/>
    </xf>
    <xf numFmtId="0" fontId="17" fillId="0" borderId="14" xfId="10" applyFont="1" applyFill="1" applyBorder="1" applyAlignment="1">
      <alignment horizontal="left" vertical="center" wrapText="1"/>
    </xf>
    <xf numFmtId="0" fontId="14" fillId="0" borderId="9" xfId="10" applyFont="1" applyFill="1" applyBorder="1" applyAlignment="1">
      <alignment horizontal="left" vertical="center" wrapText="1"/>
    </xf>
    <xf numFmtId="0" fontId="14" fillId="0" borderId="19" xfId="10" applyFont="1" applyFill="1" applyBorder="1" applyAlignment="1">
      <alignment horizontal="left" vertical="center" wrapText="1"/>
    </xf>
    <xf numFmtId="0" fontId="17" fillId="0" borderId="9" xfId="10" applyFont="1" applyFill="1" applyBorder="1" applyAlignment="1">
      <alignment horizontal="left" vertical="center" wrapText="1"/>
    </xf>
    <xf numFmtId="0" fontId="17" fillId="0" borderId="19" xfId="10" applyFont="1" applyFill="1" applyBorder="1" applyAlignment="1">
      <alignment horizontal="left" vertical="center" wrapText="1"/>
    </xf>
    <xf numFmtId="9" fontId="4" fillId="0" borderId="26" xfId="4" applyNumberFormat="1" applyFont="1" applyFill="1" applyBorder="1" applyAlignment="1">
      <alignment horizontal="center" vertical="center"/>
    </xf>
    <xf numFmtId="0" fontId="14" fillId="0" borderId="14" xfId="0" applyFont="1" applyBorder="1" applyAlignment="1">
      <alignment horizontal="center" vertical="center" wrapText="1"/>
    </xf>
    <xf numFmtId="0" fontId="14" fillId="0" borderId="15"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0" fontId="14" fillId="0" borderId="10" xfId="0" applyFont="1" applyBorder="1" applyAlignment="1">
      <alignment horizontal="justify" vertical="center" wrapText="1"/>
    </xf>
    <xf numFmtId="0" fontId="14" fillId="0" borderId="26" xfId="0" applyFont="1" applyBorder="1" applyAlignment="1">
      <alignment horizontal="center" vertical="center" wrapText="1"/>
    </xf>
    <xf numFmtId="0" fontId="14" fillId="0" borderId="26" xfId="0" applyFont="1" applyBorder="1" applyAlignment="1">
      <alignment horizontal="justify" vertical="center" wrapText="1"/>
    </xf>
    <xf numFmtId="0" fontId="14" fillId="6" borderId="26" xfId="0" applyFont="1" applyFill="1" applyBorder="1" applyAlignment="1" applyProtection="1">
      <alignment horizontal="justify" vertical="center" wrapText="1"/>
      <protection locked="0"/>
    </xf>
    <xf numFmtId="1" fontId="14" fillId="0" borderId="26" xfId="0" applyNumberFormat="1" applyFont="1" applyBorder="1" applyAlignment="1">
      <alignment horizontal="center" vertical="center"/>
    </xf>
    <xf numFmtId="166" fontId="4" fillId="0" borderId="9" xfId="3" applyNumberFormat="1" applyFont="1" applyBorder="1" applyAlignment="1">
      <alignment horizontal="center" vertical="center"/>
    </xf>
    <xf numFmtId="166" fontId="4" fillId="0" borderId="10" xfId="3" applyNumberFormat="1" applyFont="1" applyBorder="1" applyAlignment="1">
      <alignment horizontal="center" vertical="center"/>
    </xf>
    <xf numFmtId="166" fontId="4" fillId="0" borderId="19" xfId="3" applyNumberFormat="1" applyFont="1" applyBorder="1" applyAlignment="1">
      <alignment horizontal="center" vertical="center"/>
    </xf>
    <xf numFmtId="1" fontId="4" fillId="0" borderId="19" xfId="0" applyNumberFormat="1" applyFont="1" applyBorder="1" applyAlignment="1">
      <alignment horizontal="center" vertical="center"/>
    </xf>
    <xf numFmtId="2" fontId="4" fillId="0" borderId="10" xfId="0" applyNumberFormat="1" applyFont="1" applyBorder="1" applyAlignment="1">
      <alignment vertical="center" wrapText="1"/>
    </xf>
    <xf numFmtId="2" fontId="4" fillId="0" borderId="19" xfId="0" applyNumberFormat="1" applyFont="1" applyBorder="1" applyAlignment="1">
      <alignment vertical="center" wrapText="1"/>
    </xf>
    <xf numFmtId="0" fontId="4" fillId="0" borderId="19" xfId="0" applyFont="1" applyBorder="1" applyAlignment="1">
      <alignment horizontal="justify" vertical="center"/>
    </xf>
    <xf numFmtId="9" fontId="4" fillId="0" borderId="19" xfId="6" applyFont="1" applyBorder="1" applyAlignment="1">
      <alignment horizontal="center" vertical="center"/>
    </xf>
    <xf numFmtId="9" fontId="4" fillId="0" borderId="1" xfId="6" applyFont="1" applyBorder="1" applyAlignment="1">
      <alignment horizontal="center" vertical="center"/>
    </xf>
    <xf numFmtId="168" fontId="4" fillId="0" borderId="19" xfId="0" applyNumberFormat="1" applyFont="1" applyBorder="1" applyAlignment="1">
      <alignment horizontal="center" vertical="center"/>
    </xf>
    <xf numFmtId="168" fontId="4" fillId="0" borderId="1" xfId="0" applyNumberFormat="1" applyFont="1" applyBorder="1" applyAlignment="1">
      <alignment horizontal="center" vertical="center"/>
    </xf>
    <xf numFmtId="0" fontId="4" fillId="0" borderId="1"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14" fillId="0" borderId="14" xfId="0" applyFont="1" applyFill="1" applyBorder="1" applyAlignment="1">
      <alignment horizontal="left" vertical="center" wrapText="1"/>
    </xf>
    <xf numFmtId="43" fontId="4" fillId="0" borderId="40" xfId="3" applyFont="1" applyFill="1" applyBorder="1" applyAlignment="1">
      <alignment horizontal="center" vertical="center"/>
    </xf>
    <xf numFmtId="43" fontId="4" fillId="0" borderId="37" xfId="3" applyFont="1" applyFill="1" applyBorder="1" applyAlignment="1">
      <alignment horizontal="center" vertical="center"/>
    </xf>
    <xf numFmtId="1" fontId="4" fillId="0" borderId="16" xfId="0" applyNumberFormat="1" applyFont="1" applyFill="1" applyBorder="1" applyAlignment="1">
      <alignment horizontal="center" vertical="center" wrapText="1"/>
    </xf>
    <xf numFmtId="1" fontId="4" fillId="0" borderId="27" xfId="0" applyNumberFormat="1" applyFont="1" applyFill="1" applyBorder="1" applyAlignment="1">
      <alignment horizontal="center" vertical="center" wrapText="1"/>
    </xf>
    <xf numFmtId="1" fontId="4" fillId="0" borderId="19" xfId="0" applyNumberFormat="1" applyFont="1" applyBorder="1" applyAlignment="1">
      <alignment horizontal="center" vertical="center" wrapText="1"/>
    </xf>
    <xf numFmtId="0" fontId="4" fillId="0" borderId="19" xfId="0" applyFont="1" applyBorder="1" applyAlignment="1">
      <alignment horizontal="justify" vertical="center" wrapText="1"/>
    </xf>
    <xf numFmtId="0" fontId="4" fillId="0" borderId="9" xfId="0" applyFont="1" applyBorder="1" applyAlignment="1">
      <alignment horizontal="justify" vertical="center" wrapText="1"/>
    </xf>
    <xf numFmtId="1" fontId="4" fillId="0" borderId="19" xfId="0" applyNumberFormat="1" applyFont="1" applyBorder="1" applyAlignment="1">
      <alignment horizontal="justify" vertical="center" wrapText="1"/>
    </xf>
    <xf numFmtId="1" fontId="4" fillId="0" borderId="1" xfId="0" applyNumberFormat="1" applyFont="1" applyBorder="1" applyAlignment="1">
      <alignment horizontal="justify" vertical="center" wrapText="1"/>
    </xf>
    <xf numFmtId="9" fontId="4" fillId="0" borderId="27" xfId="6" applyFont="1" applyFill="1" applyBorder="1" applyAlignment="1">
      <alignment horizontal="center" vertical="center"/>
    </xf>
    <xf numFmtId="9" fontId="4" fillId="0" borderId="14" xfId="6" applyFont="1" applyFill="1" applyBorder="1" applyAlignment="1">
      <alignment horizontal="center" vertical="center"/>
    </xf>
    <xf numFmtId="3" fontId="4" fillId="0" borderId="27"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0" fontId="4" fillId="0" borderId="20"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4" fillId="0" borderId="44"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14" fillId="0" borderId="3"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4" fillId="0" borderId="27" xfId="0" applyFont="1" applyFill="1" applyBorder="1" applyAlignment="1">
      <alignment horizontal="justify" vertical="center" wrapText="1"/>
    </xf>
    <xf numFmtId="0" fontId="4" fillId="0" borderId="14" xfId="0" applyFont="1" applyFill="1" applyBorder="1" applyAlignment="1">
      <alignment horizontal="justify" vertical="center" wrapText="1"/>
    </xf>
    <xf numFmtId="1" fontId="4" fillId="0" borderId="27"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7" xfId="0" applyFont="1" applyFill="1" applyBorder="1" applyAlignment="1">
      <alignment horizontal="justify" vertical="center"/>
    </xf>
    <xf numFmtId="0" fontId="4" fillId="0" borderId="14" xfId="0" applyFont="1" applyFill="1" applyBorder="1" applyAlignment="1">
      <alignment horizontal="justify" vertical="center"/>
    </xf>
    <xf numFmtId="0" fontId="4" fillId="0" borderId="9" xfId="3" applyNumberFormat="1" applyFont="1" applyFill="1" applyBorder="1" applyAlignment="1">
      <alignment horizontal="center" vertical="center"/>
    </xf>
    <xf numFmtId="0" fontId="4" fillId="0" borderId="10" xfId="3" applyNumberFormat="1" applyFont="1" applyFill="1" applyBorder="1" applyAlignment="1">
      <alignment horizontal="center" vertical="center"/>
    </xf>
    <xf numFmtId="0" fontId="4" fillId="0" borderId="19" xfId="3" applyNumberFormat="1" applyFont="1" applyFill="1" applyBorder="1" applyAlignment="1">
      <alignment horizontal="center" vertical="center"/>
    </xf>
    <xf numFmtId="170"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3"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4" fillId="0" borderId="13" xfId="3" applyNumberFormat="1" applyFont="1" applyFill="1" applyBorder="1" applyAlignment="1">
      <alignment horizontal="center" vertical="center"/>
    </xf>
    <xf numFmtId="0" fontId="4" fillId="0" borderId="9" xfId="3" applyNumberFormat="1" applyFont="1" applyFill="1" applyBorder="1" applyAlignment="1">
      <alignment horizontal="center" vertical="center" wrapText="1"/>
    </xf>
    <xf numFmtId="0" fontId="4" fillId="0" borderId="10" xfId="3" applyNumberFormat="1" applyFont="1" applyFill="1" applyBorder="1" applyAlignment="1">
      <alignment horizontal="center" vertical="center" wrapText="1"/>
    </xf>
    <xf numFmtId="0" fontId="4" fillId="0" borderId="19" xfId="3" applyNumberFormat="1" applyFont="1" applyFill="1" applyBorder="1" applyAlignment="1">
      <alignment horizontal="center" vertical="center" wrapText="1"/>
    </xf>
    <xf numFmtId="170" fontId="4" fillId="0" borderId="14" xfId="0" applyNumberFormat="1" applyFont="1" applyBorder="1" applyAlignment="1">
      <alignment horizontal="center" vertical="center"/>
    </xf>
    <xf numFmtId="1" fontId="4" fillId="0" borderId="14" xfId="0" applyNumberFormat="1" applyFont="1" applyBorder="1" applyAlignment="1">
      <alignment horizontal="center" vertical="center" wrapText="1"/>
    </xf>
    <xf numFmtId="1" fontId="4" fillId="0" borderId="11" xfId="0" applyNumberFormat="1" applyFont="1" applyFill="1" applyBorder="1" applyAlignment="1">
      <alignment horizontal="justify"/>
    </xf>
    <xf numFmtId="0" fontId="6" fillId="0" borderId="0" xfId="0" applyFont="1" applyFill="1" applyAlignment="1">
      <alignment horizontal="justify" vertical="center" wrapText="1"/>
    </xf>
    <xf numFmtId="0" fontId="4" fillId="0" borderId="11" xfId="0" applyFont="1" applyFill="1" applyBorder="1" applyAlignment="1">
      <alignment horizontal="justify"/>
    </xf>
    <xf numFmtId="0" fontId="4" fillId="0" borderId="0" xfId="0" applyFont="1" applyFill="1" applyAlignment="1">
      <alignment horizontal="justify"/>
    </xf>
    <xf numFmtId="1" fontId="4" fillId="0" borderId="14" xfId="0" applyNumberFormat="1" applyFont="1" applyFill="1" applyBorder="1" applyAlignment="1">
      <alignment horizontal="center" vertical="center" wrapText="1"/>
    </xf>
    <xf numFmtId="1" fontId="4" fillId="0" borderId="14" xfId="0" applyNumberFormat="1" applyFont="1" applyBorder="1" applyAlignment="1">
      <alignment horizontal="center" vertical="center"/>
    </xf>
    <xf numFmtId="0" fontId="4" fillId="0" borderId="14" xfId="0" applyFont="1" applyBorder="1" applyAlignment="1">
      <alignment horizontal="justify" vertical="center" wrapText="1"/>
    </xf>
    <xf numFmtId="1" fontId="4" fillId="0" borderId="18" xfId="0" applyNumberFormat="1" applyFont="1" applyBorder="1" applyAlignment="1">
      <alignment horizontal="center" vertical="center"/>
    </xf>
    <xf numFmtId="2" fontId="4" fillId="0" borderId="14" xfId="0" applyNumberFormat="1" applyFont="1" applyBorder="1" applyAlignment="1">
      <alignment vertical="center" wrapText="1"/>
    </xf>
    <xf numFmtId="0" fontId="10" fillId="0" borderId="14" xfId="0" applyFont="1" applyBorder="1" applyAlignment="1">
      <alignment horizontal="center" vertical="center" wrapText="1"/>
    </xf>
    <xf numFmtId="2" fontId="10" fillId="0" borderId="14" xfId="0" applyNumberFormat="1" applyFont="1" applyBorder="1" applyAlignment="1">
      <alignment horizontal="center" vertical="center" wrapText="1"/>
    </xf>
    <xf numFmtId="0" fontId="10" fillId="0" borderId="14" xfId="0" applyFont="1" applyBorder="1" applyAlignment="1">
      <alignment horizontal="justify" vertical="center" wrapText="1"/>
    </xf>
    <xf numFmtId="9" fontId="10" fillId="0" borderId="14" xfId="6" applyFont="1" applyBorder="1" applyAlignment="1">
      <alignment horizontal="center" vertical="center" wrapText="1"/>
    </xf>
    <xf numFmtId="43" fontId="10" fillId="0" borderId="14" xfId="3" applyFont="1" applyBorder="1" applyAlignment="1">
      <alignment horizontal="center" vertical="center" wrapText="1"/>
    </xf>
    <xf numFmtId="1" fontId="4" fillId="0" borderId="17" xfId="0" applyNumberFormat="1" applyFont="1" applyBorder="1" applyAlignment="1">
      <alignment horizontal="center" vertical="center" wrapText="1"/>
    </xf>
    <xf numFmtId="1" fontId="4" fillId="0" borderId="41" xfId="0" applyNumberFormat="1" applyFont="1" applyBorder="1" applyAlignment="1">
      <alignment horizontal="center" vertical="center" wrapText="1"/>
    </xf>
    <xf numFmtId="1" fontId="4" fillId="0" borderId="40" xfId="0" applyNumberFormat="1" applyFont="1" applyBorder="1" applyAlignment="1">
      <alignment horizontal="center" vertical="center" wrapText="1"/>
    </xf>
    <xf numFmtId="1" fontId="4" fillId="0" borderId="34"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1" fontId="4" fillId="0" borderId="42" xfId="0" applyNumberFormat="1" applyFont="1" applyBorder="1" applyAlignment="1">
      <alignment horizontal="center" vertical="center" wrapText="1"/>
    </xf>
    <xf numFmtId="1" fontId="4" fillId="0" borderId="21" xfId="0" applyNumberFormat="1" applyFont="1" applyBorder="1" applyAlignment="1">
      <alignment horizontal="center" vertical="center" wrapText="1"/>
    </xf>
    <xf numFmtId="1" fontId="4" fillId="0" borderId="43" xfId="0" applyNumberFormat="1" applyFont="1" applyBorder="1" applyAlignment="1">
      <alignment horizontal="center" vertical="center" wrapText="1"/>
    </xf>
    <xf numFmtId="1" fontId="4" fillId="0" borderId="37"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7" xfId="0" applyFont="1" applyBorder="1" applyAlignment="1">
      <alignment horizontal="center" vertical="center" wrapText="1"/>
    </xf>
    <xf numFmtId="1" fontId="4" fillId="0" borderId="1" xfId="0" applyNumberFormat="1" applyFont="1" applyFill="1" applyBorder="1" applyAlignment="1">
      <alignment horizontal="center" vertical="center"/>
    </xf>
    <xf numFmtId="0" fontId="4" fillId="0" borderId="12" xfId="0" applyFont="1" applyFill="1" applyBorder="1" applyAlignment="1">
      <alignment horizontal="justify" vertical="center" wrapText="1"/>
    </xf>
    <xf numFmtId="3" fontId="4" fillId="0" borderId="9" xfId="0" applyNumberFormat="1" applyFont="1" applyFill="1" applyBorder="1" applyAlignment="1">
      <alignment horizontal="justify" vertical="center" wrapText="1"/>
    </xf>
    <xf numFmtId="3" fontId="4" fillId="0" borderId="10" xfId="0" applyNumberFormat="1" applyFont="1" applyFill="1" applyBorder="1" applyAlignment="1">
      <alignment horizontal="justify" vertical="center" wrapText="1"/>
    </xf>
    <xf numFmtId="3" fontId="4" fillId="0" borderId="19" xfId="0" applyNumberFormat="1"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38" xfId="0" applyFont="1" applyFill="1" applyBorder="1" applyAlignment="1">
      <alignment horizontal="justify"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horizontal="justify" vertical="center" wrapText="1"/>
    </xf>
    <xf numFmtId="9" fontId="4" fillId="0" borderId="14" xfId="6" applyFont="1" applyFill="1" applyBorder="1" applyAlignment="1">
      <alignment horizontal="center" vertical="center" wrapText="1"/>
    </xf>
    <xf numFmtId="9" fontId="4" fillId="0" borderId="16" xfId="6" applyFont="1" applyFill="1" applyBorder="1" applyAlignment="1">
      <alignment horizontal="center" vertical="center" wrapText="1"/>
    </xf>
    <xf numFmtId="43" fontId="4" fillId="0" borderId="14" xfId="3" applyFont="1" applyFill="1" applyBorder="1" applyAlignment="1">
      <alignment horizontal="center" vertical="center" wrapText="1"/>
    </xf>
    <xf numFmtId="43" fontId="4" fillId="0" borderId="16" xfId="3" applyFont="1" applyFill="1" applyBorder="1" applyAlignment="1">
      <alignment horizontal="center" vertical="center" wrapText="1"/>
    </xf>
    <xf numFmtId="0" fontId="4" fillId="0" borderId="0" xfId="0" applyFont="1" applyFill="1" applyAlignment="1">
      <alignment horizontal="justify" vertical="center" wrapText="1"/>
    </xf>
    <xf numFmtId="0" fontId="4" fillId="0" borderId="11"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15" xfId="0" applyFont="1" applyFill="1" applyBorder="1" applyAlignment="1">
      <alignment horizontal="justify" vertical="center" wrapText="1"/>
    </xf>
    <xf numFmtId="1" fontId="4" fillId="0" borderId="8" xfId="0" applyNumberFormat="1" applyFont="1" applyFill="1" applyBorder="1" applyAlignment="1">
      <alignment horizontal="center" vertical="center"/>
    </xf>
    <xf numFmtId="1" fontId="4" fillId="0" borderId="19" xfId="0" applyNumberFormat="1" applyFont="1" applyFill="1" applyBorder="1" applyAlignment="1">
      <alignment horizontal="center" vertical="center"/>
    </xf>
    <xf numFmtId="0" fontId="1" fillId="0" borderId="9" xfId="0" applyFont="1" applyFill="1" applyBorder="1" applyAlignment="1">
      <alignment horizontal="justify" vertical="center" wrapText="1"/>
    </xf>
    <xf numFmtId="1" fontId="4" fillId="0" borderId="1" xfId="0" applyNumberFormat="1" applyFont="1" applyFill="1" applyBorder="1" applyAlignment="1">
      <alignment vertical="center" wrapText="1"/>
    </xf>
    <xf numFmtId="1" fontId="4" fillId="0" borderId="9"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9" fontId="4" fillId="0" borderId="9" xfId="6" applyFont="1" applyFill="1" applyBorder="1" applyAlignment="1">
      <alignment horizontal="center" vertical="center"/>
    </xf>
    <xf numFmtId="9" fontId="4" fillId="0" borderId="10" xfId="6" applyFont="1" applyFill="1" applyBorder="1" applyAlignment="1">
      <alignment horizontal="center" vertical="center"/>
    </xf>
    <xf numFmtId="1" fontId="4" fillId="0" borderId="9" xfId="3" applyNumberFormat="1" applyFont="1" applyFill="1" applyBorder="1" applyAlignment="1">
      <alignment horizontal="center" vertical="center" wrapText="1"/>
    </xf>
    <xf numFmtId="1" fontId="4" fillId="0" borderId="10" xfId="3" applyNumberFormat="1" applyFont="1" applyFill="1" applyBorder="1" applyAlignment="1">
      <alignment horizontal="center" vertical="center" wrapText="1"/>
    </xf>
    <xf numFmtId="1" fontId="4" fillId="0" borderId="19" xfId="3" applyNumberFormat="1" applyFont="1" applyFill="1" applyBorder="1" applyAlignment="1">
      <alignment horizontal="center" vertical="center" wrapText="1"/>
    </xf>
    <xf numFmtId="1" fontId="4" fillId="0" borderId="3" xfId="3" applyNumberFormat="1" applyFont="1" applyFill="1" applyBorder="1" applyAlignment="1">
      <alignment horizontal="center" vertical="center" wrapText="1"/>
    </xf>
    <xf numFmtId="1" fontId="4" fillId="0" borderId="11" xfId="3" applyNumberFormat="1" applyFont="1" applyFill="1" applyBorder="1" applyAlignment="1">
      <alignment horizontal="center" vertical="center" wrapText="1"/>
    </xf>
    <xf numFmtId="1" fontId="4" fillId="0" borderId="5" xfId="3" applyNumberFormat="1" applyFont="1" applyFill="1" applyBorder="1" applyAlignment="1">
      <alignment horizontal="center" vertical="center" wrapText="1"/>
    </xf>
    <xf numFmtId="1" fontId="4" fillId="0" borderId="1" xfId="3" applyNumberFormat="1" applyFont="1" applyFill="1" applyBorder="1" applyAlignment="1">
      <alignment horizontal="center" vertical="center" wrapText="1"/>
    </xf>
    <xf numFmtId="0" fontId="4" fillId="0" borderId="13" xfId="0" applyFont="1" applyFill="1" applyBorder="1" applyAlignment="1">
      <alignment horizontal="justify" vertical="center" wrapText="1"/>
    </xf>
    <xf numFmtId="9" fontId="4" fillId="0" borderId="1" xfId="6" applyFont="1" applyFill="1" applyBorder="1" applyAlignment="1">
      <alignment horizontal="center" vertical="center"/>
    </xf>
    <xf numFmtId="43" fontId="4" fillId="0" borderId="9" xfId="3" applyFont="1" applyFill="1" applyBorder="1" applyAlignment="1">
      <alignment horizontal="center" vertical="center" wrapText="1"/>
    </xf>
    <xf numFmtId="43" fontId="4" fillId="0" borderId="10" xfId="3" applyFont="1" applyFill="1" applyBorder="1" applyAlignment="1">
      <alignment horizontal="center" vertical="center" wrapText="1"/>
    </xf>
    <xf numFmtId="1" fontId="4" fillId="0" borderId="9" xfId="3" applyNumberFormat="1" applyFont="1" applyFill="1" applyBorder="1" applyAlignment="1">
      <alignment horizontal="center" vertical="center"/>
    </xf>
    <xf numFmtId="1" fontId="4" fillId="0" borderId="10" xfId="3" applyNumberFormat="1" applyFont="1" applyFill="1" applyBorder="1" applyAlignment="1">
      <alignment horizontal="center" vertical="center"/>
    </xf>
    <xf numFmtId="1" fontId="4" fillId="0" borderId="13" xfId="3" applyNumberFormat="1" applyFont="1" applyFill="1" applyBorder="1" applyAlignment="1">
      <alignment horizontal="center" vertical="center"/>
    </xf>
    <xf numFmtId="1" fontId="4" fillId="0" borderId="20" xfId="3" applyNumberFormat="1" applyFont="1" applyFill="1" applyBorder="1" applyAlignment="1">
      <alignment horizontal="center" vertical="center"/>
    </xf>
    <xf numFmtId="0" fontId="12" fillId="0" borderId="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 xfId="0" applyFont="1" applyFill="1" applyBorder="1" applyAlignment="1">
      <alignment horizontal="left" vertical="center" wrapText="1"/>
    </xf>
    <xf numFmtId="170" fontId="4" fillId="0" borderId="9" xfId="0" applyNumberFormat="1" applyFont="1" applyFill="1" applyBorder="1" applyAlignment="1">
      <alignment horizontal="center" vertical="center"/>
    </xf>
    <xf numFmtId="170" fontId="4" fillId="0" borderId="10" xfId="0" applyNumberFormat="1" applyFont="1" applyFill="1" applyBorder="1" applyAlignment="1">
      <alignment horizontal="center" vertical="center"/>
    </xf>
    <xf numFmtId="170" fontId="4" fillId="0" borderId="19" xfId="0" applyNumberFormat="1" applyFont="1" applyFill="1" applyBorder="1" applyAlignment="1">
      <alignment horizontal="center" vertical="center"/>
    </xf>
    <xf numFmtId="1" fontId="4" fillId="0" borderId="19" xfId="0" applyNumberFormat="1" applyFont="1" applyFill="1" applyBorder="1" applyAlignment="1">
      <alignment horizontal="center" vertical="center" wrapText="1"/>
    </xf>
    <xf numFmtId="0" fontId="4" fillId="0" borderId="1" xfId="3" applyNumberFormat="1" applyFont="1" applyFill="1" applyBorder="1" applyAlignment="1">
      <alignment horizontal="center" vertical="center"/>
    </xf>
    <xf numFmtId="0" fontId="12" fillId="0" borderId="5" xfId="0" applyFont="1" applyFill="1" applyBorder="1" applyAlignment="1">
      <alignment horizontal="left" vertical="center" wrapText="1"/>
    </xf>
    <xf numFmtId="0" fontId="4" fillId="0" borderId="10" xfId="0" applyFont="1" applyBorder="1" applyAlignment="1">
      <alignment horizontal="justify" vertical="center" wrapText="1"/>
    </xf>
    <xf numFmtId="0" fontId="6" fillId="10" borderId="7" xfId="0" applyFont="1" applyFill="1" applyBorder="1" applyAlignment="1">
      <alignment horizontal="left" vertical="center"/>
    </xf>
    <xf numFmtId="1" fontId="4" fillId="0" borderId="6"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3" applyNumberFormat="1" applyFont="1" applyBorder="1" applyAlignment="1">
      <alignment horizontal="center" vertical="center"/>
    </xf>
    <xf numFmtId="0" fontId="4" fillId="0" borderId="1" xfId="0" applyFont="1" applyBorder="1" applyAlignment="1">
      <alignment vertical="center"/>
    </xf>
    <xf numFmtId="1" fontId="4" fillId="0" borderId="1" xfId="0" applyNumberFormat="1" applyFont="1" applyBorder="1" applyAlignment="1">
      <alignment vertical="center" wrapText="1"/>
    </xf>
    <xf numFmtId="0" fontId="6" fillId="9" borderId="7" xfId="0" applyFont="1" applyFill="1" applyBorder="1" applyAlignment="1">
      <alignment horizontal="left" vertical="center"/>
    </xf>
    <xf numFmtId="0" fontId="6" fillId="8" borderId="7" xfId="0" applyFont="1" applyFill="1" applyBorder="1" applyAlignment="1">
      <alignment horizontal="left" vertical="center"/>
    </xf>
    <xf numFmtId="0" fontId="4" fillId="0" borderId="1" xfId="0" applyFont="1" applyBorder="1" applyAlignment="1">
      <alignment horizontal="center" vertical="center"/>
    </xf>
    <xf numFmtId="43" fontId="4" fillId="0" borderId="1" xfId="3" applyFont="1" applyBorder="1" applyAlignment="1">
      <alignment horizontal="center" vertical="center"/>
    </xf>
    <xf numFmtId="0" fontId="4" fillId="0" borderId="8" xfId="3" applyNumberFormat="1" applyFont="1" applyBorder="1" applyAlignment="1">
      <alignment horizontal="center" vertical="center"/>
    </xf>
    <xf numFmtId="0" fontId="4" fillId="0" borderId="1" xfId="3" applyNumberFormat="1" applyFont="1" applyBorder="1" applyAlignment="1">
      <alignment vertical="center" wrapText="1"/>
    </xf>
    <xf numFmtId="167" fontId="6" fillId="4" borderId="3" xfId="0" applyNumberFormat="1" applyFont="1" applyFill="1" applyBorder="1" applyAlignment="1">
      <alignment horizontal="center" vertical="center" textRotation="90" wrapText="1"/>
    </xf>
    <xf numFmtId="167" fontId="6" fillId="4" borderId="11" xfId="0" applyNumberFormat="1" applyFont="1" applyFill="1" applyBorder="1" applyAlignment="1">
      <alignment horizontal="center" vertical="center" textRotation="90" wrapText="1"/>
    </xf>
    <xf numFmtId="167" fontId="6" fillId="3" borderId="3" xfId="0" applyNumberFormat="1" applyFont="1" applyFill="1" applyBorder="1" applyAlignment="1">
      <alignment horizontal="center" vertical="center" wrapText="1"/>
    </xf>
    <xf numFmtId="167" fontId="6" fillId="3" borderId="11" xfId="0" applyNumberFormat="1" applyFont="1" applyFill="1" applyBorder="1" applyAlignment="1">
      <alignment horizontal="center" vertical="center" wrapText="1"/>
    </xf>
    <xf numFmtId="0" fontId="6" fillId="5" borderId="7" xfId="0" applyFont="1" applyFill="1" applyBorder="1" applyAlignment="1">
      <alignment horizontal="left" vertical="center"/>
    </xf>
    <xf numFmtId="0" fontId="6" fillId="7" borderId="7" xfId="0" applyFont="1" applyFill="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3" fontId="6" fillId="3" borderId="9" xfId="0" applyNumberFormat="1" applyFont="1" applyFill="1" applyBorder="1" applyAlignment="1">
      <alignment horizontal="center" vertical="center" wrapText="1"/>
    </xf>
    <xf numFmtId="3" fontId="6" fillId="3" borderId="10" xfId="0" applyNumberFormat="1" applyFont="1" applyFill="1" applyBorder="1" applyAlignment="1">
      <alignment horizontal="center" vertical="center" wrapText="1"/>
    </xf>
    <xf numFmtId="9" fontId="4" fillId="0" borderId="6" xfId="6" applyFont="1" applyBorder="1" applyAlignment="1">
      <alignment horizontal="center" vertical="center" wrapText="1"/>
    </xf>
    <xf numFmtId="43" fontId="4" fillId="0" borderId="1" xfId="3" applyFont="1" applyBorder="1" applyAlignment="1">
      <alignment horizontal="center" vertical="center" wrapText="1"/>
    </xf>
    <xf numFmtId="0" fontId="12" fillId="0" borderId="1" xfId="0" applyFont="1" applyBorder="1" applyAlignment="1">
      <alignment horizontal="justify" vertical="center" wrapText="1"/>
    </xf>
    <xf numFmtId="1" fontId="6" fillId="3" borderId="9" xfId="0" applyNumberFormat="1" applyFont="1" applyFill="1" applyBorder="1" applyAlignment="1">
      <alignment horizontal="center" vertical="center" wrapText="1"/>
    </xf>
    <xf numFmtId="1" fontId="6" fillId="3" borderId="10"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3" fontId="7" fillId="4" borderId="7"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6" fillId="0" borderId="4"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169" fontId="6" fillId="3" borderId="9" xfId="0" applyNumberFormat="1" applyFont="1" applyFill="1" applyBorder="1" applyAlignment="1">
      <alignment horizontal="center" vertical="center" wrapText="1"/>
    </xf>
    <xf numFmtId="169" fontId="6" fillId="3" borderId="10" xfId="0" applyNumberFormat="1" applyFont="1" applyFill="1" applyBorder="1" applyAlignment="1">
      <alignment horizontal="center" vertical="center" wrapText="1"/>
    </xf>
    <xf numFmtId="168" fontId="6" fillId="3" borderId="9" xfId="0" applyNumberFormat="1" applyFont="1" applyFill="1" applyBorder="1" applyAlignment="1">
      <alignment horizontal="center" vertical="center" wrapText="1"/>
    </xf>
    <xf numFmtId="168" fontId="6" fillId="3" borderId="10" xfId="0" applyNumberFormat="1" applyFont="1" applyFill="1" applyBorder="1" applyAlignment="1">
      <alignment horizontal="center" vertical="center" wrapText="1"/>
    </xf>
    <xf numFmtId="41" fontId="6" fillId="3" borderId="9" xfId="5" applyFont="1" applyFill="1" applyBorder="1" applyAlignment="1">
      <alignment horizontal="right" vertical="center" wrapText="1"/>
    </xf>
    <xf numFmtId="41" fontId="6" fillId="3" borderId="10" xfId="5" applyFont="1" applyFill="1" applyBorder="1" applyAlignment="1">
      <alignment horizontal="right" vertical="center" wrapText="1"/>
    </xf>
    <xf numFmtId="0" fontId="6" fillId="3"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6" fillId="0" borderId="0" xfId="0" applyFont="1" applyAlignment="1">
      <alignment horizontal="center" vertical="center"/>
    </xf>
    <xf numFmtId="168" fontId="6" fillId="0" borderId="0" xfId="0" applyNumberFormat="1" applyFont="1" applyAlignment="1">
      <alignment horizontal="justify" vertical="center"/>
    </xf>
    <xf numFmtId="0" fontId="6" fillId="0" borderId="0" xfId="0" applyFont="1" applyAlignment="1">
      <alignment horizontal="justify"/>
    </xf>
    <xf numFmtId="0" fontId="4" fillId="0" borderId="0" xfId="0" applyFont="1" applyAlignment="1">
      <alignment horizontal="justify"/>
    </xf>
    <xf numFmtId="3" fontId="4" fillId="0" borderId="50"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9" xfId="0" applyFont="1" applyBorder="1" applyAlignment="1">
      <alignment horizontal="left" vertical="center" wrapText="1"/>
    </xf>
    <xf numFmtId="0" fontId="4" fillId="0" borderId="26" xfId="0" applyFont="1" applyBorder="1" applyAlignment="1">
      <alignment horizontal="left" vertical="center" wrapText="1"/>
    </xf>
    <xf numFmtId="9" fontId="4" fillId="0" borderId="9" xfId="4" applyFont="1" applyBorder="1" applyAlignment="1">
      <alignment horizontal="center" vertical="center" wrapText="1"/>
    </xf>
    <xf numFmtId="9" fontId="4" fillId="0" borderId="26" xfId="4" applyFont="1" applyBorder="1" applyAlignment="1">
      <alignment horizontal="center" vertical="center" wrapText="1"/>
    </xf>
    <xf numFmtId="0" fontId="19" fillId="0" borderId="9" xfId="0" applyFont="1" applyBorder="1" applyAlignment="1">
      <alignment horizontal="left" vertical="center" wrapText="1"/>
    </xf>
    <xf numFmtId="0" fontId="19" fillId="0" borderId="26" xfId="0" applyFont="1" applyBorder="1" applyAlignment="1">
      <alignment horizontal="left" vertical="center" wrapText="1"/>
    </xf>
    <xf numFmtId="0" fontId="19" fillId="0" borderId="9" xfId="0" applyFont="1" applyBorder="1" applyAlignment="1">
      <alignment horizontal="justify" vertical="center" wrapText="1"/>
    </xf>
    <xf numFmtId="0" fontId="19" fillId="0" borderId="26" xfId="0" applyFont="1" applyBorder="1" applyAlignment="1">
      <alignment horizontal="justify" vertical="center" wrapText="1"/>
    </xf>
    <xf numFmtId="3" fontId="8" fillId="6" borderId="9" xfId="0" applyNumberFormat="1" applyFont="1" applyFill="1" applyBorder="1" applyAlignment="1">
      <alignment horizontal="center" vertical="center" wrapText="1"/>
    </xf>
    <xf numFmtId="3" fontId="8" fillId="6" borderId="10"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165" fontId="4" fillId="0" borderId="1" xfId="0" applyNumberFormat="1" applyFont="1" applyBorder="1" applyAlignment="1" applyProtection="1">
      <alignment horizontal="center" vertical="center" wrapText="1"/>
      <protection locked="0"/>
    </xf>
    <xf numFmtId="3" fontId="8" fillId="6" borderId="12" xfId="0" applyNumberFormat="1" applyFont="1" applyFill="1" applyBorder="1" applyAlignment="1">
      <alignment horizontal="center" vertical="center" wrapText="1"/>
    </xf>
    <xf numFmtId="3" fontId="8" fillId="6" borderId="13"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4" fillId="0" borderId="8" xfId="0" applyFont="1" applyBorder="1" applyAlignment="1">
      <alignment horizontal="center" vertical="center" wrapText="1"/>
    </xf>
    <xf numFmtId="176" fontId="4" fillId="0" borderId="1" xfId="15" applyFont="1" applyBorder="1" applyAlignment="1">
      <alignment horizontal="justify" vertical="center" wrapText="1"/>
    </xf>
    <xf numFmtId="3" fontId="4" fillId="0" borderId="12"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19" xfId="0" applyNumberFormat="1" applyFont="1" applyBorder="1" applyAlignment="1">
      <alignment horizontal="center" vertical="center"/>
    </xf>
    <xf numFmtId="3" fontId="4" fillId="0" borderId="9" xfId="0" applyNumberFormat="1" applyFont="1" applyBorder="1" applyAlignment="1">
      <alignment horizontal="center" vertical="center"/>
    </xf>
    <xf numFmtId="176" fontId="4" fillId="6" borderId="1" xfId="15" applyFont="1" applyFill="1" applyBorder="1" applyAlignment="1">
      <alignment horizontal="right" vertical="center" wrapText="1"/>
    </xf>
    <xf numFmtId="0" fontId="4" fillId="0" borderId="10" xfId="16" applyNumberFormat="1" applyFont="1" applyBorder="1" applyAlignment="1">
      <alignment horizontal="center" vertical="center" wrapText="1"/>
    </xf>
    <xf numFmtId="0" fontId="4" fillId="0" borderId="6" xfId="0" applyFont="1" applyBorder="1" applyAlignment="1">
      <alignment horizontal="center" vertical="center" wrapText="1"/>
    </xf>
    <xf numFmtId="9" fontId="4" fillId="0" borderId="1" xfId="4" applyFont="1" applyBorder="1" applyAlignment="1">
      <alignment horizontal="center" vertical="center" wrapText="1"/>
    </xf>
    <xf numFmtId="165" fontId="4" fillId="0" borderId="9" xfId="0" applyNumberFormat="1" applyFont="1" applyBorder="1" applyAlignment="1">
      <alignment horizontal="center" vertical="center" wrapText="1"/>
    </xf>
    <xf numFmtId="165" fontId="4" fillId="0" borderId="10" xfId="0" applyNumberFormat="1" applyFont="1" applyBorder="1" applyAlignment="1">
      <alignment horizontal="center" vertical="center" wrapText="1"/>
    </xf>
    <xf numFmtId="165" fontId="4" fillId="0" borderId="19" xfId="0" applyNumberFormat="1" applyFont="1" applyBorder="1" applyAlignment="1">
      <alignment horizontal="center" vertical="center" wrapText="1"/>
    </xf>
    <xf numFmtId="165" fontId="4" fillId="0" borderId="9" xfId="0" applyNumberFormat="1" applyFont="1" applyBorder="1" applyAlignment="1" applyProtection="1">
      <alignment horizontal="center" vertical="center" wrapText="1"/>
      <protection locked="0"/>
    </xf>
    <xf numFmtId="165" fontId="4" fillId="0" borderId="10" xfId="0" applyNumberFormat="1" applyFont="1" applyBorder="1" applyAlignment="1" applyProtection="1">
      <alignment horizontal="center" vertical="center" wrapText="1"/>
      <protection locked="0"/>
    </xf>
    <xf numFmtId="165" fontId="4" fillId="0" borderId="19" xfId="0" applyNumberFormat="1" applyFont="1" applyBorder="1" applyAlignment="1" applyProtection="1">
      <alignment horizontal="center" vertical="center" wrapText="1"/>
      <protection locked="0"/>
    </xf>
    <xf numFmtId="9" fontId="4" fillId="0" borderId="19" xfId="4" applyFont="1" applyBorder="1" applyAlignment="1">
      <alignment horizontal="center" vertical="center" wrapText="1"/>
    </xf>
    <xf numFmtId="0" fontId="4" fillId="0" borderId="19" xfId="0" applyFont="1" applyBorder="1" applyAlignment="1">
      <alignment horizontal="left" vertical="center" wrapText="1"/>
    </xf>
    <xf numFmtId="0" fontId="4" fillId="0" borderId="8" xfId="0" applyFont="1" applyBorder="1" applyAlignment="1">
      <alignment horizontal="justify" vertical="center" wrapText="1"/>
    </xf>
    <xf numFmtId="0" fontId="10" fillId="0" borderId="9" xfId="0" applyFont="1" applyBorder="1" applyAlignment="1">
      <alignment horizontal="left" vertical="center" wrapText="1" readingOrder="2"/>
    </xf>
    <xf numFmtId="0" fontId="10" fillId="0" borderId="19" xfId="0" applyFont="1" applyBorder="1" applyAlignment="1">
      <alignment horizontal="left" vertical="center" wrapText="1" readingOrder="2"/>
    </xf>
    <xf numFmtId="0" fontId="6" fillId="15" borderId="12" xfId="0" applyFont="1" applyFill="1" applyBorder="1" applyAlignment="1">
      <alignment horizontal="center" vertical="center" wrapText="1"/>
    </xf>
    <xf numFmtId="0" fontId="6" fillId="15" borderId="13" xfId="0" applyFont="1" applyFill="1" applyBorder="1" applyAlignment="1">
      <alignment horizontal="center" vertical="center" wrapText="1"/>
    </xf>
    <xf numFmtId="3" fontId="7" fillId="7" borderId="6" xfId="0" applyNumberFormat="1" applyFont="1" applyFill="1" applyBorder="1" applyAlignment="1">
      <alignment horizontal="center" vertical="center" wrapText="1"/>
    </xf>
    <xf numFmtId="3" fontId="7" fillId="7" borderId="7" xfId="0" applyNumberFormat="1" applyFont="1" applyFill="1" applyBorder="1" applyAlignment="1">
      <alignment horizontal="center" vertical="center" wrapText="1"/>
    </xf>
    <xf numFmtId="0" fontId="6" fillId="15" borderId="9" xfId="0" applyFont="1" applyFill="1" applyBorder="1" applyAlignment="1">
      <alignment horizontal="center" vertical="center" wrapText="1"/>
    </xf>
    <xf numFmtId="0" fontId="6" fillId="15" borderId="10" xfId="0" applyFont="1" applyFill="1" applyBorder="1" applyAlignment="1">
      <alignment horizontal="center" vertical="center" wrapText="1"/>
    </xf>
    <xf numFmtId="169" fontId="6" fillId="15" borderId="3" xfId="0" applyNumberFormat="1" applyFont="1" applyFill="1" applyBorder="1" applyAlignment="1">
      <alignment horizontal="center" vertical="center" wrapText="1"/>
    </xf>
    <xf numFmtId="169" fontId="6" fillId="15" borderId="11" xfId="0" applyNumberFormat="1" applyFont="1" applyFill="1" applyBorder="1" applyAlignment="1">
      <alignment horizontal="center" vertical="center" wrapText="1"/>
    </xf>
    <xf numFmtId="175" fontId="6" fillId="15" borderId="3" xfId="14" applyNumberFormat="1" applyFont="1" applyFill="1" applyBorder="1" applyAlignment="1">
      <alignment horizontal="center" vertical="center" wrapText="1"/>
    </xf>
    <xf numFmtId="175" fontId="6" fillId="15" borderId="11" xfId="14" applyNumberFormat="1"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6" fillId="0" borderId="58" xfId="0" applyFont="1" applyBorder="1" applyAlignment="1">
      <alignment horizontal="center" vertical="center"/>
    </xf>
    <xf numFmtId="0" fontId="6" fillId="0" borderId="57"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50" xfId="0" applyFont="1" applyBorder="1" applyAlignment="1">
      <alignment horizontal="center" vertical="center"/>
    </xf>
    <xf numFmtId="1" fontId="6" fillId="15" borderId="60" xfId="0" applyNumberFormat="1" applyFont="1" applyFill="1" applyBorder="1" applyAlignment="1">
      <alignment horizontal="center" vertical="center" wrapText="1"/>
    </xf>
    <xf numFmtId="1" fontId="6" fillId="15" borderId="61" xfId="0" applyNumberFormat="1" applyFont="1" applyFill="1" applyBorder="1" applyAlignment="1">
      <alignment horizontal="center" vertical="center" wrapText="1"/>
    </xf>
    <xf numFmtId="167" fontId="6" fillId="15" borderId="1" xfId="0" applyNumberFormat="1" applyFont="1" applyFill="1" applyBorder="1" applyAlignment="1">
      <alignment horizontal="center" vertical="center" wrapText="1"/>
    </xf>
    <xf numFmtId="3" fontId="6" fillId="15" borderId="71" xfId="0" applyNumberFormat="1" applyFont="1" applyFill="1" applyBorder="1" applyAlignment="1">
      <alignment horizontal="center" vertical="center" wrapText="1"/>
    </xf>
    <xf numFmtId="3" fontId="6" fillId="15" borderId="59" xfId="0" applyNumberFormat="1"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6"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3" xfId="0" applyFont="1" applyFill="1" applyBorder="1" applyAlignment="1">
      <alignment horizontal="center" vertical="center" textRotation="90" wrapText="1"/>
    </xf>
    <xf numFmtId="0" fontId="7" fillId="7" borderId="5" xfId="0" applyFont="1" applyFill="1" applyBorder="1" applyAlignment="1">
      <alignment horizontal="center" vertical="center" textRotation="90" wrapText="1"/>
    </xf>
    <xf numFmtId="0" fontId="6" fillId="15" borderId="19" xfId="0" applyFont="1" applyFill="1" applyBorder="1" applyAlignment="1">
      <alignment horizontal="center" vertical="center" wrapText="1"/>
    </xf>
    <xf numFmtId="168" fontId="6" fillId="15" borderId="9" xfId="0" applyNumberFormat="1" applyFont="1" applyFill="1" applyBorder="1" applyAlignment="1">
      <alignment horizontal="center" vertical="center" wrapText="1"/>
    </xf>
    <xf numFmtId="168" fontId="6" fillId="15" borderId="19" xfId="0" applyNumberFormat="1" applyFont="1" applyFill="1" applyBorder="1" applyAlignment="1">
      <alignment horizontal="center" vertical="center" wrapText="1"/>
    </xf>
    <xf numFmtId="10" fontId="8" fillId="6" borderId="10" xfId="4" applyNumberFormat="1" applyFont="1" applyFill="1" applyBorder="1" applyAlignment="1">
      <alignment horizontal="center" vertical="center" wrapText="1"/>
    </xf>
    <xf numFmtId="10" fontId="8" fillId="6" borderId="19" xfId="4" applyNumberFormat="1" applyFont="1" applyFill="1" applyBorder="1" applyAlignment="1">
      <alignment horizontal="center" vertical="center" wrapText="1"/>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8" fillId="6" borderId="9" xfId="0" applyFont="1" applyFill="1" applyBorder="1" applyAlignment="1">
      <alignment horizontal="justify" vertical="center" wrapText="1"/>
    </xf>
    <xf numFmtId="0" fontId="8" fillId="6" borderId="10" xfId="0" applyFont="1" applyFill="1" applyBorder="1" applyAlignment="1">
      <alignment horizontal="justify"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10" fontId="8" fillId="6" borderId="9" xfId="4" applyNumberFormat="1" applyFont="1" applyFill="1" applyBorder="1" applyAlignment="1">
      <alignment horizontal="center" vertical="center" wrapText="1"/>
    </xf>
    <xf numFmtId="170" fontId="8" fillId="0" borderId="9" xfId="0" applyNumberFormat="1" applyFont="1" applyBorder="1" applyAlignment="1">
      <alignment horizontal="center" vertical="center" wrapText="1"/>
    </xf>
    <xf numFmtId="170" fontId="8" fillId="0" borderId="10" xfId="0" applyNumberFormat="1" applyFont="1" applyBorder="1" applyAlignment="1">
      <alignment horizontal="center" vertical="center" wrapText="1"/>
    </xf>
    <xf numFmtId="3" fontId="8" fillId="0" borderId="9"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0" fontId="8" fillId="0" borderId="9" xfId="0" applyFont="1" applyBorder="1" applyAlignment="1">
      <alignment horizontal="left" vertical="center" wrapText="1"/>
    </xf>
    <xf numFmtId="0" fontId="8" fillId="0" borderId="19" xfId="0" applyFont="1" applyBorder="1" applyAlignment="1">
      <alignment horizontal="left" vertical="center" wrapText="1"/>
    </xf>
    <xf numFmtId="0" fontId="8" fillId="0" borderId="1" xfId="0" applyFont="1" applyBorder="1" applyAlignment="1">
      <alignment horizontal="justify" vertical="center" wrapText="1"/>
    </xf>
    <xf numFmtId="0" fontId="8" fillId="0" borderId="10" xfId="0" applyFont="1" applyBorder="1" applyAlignment="1">
      <alignment horizontal="center" vertical="center" wrapText="1"/>
    </xf>
    <xf numFmtId="0" fontId="8" fillId="6" borderId="11" xfId="0" applyFont="1" applyFill="1" applyBorder="1" applyAlignment="1">
      <alignment horizontal="justify" vertical="center" wrapText="1"/>
    </xf>
    <xf numFmtId="43" fontId="8" fillId="6" borderId="9" xfId="1" applyFont="1" applyFill="1" applyBorder="1" applyAlignment="1">
      <alignment horizontal="center" vertical="center" wrapText="1"/>
    </xf>
    <xf numFmtId="43" fontId="8" fillId="6" borderId="10" xfId="1" applyFont="1" applyFill="1" applyBorder="1" applyAlignment="1">
      <alignment horizontal="center" vertical="center" wrapText="1"/>
    </xf>
    <xf numFmtId="43" fontId="8" fillId="6" borderId="13" xfId="1" applyFont="1" applyFill="1" applyBorder="1" applyAlignment="1">
      <alignment horizontal="center" vertical="center" wrapText="1"/>
    </xf>
    <xf numFmtId="10" fontId="8" fillId="6" borderId="14" xfId="4" applyNumberFormat="1" applyFont="1" applyFill="1" applyBorder="1" applyAlignment="1">
      <alignment horizontal="center" vertical="center" wrapText="1"/>
    </xf>
    <xf numFmtId="1" fontId="8" fillId="0" borderId="9"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0" fontId="8" fillId="6" borderId="9" xfId="0" applyFont="1" applyFill="1" applyBorder="1" applyAlignment="1">
      <alignment horizontal="left" vertical="center" wrapText="1"/>
    </xf>
    <xf numFmtId="0" fontId="8" fillId="6" borderId="19"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10" fontId="8" fillId="0" borderId="9" xfId="4" applyNumberFormat="1" applyFont="1" applyBorder="1" applyAlignment="1">
      <alignment horizontal="center" vertical="center" wrapText="1"/>
    </xf>
    <xf numFmtId="10" fontId="8" fillId="0" borderId="10" xfId="4" applyNumberFormat="1" applyFont="1" applyBorder="1" applyAlignment="1">
      <alignment horizontal="center" vertical="center" wrapText="1"/>
    </xf>
    <xf numFmtId="1" fontId="7" fillId="6" borderId="9" xfId="0" applyNumberFormat="1" applyFont="1" applyFill="1" applyBorder="1" applyAlignment="1">
      <alignment horizontal="center" vertical="center" wrapText="1"/>
    </xf>
    <xf numFmtId="1" fontId="7" fillId="6" borderId="10" xfId="0" applyNumberFormat="1" applyFont="1" applyFill="1" applyBorder="1" applyAlignment="1">
      <alignment horizontal="center" vertical="center" wrapText="1"/>
    </xf>
    <xf numFmtId="1" fontId="7" fillId="6" borderId="19" xfId="0" applyNumberFormat="1" applyFont="1" applyFill="1" applyBorder="1" applyAlignment="1">
      <alignment horizontal="center" vertical="center" wrapText="1"/>
    </xf>
    <xf numFmtId="1" fontId="8" fillId="0" borderId="19" xfId="0" applyNumberFormat="1" applyFont="1" applyBorder="1" applyAlignment="1">
      <alignment horizontal="center" vertical="center" wrapText="1"/>
    </xf>
    <xf numFmtId="0" fontId="8" fillId="6" borderId="3" xfId="0" applyFont="1" applyFill="1" applyBorder="1" applyAlignment="1">
      <alignment horizontal="justify" vertical="center" wrapText="1"/>
    </xf>
    <xf numFmtId="3" fontId="8" fillId="0" borderId="13" xfId="0" applyNumberFormat="1" applyFont="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1"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0" borderId="19" xfId="0" applyFont="1" applyBorder="1" applyAlignment="1">
      <alignment horizontal="justify" vertical="center" wrapText="1"/>
    </xf>
    <xf numFmtId="0" fontId="8" fillId="6" borderId="19" xfId="0" applyFont="1" applyFill="1" applyBorder="1" applyAlignment="1">
      <alignment horizontal="justify" vertical="center" wrapText="1"/>
    </xf>
    <xf numFmtId="0" fontId="8" fillId="0" borderId="1" xfId="0" applyFont="1" applyBorder="1" applyAlignment="1">
      <alignment horizontal="left" vertical="center" wrapText="1"/>
    </xf>
    <xf numFmtId="1" fontId="8" fillId="6" borderId="9" xfId="0" applyNumberFormat="1" applyFont="1" applyFill="1" applyBorder="1" applyAlignment="1">
      <alignment horizontal="center" vertical="center" wrapText="1"/>
    </xf>
    <xf numFmtId="1" fontId="8" fillId="6" borderId="10" xfId="0" applyNumberFormat="1" applyFont="1" applyFill="1" applyBorder="1" applyAlignment="1">
      <alignment horizontal="center" vertical="center" wrapText="1"/>
    </xf>
    <xf numFmtId="9" fontId="8" fillId="6" borderId="9" xfId="4" applyFont="1" applyFill="1" applyBorder="1" applyAlignment="1">
      <alignment horizontal="center" vertical="center" wrapText="1"/>
    </xf>
    <xf numFmtId="9" fontId="8" fillId="6" borderId="10" xfId="4" applyFont="1" applyFill="1" applyBorder="1" applyAlignment="1">
      <alignment horizontal="center" vertical="center" wrapText="1"/>
    </xf>
    <xf numFmtId="0" fontId="8" fillId="6" borderId="1" xfId="0" applyFont="1" applyFill="1" applyBorder="1" applyAlignment="1">
      <alignment horizontal="justify" vertical="center" wrapText="1"/>
    </xf>
    <xf numFmtId="3" fontId="4" fillId="0" borderId="9" xfId="9" applyNumberFormat="1" applyFont="1" applyBorder="1" applyAlignment="1">
      <alignment horizontal="center" vertical="center"/>
    </xf>
    <xf numFmtId="3" fontId="4" fillId="0" borderId="10" xfId="9" applyNumberFormat="1" applyFont="1" applyBorder="1" applyAlignment="1">
      <alignment horizontal="center" vertical="center"/>
    </xf>
    <xf numFmtId="3" fontId="4" fillId="0" borderId="12" xfId="9" applyNumberFormat="1" applyFont="1" applyBorder="1" applyAlignment="1">
      <alignment horizontal="center" vertical="center"/>
    </xf>
    <xf numFmtId="3" fontId="4" fillId="0" borderId="13" xfId="9" applyNumberFormat="1" applyFont="1" applyBorder="1" applyAlignment="1">
      <alignment horizontal="center" vertical="center"/>
    </xf>
    <xf numFmtId="0" fontId="7" fillId="7" borderId="7" xfId="0" applyFont="1" applyFill="1" applyBorder="1" applyAlignment="1">
      <alignment horizontal="left" vertical="center"/>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3" fontId="22" fillId="0" borderId="1" xfId="0" applyNumberFormat="1" applyFont="1" applyBorder="1" applyAlignment="1">
      <alignment horizontal="center" vertical="center"/>
    </xf>
    <xf numFmtId="0" fontId="4" fillId="6" borderId="1" xfId="0" applyFont="1" applyFill="1" applyBorder="1" applyAlignment="1">
      <alignment horizontal="center" vertical="center" wrapText="1"/>
    </xf>
    <xf numFmtId="0" fontId="4" fillId="6" borderId="1" xfId="0" applyFont="1" applyFill="1" applyBorder="1" applyAlignment="1">
      <alignment horizontal="justify" vertical="center" wrapText="1"/>
    </xf>
    <xf numFmtId="9" fontId="4" fillId="6" borderId="9" xfId="4" applyFont="1" applyFill="1" applyBorder="1" applyAlignment="1">
      <alignment horizontal="center" vertical="center" wrapText="1"/>
    </xf>
    <xf numFmtId="9" fontId="4" fillId="6" borderId="19" xfId="4" applyFont="1" applyFill="1" applyBorder="1" applyAlignment="1">
      <alignment horizontal="center" vertical="center" wrapText="1"/>
    </xf>
    <xf numFmtId="43" fontId="4" fillId="6" borderId="9" xfId="1" applyFont="1" applyFill="1" applyBorder="1" applyAlignment="1">
      <alignment horizontal="center" vertical="center" wrapText="1"/>
    </xf>
    <xf numFmtId="43" fontId="4" fillId="6" borderId="19" xfId="1" applyFont="1" applyFill="1" applyBorder="1" applyAlignment="1">
      <alignment horizontal="center" vertical="center" wrapText="1"/>
    </xf>
    <xf numFmtId="14" fontId="22" fillId="0" borderId="1" xfId="0" applyNumberFormat="1" applyFont="1" applyBorder="1" applyAlignment="1">
      <alignment horizontal="center" vertical="center"/>
    </xf>
    <xf numFmtId="43" fontId="4" fillId="6" borderId="1" xfId="1"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9" fontId="4" fillId="6" borderId="1" xfId="4"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3" fontId="4" fillId="6" borderId="9" xfId="0" applyNumberFormat="1" applyFont="1" applyFill="1" applyBorder="1" applyAlignment="1">
      <alignment horizontal="left" vertical="center" wrapText="1"/>
    </xf>
    <xf numFmtId="3" fontId="4" fillId="6" borderId="19" xfId="0" applyNumberFormat="1" applyFont="1" applyFill="1" applyBorder="1" applyAlignment="1">
      <alignment horizontal="left"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9" xfId="0" applyFont="1" applyFill="1" applyBorder="1" applyAlignment="1">
      <alignment horizontal="center" vertical="center" wrapText="1"/>
    </xf>
    <xf numFmtId="9" fontId="8" fillId="6" borderId="1" xfId="4" applyFont="1" applyFill="1" applyBorder="1" applyAlignment="1">
      <alignment horizontal="center" vertical="center" wrapText="1"/>
    </xf>
    <xf numFmtId="1" fontId="24" fillId="6" borderId="1" xfId="0" applyNumberFormat="1" applyFont="1" applyFill="1" applyBorder="1" applyAlignment="1">
      <alignment horizontal="center" vertical="center" wrapText="1"/>
    </xf>
    <xf numFmtId="0" fontId="24" fillId="7" borderId="6" xfId="0" applyFont="1" applyFill="1" applyBorder="1" applyAlignment="1">
      <alignment horizontal="center" vertical="center"/>
    </xf>
    <xf numFmtId="0" fontId="24" fillId="7" borderId="7" xfId="0" applyFont="1" applyFill="1" applyBorder="1" applyAlignment="1">
      <alignment horizontal="center" vertical="center"/>
    </xf>
    <xf numFmtId="0" fontId="24" fillId="7" borderId="8" xfId="0" applyFont="1" applyFill="1" applyBorder="1" applyAlignment="1">
      <alignment horizontal="center" vertical="center"/>
    </xf>
    <xf numFmtId="0" fontId="24"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44" fontId="24" fillId="3" borderId="9" xfId="17" applyFont="1" applyFill="1" applyBorder="1" applyAlignment="1">
      <alignment horizontal="center" vertical="center" wrapText="1"/>
    </xf>
    <xf numFmtId="44" fontId="24" fillId="3" borderId="10" xfId="17"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10" xfId="0" applyFont="1" applyFill="1" applyBorder="1" applyAlignment="1">
      <alignment horizontal="center" vertical="center" wrapText="1"/>
    </xf>
    <xf numFmtId="169" fontId="24" fillId="3" borderId="3" xfId="0" applyNumberFormat="1" applyFont="1" applyFill="1" applyBorder="1" applyAlignment="1">
      <alignment horizontal="center" vertical="center" wrapText="1"/>
    </xf>
    <xf numFmtId="169" fontId="24" fillId="3" borderId="11" xfId="0" applyNumberFormat="1" applyFont="1" applyFill="1" applyBorder="1" applyAlignment="1">
      <alignment horizontal="center" vertical="center" wrapText="1"/>
    </xf>
    <xf numFmtId="168" fontId="24" fillId="3" borderId="3" xfId="0" applyNumberFormat="1" applyFont="1" applyFill="1" applyBorder="1" applyAlignment="1">
      <alignment horizontal="center" vertical="center" wrapText="1"/>
    </xf>
    <xf numFmtId="168" fontId="24" fillId="3" borderId="11" xfId="0" applyNumberFormat="1" applyFont="1" applyFill="1" applyBorder="1" applyAlignment="1">
      <alignment horizontal="center" vertical="center" wrapText="1"/>
    </xf>
    <xf numFmtId="0" fontId="24" fillId="3" borderId="3" xfId="0" applyFont="1" applyFill="1" applyBorder="1" applyAlignment="1">
      <alignment horizontal="justify" vertical="center" wrapText="1"/>
    </xf>
    <xf numFmtId="0" fontId="24" fillId="3" borderId="11" xfId="0" applyFont="1" applyFill="1" applyBorder="1" applyAlignment="1">
      <alignment horizontal="justify" vertical="center" wrapText="1"/>
    </xf>
    <xf numFmtId="0" fontId="24" fillId="3" borderId="3"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4" fillId="0" borderId="1" xfId="0" applyFont="1" applyBorder="1" applyAlignment="1">
      <alignment horizontal="center" vertical="center"/>
    </xf>
    <xf numFmtId="1" fontId="24" fillId="3" borderId="12" xfId="0" applyNumberFormat="1" applyFont="1" applyFill="1" applyBorder="1" applyAlignment="1">
      <alignment horizontal="center" vertical="center" wrapText="1"/>
    </xf>
    <xf numFmtId="1" fontId="24" fillId="3" borderId="13" xfId="0" applyNumberFormat="1" applyFont="1" applyFill="1" applyBorder="1" applyAlignment="1">
      <alignment horizontal="center" vertical="center" wrapText="1"/>
    </xf>
    <xf numFmtId="167" fontId="24" fillId="3" borderId="3" xfId="0" applyNumberFormat="1" applyFont="1" applyFill="1" applyBorder="1" applyAlignment="1">
      <alignment horizontal="center" vertical="center" wrapText="1"/>
    </xf>
    <xf numFmtId="167" fontId="24" fillId="3" borderId="11" xfId="0" applyNumberFormat="1" applyFont="1" applyFill="1" applyBorder="1" applyAlignment="1">
      <alignment horizontal="center" vertical="center" wrapText="1"/>
    </xf>
    <xf numFmtId="3" fontId="24" fillId="3" borderId="9" xfId="0" applyNumberFormat="1" applyFont="1" applyFill="1" applyBorder="1" applyAlignment="1">
      <alignment horizontal="center" vertical="center" wrapText="1"/>
    </xf>
    <xf numFmtId="3" fontId="24" fillId="3" borderId="10" xfId="0" applyNumberFormat="1" applyFont="1" applyFill="1" applyBorder="1" applyAlignment="1">
      <alignment horizontal="center" vertical="center" wrapText="1"/>
    </xf>
    <xf numFmtId="3" fontId="27" fillId="4" borderId="1" xfId="0" applyNumberFormat="1"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8" xfId="0" applyFont="1" applyFill="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6" fillId="0" borderId="5" xfId="0" applyFont="1" applyBorder="1" applyAlignment="1">
      <alignment horizontal="center" vertical="center"/>
    </xf>
    <xf numFmtId="0" fontId="6" fillId="0" borderId="20" xfId="0" applyFont="1" applyBorder="1" applyAlignment="1">
      <alignment horizontal="center" vertical="center"/>
    </xf>
    <xf numFmtId="1" fontId="6" fillId="3" borderId="69"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9" xfId="0" applyFont="1" applyFill="1" applyBorder="1" applyAlignment="1">
      <alignment horizontal="center" vertical="center" textRotation="90" wrapText="1"/>
    </xf>
    <xf numFmtId="0" fontId="32" fillId="4" borderId="19" xfId="0" applyFont="1" applyFill="1" applyBorder="1" applyAlignment="1">
      <alignment horizontal="center" vertical="center" textRotation="90" wrapText="1"/>
    </xf>
    <xf numFmtId="167" fontId="6" fillId="3" borderId="5" xfId="0" applyNumberFormat="1" applyFont="1" applyFill="1" applyBorder="1" applyAlignment="1">
      <alignment horizontal="center" vertical="center" wrapText="1"/>
    </xf>
    <xf numFmtId="3" fontId="6" fillId="3" borderId="50" xfId="0" applyNumberFormat="1" applyFont="1" applyFill="1" applyBorder="1" applyAlignment="1">
      <alignment horizontal="center" vertical="center" wrapText="1"/>
    </xf>
    <xf numFmtId="0" fontId="32" fillId="4" borderId="1" xfId="0" applyFont="1" applyFill="1" applyBorder="1" applyAlignment="1">
      <alignment horizontal="center" vertical="center"/>
    </xf>
    <xf numFmtId="0" fontId="12" fillId="6" borderId="9" xfId="27" applyNumberFormat="1" applyFont="1" applyFill="1" applyBorder="1" applyAlignment="1">
      <alignment horizontal="justify" vertical="center" wrapText="1"/>
    </xf>
    <xf numFmtId="0" fontId="12" fillId="6" borderId="19" xfId="27" applyNumberFormat="1" applyFont="1" applyFill="1" applyBorder="1" applyAlignment="1">
      <alignment horizontal="justify" vertical="center" wrapText="1"/>
    </xf>
    <xf numFmtId="3" fontId="29" fillId="0" borderId="12" xfId="0" applyNumberFormat="1" applyFont="1" applyBorder="1" applyAlignment="1">
      <alignment horizontal="center" vertical="center"/>
    </xf>
    <xf numFmtId="3" fontId="29" fillId="0" borderId="13" xfId="0" applyNumberFormat="1" applyFont="1" applyBorder="1" applyAlignment="1">
      <alignment horizontal="center" vertical="center"/>
    </xf>
    <xf numFmtId="3" fontId="29" fillId="0" borderId="20" xfId="0" applyNumberFormat="1" applyFont="1" applyBorder="1" applyAlignment="1">
      <alignment horizontal="center" vertical="center"/>
    </xf>
    <xf numFmtId="3" fontId="29" fillId="0" borderId="9" xfId="0" applyNumberFormat="1" applyFont="1" applyBorder="1" applyAlignment="1">
      <alignment horizontal="center" vertical="center"/>
    </xf>
    <xf numFmtId="3" fontId="29" fillId="0" borderId="10" xfId="0" applyNumberFormat="1" applyFont="1" applyBorder="1" applyAlignment="1">
      <alignment horizontal="center" vertical="center"/>
    </xf>
    <xf numFmtId="3" fontId="29" fillId="0" borderId="19" xfId="0" applyNumberFormat="1" applyFont="1" applyBorder="1" applyAlignment="1">
      <alignment horizontal="center" vertical="center"/>
    </xf>
    <xf numFmtId="0" fontId="17" fillId="6" borderId="14" xfId="27" applyNumberFormat="1" applyFont="1" applyFill="1" applyBorder="1" applyAlignment="1">
      <alignment horizontal="justify" vertical="center" wrapText="1"/>
    </xf>
    <xf numFmtId="0" fontId="17" fillId="0" borderId="9" xfId="0" applyFont="1" applyFill="1" applyBorder="1" applyAlignment="1">
      <alignment horizontal="justify" vertical="center" wrapText="1"/>
    </xf>
    <xf numFmtId="0" fontId="17" fillId="0" borderId="19" xfId="0" applyFont="1" applyFill="1" applyBorder="1" applyAlignment="1">
      <alignment horizontal="justify" vertical="center" wrapText="1"/>
    </xf>
    <xf numFmtId="1" fontId="6" fillId="3" borderId="1" xfId="0" applyNumberFormat="1" applyFont="1" applyFill="1" applyBorder="1" applyAlignment="1">
      <alignment horizontal="center" vertical="center" wrapText="1"/>
    </xf>
    <xf numFmtId="3" fontId="32" fillId="4" borderId="1" xfId="0" applyNumberFormat="1" applyFont="1" applyFill="1" applyBorder="1" applyAlignment="1">
      <alignment horizontal="center" vertical="center" wrapText="1"/>
    </xf>
    <xf numFmtId="169" fontId="6" fillId="3" borderId="1" xfId="0" applyNumberFormat="1" applyFont="1" applyFill="1" applyBorder="1" applyAlignment="1">
      <alignment horizontal="center" vertical="center" wrapText="1"/>
    </xf>
    <xf numFmtId="168" fontId="6" fillId="3" borderId="1" xfId="0" applyNumberFormat="1" applyFont="1" applyFill="1" applyBorder="1" applyAlignment="1">
      <alignment horizontal="center" vertical="center" wrapText="1"/>
    </xf>
    <xf numFmtId="49" fontId="12" fillId="0" borderId="12" xfId="27" applyNumberFormat="1" applyFont="1" applyBorder="1" applyAlignment="1">
      <alignment horizontal="center" vertical="center" wrapText="1"/>
    </xf>
    <xf numFmtId="49" fontId="12" fillId="0" borderId="13" xfId="27" applyNumberFormat="1" applyFont="1" applyBorder="1" applyAlignment="1">
      <alignment horizontal="center" vertical="center" wrapText="1"/>
    </xf>
    <xf numFmtId="190" fontId="12" fillId="6" borderId="3" xfId="27" applyFont="1" applyFill="1" applyBorder="1" applyAlignment="1">
      <alignment horizontal="justify" vertical="center" wrapText="1"/>
    </xf>
    <xf numFmtId="190" fontId="12" fillId="6" borderId="11" xfId="27" applyFont="1" applyFill="1" applyBorder="1" applyAlignment="1">
      <alignment horizontal="justify" vertical="center" wrapText="1"/>
    </xf>
    <xf numFmtId="10" fontId="14" fillId="6" borderId="14" xfId="27" applyNumberFormat="1" applyFont="1" applyFill="1" applyBorder="1" applyAlignment="1">
      <alignment horizontal="center" vertical="center" wrapText="1"/>
    </xf>
    <xf numFmtId="3" fontId="12" fillId="0" borderId="1" xfId="0" applyNumberFormat="1" applyFont="1" applyBorder="1" applyAlignment="1">
      <alignment horizontal="center" vertical="center"/>
    </xf>
    <xf numFmtId="3" fontId="0" fillId="0" borderId="1" xfId="0" applyNumberFormat="1" applyBorder="1" applyAlignment="1">
      <alignment horizontal="center" vertical="center"/>
    </xf>
    <xf numFmtId="3" fontId="12" fillId="0" borderId="9" xfId="0" applyNumberFormat="1" applyFont="1" applyBorder="1" applyAlignment="1">
      <alignment horizontal="center" vertical="center"/>
    </xf>
    <xf numFmtId="3" fontId="12" fillId="0" borderId="10" xfId="0" applyNumberFormat="1" applyFont="1" applyBorder="1" applyAlignment="1">
      <alignment horizontal="center" vertical="center"/>
    </xf>
    <xf numFmtId="3" fontId="12" fillId="0" borderId="19" xfId="0" applyNumberFormat="1" applyFont="1" applyBorder="1" applyAlignment="1">
      <alignment horizontal="center" vertical="center"/>
    </xf>
    <xf numFmtId="14" fontId="12" fillId="0" borderId="9" xfId="0" applyNumberFormat="1" applyFont="1" applyBorder="1" applyAlignment="1">
      <alignment horizontal="center" vertical="center"/>
    </xf>
    <xf numFmtId="14" fontId="12" fillId="0" borderId="10" xfId="0" applyNumberFormat="1" applyFont="1" applyBorder="1" applyAlignment="1">
      <alignment horizontal="center" vertical="center"/>
    </xf>
    <xf numFmtId="14" fontId="12" fillId="0" borderId="19" xfId="0" applyNumberFormat="1" applyFont="1" applyBorder="1" applyAlignment="1">
      <alignment horizontal="center" vertical="center"/>
    </xf>
    <xf numFmtId="1" fontId="6" fillId="0" borderId="9"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 fontId="6" fillId="0" borderId="19"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0" xfId="0" applyFont="1" applyFill="1" applyBorder="1" applyAlignment="1">
      <alignment horizontal="center" vertical="center" wrapText="1"/>
    </xf>
    <xf numFmtId="3" fontId="12" fillId="6" borderId="9" xfId="27" applyNumberFormat="1" applyFont="1" applyFill="1" applyBorder="1" applyAlignment="1">
      <alignment horizontal="center" vertical="center" wrapText="1"/>
    </xf>
    <xf numFmtId="3" fontId="12" fillId="6" borderId="19" xfId="27" applyNumberFormat="1" applyFont="1" applyFill="1" applyBorder="1" applyAlignment="1">
      <alignment horizontal="center" vertical="center" wrapText="1"/>
    </xf>
    <xf numFmtId="190" fontId="12" fillId="6" borderId="9" xfId="27" applyFont="1" applyFill="1" applyBorder="1" applyAlignment="1">
      <alignment horizontal="justify" vertical="center" wrapText="1"/>
    </xf>
    <xf numFmtId="190" fontId="12" fillId="6" borderId="19" xfId="27" applyFont="1" applyFill="1" applyBorder="1" applyAlignment="1">
      <alignment horizontal="justify" vertical="center" wrapText="1"/>
    </xf>
    <xf numFmtId="0" fontId="12" fillId="0" borderId="1" xfId="0" applyFont="1" applyBorder="1" applyAlignment="1">
      <alignment vertical="center" wrapText="1"/>
    </xf>
    <xf numFmtId="0" fontId="0" fillId="0" borderId="1" xfId="0" applyBorder="1" applyAlignment="1">
      <alignment vertical="center" wrapText="1"/>
    </xf>
    <xf numFmtId="3" fontId="12" fillId="6" borderId="1" xfId="27" applyNumberFormat="1" applyFont="1" applyFill="1" applyBorder="1" applyAlignment="1">
      <alignment horizontal="center" vertical="center" wrapText="1"/>
    </xf>
    <xf numFmtId="190" fontId="12" fillId="6" borderId="1" xfId="27" applyFont="1" applyFill="1" applyBorder="1" applyAlignment="1">
      <alignment horizontal="justify" vertical="center" wrapText="1"/>
    </xf>
    <xf numFmtId="190" fontId="12" fillId="0" borderId="1" xfId="27" applyFont="1" applyBorder="1" applyAlignment="1">
      <alignment horizontal="justify" vertical="center" wrapText="1"/>
    </xf>
    <xf numFmtId="191" fontId="12" fillId="6" borderId="1" xfId="27" applyNumberFormat="1" applyFont="1" applyFill="1" applyBorder="1" applyAlignment="1">
      <alignment horizontal="center" vertical="center"/>
    </xf>
    <xf numFmtId="3" fontId="0" fillId="0" borderId="10" xfId="0" applyNumberFormat="1" applyBorder="1" applyAlignment="1">
      <alignment horizontal="center" vertical="center"/>
    </xf>
    <xf numFmtId="3" fontId="0" fillId="0" borderId="19" xfId="0" applyNumberFormat="1" applyBorder="1" applyAlignment="1">
      <alignment horizontal="center" vertical="center"/>
    </xf>
    <xf numFmtId="3" fontId="29" fillId="0" borderId="1" xfId="0" applyNumberFormat="1" applyFont="1" applyBorder="1" applyAlignment="1">
      <alignment horizontal="center" vertical="center"/>
    </xf>
    <xf numFmtId="3" fontId="29" fillId="0" borderId="1" xfId="0" applyNumberFormat="1" applyFont="1" applyBorder="1" applyAlignment="1">
      <alignment horizontal="center" vertical="center" wrapText="1"/>
    </xf>
    <xf numFmtId="43" fontId="12" fillId="6" borderId="12" xfId="1" applyFont="1" applyFill="1" applyBorder="1" applyAlignment="1">
      <alignment horizontal="center" vertical="center" wrapText="1"/>
    </xf>
    <xf numFmtId="43" fontId="12" fillId="6" borderId="13" xfId="1" applyFont="1" applyFill="1" applyBorder="1" applyAlignment="1">
      <alignment horizontal="center" vertical="center" wrapText="1"/>
    </xf>
    <xf numFmtId="43" fontId="12" fillId="6" borderId="20" xfId="1" applyFont="1" applyFill="1" applyBorder="1" applyAlignment="1">
      <alignment horizontal="center" vertical="center" wrapText="1"/>
    </xf>
    <xf numFmtId="0" fontId="12" fillId="6" borderId="1" xfId="27" applyNumberFormat="1" applyFont="1" applyFill="1" applyBorder="1" applyAlignment="1">
      <alignment horizontal="justify" vertical="center" wrapText="1"/>
    </xf>
    <xf numFmtId="190" fontId="12" fillId="0" borderId="9" xfId="27" applyFont="1" applyBorder="1" applyAlignment="1">
      <alignment horizontal="justify" vertical="center" wrapText="1"/>
    </xf>
    <xf numFmtId="190" fontId="12" fillId="0" borderId="19" xfId="27" applyFont="1" applyBorder="1" applyAlignment="1">
      <alignment horizontal="justify" vertical="center" wrapText="1"/>
    </xf>
    <xf numFmtId="3" fontId="12" fillId="0" borderId="9" xfId="27" applyNumberFormat="1" applyFont="1" applyBorder="1" applyAlignment="1">
      <alignment horizontal="center" vertical="center"/>
    </xf>
    <xf numFmtId="3" fontId="12" fillId="0" borderId="19" xfId="27" applyNumberFormat="1" applyFont="1" applyBorder="1" applyAlignment="1">
      <alignment horizontal="center" vertical="center"/>
    </xf>
    <xf numFmtId="190" fontId="12" fillId="6" borderId="12" xfId="27" applyFont="1" applyFill="1" applyBorder="1" applyAlignment="1">
      <alignment horizontal="center" vertical="center" wrapText="1"/>
    </xf>
    <xf numFmtId="190" fontId="12" fillId="6" borderId="13" xfId="27" applyFont="1" applyFill="1" applyBorder="1" applyAlignment="1">
      <alignment horizontal="center" vertical="center" wrapText="1"/>
    </xf>
    <xf numFmtId="1" fontId="12" fillId="6" borderId="1" xfId="27" applyNumberFormat="1" applyFont="1" applyFill="1" applyBorder="1" applyAlignment="1">
      <alignment horizontal="center" vertical="center"/>
    </xf>
    <xf numFmtId="0" fontId="12" fillId="0" borderId="9" xfId="0" applyFont="1" applyFill="1" applyBorder="1" applyAlignment="1">
      <alignment horizontal="justify" vertical="center" wrapText="1"/>
    </xf>
    <xf numFmtId="0" fontId="12" fillId="0" borderId="19" xfId="0" applyFont="1" applyFill="1" applyBorder="1" applyAlignment="1">
      <alignment horizontal="justify" vertical="center" wrapText="1"/>
    </xf>
    <xf numFmtId="3" fontId="12" fillId="0" borderId="1" xfId="27" applyNumberFormat="1" applyFont="1" applyBorder="1" applyAlignment="1">
      <alignment horizontal="center" vertical="center"/>
    </xf>
    <xf numFmtId="0" fontId="12" fillId="6" borderId="9" xfId="0" applyFont="1" applyFill="1" applyBorder="1" applyAlignment="1">
      <alignment horizontal="justify" vertical="center" wrapText="1"/>
    </xf>
    <xf numFmtId="0" fontId="12" fillId="6" borderId="19" xfId="0" applyFont="1" applyFill="1" applyBorder="1" applyAlignment="1">
      <alignment horizontal="justify" vertical="center" wrapText="1"/>
    </xf>
    <xf numFmtId="0" fontId="17" fillId="0" borderId="10" xfId="0" applyFont="1" applyFill="1" applyBorder="1" applyAlignment="1">
      <alignment horizontal="justify" vertical="center" wrapText="1"/>
    </xf>
    <xf numFmtId="0" fontId="12" fillId="6" borderId="6" xfId="27" applyNumberFormat="1" applyFont="1" applyFill="1" applyBorder="1" applyAlignment="1">
      <alignment horizontal="justify" vertical="center" wrapText="1"/>
    </xf>
    <xf numFmtId="3" fontId="12" fillId="0" borderId="9" xfId="0" applyNumberFormat="1" applyFont="1" applyBorder="1" applyAlignment="1">
      <alignment vertical="center" wrapText="1"/>
    </xf>
    <xf numFmtId="3" fontId="12" fillId="0" borderId="10" xfId="0" applyNumberFormat="1" applyFont="1" applyBorder="1" applyAlignment="1">
      <alignment vertical="center" wrapText="1"/>
    </xf>
    <xf numFmtId="3" fontId="12" fillId="0" borderId="19" xfId="0" applyNumberFormat="1" applyFont="1" applyBorder="1" applyAlignment="1">
      <alignment vertical="center" wrapText="1"/>
    </xf>
    <xf numFmtId="3" fontId="12" fillId="0" borderId="3" xfId="0" applyNumberFormat="1" applyFont="1" applyBorder="1" applyAlignment="1">
      <alignment vertical="center" wrapText="1"/>
    </xf>
    <xf numFmtId="3" fontId="12" fillId="0" borderId="11" xfId="0" applyNumberFormat="1" applyFont="1" applyBorder="1" applyAlignment="1">
      <alignment vertical="center" wrapText="1"/>
    </xf>
    <xf numFmtId="3" fontId="0" fillId="0" borderId="11" xfId="0" applyNumberFormat="1" applyBorder="1" applyAlignment="1">
      <alignment vertical="center" wrapText="1"/>
    </xf>
    <xf numFmtId="3" fontId="0" fillId="0" borderId="5" xfId="0" applyNumberFormat="1" applyBorder="1" applyAlignment="1">
      <alignment vertical="center" wrapText="1"/>
    </xf>
    <xf numFmtId="3" fontId="12" fillId="6" borderId="12" xfId="0" applyNumberFormat="1" applyFont="1" applyFill="1" applyBorder="1" applyAlignment="1">
      <alignment vertical="center" wrapText="1"/>
    </xf>
    <xf numFmtId="3" fontId="12" fillId="6" borderId="13" xfId="0" applyNumberFormat="1" applyFont="1" applyFill="1" applyBorder="1" applyAlignment="1">
      <alignment vertical="center" wrapText="1"/>
    </xf>
    <xf numFmtId="3" fontId="12" fillId="6" borderId="20" xfId="0" applyNumberFormat="1" applyFont="1" applyFill="1" applyBorder="1" applyAlignment="1">
      <alignment vertical="center" wrapText="1"/>
    </xf>
    <xf numFmtId="0" fontId="17" fillId="0" borderId="9" xfId="27" applyNumberFormat="1" applyFont="1" applyFill="1" applyBorder="1" applyAlignment="1">
      <alignment horizontal="justify" vertical="center" wrapText="1"/>
    </xf>
    <xf numFmtId="0" fontId="17" fillId="0" borderId="19" xfId="27" applyNumberFormat="1" applyFont="1" applyFill="1" applyBorder="1" applyAlignment="1">
      <alignment horizontal="justify" vertical="center" wrapText="1"/>
    </xf>
    <xf numFmtId="3" fontId="12" fillId="0" borderId="1" xfId="0" applyNumberFormat="1" applyFont="1" applyBorder="1" applyAlignment="1">
      <alignment vertical="center" wrapText="1"/>
    </xf>
    <xf numFmtId="3" fontId="0" fillId="0" borderId="1" xfId="0" applyNumberFormat="1" applyBorder="1" applyAlignment="1">
      <alignment vertical="center" wrapText="1"/>
    </xf>
    <xf numFmtId="167" fontId="12" fillId="0" borderId="9" xfId="0" applyNumberFormat="1" applyFont="1" applyBorder="1" applyAlignment="1">
      <alignment horizontal="center" vertical="center"/>
    </xf>
    <xf numFmtId="167" fontId="12" fillId="0" borderId="10" xfId="0" applyNumberFormat="1" applyFont="1" applyBorder="1" applyAlignment="1">
      <alignment horizontal="center" vertical="center"/>
    </xf>
    <xf numFmtId="167" fontId="12" fillId="0" borderId="19" xfId="0" applyNumberFormat="1" applyFont="1" applyBorder="1" applyAlignment="1">
      <alignment horizontal="center" vertical="center"/>
    </xf>
    <xf numFmtId="167" fontId="12" fillId="0" borderId="9" xfId="0" applyNumberFormat="1" applyFont="1" applyBorder="1" applyAlignment="1">
      <alignment horizontal="left" vertical="center" wrapText="1"/>
    </xf>
    <xf numFmtId="167" fontId="12" fillId="0" borderId="10" xfId="0" applyNumberFormat="1" applyFont="1" applyBorder="1" applyAlignment="1">
      <alignment horizontal="left" vertical="center" wrapText="1"/>
    </xf>
    <xf numFmtId="0" fontId="0" fillId="0" borderId="10" xfId="0" applyBorder="1" applyAlignment="1">
      <alignment horizontal="left" vertical="center"/>
    </xf>
    <xf numFmtId="0" fontId="0" fillId="0" borderId="19" xfId="0" applyBorder="1" applyAlignment="1">
      <alignment horizontal="left" vertical="center"/>
    </xf>
    <xf numFmtId="10" fontId="12" fillId="6" borderId="14" xfId="27" applyNumberFormat="1" applyFont="1" applyFill="1" applyBorder="1" applyAlignment="1">
      <alignment horizontal="center" vertical="center" wrapText="1"/>
    </xf>
    <xf numFmtId="3" fontId="12" fillId="0" borderId="3" xfId="0" applyNumberFormat="1" applyFont="1" applyBorder="1" applyAlignment="1">
      <alignment vertical="center"/>
    </xf>
    <xf numFmtId="3" fontId="0" fillId="0" borderId="0" xfId="0" applyNumberFormat="1" applyAlignment="1">
      <alignment vertical="center"/>
    </xf>
    <xf numFmtId="3" fontId="0" fillId="0" borderId="2" xfId="0" applyNumberFormat="1" applyBorder="1" applyAlignment="1">
      <alignment vertical="center"/>
    </xf>
    <xf numFmtId="3" fontId="0" fillId="0" borderId="11" xfId="0" applyNumberFormat="1" applyBorder="1" applyAlignment="1">
      <alignment vertical="center"/>
    </xf>
    <xf numFmtId="3" fontId="0" fillId="0" borderId="5" xfId="0" applyNumberFormat="1" applyBorder="1" applyAlignment="1">
      <alignment vertical="center"/>
    </xf>
    <xf numFmtId="0" fontId="17" fillId="0" borderId="5" xfId="27" applyNumberFormat="1" applyFont="1" applyFill="1" applyBorder="1" applyAlignment="1">
      <alignment horizontal="justify" vertical="center" wrapText="1"/>
    </xf>
    <xf numFmtId="1" fontId="24" fillId="6" borderId="1" xfId="27" applyNumberFormat="1" applyFont="1" applyFill="1" applyBorder="1" applyAlignment="1">
      <alignment horizontal="center" vertical="center" wrapText="1"/>
    </xf>
    <xf numFmtId="1" fontId="14" fillId="6" borderId="1" xfId="8" applyNumberFormat="1" applyFont="1" applyFill="1" applyBorder="1" applyAlignment="1">
      <alignment horizontal="center" vertical="center" wrapText="1"/>
    </xf>
    <xf numFmtId="1" fontId="12" fillId="0" borderId="1" xfId="27" applyNumberFormat="1" applyFont="1" applyBorder="1" applyAlignment="1">
      <alignment horizontal="center" vertical="center"/>
    </xf>
    <xf numFmtId="190" fontId="12" fillId="6" borderId="20" xfId="27" applyFont="1" applyFill="1" applyBorder="1" applyAlignment="1">
      <alignment horizontal="center" vertical="center" wrapText="1"/>
    </xf>
    <xf numFmtId="49" fontId="12" fillId="0" borderId="20" xfId="27" applyNumberFormat="1" applyFont="1" applyBorder="1" applyAlignment="1">
      <alignment horizontal="center" vertical="center" wrapText="1"/>
    </xf>
    <xf numFmtId="190" fontId="12" fillId="6" borderId="5" xfId="27" applyFont="1" applyFill="1" applyBorder="1" applyAlignment="1">
      <alignment horizontal="justify" vertical="center" wrapText="1"/>
    </xf>
    <xf numFmtId="3" fontId="12" fillId="6" borderId="9" xfId="0" applyNumberFormat="1" applyFont="1" applyFill="1" applyBorder="1" applyAlignment="1">
      <alignment vertical="center" wrapText="1"/>
    </xf>
    <xf numFmtId="3" fontId="12" fillId="6" borderId="10" xfId="0" applyNumberFormat="1" applyFont="1" applyFill="1" applyBorder="1" applyAlignment="1">
      <alignment vertical="center" wrapText="1"/>
    </xf>
    <xf numFmtId="3" fontId="12" fillId="6" borderId="19" xfId="0" applyNumberFormat="1" applyFont="1" applyFill="1" applyBorder="1" applyAlignment="1">
      <alignment vertical="center" wrapText="1"/>
    </xf>
    <xf numFmtId="1" fontId="14" fillId="6" borderId="9" xfId="8" applyNumberFormat="1" applyFont="1" applyFill="1" applyBorder="1" applyAlignment="1">
      <alignment horizontal="center" vertical="center" wrapText="1"/>
    </xf>
    <xf numFmtId="1" fontId="14" fillId="6" borderId="10" xfId="8" applyNumberFormat="1" applyFont="1" applyFill="1" applyBorder="1" applyAlignment="1">
      <alignment horizontal="center" vertical="center" wrapText="1"/>
    </xf>
    <xf numFmtId="1" fontId="14" fillId="6" borderId="19" xfId="8" applyNumberFormat="1" applyFont="1" applyFill="1" applyBorder="1" applyAlignment="1">
      <alignment horizontal="center" vertical="center" wrapText="1"/>
    </xf>
    <xf numFmtId="190" fontId="12" fillId="6" borderId="10" xfId="27" applyFont="1" applyFill="1" applyBorder="1" applyAlignment="1">
      <alignment horizontal="justify" vertical="center" wrapText="1"/>
    </xf>
    <xf numFmtId="1" fontId="12" fillId="6" borderId="9" xfId="27" applyNumberFormat="1" applyFont="1" applyFill="1" applyBorder="1" applyAlignment="1">
      <alignment horizontal="center" vertical="center"/>
    </xf>
    <xf numFmtId="1" fontId="12" fillId="6" borderId="10" xfId="27" applyNumberFormat="1" applyFont="1" applyFill="1" applyBorder="1" applyAlignment="1">
      <alignment horizontal="center" vertical="center"/>
    </xf>
    <xf numFmtId="1" fontId="12" fillId="6" borderId="19" xfId="27" applyNumberFormat="1" applyFont="1" applyFill="1" applyBorder="1" applyAlignment="1">
      <alignment horizontal="center" vertical="center"/>
    </xf>
    <xf numFmtId="49" fontId="12" fillId="0" borderId="9" xfId="27" applyNumberFormat="1" applyFont="1" applyBorder="1" applyAlignment="1">
      <alignment horizontal="center" vertical="center" wrapText="1"/>
    </xf>
    <xf numFmtId="49" fontId="12" fillId="0" borderId="10" xfId="27" applyNumberFormat="1" applyFont="1" applyBorder="1" applyAlignment="1">
      <alignment horizontal="center" vertical="center" wrapText="1"/>
    </xf>
    <xf numFmtId="49" fontId="12" fillId="0" borderId="19" xfId="27" applyNumberFormat="1" applyFont="1" applyBorder="1" applyAlignment="1">
      <alignment horizontal="center" vertical="center" wrapText="1"/>
    </xf>
    <xf numFmtId="3" fontId="12" fillId="0" borderId="1" xfId="0" applyNumberFormat="1" applyFont="1" applyBorder="1" applyAlignment="1">
      <alignment vertical="center"/>
    </xf>
    <xf numFmtId="3" fontId="0" fillId="0" borderId="1" xfId="0" applyNumberFormat="1" applyBorder="1" applyAlignment="1">
      <alignment vertical="center"/>
    </xf>
    <xf numFmtId="167" fontId="12" fillId="0" borderId="1" xfId="0" applyNumberFormat="1" applyFont="1" applyBorder="1" applyAlignment="1">
      <alignment horizontal="left" vertical="center" wrapText="1"/>
    </xf>
    <xf numFmtId="0" fontId="0" fillId="0" borderId="1" xfId="0" applyBorder="1" applyAlignment="1">
      <alignment horizontal="left" vertical="center" wrapText="1"/>
    </xf>
    <xf numFmtId="0" fontId="17" fillId="6" borderId="9" xfId="0" applyFont="1" applyFill="1" applyBorder="1" applyAlignment="1">
      <alignment horizontal="justify" vertical="center" wrapText="1"/>
    </xf>
    <xf numFmtId="0" fontId="17" fillId="6" borderId="19" xfId="0" applyFont="1" applyFill="1" applyBorder="1" applyAlignment="1">
      <alignment horizontal="justify"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xf>
    <xf numFmtId="190" fontId="12" fillId="6" borderId="13" xfId="27" applyFont="1" applyFill="1" applyBorder="1" applyAlignment="1">
      <alignment horizontal="center" vertical="center"/>
    </xf>
    <xf numFmtId="9" fontId="12" fillId="6" borderId="14" xfId="27" applyNumberFormat="1" applyFont="1" applyFill="1" applyBorder="1" applyAlignment="1">
      <alignment horizontal="center" vertical="center"/>
    </xf>
    <xf numFmtId="43" fontId="12" fillId="6" borderId="12" xfId="1" applyFont="1" applyFill="1" applyBorder="1" applyAlignment="1">
      <alignment horizontal="center" vertical="center"/>
    </xf>
    <xf numFmtId="43" fontId="12" fillId="6" borderId="13" xfId="1" applyFont="1" applyFill="1" applyBorder="1" applyAlignment="1">
      <alignment horizontal="center" vertical="center"/>
    </xf>
    <xf numFmtId="43" fontId="12" fillId="6" borderId="20" xfId="1" applyFont="1" applyFill="1" applyBorder="1" applyAlignment="1">
      <alignment horizontal="center" vertical="center"/>
    </xf>
    <xf numFmtId="0" fontId="0" fillId="0" borderId="1" xfId="0" applyBorder="1" applyAlignment="1">
      <alignment horizontal="left" vertical="center"/>
    </xf>
    <xf numFmtId="3" fontId="12" fillId="0" borderId="4" xfId="0" applyNumberFormat="1" applyFont="1" applyBorder="1" applyAlignment="1">
      <alignment horizontal="center" vertical="center"/>
    </xf>
    <xf numFmtId="3" fontId="0" fillId="0" borderId="0" xfId="0" applyNumberFormat="1" applyAlignment="1">
      <alignment horizontal="center" vertical="center"/>
    </xf>
    <xf numFmtId="3" fontId="12" fillId="6" borderId="1" xfId="27" applyNumberFormat="1" applyFont="1" applyFill="1" applyBorder="1" applyAlignment="1">
      <alignment horizontal="center" vertical="center"/>
    </xf>
    <xf numFmtId="0" fontId="17" fillId="6" borderId="9" xfId="27" applyNumberFormat="1" applyFont="1" applyFill="1" applyBorder="1" applyAlignment="1">
      <alignment horizontal="justify" vertical="center" wrapText="1"/>
    </xf>
    <xf numFmtId="0" fontId="17" fillId="6" borderId="19" xfId="27" applyNumberFormat="1" applyFont="1" applyFill="1" applyBorder="1" applyAlignment="1">
      <alignment horizontal="justify" vertical="center" wrapText="1"/>
    </xf>
    <xf numFmtId="0" fontId="17" fillId="6" borderId="3" xfId="27" applyNumberFormat="1" applyFont="1" applyFill="1" applyBorder="1" applyAlignment="1">
      <alignment horizontal="justify" vertical="center" wrapText="1"/>
    </xf>
    <xf numFmtId="0" fontId="17" fillId="6" borderId="5" xfId="27" applyNumberFormat="1" applyFont="1" applyFill="1" applyBorder="1" applyAlignment="1">
      <alignment horizontal="justify" vertical="center" wrapText="1"/>
    </xf>
    <xf numFmtId="3" fontId="0" fillId="0" borderId="8" xfId="0" applyNumberFormat="1" applyBorder="1" applyAlignment="1">
      <alignment vertical="center"/>
    </xf>
    <xf numFmtId="3" fontId="12" fillId="6" borderId="9" xfId="27" applyNumberFormat="1" applyFont="1" applyFill="1" applyBorder="1" applyAlignment="1">
      <alignment horizontal="center" vertical="center"/>
    </xf>
    <xf numFmtId="3" fontId="12" fillId="6" borderId="19" xfId="27" applyNumberFormat="1" applyFont="1" applyFill="1" applyBorder="1" applyAlignment="1">
      <alignment horizontal="center" vertical="center"/>
    </xf>
    <xf numFmtId="0" fontId="12" fillId="6" borderId="13" xfId="27" applyNumberFormat="1" applyFont="1" applyFill="1" applyBorder="1" applyAlignment="1">
      <alignment horizontal="center" vertical="center" wrapText="1"/>
    </xf>
    <xf numFmtId="3" fontId="12" fillId="0" borderId="10" xfId="27" applyNumberFormat="1" applyFont="1" applyBorder="1" applyAlignment="1">
      <alignment horizontal="center" vertical="center"/>
    </xf>
    <xf numFmtId="9" fontId="12" fillId="0" borderId="1" xfId="27" applyNumberFormat="1" applyFont="1" applyBorder="1" applyAlignment="1">
      <alignment horizontal="justify" vertical="center" wrapText="1"/>
    </xf>
    <xf numFmtId="190" fontId="12" fillId="0" borderId="10" xfId="27" applyFont="1" applyBorder="1" applyAlignment="1">
      <alignment horizontal="justify" vertical="center" wrapText="1"/>
    </xf>
    <xf numFmtId="4" fontId="12" fillId="0" borderId="9" xfId="27" applyNumberFormat="1" applyFont="1" applyBorder="1" applyAlignment="1">
      <alignment horizontal="center" vertical="center"/>
    </xf>
    <xf numFmtId="4" fontId="12" fillId="0" borderId="10" xfId="27" applyNumberFormat="1" applyFont="1" applyBorder="1" applyAlignment="1">
      <alignment horizontal="center" vertical="center"/>
    </xf>
    <xf numFmtId="3" fontId="12" fillId="0" borderId="9" xfId="0" applyNumberFormat="1" applyFont="1" applyBorder="1" applyAlignment="1">
      <alignment vertical="center"/>
    </xf>
    <xf numFmtId="3" fontId="12" fillId="0" borderId="10" xfId="0" applyNumberFormat="1" applyFont="1" applyBorder="1" applyAlignment="1">
      <alignment vertical="center"/>
    </xf>
    <xf numFmtId="3" fontId="12" fillId="0" borderId="13" xfId="0" applyNumberFormat="1" applyFont="1" applyBorder="1" applyAlignment="1">
      <alignment vertical="center"/>
    </xf>
    <xf numFmtId="3" fontId="12" fillId="0" borderId="19" xfId="0" applyNumberFormat="1" applyFont="1" applyBorder="1" applyAlignment="1">
      <alignment vertical="center"/>
    </xf>
    <xf numFmtId="0" fontId="17" fillId="0" borderId="16" xfId="27" applyNumberFormat="1" applyFont="1" applyFill="1" applyBorder="1" applyAlignment="1">
      <alignment horizontal="justify" vertical="center" wrapText="1"/>
    </xf>
    <xf numFmtId="0" fontId="17" fillId="0" borderId="27" xfId="27" applyNumberFormat="1" applyFont="1" applyFill="1" applyBorder="1" applyAlignment="1">
      <alignment horizontal="justify" vertical="center" wrapText="1"/>
    </xf>
    <xf numFmtId="0" fontId="17" fillId="0" borderId="21" xfId="27" applyNumberFormat="1" applyFont="1" applyFill="1" applyBorder="1" applyAlignment="1">
      <alignment horizontal="justify" vertical="center" wrapText="1"/>
    </xf>
    <xf numFmtId="0" fontId="17" fillId="0" borderId="39" xfId="27" applyNumberFormat="1" applyFont="1" applyFill="1" applyBorder="1" applyAlignment="1">
      <alignment horizontal="justify" vertical="center" wrapText="1"/>
    </xf>
    <xf numFmtId="0" fontId="17" fillId="0" borderId="14" xfId="27" applyNumberFormat="1" applyFont="1" applyBorder="1" applyAlignment="1">
      <alignment horizontal="justify" vertical="center" wrapText="1"/>
    </xf>
    <xf numFmtId="0" fontId="17" fillId="0" borderId="10" xfId="27" applyNumberFormat="1" applyFont="1" applyFill="1" applyBorder="1" applyAlignment="1">
      <alignment horizontal="justify" vertical="center" wrapText="1"/>
    </xf>
    <xf numFmtId="0" fontId="17" fillId="0" borderId="14" xfId="27" applyNumberFormat="1" applyFont="1" applyFill="1" applyBorder="1" applyAlignment="1">
      <alignment horizontal="justify" vertical="center" wrapText="1"/>
    </xf>
    <xf numFmtId="0" fontId="12" fillId="0" borderId="1" xfId="0" applyFont="1" applyBorder="1" applyAlignment="1">
      <alignment horizontal="left" vertical="center" wrapText="1"/>
    </xf>
    <xf numFmtId="10" fontId="12" fillId="0" borderId="14" xfId="27" applyNumberFormat="1" applyFont="1" applyBorder="1" applyAlignment="1">
      <alignment horizontal="center" vertical="center"/>
    </xf>
    <xf numFmtId="10" fontId="12" fillId="0" borderId="16" xfId="27" applyNumberFormat="1" applyFont="1" applyBorder="1" applyAlignment="1">
      <alignment horizontal="center" vertical="center"/>
    </xf>
    <xf numFmtId="10" fontId="12" fillId="0" borderId="39" xfId="27" applyNumberFormat="1" applyFont="1" applyBorder="1" applyAlignment="1">
      <alignment horizontal="center" vertical="center"/>
    </xf>
    <xf numFmtId="10" fontId="12" fillId="0" borderId="27" xfId="27" applyNumberFormat="1" applyFont="1" applyBorder="1" applyAlignment="1">
      <alignment horizontal="center" vertical="center"/>
    </xf>
    <xf numFmtId="43" fontId="12" fillId="0" borderId="12" xfId="1" applyFont="1" applyBorder="1" applyAlignment="1">
      <alignment horizontal="center" vertical="center"/>
    </xf>
    <xf numFmtId="43" fontId="12" fillId="0" borderId="13" xfId="1" applyFont="1" applyBorder="1" applyAlignment="1">
      <alignment horizontal="center" vertical="center"/>
    </xf>
    <xf numFmtId="43" fontId="12" fillId="0" borderId="20" xfId="1" applyFont="1" applyBorder="1" applyAlignment="1">
      <alignment horizontal="center" vertical="center"/>
    </xf>
    <xf numFmtId="190" fontId="14" fillId="0" borderId="9" xfId="27" applyFont="1" applyBorder="1" applyAlignment="1">
      <alignment horizontal="justify" vertical="center" wrapText="1"/>
    </xf>
    <xf numFmtId="190" fontId="14" fillId="0" borderId="19" xfId="27" applyFont="1" applyBorder="1" applyAlignment="1">
      <alignment horizontal="justify" vertical="center" wrapText="1"/>
    </xf>
    <xf numFmtId="9" fontId="12" fillId="0" borderId="79" xfId="27" applyNumberFormat="1" applyFont="1" applyBorder="1" applyAlignment="1">
      <alignment horizontal="center" vertical="center"/>
    </xf>
    <xf numFmtId="9" fontId="12" fillId="0" borderId="48" xfId="27" applyNumberFormat="1" applyFont="1" applyBorder="1" applyAlignment="1">
      <alignment horizontal="center" vertical="center"/>
    </xf>
    <xf numFmtId="9" fontId="12" fillId="0" borderId="49" xfId="27" applyNumberFormat="1" applyFont="1" applyBorder="1" applyAlignment="1">
      <alignment horizontal="center" vertical="center"/>
    </xf>
    <xf numFmtId="43" fontId="12" fillId="6" borderId="9" xfId="1" applyFont="1" applyFill="1" applyBorder="1" applyAlignment="1">
      <alignment horizontal="center" vertical="center"/>
    </xf>
    <xf numFmtId="43" fontId="12" fillId="6" borderId="10" xfId="1" applyFont="1" applyFill="1" applyBorder="1" applyAlignment="1">
      <alignment horizontal="center" vertical="center"/>
    </xf>
    <xf numFmtId="43" fontId="12" fillId="6" borderId="19" xfId="1" applyFont="1" applyFill="1" applyBorder="1" applyAlignment="1">
      <alignment horizontal="center" vertical="center"/>
    </xf>
    <xf numFmtId="1" fontId="24" fillId="6" borderId="3" xfId="27" applyNumberFormat="1" applyFont="1" applyFill="1" applyBorder="1" applyAlignment="1">
      <alignment horizontal="center" vertical="center" wrapText="1"/>
    </xf>
    <xf numFmtId="1" fontId="24" fillId="6" borderId="11" xfId="27" applyNumberFormat="1" applyFont="1" applyFill="1" applyBorder="1" applyAlignment="1">
      <alignment horizontal="center" vertical="center" wrapText="1"/>
    </xf>
    <xf numFmtId="1" fontId="24" fillId="6" borderId="5" xfId="27" applyNumberFormat="1" applyFont="1" applyFill="1" applyBorder="1" applyAlignment="1">
      <alignment horizontal="center" vertical="center" wrapText="1"/>
    </xf>
    <xf numFmtId="1" fontId="24" fillId="6" borderId="12" xfId="27" applyNumberFormat="1" applyFont="1" applyFill="1" applyBorder="1" applyAlignment="1">
      <alignment horizontal="center" vertical="center" wrapText="1"/>
    </xf>
    <xf numFmtId="1" fontId="24" fillId="6" borderId="13" xfId="27" applyNumberFormat="1" applyFont="1" applyFill="1" applyBorder="1" applyAlignment="1">
      <alignment horizontal="center" vertical="center" wrapText="1"/>
    </xf>
    <xf numFmtId="1" fontId="24" fillId="6" borderId="20" xfId="27" applyNumberFormat="1" applyFont="1" applyFill="1" applyBorder="1" applyAlignment="1">
      <alignment horizontal="center" vertical="center" wrapText="1"/>
    </xf>
    <xf numFmtId="1" fontId="24" fillId="6" borderId="9" xfId="27" applyNumberFormat="1" applyFont="1" applyFill="1" applyBorder="1" applyAlignment="1">
      <alignment horizontal="center" vertical="center" wrapText="1"/>
    </xf>
    <xf numFmtId="1" fontId="24" fillId="6" borderId="10" xfId="27" applyNumberFormat="1" applyFont="1" applyFill="1" applyBorder="1" applyAlignment="1">
      <alignment horizontal="center" vertical="center" wrapText="1"/>
    </xf>
    <xf numFmtId="1" fontId="24" fillId="6" borderId="19" xfId="27" applyNumberFormat="1" applyFont="1" applyFill="1" applyBorder="1" applyAlignment="1">
      <alignment horizontal="center" vertical="center" wrapText="1"/>
    </xf>
    <xf numFmtId="190" fontId="12" fillId="6" borderId="1" xfId="27" applyFont="1" applyFill="1" applyBorder="1" applyAlignment="1">
      <alignment horizontal="justify" vertical="center" wrapText="1" shrinkToFit="1"/>
    </xf>
    <xf numFmtId="3" fontId="12" fillId="6" borderId="10" xfId="27" applyNumberFormat="1" applyFont="1" applyFill="1" applyBorder="1" applyAlignment="1">
      <alignment horizontal="center" vertical="center"/>
    </xf>
    <xf numFmtId="0" fontId="12" fillId="0" borderId="5" xfId="0" applyFont="1" applyFill="1" applyBorder="1" applyAlignment="1">
      <alignment horizontal="justify" vertical="center" wrapText="1"/>
    </xf>
    <xf numFmtId="191" fontId="12" fillId="6" borderId="9" xfId="27" applyNumberFormat="1" applyFont="1" applyFill="1" applyBorder="1" applyAlignment="1">
      <alignment horizontal="center" vertical="center"/>
    </xf>
    <xf numFmtId="191" fontId="12" fillId="6" borderId="10" xfId="27" applyNumberFormat="1" applyFont="1" applyFill="1" applyBorder="1" applyAlignment="1">
      <alignment horizontal="center" vertical="center"/>
    </xf>
    <xf numFmtId="191" fontId="12" fillId="6" borderId="19" xfId="27" applyNumberFormat="1" applyFont="1" applyFill="1" applyBorder="1" applyAlignment="1">
      <alignment horizontal="center" vertical="center"/>
    </xf>
    <xf numFmtId="9" fontId="12" fillId="6" borderId="1" xfId="4" applyFont="1" applyFill="1" applyBorder="1" applyAlignment="1">
      <alignment horizontal="center" vertical="center"/>
    </xf>
    <xf numFmtId="43" fontId="12" fillId="6" borderId="1" xfId="1" applyFont="1" applyFill="1" applyBorder="1" applyAlignment="1">
      <alignment horizontal="center" vertical="center"/>
    </xf>
    <xf numFmtId="190" fontId="12" fillId="6" borderId="10" xfId="27" applyFont="1" applyFill="1" applyBorder="1" applyAlignment="1">
      <alignment horizontal="center" vertical="center"/>
    </xf>
    <xf numFmtId="190" fontId="12" fillId="6" borderId="19" xfId="27" applyFont="1" applyFill="1" applyBorder="1" applyAlignment="1">
      <alignment horizontal="center" vertical="center"/>
    </xf>
    <xf numFmtId="9" fontId="12" fillId="6" borderId="10" xfId="4" applyFont="1" applyFill="1" applyBorder="1" applyAlignment="1">
      <alignment horizontal="center" vertical="center"/>
    </xf>
    <xf numFmtId="9" fontId="12" fillId="6" borderId="19" xfId="4"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2" fillId="0" borderId="1" xfId="0" applyFont="1" applyBorder="1" applyAlignment="1">
      <alignment vertical="center"/>
    </xf>
    <xf numFmtId="0" fontId="0" fillId="0" borderId="1" xfId="0" applyBorder="1" applyAlignment="1">
      <alignment vertical="center"/>
    </xf>
    <xf numFmtId="0" fontId="12" fillId="6" borderId="10" xfId="27" applyNumberFormat="1" applyFont="1" applyFill="1" applyBorder="1" applyAlignment="1">
      <alignment horizontal="justify" vertical="center" wrapText="1"/>
    </xf>
    <xf numFmtId="0" fontId="12" fillId="6" borderId="11" xfId="27" applyNumberFormat="1" applyFont="1" applyFill="1" applyBorder="1" applyAlignment="1">
      <alignment horizontal="justify" vertical="center" wrapText="1"/>
    </xf>
    <xf numFmtId="0" fontId="12" fillId="6" borderId="5" xfId="27" applyNumberFormat="1" applyFont="1" applyFill="1" applyBorder="1" applyAlignment="1">
      <alignment horizontal="justify" vertical="center" wrapText="1"/>
    </xf>
    <xf numFmtId="0" fontId="12" fillId="0" borderId="1" xfId="0" applyFont="1" applyBorder="1" applyAlignment="1">
      <alignment horizontal="center"/>
    </xf>
    <xf numFmtId="0" fontId="2" fillId="0" borderId="6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6" fillId="0" borderId="69" xfId="0" applyFont="1" applyBorder="1" applyAlignment="1">
      <alignment horizontal="center" vertical="center"/>
    </xf>
    <xf numFmtId="0" fontId="6" fillId="0" borderId="64" xfId="0" applyFont="1" applyBorder="1" applyAlignment="1">
      <alignment horizontal="center" vertical="center"/>
    </xf>
    <xf numFmtId="1" fontId="6" fillId="3" borderId="60" xfId="0" applyNumberFormat="1" applyFont="1" applyFill="1" applyBorder="1" applyAlignment="1">
      <alignment horizontal="center" vertical="center" wrapText="1"/>
    </xf>
    <xf numFmtId="1" fontId="6" fillId="3" borderId="61"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0" xfId="0" applyFont="1" applyFill="1" applyAlignment="1">
      <alignment horizontal="center" vertical="center" wrapText="1"/>
    </xf>
    <xf numFmtId="0" fontId="6" fillId="5" borderId="6"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7" xfId="0" applyFont="1" applyFill="1" applyBorder="1" applyAlignment="1">
      <alignment horizontal="center" vertical="center" wrapText="1"/>
    </xf>
    <xf numFmtId="0" fontId="6" fillId="5" borderId="64" xfId="0" applyFont="1" applyFill="1" applyBorder="1" applyAlignment="1">
      <alignment horizontal="center" vertical="center" wrapText="1"/>
    </xf>
    <xf numFmtId="0" fontId="6" fillId="16" borderId="6" xfId="0" applyFont="1" applyFill="1" applyBorder="1" applyAlignment="1">
      <alignment horizontal="left" vertical="center" wrapText="1"/>
    </xf>
    <xf numFmtId="0" fontId="6" fillId="16" borderId="7" xfId="0" applyFont="1" applyFill="1" applyBorder="1" applyAlignment="1">
      <alignment horizontal="left" vertical="center" wrapText="1"/>
    </xf>
    <xf numFmtId="0" fontId="6" fillId="16" borderId="7" xfId="0" applyFont="1" applyFill="1" applyBorder="1" applyAlignment="1">
      <alignment horizontal="center" vertical="center" wrapText="1"/>
    </xf>
    <xf numFmtId="0" fontId="6" fillId="16" borderId="64" xfId="0" applyFont="1" applyFill="1" applyBorder="1" applyAlignment="1">
      <alignment horizontal="center" vertical="center" wrapText="1"/>
    </xf>
    <xf numFmtId="0" fontId="6" fillId="8" borderId="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4" fillId="8" borderId="7" xfId="0" applyFont="1" applyFill="1" applyBorder="1" applyAlignment="1">
      <alignment horizontal="center" vertical="center" wrapText="1"/>
    </xf>
    <xf numFmtId="0" fontId="4" fillId="8" borderId="64" xfId="0" applyFont="1" applyFill="1" applyBorder="1" applyAlignment="1">
      <alignment horizontal="center" vertical="center" wrapText="1"/>
    </xf>
    <xf numFmtId="0" fontId="7" fillId="4" borderId="3" xfId="0" applyFont="1" applyFill="1" applyBorder="1" applyAlignment="1">
      <alignment horizontal="center" vertical="center" textRotation="90" wrapText="1"/>
    </xf>
    <xf numFmtId="0" fontId="7" fillId="4" borderId="5" xfId="0" applyFont="1" applyFill="1" applyBorder="1" applyAlignment="1">
      <alignment horizontal="center" vertical="center" textRotation="90" wrapText="1"/>
    </xf>
    <xf numFmtId="165" fontId="6" fillId="3" borderId="3" xfId="0" applyNumberFormat="1" applyFont="1" applyFill="1" applyBorder="1" applyAlignment="1">
      <alignment horizontal="center" vertical="center" wrapText="1"/>
    </xf>
    <xf numFmtId="165" fontId="6" fillId="3" borderId="5" xfId="0" applyNumberFormat="1" applyFont="1" applyFill="1" applyBorder="1" applyAlignment="1">
      <alignment horizontal="center" vertical="center" wrapText="1"/>
    </xf>
    <xf numFmtId="41" fontId="6" fillId="3" borderId="4" xfId="5" applyFont="1" applyFill="1" applyBorder="1" applyAlignment="1">
      <alignment horizontal="center" vertical="center" wrapText="1"/>
    </xf>
    <xf numFmtId="41" fontId="6" fillId="3" borderId="2" xfId="5"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3" xfId="0" applyFont="1" applyFill="1" applyBorder="1" applyAlignment="1">
      <alignment horizontal="center" vertical="center" textRotation="90" wrapText="1"/>
    </xf>
    <xf numFmtId="0" fontId="12" fillId="6" borderId="12" xfId="0" applyFont="1" applyFill="1" applyBorder="1" applyAlignment="1">
      <alignment horizontal="center" vertical="center" textRotation="90" wrapText="1"/>
    </xf>
    <xf numFmtId="0" fontId="12" fillId="6" borderId="11" xfId="0" applyFont="1" applyFill="1" applyBorder="1" applyAlignment="1">
      <alignment horizontal="center" vertical="center" textRotation="90" wrapText="1"/>
    </xf>
    <xf numFmtId="0" fontId="12" fillId="6" borderId="13" xfId="0" applyFont="1" applyFill="1" applyBorder="1" applyAlignment="1">
      <alignment horizontal="center" vertical="center" textRotation="90" wrapText="1"/>
    </xf>
    <xf numFmtId="0" fontId="12" fillId="6" borderId="5" xfId="0" applyFont="1" applyFill="1" applyBorder="1" applyAlignment="1">
      <alignment horizontal="center" vertical="center" textRotation="90" wrapText="1"/>
    </xf>
    <xf numFmtId="0" fontId="12" fillId="6" borderId="20" xfId="0" applyFont="1" applyFill="1" applyBorder="1" applyAlignment="1">
      <alignment horizontal="center" vertical="center" textRotation="90" wrapText="1"/>
    </xf>
    <xf numFmtId="172" fontId="12" fillId="6" borderId="9" xfId="0" applyNumberFormat="1" applyFont="1" applyFill="1" applyBorder="1" applyAlignment="1">
      <alignment horizontal="center" vertical="center" wrapText="1"/>
    </xf>
    <xf numFmtId="172" fontId="12" fillId="6" borderId="10" xfId="0" applyNumberFormat="1" applyFont="1" applyFill="1" applyBorder="1" applyAlignment="1">
      <alignment horizontal="center" vertical="center" wrapText="1"/>
    </xf>
    <xf numFmtId="172" fontId="12" fillId="6" borderId="19" xfId="0" applyNumberFormat="1" applyFont="1" applyFill="1" applyBorder="1" applyAlignment="1">
      <alignment horizontal="center" vertical="center" wrapText="1"/>
    </xf>
    <xf numFmtId="0" fontId="12" fillId="6" borderId="10" xfId="0" applyFont="1" applyFill="1" applyBorder="1" applyAlignment="1">
      <alignment horizontal="justify" vertical="center" wrapText="1"/>
    </xf>
    <xf numFmtId="172" fontId="14" fillId="6" borderId="9" xfId="0" applyNumberFormat="1" applyFont="1" applyFill="1" applyBorder="1" applyAlignment="1">
      <alignment horizontal="center" vertical="center" wrapText="1"/>
    </xf>
    <xf numFmtId="172" fontId="14" fillId="6" borderId="10" xfId="0" applyNumberFormat="1" applyFont="1" applyFill="1" applyBorder="1" applyAlignment="1">
      <alignment horizontal="center" vertical="center" wrapText="1"/>
    </xf>
    <xf numFmtId="172" fontId="14" fillId="6" borderId="19" xfId="0" applyNumberFormat="1" applyFont="1" applyFill="1" applyBorder="1" applyAlignment="1">
      <alignment horizontal="center" vertical="center" wrapText="1"/>
    </xf>
    <xf numFmtId="0" fontId="12" fillId="0" borderId="9"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19" xfId="0" applyFont="1" applyBorder="1" applyAlignment="1">
      <alignment horizontal="justify" vertical="center" wrapText="1"/>
    </xf>
    <xf numFmtId="0" fontId="12" fillId="6" borderId="1" xfId="0" applyFont="1" applyFill="1" applyBorder="1" applyAlignment="1">
      <alignment horizontal="justify" vertical="center" wrapText="1"/>
    </xf>
    <xf numFmtId="3" fontId="12" fillId="6" borderId="9" xfId="0" applyNumberFormat="1" applyFont="1" applyFill="1" applyBorder="1" applyAlignment="1">
      <alignment horizontal="center" vertical="center" wrapText="1"/>
    </xf>
    <xf numFmtId="3" fontId="12" fillId="6" borderId="10" xfId="0" applyNumberFormat="1" applyFont="1" applyFill="1" applyBorder="1" applyAlignment="1">
      <alignment horizontal="center" vertical="center" wrapText="1"/>
    </xf>
    <xf numFmtId="3" fontId="12" fillId="6" borderId="19" xfId="0" applyNumberFormat="1" applyFont="1" applyFill="1" applyBorder="1" applyAlignment="1">
      <alignment horizontal="center" vertical="center" wrapText="1"/>
    </xf>
    <xf numFmtId="0" fontId="12" fillId="6" borderId="5" xfId="0" applyFont="1" applyFill="1" applyBorder="1" applyAlignment="1">
      <alignment horizontal="justify" vertical="center" wrapText="1"/>
    </xf>
    <xf numFmtId="9" fontId="12" fillId="6" borderId="9" xfId="0" applyNumberFormat="1" applyFont="1" applyFill="1" applyBorder="1" applyAlignment="1">
      <alignment horizontal="center" vertical="center" wrapText="1"/>
    </xf>
    <xf numFmtId="9" fontId="12" fillId="6" borderId="10" xfId="0" applyNumberFormat="1" applyFont="1" applyFill="1" applyBorder="1" applyAlignment="1">
      <alignment horizontal="center" vertical="center" wrapText="1"/>
    </xf>
    <xf numFmtId="9" fontId="12" fillId="6" borderId="19" xfId="0" applyNumberFormat="1" applyFont="1" applyFill="1" applyBorder="1" applyAlignment="1">
      <alignment horizontal="center" vertical="center" wrapText="1"/>
    </xf>
    <xf numFmtId="4" fontId="12" fillId="6" borderId="9" xfId="0" applyNumberFormat="1" applyFont="1" applyFill="1" applyBorder="1" applyAlignment="1">
      <alignment horizontal="right" vertical="center" wrapText="1"/>
    </xf>
    <xf numFmtId="4" fontId="12" fillId="6" borderId="10" xfId="0" applyNumberFormat="1" applyFont="1" applyFill="1" applyBorder="1" applyAlignment="1">
      <alignment horizontal="right" vertical="center" wrapText="1"/>
    </xf>
    <xf numFmtId="4" fontId="12" fillId="6" borderId="19" xfId="0" applyNumberFormat="1" applyFont="1" applyFill="1" applyBorder="1" applyAlignment="1">
      <alignment horizontal="right" vertical="center" wrapText="1"/>
    </xf>
    <xf numFmtId="0" fontId="12" fillId="6" borderId="13"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3" xfId="0" applyFont="1" applyFill="1" applyBorder="1" applyAlignment="1">
      <alignment horizontal="left" vertical="center" wrapText="1"/>
    </xf>
    <xf numFmtId="0" fontId="12" fillId="6" borderId="5" xfId="0" applyFont="1" applyFill="1" applyBorder="1" applyAlignment="1">
      <alignment horizontal="left" vertical="center" wrapText="1"/>
    </xf>
    <xf numFmtId="165" fontId="12" fillId="6" borderId="9" xfId="0" applyNumberFormat="1" applyFont="1" applyFill="1" applyBorder="1" applyAlignment="1">
      <alignment horizontal="center" vertical="center" wrapText="1"/>
    </xf>
    <xf numFmtId="165" fontId="12" fillId="6" borderId="10" xfId="0" applyNumberFormat="1" applyFont="1" applyFill="1" applyBorder="1" applyAlignment="1">
      <alignment horizontal="center" vertical="center" wrapText="1"/>
    </xf>
    <xf numFmtId="165" fontId="12" fillId="6" borderId="19" xfId="0" applyNumberFormat="1" applyFont="1" applyFill="1" applyBorder="1" applyAlignment="1">
      <alignment horizontal="center" vertical="center" wrapText="1"/>
    </xf>
    <xf numFmtId="3" fontId="12" fillId="6" borderId="9" xfId="0" applyNumberFormat="1" applyFont="1" applyFill="1" applyBorder="1" applyAlignment="1">
      <alignment horizontal="left" vertical="center" wrapText="1"/>
    </xf>
    <xf numFmtId="3" fontId="12" fillId="6" borderId="10" xfId="0" applyNumberFormat="1" applyFont="1" applyFill="1" applyBorder="1" applyAlignment="1">
      <alignment horizontal="left" vertical="center" wrapText="1"/>
    </xf>
    <xf numFmtId="3" fontId="12" fillId="6" borderId="19" xfId="0" applyNumberFormat="1" applyFont="1" applyFill="1" applyBorder="1" applyAlignment="1">
      <alignment horizontal="left" vertical="center" wrapText="1"/>
    </xf>
    <xf numFmtId="0" fontId="24" fillId="8" borderId="6" xfId="0" applyFont="1" applyFill="1" applyBorder="1" applyAlignment="1">
      <alignment horizontal="left" vertical="center" wrapText="1"/>
    </xf>
    <xf numFmtId="0" fontId="24" fillId="8" borderId="7" xfId="0" applyFont="1" applyFill="1" applyBorder="1" applyAlignment="1">
      <alignment horizontal="left" vertical="center" wrapText="1"/>
    </xf>
    <xf numFmtId="0" fontId="12" fillId="0" borderId="3" xfId="0" applyFont="1" applyBorder="1" applyAlignment="1">
      <alignment horizontal="justify" vertical="center" wrapText="1"/>
    </xf>
    <xf numFmtId="4" fontId="12" fillId="6" borderId="1" xfId="0" applyNumberFormat="1" applyFont="1" applyFill="1" applyBorder="1" applyAlignment="1">
      <alignment horizontal="right" vertical="center" wrapText="1"/>
    </xf>
    <xf numFmtId="1" fontId="12" fillId="6" borderId="1" xfId="0" applyNumberFormat="1" applyFont="1" applyFill="1" applyBorder="1" applyAlignment="1">
      <alignment horizontal="center" vertical="center" wrapText="1"/>
    </xf>
    <xf numFmtId="9" fontId="12" fillId="6" borderId="9" xfId="4" applyFont="1" applyFill="1" applyBorder="1" applyAlignment="1">
      <alignment horizontal="center" vertical="center" wrapText="1"/>
    </xf>
    <xf numFmtId="9" fontId="12" fillId="6" borderId="10" xfId="4" applyFont="1" applyFill="1" applyBorder="1" applyAlignment="1">
      <alignment horizontal="center" vertical="center" wrapText="1"/>
    </xf>
    <xf numFmtId="9" fontId="12" fillId="6" borderId="19" xfId="4" applyFont="1" applyFill="1" applyBorder="1" applyAlignment="1">
      <alignment horizontal="center" vertical="center" wrapText="1"/>
    </xf>
    <xf numFmtId="0" fontId="12" fillId="6" borderId="9" xfId="0" applyFont="1" applyFill="1" applyBorder="1" applyAlignment="1">
      <alignment horizontal="left" vertical="center" wrapText="1"/>
    </xf>
    <xf numFmtId="0" fontId="12" fillId="6" borderId="19" xfId="0" applyFont="1" applyFill="1" applyBorder="1" applyAlignment="1">
      <alignment horizontal="left" vertical="center" wrapText="1"/>
    </xf>
    <xf numFmtId="0" fontId="24" fillId="16" borderId="6" xfId="0" applyFont="1" applyFill="1" applyBorder="1" applyAlignment="1">
      <alignment horizontal="left" vertical="center" wrapText="1"/>
    </xf>
    <xf numFmtId="0" fontId="24" fillId="16" borderId="7" xfId="0" applyFont="1" applyFill="1" applyBorder="1" applyAlignment="1">
      <alignment horizontal="left"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12" fillId="6" borderId="0" xfId="0" applyFont="1" applyFill="1" applyAlignment="1">
      <alignment horizontal="center" vertical="center"/>
    </xf>
    <xf numFmtId="167" fontId="6" fillId="3" borderId="1" xfId="0" applyNumberFormat="1" applyFont="1" applyFill="1" applyBorder="1" applyAlignment="1">
      <alignment horizontal="center" vertical="center" wrapText="1"/>
    </xf>
    <xf numFmtId="3" fontId="6" fillId="3" borderId="51" xfId="0" applyNumberFormat="1" applyFont="1" applyFill="1" applyBorder="1" applyAlignment="1">
      <alignment horizontal="center" vertical="center" wrapText="1"/>
    </xf>
    <xf numFmtId="3" fontId="6" fillId="3" borderId="62" xfId="0" applyNumberFormat="1" applyFont="1" applyFill="1" applyBorder="1" applyAlignment="1">
      <alignment horizontal="center" vertical="center" wrapText="1"/>
    </xf>
    <xf numFmtId="1" fontId="6" fillId="6" borderId="58" xfId="0" applyNumberFormat="1" applyFont="1" applyFill="1" applyBorder="1" applyAlignment="1">
      <alignment horizontal="center" vertical="center" wrapText="1"/>
    </xf>
    <xf numFmtId="1" fontId="6" fillId="6" borderId="4" xfId="0" applyNumberFormat="1" applyFont="1" applyFill="1" applyBorder="1" applyAlignment="1">
      <alignment horizontal="center" vertical="center" wrapText="1"/>
    </xf>
    <xf numFmtId="1" fontId="6" fillId="6" borderId="12" xfId="0" applyNumberFormat="1" applyFont="1" applyFill="1" applyBorder="1" applyAlignment="1">
      <alignment horizontal="center" vertical="center" wrapText="1"/>
    </xf>
    <xf numFmtId="1" fontId="6" fillId="6" borderId="56" xfId="0" applyNumberFormat="1" applyFont="1" applyFill="1" applyBorder="1" applyAlignment="1">
      <alignment horizontal="center" vertical="center" wrapText="1"/>
    </xf>
    <xf numFmtId="1" fontId="6" fillId="6" borderId="0" xfId="0" applyNumberFormat="1" applyFont="1" applyFill="1" applyAlignment="1">
      <alignment horizontal="center" vertical="center" wrapText="1"/>
    </xf>
    <xf numFmtId="1" fontId="6" fillId="6" borderId="13" xfId="0" applyNumberFormat="1"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1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6" borderId="9" xfId="0" applyFont="1" applyFill="1" applyBorder="1" applyAlignment="1">
      <alignment horizontal="justify" vertical="center" wrapText="1"/>
    </xf>
    <xf numFmtId="0" fontId="4" fillId="6" borderId="10" xfId="0" applyFont="1" applyFill="1" applyBorder="1" applyAlignment="1">
      <alignment horizontal="justify" vertical="center" wrapText="1"/>
    </xf>
    <xf numFmtId="168" fontId="6" fillId="3" borderId="3" xfId="0" applyNumberFormat="1" applyFont="1" applyFill="1" applyBorder="1" applyAlignment="1">
      <alignment horizontal="center" vertical="center" wrapText="1"/>
    </xf>
    <xf numFmtId="168" fontId="6" fillId="3" borderId="11" xfId="0" applyNumberFormat="1"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169" fontId="6" fillId="3" borderId="3" xfId="0" applyNumberFormat="1" applyFont="1" applyFill="1" applyBorder="1" applyAlignment="1">
      <alignment horizontal="center" vertical="center" wrapText="1"/>
    </xf>
    <xf numFmtId="169" fontId="6" fillId="3" borderId="11" xfId="0" applyNumberFormat="1" applyFont="1" applyFill="1" applyBorder="1" applyAlignment="1">
      <alignment horizontal="center" vertical="center" wrapText="1"/>
    </xf>
    <xf numFmtId="43" fontId="6" fillId="3" borderId="3" xfId="1" applyFont="1" applyFill="1" applyBorder="1" applyAlignment="1">
      <alignment horizontal="center" vertical="center" wrapText="1"/>
    </xf>
    <xf numFmtId="43" fontId="6" fillId="3" borderId="11" xfId="1" applyFont="1" applyFill="1" applyBorder="1" applyAlignment="1">
      <alignment horizontal="center" vertical="center" wrapText="1"/>
    </xf>
    <xf numFmtId="3" fontId="4" fillId="6" borderId="9" xfId="0" applyNumberFormat="1" applyFont="1" applyFill="1" applyBorder="1" applyAlignment="1">
      <alignment horizontal="justify" vertical="center" wrapText="1"/>
    </xf>
    <xf numFmtId="3" fontId="4" fillId="6" borderId="10" xfId="0" applyNumberFormat="1" applyFont="1" applyFill="1" applyBorder="1" applyAlignment="1">
      <alignment horizontal="justify" vertical="center" wrapText="1"/>
    </xf>
    <xf numFmtId="3" fontId="4" fillId="6" borderId="19" xfId="0" applyNumberFormat="1" applyFont="1" applyFill="1" applyBorder="1" applyAlignment="1">
      <alignment horizontal="justify" vertical="center" wrapText="1"/>
    </xf>
    <xf numFmtId="0" fontId="4" fillId="6" borderId="19" xfId="0" applyFont="1" applyFill="1" applyBorder="1" applyAlignment="1">
      <alignment horizontal="justify" vertical="center" wrapText="1"/>
    </xf>
    <xf numFmtId="166" fontId="4" fillId="0" borderId="9" xfId="1" applyNumberFormat="1" applyFont="1" applyBorder="1" applyAlignment="1">
      <alignment horizontal="center" vertical="center" wrapText="1"/>
    </xf>
    <xf numFmtId="166" fontId="4" fillId="0" borderId="13" xfId="1" applyNumberFormat="1" applyFont="1" applyBorder="1" applyAlignment="1">
      <alignment horizontal="center" vertical="center" wrapText="1"/>
    </xf>
    <xf numFmtId="166" fontId="4" fillId="0" borderId="10" xfId="1" applyNumberFormat="1" applyFont="1" applyBorder="1" applyAlignment="1">
      <alignment horizontal="center" vertical="center" wrapText="1"/>
    </xf>
    <xf numFmtId="166" fontId="4" fillId="0" borderId="19" xfId="1" applyNumberFormat="1" applyFont="1" applyBorder="1" applyAlignment="1">
      <alignment horizontal="center" vertical="center" wrapText="1"/>
    </xf>
    <xf numFmtId="9" fontId="4" fillId="6" borderId="9" xfId="0" applyNumberFormat="1" applyFont="1" applyFill="1" applyBorder="1" applyAlignment="1">
      <alignment horizontal="center" vertical="center" wrapText="1"/>
    </xf>
    <xf numFmtId="9" fontId="4" fillId="6" borderId="10"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4" fillId="6" borderId="12" xfId="0" applyFont="1" applyFill="1" applyBorder="1" applyAlignment="1">
      <alignment horizontal="justify" vertical="center" wrapText="1"/>
    </xf>
    <xf numFmtId="0" fontId="4" fillId="6" borderId="13" xfId="0" applyFont="1" applyFill="1" applyBorder="1" applyAlignment="1">
      <alignment horizontal="justify" vertical="center" wrapText="1"/>
    </xf>
    <xf numFmtId="0" fontId="4" fillId="6" borderId="11" xfId="0" applyFont="1" applyFill="1" applyBorder="1" applyAlignment="1">
      <alignment horizontal="center" vertical="center" wrapText="1"/>
    </xf>
    <xf numFmtId="43" fontId="4" fillId="0" borderId="9" xfId="1" applyFont="1" applyBorder="1" applyAlignment="1">
      <alignment horizontal="center" vertical="center" wrapText="1"/>
    </xf>
    <xf numFmtId="43" fontId="4" fillId="0" borderId="10" xfId="1" applyFont="1" applyBorder="1" applyAlignment="1">
      <alignment horizontal="center" vertical="center" wrapText="1"/>
    </xf>
    <xf numFmtId="14" fontId="4" fillId="6" borderId="9" xfId="0" applyNumberFormat="1" applyFont="1" applyFill="1" applyBorder="1" applyAlignment="1">
      <alignment horizontal="center" vertical="center" wrapText="1"/>
    </xf>
    <xf numFmtId="14" fontId="4" fillId="6" borderId="10" xfId="0" applyNumberFormat="1" applyFont="1" applyFill="1" applyBorder="1" applyAlignment="1">
      <alignment horizontal="center" vertical="center" wrapText="1"/>
    </xf>
    <xf numFmtId="14" fontId="4" fillId="6" borderId="19" xfId="0" applyNumberFormat="1" applyFont="1" applyFill="1" applyBorder="1" applyAlignment="1">
      <alignment horizontal="center" vertical="center" wrapText="1"/>
    </xf>
    <xf numFmtId="3" fontId="19" fillId="6" borderId="51" xfId="0" applyNumberFormat="1" applyFont="1" applyFill="1" applyBorder="1" applyAlignment="1">
      <alignment horizontal="justify" vertical="center" wrapText="1"/>
    </xf>
    <xf numFmtId="3" fontId="4" fillId="6" borderId="62" xfId="0" applyNumberFormat="1" applyFont="1" applyFill="1" applyBorder="1" applyAlignment="1">
      <alignment horizontal="justify" vertical="center" wrapText="1"/>
    </xf>
    <xf numFmtId="3" fontId="4" fillId="6" borderId="70" xfId="0" applyNumberFormat="1" applyFont="1" applyFill="1" applyBorder="1" applyAlignment="1">
      <alignment horizontal="justify" vertical="center" wrapText="1"/>
    </xf>
    <xf numFmtId="0" fontId="4" fillId="6" borderId="6" xfId="0" applyFont="1" applyFill="1" applyBorder="1" applyAlignment="1">
      <alignment horizontal="justify" vertical="center" wrapText="1"/>
    </xf>
    <xf numFmtId="43" fontId="4" fillId="0" borderId="1" xfId="1" applyFont="1" applyFill="1" applyBorder="1" applyAlignment="1">
      <alignment horizontal="center" vertical="center" wrapText="1"/>
    </xf>
    <xf numFmtId="1" fontId="4" fillId="6" borderId="10" xfId="0" applyNumberFormat="1" applyFont="1" applyFill="1" applyBorder="1" applyAlignment="1">
      <alignment horizontal="center" vertical="center" wrapText="1"/>
    </xf>
    <xf numFmtId="43" fontId="4" fillId="0" borderId="9" xfId="1" applyFont="1" applyFill="1" applyBorder="1" applyAlignment="1">
      <alignment horizontal="center" vertical="center"/>
    </xf>
    <xf numFmtId="43" fontId="4" fillId="0" borderId="10" xfId="1" applyFont="1" applyFill="1" applyBorder="1" applyAlignment="1">
      <alignment horizontal="center" vertical="center"/>
    </xf>
    <xf numFmtId="1" fontId="4" fillId="6" borderId="9" xfId="0" applyNumberFormat="1" applyFont="1" applyFill="1" applyBorder="1" applyAlignment="1">
      <alignment horizontal="center" vertical="center" wrapText="1"/>
    </xf>
    <xf numFmtId="3" fontId="4" fillId="6" borderId="9" xfId="0" applyNumberFormat="1" applyFont="1" applyFill="1" applyBorder="1" applyAlignment="1">
      <alignment horizontal="center" vertical="center" wrapText="1"/>
    </xf>
    <xf numFmtId="3" fontId="4" fillId="6" borderId="10" xfId="0" applyNumberFormat="1" applyFont="1" applyFill="1" applyBorder="1" applyAlignment="1">
      <alignment horizontal="center" vertical="center" wrapText="1"/>
    </xf>
    <xf numFmtId="3" fontId="4" fillId="6" borderId="19" xfId="0" applyNumberFormat="1" applyFont="1" applyFill="1" applyBorder="1" applyAlignment="1">
      <alignment horizontal="center" vertical="center" wrapText="1"/>
    </xf>
    <xf numFmtId="166" fontId="4" fillId="6" borderId="9" xfId="1" applyNumberFormat="1" applyFont="1" applyFill="1" applyBorder="1" applyAlignment="1">
      <alignment horizontal="center" vertical="center" wrapText="1"/>
    </xf>
    <xf numFmtId="166" fontId="4" fillId="6" borderId="10" xfId="1" applyNumberFormat="1" applyFont="1" applyFill="1" applyBorder="1" applyAlignment="1">
      <alignment horizontal="center" vertical="center" wrapText="1"/>
    </xf>
    <xf numFmtId="166" fontId="4" fillId="6" borderId="19" xfId="1" applyNumberFormat="1" applyFont="1" applyFill="1" applyBorder="1" applyAlignment="1">
      <alignment horizontal="center" vertical="center" wrapText="1"/>
    </xf>
    <xf numFmtId="2" fontId="4" fillId="6" borderId="9" xfId="0" applyNumberFormat="1" applyFont="1" applyFill="1" applyBorder="1" applyAlignment="1">
      <alignment horizontal="center" vertical="center" wrapText="1"/>
    </xf>
    <xf numFmtId="2" fontId="4" fillId="6" borderId="10" xfId="0" applyNumberFormat="1" applyFont="1" applyFill="1" applyBorder="1" applyAlignment="1">
      <alignment horizontal="center" vertical="center" wrapText="1"/>
    </xf>
    <xf numFmtId="166" fontId="4" fillId="6" borderId="12" xfId="1" applyNumberFormat="1" applyFont="1" applyFill="1" applyBorder="1" applyAlignment="1">
      <alignment horizontal="center" vertical="center" wrapText="1"/>
    </xf>
    <xf numFmtId="166" fontId="4" fillId="6" borderId="13" xfId="1" applyNumberFormat="1" applyFont="1" applyFill="1" applyBorder="1" applyAlignment="1">
      <alignment horizontal="center" vertical="center" wrapText="1"/>
    </xf>
    <xf numFmtId="0" fontId="4" fillId="6" borderId="3" xfId="0" applyFont="1" applyFill="1" applyBorder="1" applyAlignment="1">
      <alignment horizontal="justify" vertical="center" wrapText="1"/>
    </xf>
    <xf numFmtId="0" fontId="4" fillId="6" borderId="11" xfId="0" applyFont="1" applyFill="1" applyBorder="1" applyAlignment="1">
      <alignment horizontal="justify" vertical="center" wrapText="1"/>
    </xf>
    <xf numFmtId="0" fontId="4" fillId="6" borderId="5" xfId="0" applyFont="1" applyFill="1" applyBorder="1" applyAlignment="1">
      <alignment horizontal="justify" vertical="center" wrapText="1"/>
    </xf>
    <xf numFmtId="43" fontId="4" fillId="0" borderId="14" xfId="1" applyFont="1" applyFill="1" applyBorder="1" applyAlignment="1">
      <alignment horizontal="center" vertical="center" wrapText="1"/>
    </xf>
    <xf numFmtId="1" fontId="4" fillId="6" borderId="14" xfId="0" applyNumberFormat="1" applyFont="1" applyFill="1" applyBorder="1" applyAlignment="1">
      <alignment horizontal="center" vertical="center" wrapText="1"/>
    </xf>
    <xf numFmtId="0" fontId="4" fillId="6" borderId="14" xfId="0" applyFont="1" applyFill="1" applyBorder="1" applyAlignment="1">
      <alignment horizontal="center" vertical="center" wrapText="1"/>
    </xf>
    <xf numFmtId="43" fontId="4" fillId="0" borderId="19" xfId="1" applyFont="1" applyFill="1" applyBorder="1" applyAlignment="1">
      <alignment horizontal="center" vertical="center" wrapText="1"/>
    </xf>
    <xf numFmtId="1" fontId="4" fillId="6" borderId="19" xfId="0" applyNumberFormat="1" applyFont="1" applyFill="1" applyBorder="1" applyAlignment="1">
      <alignment horizontal="center" vertical="center" wrapText="1"/>
    </xf>
    <xf numFmtId="1" fontId="6" fillId="6" borderId="9" xfId="0" applyNumberFormat="1" applyFont="1" applyFill="1" applyBorder="1" applyAlignment="1">
      <alignment horizontal="center" vertical="center" wrapText="1"/>
    </xf>
    <xf numFmtId="1" fontId="6" fillId="6" borderId="10" xfId="0" applyNumberFormat="1" applyFont="1" applyFill="1" applyBorder="1" applyAlignment="1">
      <alignment horizontal="center" vertical="center" wrapText="1"/>
    </xf>
    <xf numFmtId="1" fontId="6" fillId="6" borderId="19" xfId="0" applyNumberFormat="1"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20" xfId="0" applyFont="1" applyFill="1" applyBorder="1" applyAlignment="1">
      <alignment horizontal="center" vertical="center" wrapText="1"/>
    </xf>
    <xf numFmtId="10" fontId="4" fillId="6" borderId="14" xfId="0" applyNumberFormat="1" applyFont="1" applyFill="1" applyBorder="1" applyAlignment="1">
      <alignment horizontal="center" vertical="center" wrapText="1"/>
    </xf>
    <xf numFmtId="0" fontId="4" fillId="0" borderId="3" xfId="0" applyFont="1" applyFill="1" applyBorder="1" applyAlignment="1">
      <alignment horizontal="justify" vertical="center" wrapText="1"/>
    </xf>
    <xf numFmtId="166" fontId="4" fillId="6" borderId="20" xfId="1" applyNumberFormat="1" applyFont="1" applyFill="1" applyBorder="1" applyAlignment="1">
      <alignment horizontal="center" vertical="center" wrapText="1"/>
    </xf>
    <xf numFmtId="0" fontId="4" fillId="0" borderId="15" xfId="0" applyFont="1" applyFill="1" applyBorder="1" applyAlignment="1">
      <alignment horizontal="justify" vertical="center" wrapText="1"/>
    </xf>
    <xf numFmtId="1" fontId="4" fillId="6" borderId="18" xfId="0" applyNumberFormat="1" applyFont="1" applyFill="1" applyBorder="1" applyAlignment="1">
      <alignment horizontal="center" vertical="center" wrapText="1"/>
    </xf>
    <xf numFmtId="3" fontId="4" fillId="6" borderId="5" xfId="0" applyNumberFormat="1" applyFont="1" applyFill="1" applyBorder="1" applyAlignment="1">
      <alignment horizontal="justify" vertical="center" wrapText="1"/>
    </xf>
    <xf numFmtId="3" fontId="4" fillId="6" borderId="6" xfId="0" applyNumberFormat="1" applyFont="1" applyFill="1" applyBorder="1" applyAlignment="1">
      <alignment horizontal="justify" vertical="center" wrapText="1"/>
    </xf>
    <xf numFmtId="3" fontId="19" fillId="6" borderId="62" xfId="0" applyNumberFormat="1" applyFont="1" applyFill="1" applyBorder="1" applyAlignment="1">
      <alignment horizontal="justify" vertical="center" wrapText="1"/>
    </xf>
    <xf numFmtId="1" fontId="4" fillId="0" borderId="18" xfId="0" applyNumberFormat="1" applyFont="1" applyFill="1" applyBorder="1" applyAlignment="1">
      <alignment horizontal="center" vertical="center" wrapText="1"/>
    </xf>
    <xf numFmtId="1" fontId="4" fillId="0" borderId="40" xfId="0" applyNumberFormat="1" applyFont="1" applyFill="1" applyBorder="1" applyAlignment="1">
      <alignment horizontal="center" vertical="center" wrapText="1"/>
    </xf>
    <xf numFmtId="1" fontId="11" fillId="6" borderId="9" xfId="0" applyNumberFormat="1" applyFont="1" applyFill="1" applyBorder="1" applyAlignment="1">
      <alignment horizontal="center" vertical="center" wrapText="1"/>
    </xf>
    <xf numFmtId="1" fontId="11" fillId="6" borderId="10" xfId="0" applyNumberFormat="1" applyFont="1" applyFill="1" applyBorder="1" applyAlignment="1">
      <alignment horizontal="center" vertical="center" wrapText="1"/>
    </xf>
    <xf numFmtId="1" fontId="11" fillId="6" borderId="19" xfId="0" applyNumberFormat="1" applyFont="1" applyFill="1" applyBorder="1" applyAlignment="1">
      <alignment horizontal="center" vertical="center" wrapText="1"/>
    </xf>
    <xf numFmtId="1" fontId="4" fillId="6" borderId="13" xfId="0" applyNumberFormat="1" applyFont="1" applyFill="1" applyBorder="1" applyAlignment="1">
      <alignment horizontal="center" vertical="center" wrapText="1"/>
    </xf>
    <xf numFmtId="3" fontId="4" fillId="6" borderId="1" xfId="0" applyNumberFormat="1" applyFont="1" applyFill="1" applyBorder="1" applyAlignment="1">
      <alignment horizontal="justify" vertical="center" wrapText="1"/>
    </xf>
    <xf numFmtId="0" fontId="4" fillId="0" borderId="1" xfId="0" applyFont="1" applyFill="1" applyBorder="1" applyAlignment="1">
      <alignment horizontal="center" vertical="center" wrapText="1"/>
    </xf>
    <xf numFmtId="43" fontId="4" fillId="0" borderId="13" xfId="1" applyFont="1" applyBorder="1" applyAlignment="1">
      <alignment horizontal="center" vertical="center" wrapText="1"/>
    </xf>
    <xf numFmtId="3" fontId="4" fillId="6" borderId="11" xfId="0" applyNumberFormat="1" applyFont="1" applyFill="1" applyBorder="1" applyAlignment="1">
      <alignment horizontal="justify" vertical="center" wrapText="1"/>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6" borderId="12" xfId="0" applyFont="1" applyFill="1" applyBorder="1" applyAlignment="1">
      <alignment horizontal="center"/>
    </xf>
    <xf numFmtId="0" fontId="4" fillId="6" borderId="11" xfId="0" applyFont="1" applyFill="1" applyBorder="1" applyAlignment="1">
      <alignment horizontal="center"/>
    </xf>
    <xf numFmtId="0" fontId="4" fillId="6" borderId="0" xfId="0" applyFont="1" applyFill="1" applyAlignment="1">
      <alignment horizontal="center"/>
    </xf>
    <xf numFmtId="0" fontId="4" fillId="6" borderId="13" xfId="0" applyFont="1" applyFill="1" applyBorder="1" applyAlignment="1">
      <alignment horizontal="center"/>
    </xf>
    <xf numFmtId="9" fontId="4" fillId="6" borderId="19" xfId="0" applyNumberFormat="1" applyFont="1" applyFill="1" applyBorder="1" applyAlignment="1">
      <alignment horizontal="center" vertical="center" wrapText="1"/>
    </xf>
    <xf numFmtId="43" fontId="4" fillId="0" borderId="19" xfId="1" applyFont="1" applyBorder="1" applyAlignment="1">
      <alignment horizontal="center" vertical="center" wrapText="1"/>
    </xf>
    <xf numFmtId="3" fontId="4" fillId="6" borderId="3" xfId="0" applyNumberFormat="1" applyFont="1" applyFill="1" applyBorder="1" applyAlignment="1">
      <alignment horizontal="justify" vertical="center" wrapText="1"/>
    </xf>
    <xf numFmtId="0" fontId="4" fillId="6" borderId="14" xfId="0" applyFont="1" applyFill="1" applyBorder="1" applyAlignment="1">
      <alignment horizontal="justify" vertical="center" wrapText="1"/>
    </xf>
    <xf numFmtId="43" fontId="4" fillId="6" borderId="10" xfId="1" applyFont="1" applyFill="1" applyBorder="1" applyAlignment="1">
      <alignment horizontal="center" vertic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0" borderId="2" xfId="0" applyFont="1" applyBorder="1" applyAlignment="1">
      <alignment horizontal="center"/>
    </xf>
    <xf numFmtId="0" fontId="4" fillId="0" borderId="20" xfId="0" applyFont="1" applyBorder="1" applyAlignment="1">
      <alignment horizontal="center"/>
    </xf>
    <xf numFmtId="43" fontId="4" fillId="0" borderId="1" xfId="1" applyFont="1" applyBorder="1" applyAlignment="1">
      <alignment horizontal="center" vertical="center" wrapText="1"/>
    </xf>
    <xf numFmtId="0" fontId="4" fillId="6" borderId="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6" fillId="0" borderId="4" xfId="0" applyFont="1" applyBorder="1" applyAlignment="1">
      <alignment horizontal="center"/>
    </xf>
    <xf numFmtId="43" fontId="4" fillId="0" borderId="5" xfId="1" applyFont="1" applyFill="1" applyBorder="1" applyAlignment="1">
      <alignment horizontal="center" vertical="center" wrapText="1"/>
    </xf>
    <xf numFmtId="43" fontId="4" fillId="0" borderId="6" xfId="1" applyFont="1" applyFill="1" applyBorder="1" applyAlignment="1">
      <alignment horizontal="center" vertical="center" wrapText="1"/>
    </xf>
    <xf numFmtId="1" fontId="8" fillId="6" borderId="27" xfId="0" applyNumberFormat="1" applyFont="1" applyFill="1" applyBorder="1" applyAlignment="1">
      <alignment horizontal="center" vertical="center" wrapText="1"/>
    </xf>
    <xf numFmtId="1" fontId="8" fillId="6" borderId="14" xfId="0" applyNumberFormat="1" applyFont="1" applyFill="1" applyBorder="1" applyAlignment="1">
      <alignment horizontal="center" vertical="center" wrapText="1"/>
    </xf>
    <xf numFmtId="0" fontId="4" fillId="6" borderId="27" xfId="0" applyFont="1" applyFill="1" applyBorder="1" applyAlignment="1">
      <alignment horizontal="center" vertical="center" wrapText="1"/>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4" fillId="0" borderId="5" xfId="0" applyFont="1" applyBorder="1" applyAlignment="1">
      <alignment horizontal="center" vertical="center"/>
    </xf>
    <xf numFmtId="0" fontId="24" fillId="0" borderId="20" xfId="0" applyFont="1" applyBorder="1" applyAlignment="1">
      <alignment horizontal="center" vertical="center"/>
    </xf>
    <xf numFmtId="0" fontId="24" fillId="3" borderId="5" xfId="0" applyFont="1" applyFill="1" applyBorder="1" applyAlignment="1">
      <alignment horizontal="center" vertical="center" wrapText="1"/>
    </xf>
    <xf numFmtId="0" fontId="24" fillId="3" borderId="1" xfId="0" applyFont="1" applyFill="1" applyBorder="1" applyAlignment="1">
      <alignment horizontal="center" vertical="center" wrapText="1"/>
    </xf>
    <xf numFmtId="1" fontId="24" fillId="5" borderId="7" xfId="0" applyNumberFormat="1" applyFont="1" applyFill="1" applyBorder="1" applyAlignment="1">
      <alignment horizontal="left" vertical="center" wrapText="1"/>
    </xf>
    <xf numFmtId="1" fontId="24" fillId="5" borderId="4" xfId="0" applyNumberFormat="1" applyFont="1" applyFill="1" applyBorder="1" applyAlignment="1">
      <alignment horizontal="left" vertical="center" wrapText="1"/>
    </xf>
    <xf numFmtId="1" fontId="24" fillId="6" borderId="4" xfId="0" applyNumberFormat="1" applyFont="1" applyFill="1" applyBorder="1" applyAlignment="1">
      <alignment horizontal="center" vertical="center" wrapText="1"/>
    </xf>
    <xf numFmtId="1" fontId="24" fillId="6" borderId="0" xfId="0" applyNumberFormat="1" applyFont="1" applyFill="1" applyAlignment="1">
      <alignment horizontal="center" vertical="center" wrapText="1"/>
    </xf>
    <xf numFmtId="0" fontId="24" fillId="6" borderId="4"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6" borderId="0" xfId="0" applyFont="1" applyFill="1" applyAlignment="1">
      <alignment horizontal="center" vertical="center" wrapText="1"/>
    </xf>
    <xf numFmtId="0" fontId="24" fillId="6" borderId="13"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5" xfId="0" applyFont="1" applyFill="1" applyBorder="1" applyAlignment="1">
      <alignment horizontal="center" vertical="center" wrapText="1"/>
    </xf>
    <xf numFmtId="168" fontId="24" fillId="3" borderId="9" xfId="0" applyNumberFormat="1" applyFont="1" applyFill="1" applyBorder="1" applyAlignment="1">
      <alignment horizontal="center" vertical="center" wrapText="1"/>
    </xf>
    <xf numFmtId="168" fontId="24" fillId="3" borderId="10" xfId="0" applyNumberFormat="1" applyFont="1" applyFill="1" applyBorder="1" applyAlignment="1">
      <alignment horizontal="center" vertical="center" wrapText="1"/>
    </xf>
    <xf numFmtId="10" fontId="24" fillId="3" borderId="3" xfId="0" applyNumberFormat="1" applyFont="1" applyFill="1" applyBorder="1" applyAlignment="1">
      <alignment horizontal="center" vertical="center" wrapText="1"/>
    </xf>
    <xf numFmtId="10" fontId="24" fillId="3" borderId="11" xfId="0" applyNumberFormat="1" applyFont="1" applyFill="1" applyBorder="1" applyAlignment="1">
      <alignment horizontal="center" vertical="center" wrapText="1"/>
    </xf>
    <xf numFmtId="0" fontId="24" fillId="3" borderId="19" xfId="0" applyFont="1" applyFill="1" applyBorder="1" applyAlignment="1">
      <alignment horizontal="center" vertical="center" wrapText="1"/>
    </xf>
    <xf numFmtId="1" fontId="12" fillId="6" borderId="1" xfId="0" applyNumberFormat="1" applyFont="1" applyFill="1" applyBorder="1" applyAlignment="1">
      <alignment horizontal="center" vertical="center" wrapText="1" readingOrder="2"/>
    </xf>
    <xf numFmtId="1" fontId="12" fillId="6" borderId="9" xfId="0" applyNumberFormat="1" applyFont="1" applyFill="1" applyBorder="1" applyAlignment="1">
      <alignment horizontal="center" vertical="center" wrapText="1" readingOrder="2"/>
    </xf>
    <xf numFmtId="1" fontId="12" fillId="6" borderId="9" xfId="0" applyNumberFormat="1" applyFont="1" applyFill="1" applyBorder="1" applyAlignment="1">
      <alignment horizontal="center" vertical="center" wrapText="1"/>
    </xf>
    <xf numFmtId="10" fontId="12" fillId="6" borderId="9" xfId="0" applyNumberFormat="1" applyFont="1" applyFill="1" applyBorder="1" applyAlignment="1">
      <alignment horizontal="center" vertical="center" wrapText="1"/>
    </xf>
    <xf numFmtId="10" fontId="12" fillId="6" borderId="19" xfId="0" applyNumberFormat="1" applyFont="1" applyFill="1" applyBorder="1" applyAlignment="1">
      <alignment horizontal="center" vertical="center" wrapText="1"/>
    </xf>
    <xf numFmtId="43" fontId="12" fillId="6" borderId="1" xfId="1" applyFont="1" applyFill="1" applyBorder="1" applyAlignment="1">
      <alignment horizontal="center" vertical="center" wrapText="1"/>
    </xf>
    <xf numFmtId="43" fontId="12" fillId="6" borderId="9" xfId="1" applyFont="1" applyFill="1" applyBorder="1" applyAlignment="1">
      <alignment horizontal="center" vertical="center" wrapText="1"/>
    </xf>
    <xf numFmtId="167" fontId="12" fillId="6" borderId="1" xfId="0" applyNumberFormat="1" applyFont="1" applyFill="1" applyBorder="1" applyAlignment="1">
      <alignment horizontal="center" vertical="center" wrapText="1"/>
    </xf>
    <xf numFmtId="167" fontId="12" fillId="6" borderId="9" xfId="0" applyNumberFormat="1" applyFont="1" applyFill="1" applyBorder="1" applyAlignment="1">
      <alignment horizontal="center" vertical="center" wrapText="1"/>
    </xf>
    <xf numFmtId="0" fontId="24" fillId="8" borderId="8" xfId="0" applyFont="1" applyFill="1" applyBorder="1" applyAlignment="1">
      <alignment horizontal="left" vertical="center" wrapText="1"/>
    </xf>
    <xf numFmtId="43" fontId="12" fillId="6" borderId="19" xfId="1" applyFont="1" applyFill="1" applyBorder="1" applyAlignment="1">
      <alignment horizontal="center" vertical="center" wrapText="1"/>
    </xf>
    <xf numFmtId="0" fontId="24" fillId="0" borderId="3" xfId="0" applyFont="1" applyBorder="1" applyAlignment="1">
      <alignment horizontal="center" vertical="center"/>
    </xf>
    <xf numFmtId="0" fontId="24"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13" xfId="0" applyFont="1" applyBorder="1" applyAlignment="1">
      <alignment horizontal="center" vertical="center"/>
    </xf>
    <xf numFmtId="0" fontId="12" fillId="0" borderId="1" xfId="0" applyFont="1" applyBorder="1" applyAlignment="1">
      <alignment horizontal="center" vertical="center"/>
    </xf>
    <xf numFmtId="3" fontId="14" fillId="0" borderId="9"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3" fontId="14" fillId="0" borderId="19"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 fontId="12" fillId="6" borderId="19" xfId="0" applyNumberFormat="1" applyFont="1" applyFill="1" applyBorder="1" applyAlignment="1">
      <alignment horizontal="center" vertical="center" wrapText="1"/>
    </xf>
    <xf numFmtId="0" fontId="29" fillId="0" borderId="9" xfId="0" applyFont="1" applyBorder="1" applyAlignment="1">
      <alignment horizontal="justify" vertical="center" wrapText="1"/>
    </xf>
    <xf numFmtId="0" fontId="29" fillId="0" borderId="19" xfId="0" applyFont="1" applyBorder="1" applyAlignment="1">
      <alignment horizontal="justify" vertical="center" wrapText="1"/>
    </xf>
    <xf numFmtId="1" fontId="12" fillId="6" borderId="19" xfId="0" applyNumberFormat="1" applyFont="1" applyFill="1" applyBorder="1" applyAlignment="1">
      <alignment horizontal="center" vertical="center" wrapText="1" readingOrder="2"/>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9" xfId="0" applyFont="1" applyBorder="1" applyAlignment="1">
      <alignment horizontal="center" vertical="center"/>
    </xf>
    <xf numFmtId="0" fontId="12" fillId="0" borderId="19" xfId="0" applyFont="1" applyBorder="1" applyAlignment="1">
      <alignment horizontal="center" vertical="center" wrapText="1"/>
    </xf>
    <xf numFmtId="10" fontId="12" fillId="0" borderId="1" xfId="0" applyNumberFormat="1" applyFont="1" applyBorder="1" applyAlignment="1">
      <alignment horizontal="center" vertical="center"/>
    </xf>
    <xf numFmtId="43" fontId="12" fillId="0" borderId="9" xfId="1" applyFont="1" applyBorder="1" applyAlignment="1">
      <alignment horizontal="center" vertical="center"/>
    </xf>
    <xf numFmtId="43" fontId="12" fillId="0" borderId="10" xfId="1" applyFont="1" applyBorder="1" applyAlignment="1">
      <alignment horizontal="center" vertical="center"/>
    </xf>
    <xf numFmtId="43" fontId="12" fillId="0" borderId="19" xfId="1" applyFont="1" applyBorder="1" applyAlignment="1">
      <alignment horizontal="center" vertical="center"/>
    </xf>
    <xf numFmtId="0" fontId="12" fillId="0" borderId="9" xfId="0" applyFont="1" applyBorder="1" applyAlignment="1">
      <alignment horizontal="left" vertical="center" wrapText="1"/>
    </xf>
    <xf numFmtId="0" fontId="12" fillId="0" borderId="19" xfId="0" applyFont="1" applyBorder="1" applyAlignment="1">
      <alignment horizontal="left" vertical="center" wrapText="1"/>
    </xf>
    <xf numFmtId="10" fontId="12" fillId="0" borderId="9" xfId="0" applyNumberFormat="1" applyFont="1" applyBorder="1" applyAlignment="1">
      <alignment horizontal="center" vertical="center"/>
    </xf>
    <xf numFmtId="10" fontId="12" fillId="0" borderId="19" xfId="0" applyNumberFormat="1" applyFont="1" applyBorder="1" applyAlignment="1">
      <alignment horizontal="center" vertical="center"/>
    </xf>
    <xf numFmtId="167" fontId="12" fillId="6" borderId="10" xfId="0" applyNumberFormat="1" applyFont="1" applyFill="1" applyBorder="1" applyAlignment="1">
      <alignment horizontal="center" vertical="center" wrapText="1"/>
    </xf>
    <xf numFmtId="167" fontId="12" fillId="6" borderId="19" xfId="0" applyNumberFormat="1" applyFont="1" applyFill="1" applyBorder="1" applyAlignment="1">
      <alignment horizontal="center" vertical="center" wrapText="1"/>
    </xf>
    <xf numFmtId="0" fontId="12" fillId="6" borderId="10" xfId="0" applyFont="1" applyFill="1" applyBorder="1" applyAlignment="1">
      <alignment horizontal="left" vertical="center" wrapText="1"/>
    </xf>
    <xf numFmtId="3" fontId="12" fillId="6" borderId="9" xfId="0" applyNumberFormat="1" applyFont="1" applyFill="1" applyBorder="1" applyAlignment="1">
      <alignment horizontal="center" vertical="center"/>
    </xf>
    <xf numFmtId="3" fontId="12" fillId="6" borderId="10" xfId="0" applyNumberFormat="1" applyFont="1" applyFill="1" applyBorder="1" applyAlignment="1">
      <alignment horizontal="center" vertical="center"/>
    </xf>
    <xf numFmtId="1" fontId="12" fillId="0" borderId="4" xfId="0" applyNumberFormat="1" applyFont="1" applyBorder="1" applyAlignment="1">
      <alignment horizontal="center" vertical="center"/>
    </xf>
    <xf numFmtId="1" fontId="12" fillId="0" borderId="12" xfId="0" applyNumberFormat="1" applyFont="1" applyBorder="1" applyAlignment="1">
      <alignment horizontal="center" vertical="center"/>
    </xf>
    <xf numFmtId="1" fontId="12" fillId="0" borderId="0" xfId="0" applyNumberFormat="1" applyFont="1" applyAlignment="1">
      <alignment horizontal="center" vertical="center"/>
    </xf>
    <xf numFmtId="1" fontId="12" fillId="0" borderId="13" xfId="0" applyNumberFormat="1" applyFont="1" applyBorder="1" applyAlignment="1">
      <alignment horizontal="center" vertical="center"/>
    </xf>
    <xf numFmtId="1" fontId="12" fillId="0" borderId="2" xfId="0" applyNumberFormat="1" applyFont="1" applyBorder="1" applyAlignment="1">
      <alignment horizontal="center" vertical="center"/>
    </xf>
    <xf numFmtId="1" fontId="12" fillId="0" borderId="20" xfId="0" applyNumberFormat="1" applyFont="1" applyBorder="1" applyAlignment="1">
      <alignment horizontal="center" vertical="center"/>
    </xf>
    <xf numFmtId="1" fontId="12" fillId="0" borderId="1" xfId="0" applyNumberFormat="1" applyFont="1" applyBorder="1" applyAlignment="1">
      <alignment horizontal="center" vertical="center"/>
    </xf>
    <xf numFmtId="10" fontId="12" fillId="6" borderId="1" xfId="0" applyNumberFormat="1" applyFont="1" applyFill="1" applyBorder="1" applyAlignment="1">
      <alignment horizontal="center" vertical="center"/>
    </xf>
    <xf numFmtId="0" fontId="12" fillId="0" borderId="10" xfId="0" applyFont="1" applyBorder="1" applyAlignment="1">
      <alignment horizontal="left" vertical="center" wrapText="1"/>
    </xf>
    <xf numFmtId="43" fontId="12" fillId="0" borderId="1" xfId="1" applyFont="1" applyBorder="1" applyAlignment="1">
      <alignment horizontal="center" vertical="center"/>
    </xf>
    <xf numFmtId="0" fontId="14" fillId="6" borderId="9" xfId="0" applyFont="1" applyFill="1" applyBorder="1" applyAlignment="1">
      <alignment horizontal="justify" vertical="center" wrapText="1"/>
    </xf>
    <xf numFmtId="0" fontId="14" fillId="6" borderId="10" xfId="0" applyFont="1" applyFill="1" applyBorder="1" applyAlignment="1">
      <alignment horizontal="justify" vertical="center" wrapText="1"/>
    </xf>
    <xf numFmtId="0" fontId="14" fillId="6" borderId="19" xfId="0" applyFont="1" applyFill="1" applyBorder="1" applyAlignment="1">
      <alignment horizontal="justify" vertical="center" wrapText="1"/>
    </xf>
    <xf numFmtId="0" fontId="12" fillId="6" borderId="9"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19" xfId="0" applyFont="1" applyFill="1" applyBorder="1" applyAlignment="1">
      <alignment horizontal="center" vertical="center"/>
    </xf>
    <xf numFmtId="10" fontId="12" fillId="6" borderId="9" xfId="0" applyNumberFormat="1" applyFont="1" applyFill="1" applyBorder="1" applyAlignment="1">
      <alignment horizontal="center" vertical="center"/>
    </xf>
    <xf numFmtId="10" fontId="12" fillId="6" borderId="10" xfId="0" applyNumberFormat="1" applyFont="1" applyFill="1" applyBorder="1" applyAlignment="1">
      <alignment horizontal="center" vertical="center"/>
    </xf>
    <xf numFmtId="10" fontId="12" fillId="6" borderId="19" xfId="0" applyNumberFormat="1" applyFont="1" applyFill="1" applyBorder="1" applyAlignment="1">
      <alignment horizontal="center" vertical="center"/>
    </xf>
    <xf numFmtId="0" fontId="12" fillId="6" borderId="11" xfId="0" applyFont="1" applyFill="1" applyBorder="1" applyAlignment="1">
      <alignment horizontal="justify"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9" xfId="0" applyFont="1" applyBorder="1" applyAlignment="1">
      <alignment horizontal="center" vertical="center" wrapText="1"/>
    </xf>
    <xf numFmtId="0" fontId="12" fillId="0" borderId="9" xfId="0" applyFont="1" applyBorder="1" applyAlignment="1">
      <alignment horizontal="center" vertical="center" textRotation="3"/>
    </xf>
    <xf numFmtId="0" fontId="12" fillId="0" borderId="10" xfId="0" applyFont="1" applyBorder="1" applyAlignment="1">
      <alignment horizontal="center" vertical="center" textRotation="3"/>
    </xf>
    <xf numFmtId="0" fontId="12" fillId="0" borderId="19" xfId="0" applyFont="1" applyBorder="1" applyAlignment="1">
      <alignment horizontal="center" vertical="center" textRotation="3"/>
    </xf>
    <xf numFmtId="0" fontId="12" fillId="6" borderId="14" xfId="0" applyFont="1" applyFill="1" applyBorder="1" applyAlignment="1">
      <alignment horizontal="center" vertical="center" wrapText="1"/>
    </xf>
    <xf numFmtId="0" fontId="12" fillId="0" borderId="9" xfId="0" applyFont="1" applyBorder="1" applyAlignment="1">
      <alignment horizontal="center" vertical="center" textRotation="4"/>
    </xf>
    <xf numFmtId="0" fontId="12" fillId="0" borderId="10" xfId="0" applyFont="1" applyBorder="1" applyAlignment="1">
      <alignment horizontal="center" vertical="center" textRotation="4"/>
    </xf>
    <xf numFmtId="43" fontId="12" fillId="6" borderId="9" xfId="1" applyFont="1" applyFill="1" applyBorder="1" applyAlignment="1">
      <alignment horizontal="right" vertical="center"/>
    </xf>
    <xf numFmtId="43" fontId="12" fillId="6" borderId="10" xfId="1" applyFont="1" applyFill="1" applyBorder="1" applyAlignment="1">
      <alignment horizontal="right" vertical="center"/>
    </xf>
    <xf numFmtId="1" fontId="12" fillId="6" borderId="9" xfId="0" applyNumberFormat="1" applyFont="1" applyFill="1" applyBorder="1" applyAlignment="1">
      <alignment horizontal="center" vertical="center"/>
    </xf>
    <xf numFmtId="1" fontId="12" fillId="6" borderId="10" xfId="0" applyNumberFormat="1" applyFont="1" applyFill="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12" fillId="0" borderId="20" xfId="0" applyFont="1" applyBorder="1" applyAlignment="1">
      <alignment horizontal="center" vertical="center"/>
    </xf>
    <xf numFmtId="0" fontId="12" fillId="0" borderId="9" xfId="0" applyFont="1" applyBorder="1" applyAlignment="1">
      <alignment horizontal="center" vertical="center" textRotation="92"/>
    </xf>
    <xf numFmtId="0" fontId="12" fillId="0" borderId="19" xfId="0" applyFont="1" applyBorder="1" applyAlignment="1">
      <alignment horizontal="center" vertical="center" textRotation="92"/>
    </xf>
    <xf numFmtId="0" fontId="24" fillId="6" borderId="0" xfId="0" applyFont="1" applyFill="1" applyAlignment="1">
      <alignment horizontal="center" vertical="center"/>
    </xf>
    <xf numFmtId="0" fontId="24" fillId="0" borderId="8" xfId="0" applyFont="1" applyBorder="1" applyAlignment="1">
      <alignment horizontal="center" vertical="center"/>
    </xf>
    <xf numFmtId="0" fontId="6" fillId="0" borderId="3" xfId="0" applyFont="1" applyBorder="1" applyAlignment="1">
      <alignment horizontal="center" vertical="center"/>
    </xf>
    <xf numFmtId="3" fontId="6" fillId="3" borderId="1" xfId="0" applyNumberFormat="1"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1" fontId="6" fillId="6" borderId="3" xfId="0" applyNumberFormat="1" applyFont="1" applyFill="1" applyBorder="1" applyAlignment="1">
      <alignment horizontal="center" vertical="top"/>
    </xf>
    <xf numFmtId="1" fontId="6" fillId="6" borderId="11" xfId="0" applyNumberFormat="1" applyFont="1" applyFill="1" applyBorder="1" applyAlignment="1">
      <alignment horizontal="center" vertical="top"/>
    </xf>
    <xf numFmtId="1" fontId="6" fillId="6" borderId="5" xfId="0" applyNumberFormat="1" applyFont="1" applyFill="1" applyBorder="1" applyAlignment="1">
      <alignment horizontal="center" vertical="top"/>
    </xf>
    <xf numFmtId="1" fontId="6" fillId="6" borderId="6" xfId="0" applyNumberFormat="1" applyFont="1" applyFill="1" applyBorder="1" applyAlignment="1">
      <alignment horizontal="center" vertical="center" wrapText="1"/>
    </xf>
    <xf numFmtId="1" fontId="6" fillId="6" borderId="8" xfId="0" applyNumberFormat="1" applyFont="1" applyFill="1" applyBorder="1" applyAlignment="1">
      <alignment horizontal="center" vertical="center"/>
    </xf>
    <xf numFmtId="1" fontId="6" fillId="6" borderId="3" xfId="0" applyNumberFormat="1" applyFont="1" applyFill="1" applyBorder="1" applyAlignment="1">
      <alignment horizontal="center" vertical="center"/>
    </xf>
    <xf numFmtId="1" fontId="6" fillId="6" borderId="11" xfId="0" applyNumberFormat="1" applyFont="1" applyFill="1" applyBorder="1" applyAlignment="1">
      <alignment horizontal="center" vertical="center"/>
    </xf>
    <xf numFmtId="1" fontId="6" fillId="6" borderId="22" xfId="0" applyNumberFormat="1" applyFont="1" applyFill="1" applyBorder="1" applyAlignment="1">
      <alignment horizontal="center" vertical="center"/>
    </xf>
    <xf numFmtId="1" fontId="6" fillId="6" borderId="12" xfId="0" applyNumberFormat="1" applyFont="1" applyFill="1" applyBorder="1" applyAlignment="1">
      <alignment horizontal="center" vertical="center"/>
    </xf>
    <xf numFmtId="1" fontId="6" fillId="6" borderId="13" xfId="0" applyNumberFormat="1" applyFont="1" applyFill="1" applyBorder="1" applyAlignment="1">
      <alignment horizontal="center" vertical="center"/>
    </xf>
    <xf numFmtId="1" fontId="6" fillId="6" borderId="25" xfId="0" applyNumberFormat="1" applyFont="1" applyFill="1" applyBorder="1" applyAlignment="1">
      <alignment horizontal="center" vertical="center"/>
    </xf>
    <xf numFmtId="1" fontId="6" fillId="8" borderId="7" xfId="0" applyNumberFormat="1" applyFont="1" applyFill="1" applyBorder="1" applyAlignment="1">
      <alignment horizontal="left" vertical="center" wrapText="1"/>
    </xf>
    <xf numFmtId="1" fontId="6" fillId="8" borderId="1" xfId="0" applyNumberFormat="1" applyFont="1" applyFill="1" applyBorder="1" applyAlignment="1">
      <alignment horizontal="left" vertical="center" wrapText="1"/>
    </xf>
    <xf numFmtId="1" fontId="6" fillId="8" borderId="9" xfId="0" applyNumberFormat="1" applyFont="1" applyFill="1" applyBorder="1" applyAlignment="1">
      <alignment horizontal="left" vertical="center" wrapText="1"/>
    </xf>
    <xf numFmtId="166" fontId="8" fillId="0" borderId="1" xfId="0" applyNumberFormat="1" applyFont="1" applyBorder="1" applyAlignment="1">
      <alignment horizontal="center" vertical="center"/>
    </xf>
    <xf numFmtId="9" fontId="4" fillId="6" borderId="1" xfId="2" applyFont="1" applyFill="1" applyBorder="1" applyAlignment="1">
      <alignment horizontal="center" vertical="center" wrapText="1"/>
    </xf>
    <xf numFmtId="3" fontId="4" fillId="6" borderId="1"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6" borderId="11" xfId="0" applyFont="1" applyFill="1" applyBorder="1" applyAlignment="1">
      <alignment horizontal="center" vertical="center" wrapText="1"/>
    </xf>
    <xf numFmtId="167" fontId="4" fillId="6" borderId="1" xfId="0" applyNumberFormat="1" applyFont="1" applyFill="1" applyBorder="1" applyAlignment="1">
      <alignment horizontal="center" vertical="center" wrapText="1"/>
    </xf>
    <xf numFmtId="166" fontId="8" fillId="0" borderId="8" xfId="0" applyNumberFormat="1" applyFont="1" applyBorder="1" applyAlignment="1">
      <alignment horizontal="center" vertical="center"/>
    </xf>
    <xf numFmtId="49" fontId="8"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3" fontId="4" fillId="0" borderId="1" xfId="0" applyNumberFormat="1" applyFont="1" applyFill="1" applyBorder="1" applyAlignment="1">
      <alignment horizontal="justify"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166" fontId="8" fillId="0" borderId="1" xfId="0" applyNumberFormat="1" applyFont="1" applyFill="1" applyBorder="1" applyAlignment="1">
      <alignment horizontal="center" vertical="center"/>
    </xf>
    <xf numFmtId="166" fontId="8" fillId="0" borderId="9"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14" fontId="4" fillId="0" borderId="9" xfId="0" applyNumberFormat="1" applyFont="1" applyFill="1" applyBorder="1" applyAlignment="1">
      <alignment horizontal="center" vertical="center"/>
    </xf>
    <xf numFmtId="14" fontId="4" fillId="0" borderId="10"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166" fontId="8" fillId="0" borderId="8" xfId="0" applyNumberFormat="1" applyFont="1" applyFill="1" applyBorder="1" applyAlignment="1">
      <alignment horizontal="center" vertical="center"/>
    </xf>
    <xf numFmtId="166" fontId="8" fillId="0" borderId="12" xfId="0" applyNumberFormat="1" applyFont="1" applyFill="1" applyBorder="1" applyAlignment="1">
      <alignment horizontal="center" vertical="center"/>
    </xf>
    <xf numFmtId="9" fontId="4" fillId="0" borderId="9" xfId="2" applyFont="1" applyFill="1" applyBorder="1" applyAlignment="1">
      <alignment horizontal="center" vertical="center" wrapText="1"/>
    </xf>
    <xf numFmtId="9" fontId="4" fillId="0" borderId="10" xfId="2"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182" fontId="4" fillId="6" borderId="10" xfId="0" applyNumberFormat="1" applyFont="1" applyFill="1" applyBorder="1" applyAlignment="1">
      <alignment horizontal="center" vertical="center"/>
    </xf>
    <xf numFmtId="182" fontId="4" fillId="6" borderId="19" xfId="0" applyNumberFormat="1" applyFont="1" applyFill="1" applyBorder="1" applyAlignment="1">
      <alignment horizontal="center" vertical="center"/>
    </xf>
    <xf numFmtId="3" fontId="32" fillId="4" borderId="6" xfId="0" applyNumberFormat="1" applyFont="1" applyFill="1" applyBorder="1" applyAlignment="1">
      <alignment horizontal="center" vertical="center" wrapText="1"/>
    </xf>
    <xf numFmtId="3" fontId="32" fillId="4" borderId="7" xfId="0" applyNumberFormat="1" applyFont="1" applyFill="1" applyBorder="1" applyAlignment="1">
      <alignment horizontal="center" vertical="center" wrapText="1"/>
    </xf>
    <xf numFmtId="0" fontId="6" fillId="3" borderId="19" xfId="0" applyFont="1" applyFill="1" applyBorder="1" applyAlignment="1">
      <alignment horizontal="center" vertical="center" wrapText="1"/>
    </xf>
    <xf numFmtId="43" fontId="4" fillId="6" borderId="10" xfId="3" applyFont="1" applyFill="1" applyBorder="1" applyAlignment="1">
      <alignment horizontal="center" vertical="center" wrapText="1"/>
    </xf>
    <xf numFmtId="0" fontId="4" fillId="0" borderId="14" xfId="0" applyFont="1" applyBorder="1" applyAlignment="1">
      <alignment horizontal="justify" vertical="center"/>
    </xf>
    <xf numFmtId="4" fontId="4" fillId="0" borderId="14" xfId="3" applyNumberFormat="1" applyFont="1" applyBorder="1" applyAlignment="1">
      <alignment horizontal="right" vertical="center"/>
    </xf>
    <xf numFmtId="165" fontId="33" fillId="3" borderId="3" xfId="0" applyNumberFormat="1" applyFont="1" applyFill="1" applyBorder="1" applyAlignment="1">
      <alignment horizontal="center" vertical="center" wrapText="1"/>
    </xf>
    <xf numFmtId="165" fontId="33" fillId="3" borderId="5" xfId="0" applyNumberFormat="1" applyFont="1" applyFill="1" applyBorder="1" applyAlignment="1">
      <alignment horizontal="center" vertical="center" wrapText="1"/>
    </xf>
    <xf numFmtId="3" fontId="6" fillId="3" borderId="19" xfId="0" applyNumberFormat="1"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3" xfId="0" applyFont="1" applyFill="1" applyBorder="1" applyAlignment="1">
      <alignment horizontal="center" vertical="center" textRotation="90" wrapText="1"/>
    </xf>
    <xf numFmtId="0" fontId="32" fillId="4" borderId="5" xfId="0" applyFont="1" applyFill="1" applyBorder="1" applyAlignment="1">
      <alignment horizontal="center" vertical="center" textRotation="90" wrapText="1"/>
    </xf>
    <xf numFmtId="0" fontId="4" fillId="0" borderId="10" xfId="0" applyFont="1" applyBorder="1" applyAlignment="1">
      <alignment horizontal="center" vertical="center"/>
    </xf>
    <xf numFmtId="41" fontId="4" fillId="0" borderId="14" xfId="0" applyNumberFormat="1" applyFont="1" applyBorder="1" applyAlignment="1">
      <alignment horizontal="left" vertical="center"/>
    </xf>
    <xf numFmtId="182" fontId="4" fillId="6" borderId="9" xfId="0" applyNumberFormat="1" applyFont="1" applyFill="1" applyBorder="1" applyAlignment="1">
      <alignment horizontal="center" vertical="center" wrapText="1"/>
    </xf>
    <xf numFmtId="182" fontId="4" fillId="6" borderId="10" xfId="0" applyNumberFormat="1" applyFont="1" applyFill="1" applyBorder="1" applyAlignment="1">
      <alignment horizontal="center" vertical="center" wrapText="1"/>
    </xf>
    <xf numFmtId="182" fontId="4" fillId="6" borderId="19" xfId="0" applyNumberFormat="1" applyFont="1" applyFill="1" applyBorder="1" applyAlignment="1">
      <alignment horizontal="center" vertical="center" wrapText="1"/>
    </xf>
    <xf numFmtId="14" fontId="4" fillId="0" borderId="9" xfId="0" applyNumberFormat="1" applyFont="1" applyBorder="1" applyAlignment="1">
      <alignment horizontal="center" vertical="center"/>
    </xf>
    <xf numFmtId="14" fontId="4" fillId="0" borderId="10" xfId="0" applyNumberFormat="1" applyFont="1" applyBorder="1" applyAlignment="1">
      <alignment horizontal="center" vertical="center"/>
    </xf>
    <xf numFmtId="14" fontId="4" fillId="0" borderId="19" xfId="0" applyNumberFormat="1" applyFont="1" applyBorder="1" applyAlignment="1">
      <alignment horizontal="center" vertical="center"/>
    </xf>
    <xf numFmtId="182" fontId="4" fillId="6" borderId="9" xfId="0" applyNumberFormat="1" applyFont="1" applyFill="1" applyBorder="1" applyAlignment="1">
      <alignment horizontal="center" vertical="center"/>
    </xf>
    <xf numFmtId="0" fontId="4" fillId="0" borderId="11" xfId="0" applyFont="1" applyBorder="1" applyAlignment="1">
      <alignment horizontal="justify" vertical="center" wrapText="1"/>
    </xf>
    <xf numFmtId="0" fontId="4" fillId="0" borderId="5" xfId="0" applyFont="1" applyBorder="1" applyAlignment="1">
      <alignment horizontal="justify" vertical="center" wrapText="1"/>
    </xf>
    <xf numFmtId="14" fontId="4" fillId="0" borderId="9"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14" fontId="4" fillId="0" borderId="19" xfId="0" applyNumberFormat="1" applyFont="1" applyBorder="1" applyAlignment="1">
      <alignment horizontal="center" vertical="center" wrapText="1"/>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10" fontId="4" fillId="6" borderId="9" xfId="4" applyNumberFormat="1" applyFont="1" applyFill="1" applyBorder="1" applyAlignment="1">
      <alignment horizontal="center" vertical="center"/>
    </xf>
    <xf numFmtId="10" fontId="4" fillId="6" borderId="19" xfId="4" applyNumberFormat="1" applyFont="1" applyFill="1" applyBorder="1" applyAlignment="1">
      <alignment horizontal="center" vertical="center"/>
    </xf>
    <xf numFmtId="0" fontId="4" fillId="6" borderId="9" xfId="0" applyFont="1" applyFill="1" applyBorder="1" applyAlignment="1">
      <alignment horizontal="justify" vertical="center"/>
    </xf>
    <xf numFmtId="0" fontId="4" fillId="6" borderId="19" xfId="0" applyFont="1" applyFill="1" applyBorder="1" applyAlignment="1">
      <alignment horizontal="justify" vertical="center"/>
    </xf>
    <xf numFmtId="0" fontId="4" fillId="0" borderId="72" xfId="0" applyFont="1" applyBorder="1" applyAlignment="1">
      <alignment horizontal="center" vertical="center"/>
    </xf>
    <xf numFmtId="0" fontId="4" fillId="6" borderId="72" xfId="0" applyFont="1" applyFill="1" applyBorder="1" applyAlignment="1">
      <alignment horizontal="justify" vertical="center" wrapText="1"/>
    </xf>
    <xf numFmtId="9" fontId="4" fillId="6" borderId="9" xfId="4" applyFont="1" applyFill="1" applyBorder="1" applyAlignment="1">
      <alignment horizontal="center" vertical="center"/>
    </xf>
    <xf numFmtId="9" fontId="4" fillId="6" borderId="19" xfId="4" applyFont="1" applyFill="1" applyBorder="1" applyAlignment="1">
      <alignment horizontal="center" vertical="center"/>
    </xf>
    <xf numFmtId="0" fontId="4" fillId="0" borderId="12" xfId="0" applyFont="1" applyBorder="1" applyAlignment="1">
      <alignment horizontal="center"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9" fontId="4" fillId="6" borderId="10" xfId="4" applyFont="1" applyFill="1" applyBorder="1" applyAlignment="1">
      <alignment horizontal="center" vertical="center"/>
    </xf>
    <xf numFmtId="0" fontId="4" fillId="6" borderId="11"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0" xfId="0" applyFont="1" applyFill="1" applyAlignment="1">
      <alignment horizontal="center" vertical="center"/>
    </xf>
    <xf numFmtId="0" fontId="4" fillId="6" borderId="2" xfId="0" applyFont="1" applyFill="1" applyBorder="1" applyAlignment="1">
      <alignment horizontal="center" vertical="center"/>
    </xf>
    <xf numFmtId="0" fontId="4" fillId="0" borderId="14" xfId="0" applyFont="1" applyBorder="1" applyAlignment="1">
      <alignment horizontal="center" vertical="center"/>
    </xf>
    <xf numFmtId="0" fontId="4" fillId="6" borderId="12" xfId="0" applyFont="1" applyFill="1" applyBorder="1" applyAlignment="1">
      <alignment vertical="center" wrapText="1"/>
    </xf>
    <xf numFmtId="0" fontId="4" fillId="6" borderId="13" xfId="0" applyFont="1" applyFill="1" applyBorder="1" applyAlignment="1">
      <alignment vertical="center" wrapText="1"/>
    </xf>
    <xf numFmtId="0" fontId="4" fillId="6" borderId="20" xfId="0" applyFont="1" applyFill="1" applyBorder="1" applyAlignment="1">
      <alignment vertical="center" wrapText="1"/>
    </xf>
    <xf numFmtId="1" fontId="4" fillId="6" borderId="9" xfId="0" applyNumberFormat="1" applyFont="1" applyFill="1" applyBorder="1" applyAlignment="1">
      <alignment horizontal="center" vertical="center"/>
    </xf>
    <xf numFmtId="1" fontId="4" fillId="6" borderId="10" xfId="0" applyNumberFormat="1" applyFont="1" applyFill="1" applyBorder="1" applyAlignment="1">
      <alignment horizontal="center" vertical="center"/>
    </xf>
    <xf numFmtId="1" fontId="4" fillId="6" borderId="19" xfId="0" applyNumberFormat="1" applyFont="1" applyFill="1" applyBorder="1" applyAlignment="1">
      <alignment horizontal="center" vertical="center"/>
    </xf>
    <xf numFmtId="0" fontId="4" fillId="6" borderId="19" xfId="0" applyFont="1" applyFill="1" applyBorder="1" applyAlignment="1">
      <alignment horizontal="center" vertical="center"/>
    </xf>
    <xf numFmtId="9" fontId="4" fillId="6" borderId="9" xfId="6" applyFont="1" applyFill="1" applyBorder="1" applyAlignment="1">
      <alignment horizontal="center" vertical="center" wrapText="1"/>
    </xf>
    <xf numFmtId="9" fontId="4" fillId="6" borderId="10" xfId="6" applyFont="1" applyFill="1" applyBorder="1" applyAlignment="1">
      <alignment horizontal="center" vertical="center" wrapText="1"/>
    </xf>
    <xf numFmtId="9" fontId="4" fillId="6" borderId="19" xfId="6" applyFont="1" applyFill="1" applyBorder="1" applyAlignment="1">
      <alignment horizontal="center" vertical="center" wrapText="1"/>
    </xf>
    <xf numFmtId="43" fontId="4" fillId="6" borderId="1" xfId="3" applyFont="1" applyFill="1" applyBorder="1" applyAlignment="1">
      <alignment horizontal="justify" vertical="center" wrapText="1"/>
    </xf>
    <xf numFmtId="14" fontId="34" fillId="0" borderId="9" xfId="0" applyNumberFormat="1" applyFont="1" applyBorder="1" applyAlignment="1">
      <alignment horizontal="center" vertical="center" wrapText="1"/>
    </xf>
    <xf numFmtId="14" fontId="34" fillId="0" borderId="10" xfId="0" applyNumberFormat="1" applyFont="1" applyBorder="1" applyAlignment="1">
      <alignment horizontal="center" vertical="center" wrapText="1"/>
    </xf>
    <xf numFmtId="14" fontId="34" fillId="0" borderId="19" xfId="0" applyNumberFormat="1"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9" xfId="0" applyFont="1" applyBorder="1" applyAlignment="1">
      <alignment horizontal="center" vertical="center" wrapText="1"/>
    </xf>
    <xf numFmtId="43" fontId="4" fillId="6" borderId="10" xfId="3" applyFont="1" applyFill="1" applyBorder="1" applyAlignment="1">
      <alignment horizontal="center" vertical="center"/>
    </xf>
    <xf numFmtId="43" fontId="4" fillId="6" borderId="13" xfId="3" applyFont="1" applyFill="1" applyBorder="1" applyAlignment="1">
      <alignment horizontal="center" vertical="center"/>
    </xf>
    <xf numFmtId="1" fontId="34" fillId="0" borderId="9" xfId="0" applyNumberFormat="1" applyFont="1" applyBorder="1" applyAlignment="1">
      <alignment horizontal="center" vertical="center"/>
    </xf>
    <xf numFmtId="1" fontId="34" fillId="0" borderId="10" xfId="0" applyNumberFormat="1" applyFont="1" applyBorder="1" applyAlignment="1">
      <alignment horizontal="center" vertical="center"/>
    </xf>
    <xf numFmtId="1" fontId="34" fillId="0" borderId="19" xfId="0" applyNumberFormat="1"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9" xfId="0" applyFont="1" applyBorder="1" applyAlignment="1">
      <alignment horizontal="center" vertical="center"/>
    </xf>
    <xf numFmtId="0" fontId="4" fillId="6" borderId="12" xfId="0" applyFont="1" applyFill="1" applyBorder="1" applyAlignment="1">
      <alignment horizontal="center" vertical="center"/>
    </xf>
    <xf numFmtId="9" fontId="4" fillId="6" borderId="14" xfId="6" applyFont="1" applyFill="1" applyBorder="1" applyAlignment="1">
      <alignment horizontal="center" vertical="center"/>
    </xf>
    <xf numFmtId="0" fontId="4" fillId="6" borderId="3" xfId="0" applyFont="1" applyFill="1" applyBorder="1" applyAlignment="1">
      <alignment horizontal="left" vertical="center" wrapText="1"/>
    </xf>
    <xf numFmtId="0" fontId="4" fillId="6" borderId="5" xfId="0" applyFont="1" applyFill="1" applyBorder="1" applyAlignment="1">
      <alignment horizontal="left" vertical="center" wrapText="1"/>
    </xf>
    <xf numFmtId="10" fontId="4" fillId="0" borderId="9" xfId="6" applyNumberFormat="1" applyFont="1" applyBorder="1" applyAlignment="1">
      <alignment horizontal="center" vertical="center"/>
    </xf>
    <xf numFmtId="10" fontId="4" fillId="0" borderId="19" xfId="6" applyNumberFormat="1" applyFont="1" applyBorder="1" applyAlignment="1">
      <alignment horizontal="center" vertical="center"/>
    </xf>
    <xf numFmtId="10" fontId="4" fillId="0" borderId="10" xfId="6" applyNumberFormat="1" applyFont="1" applyBorder="1" applyAlignment="1">
      <alignment horizontal="center" vertical="center"/>
    </xf>
    <xf numFmtId="10" fontId="8" fillId="0" borderId="9" xfId="6" applyNumberFormat="1" applyFont="1" applyBorder="1" applyAlignment="1">
      <alignment horizontal="center" vertical="center"/>
    </xf>
    <xf numFmtId="10" fontId="8" fillId="0" borderId="10" xfId="6" applyNumberFormat="1" applyFont="1" applyBorder="1" applyAlignment="1">
      <alignment horizontal="center" vertical="center"/>
    </xf>
    <xf numFmtId="10" fontId="8" fillId="0" borderId="19" xfId="6" applyNumberFormat="1" applyFont="1" applyBorder="1" applyAlignment="1">
      <alignment horizontal="center" vertical="center"/>
    </xf>
    <xf numFmtId="14" fontId="34" fillId="0" borderId="9" xfId="0" applyNumberFormat="1" applyFont="1" applyBorder="1" applyAlignment="1">
      <alignment horizontal="center" vertical="center"/>
    </xf>
    <xf numFmtId="14" fontId="34" fillId="0" borderId="10" xfId="0" applyNumberFormat="1" applyFont="1" applyBorder="1" applyAlignment="1">
      <alignment horizontal="center" vertical="center"/>
    </xf>
    <xf numFmtId="14" fontId="34" fillId="0" borderId="19" xfId="0" applyNumberFormat="1" applyFont="1" applyBorder="1" applyAlignment="1">
      <alignment horizontal="center" vertical="center"/>
    </xf>
    <xf numFmtId="0" fontId="4" fillId="0" borderId="9" xfId="0" applyFont="1" applyBorder="1" applyAlignment="1">
      <alignment vertical="center" wrapText="1"/>
    </xf>
    <xf numFmtId="0" fontId="4" fillId="0" borderId="19" xfId="0" applyFont="1" applyBorder="1" applyAlignment="1">
      <alignment vertical="center" wrapText="1"/>
    </xf>
    <xf numFmtId="43" fontId="4" fillId="0" borderId="10" xfId="3" applyFont="1" applyBorder="1" applyAlignment="1">
      <alignment horizontal="center" vertical="center"/>
    </xf>
    <xf numFmtId="0" fontId="4" fillId="0" borderId="47" xfId="0" applyFont="1" applyBorder="1" applyAlignment="1">
      <alignment horizontal="justify" vertical="center" wrapText="1"/>
    </xf>
    <xf numFmtId="0" fontId="4" fillId="0" borderId="49" xfId="0" applyFont="1" applyBorder="1" applyAlignment="1">
      <alignment horizontal="justify" vertical="center" wrapText="1"/>
    </xf>
    <xf numFmtId="43" fontId="4" fillId="0" borderId="9" xfId="3" applyFont="1" applyBorder="1" applyAlignment="1">
      <alignment horizontal="center" vertical="center" wrapText="1"/>
    </xf>
    <xf numFmtId="43" fontId="4" fillId="0" borderId="19" xfId="3" applyFont="1" applyBorder="1" applyAlignment="1">
      <alignment horizontal="center" vertical="center" wrapText="1"/>
    </xf>
    <xf numFmtId="10" fontId="34" fillId="0" borderId="9" xfId="0" applyNumberFormat="1" applyFont="1" applyBorder="1" applyAlignment="1">
      <alignment horizontal="center" vertical="center"/>
    </xf>
    <xf numFmtId="10" fontId="34" fillId="0" borderId="19" xfId="0" applyNumberFormat="1" applyFont="1" applyBorder="1" applyAlignment="1">
      <alignment horizontal="center" vertical="center"/>
    </xf>
    <xf numFmtId="9" fontId="4" fillId="6" borderId="44" xfId="6" applyFont="1" applyFill="1" applyBorder="1" applyAlignment="1">
      <alignment horizontal="center" vertical="center"/>
    </xf>
    <xf numFmtId="9" fontId="4" fillId="6" borderId="19" xfId="6" applyFont="1" applyFill="1" applyBorder="1" applyAlignment="1">
      <alignment horizontal="center" vertical="center"/>
    </xf>
    <xf numFmtId="0" fontId="4" fillId="6" borderId="14" xfId="0" applyFont="1" applyFill="1" applyBorder="1" applyAlignment="1">
      <alignment horizontal="left" vertical="center" wrapText="1"/>
    </xf>
    <xf numFmtId="0" fontId="8" fillId="0" borderId="14" xfId="0" applyFont="1" applyBorder="1" applyAlignment="1">
      <alignment horizontal="justify" vertical="center" wrapText="1"/>
    </xf>
    <xf numFmtId="0" fontId="4" fillId="6" borderId="9"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0" borderId="0" xfId="0" applyFont="1" applyAlignment="1">
      <alignment horizontal="center" vertical="center" wrapText="1"/>
    </xf>
    <xf numFmtId="9" fontId="4" fillId="6" borderId="10" xfId="6" applyFont="1" applyFill="1" applyBorder="1" applyAlignment="1">
      <alignment horizontal="center" vertical="center"/>
    </xf>
    <xf numFmtId="43" fontId="8" fillId="0" borderId="40" xfId="3" applyFont="1" applyFill="1" applyBorder="1" applyAlignment="1">
      <alignment horizontal="center" vertical="center" wrapText="1"/>
    </xf>
    <xf numFmtId="43" fontId="8" fillId="0" borderId="42" xfId="3" applyFont="1" applyFill="1" applyBorder="1" applyAlignment="1">
      <alignment horizontal="center" vertical="center" wrapText="1"/>
    </xf>
    <xf numFmtId="43" fontId="8" fillId="0" borderId="37" xfId="3" applyFont="1" applyFill="1" applyBorder="1" applyAlignment="1">
      <alignment horizontal="center" vertical="center" wrapText="1"/>
    </xf>
    <xf numFmtId="0" fontId="4" fillId="6" borderId="14" xfId="0" applyFont="1" applyFill="1" applyBorder="1" applyAlignment="1">
      <alignment horizontal="center" vertical="center"/>
    </xf>
    <xf numFmtId="0" fontId="4" fillId="6" borderId="14" xfId="0" applyFont="1" applyFill="1" applyBorder="1" applyAlignment="1">
      <alignment horizontal="left" vertical="center"/>
    </xf>
    <xf numFmtId="1" fontId="4" fillId="6" borderId="1" xfId="0" applyNumberFormat="1" applyFont="1" applyFill="1" applyBorder="1" applyAlignment="1">
      <alignment horizontal="center" vertical="center"/>
    </xf>
    <xf numFmtId="0" fontId="4" fillId="6" borderId="12" xfId="0" applyFont="1" applyFill="1" applyBorder="1" applyAlignment="1">
      <alignment horizontal="left" vertical="center"/>
    </xf>
    <xf numFmtId="0" fontId="4" fillId="6" borderId="13" xfId="0" applyFont="1" applyFill="1" applyBorder="1" applyAlignment="1">
      <alignment horizontal="left" vertical="center"/>
    </xf>
    <xf numFmtId="0" fontId="4" fillId="6" borderId="20" xfId="0" applyFont="1" applyFill="1" applyBorder="1" applyAlignment="1">
      <alignment horizontal="left" vertical="center"/>
    </xf>
    <xf numFmtId="0" fontId="34" fillId="0" borderId="1" xfId="0" applyFont="1" applyBorder="1" applyAlignment="1">
      <alignment horizontal="center" vertical="center" wrapText="1"/>
    </xf>
    <xf numFmtId="43" fontId="4" fillId="6" borderId="9" xfId="3" applyFont="1" applyFill="1" applyBorder="1" applyAlignment="1">
      <alignment horizontal="center" vertical="center" wrapText="1"/>
    </xf>
    <xf numFmtId="43" fontId="4" fillId="6" borderId="19" xfId="3" applyFont="1" applyFill="1" applyBorder="1" applyAlignment="1">
      <alignment horizontal="center" vertical="center" wrapText="1"/>
    </xf>
    <xf numFmtId="0" fontId="4" fillId="6" borderId="10" xfId="0" applyFont="1" applyFill="1" applyBorder="1" applyAlignment="1">
      <alignment horizontal="left" vertical="center" wrapText="1"/>
    </xf>
    <xf numFmtId="1" fontId="34" fillId="0" borderId="1" xfId="0" applyNumberFormat="1" applyFont="1" applyBorder="1" applyAlignment="1">
      <alignment horizontal="center" vertical="center"/>
    </xf>
    <xf numFmtId="0" fontId="34" fillId="0" borderId="1" xfId="0" applyFont="1" applyBorder="1" applyAlignment="1">
      <alignment horizontal="center" vertical="center"/>
    </xf>
    <xf numFmtId="0" fontId="4" fillId="6" borderId="1" xfId="0" applyFont="1" applyFill="1" applyBorder="1" applyAlignment="1">
      <alignment horizontal="center" vertical="center"/>
    </xf>
    <xf numFmtId="9" fontId="4" fillId="6" borderId="9" xfId="6" applyFont="1" applyFill="1" applyBorder="1" applyAlignment="1">
      <alignment horizontal="center" vertical="center"/>
    </xf>
    <xf numFmtId="0" fontId="4" fillId="0" borderId="1" xfId="0" applyFont="1" applyBorder="1" applyAlignment="1">
      <alignment horizontal="left" vertical="center" wrapText="1"/>
    </xf>
    <xf numFmtId="0" fontId="4" fillId="0" borderId="3" xfId="0" applyFont="1" applyBorder="1" applyAlignment="1">
      <alignment horizontal="justify" vertical="center" wrapText="1"/>
    </xf>
    <xf numFmtId="9" fontId="4" fillId="0" borderId="9" xfId="6" applyFont="1" applyBorder="1" applyAlignment="1">
      <alignment horizontal="center" vertical="center" wrapText="1"/>
    </xf>
    <xf numFmtId="9" fontId="4" fillId="0" borderId="10" xfId="6" applyFont="1" applyBorder="1" applyAlignment="1">
      <alignment horizontal="center" vertical="center" wrapText="1"/>
    </xf>
    <xf numFmtId="9" fontId="4" fillId="0" borderId="19" xfId="6" applyFont="1" applyBorder="1" applyAlignment="1">
      <alignment horizontal="center" vertical="center" wrapText="1"/>
    </xf>
    <xf numFmtId="1" fontId="34" fillId="0" borderId="1" xfId="0" applyNumberFormat="1" applyFont="1" applyBorder="1" applyAlignment="1">
      <alignment horizontal="center" vertical="center" wrapText="1"/>
    </xf>
    <xf numFmtId="43" fontId="4" fillId="0" borderId="9" xfId="3" applyFont="1" applyBorder="1" applyAlignment="1">
      <alignment horizontal="center" vertical="center"/>
    </xf>
    <xf numFmtId="43" fontId="4" fillId="0" borderId="19" xfId="3" applyFont="1" applyBorder="1" applyAlignment="1">
      <alignment horizontal="center" vertical="center"/>
    </xf>
    <xf numFmtId="0" fontId="4" fillId="6" borderId="1" xfId="0" applyFont="1" applyFill="1" applyBorder="1" applyAlignment="1">
      <alignment horizontal="left" vertical="center" wrapText="1"/>
    </xf>
    <xf numFmtId="0" fontId="4" fillId="6" borderId="6"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14" fontId="4" fillId="6" borderId="9" xfId="0" applyNumberFormat="1" applyFont="1" applyFill="1" applyBorder="1" applyAlignment="1">
      <alignment horizontal="center" vertical="center"/>
    </xf>
    <xf numFmtId="14" fontId="4" fillId="6" borderId="10" xfId="0" applyNumberFormat="1" applyFont="1" applyFill="1" applyBorder="1" applyAlignment="1">
      <alignment horizontal="center" vertical="center"/>
    </xf>
    <xf numFmtId="9" fontId="4" fillId="6" borderId="1" xfId="6" applyFont="1" applyFill="1" applyBorder="1" applyAlignment="1">
      <alignment horizontal="center" vertical="center" wrapText="1"/>
    </xf>
    <xf numFmtId="43" fontId="4" fillId="6" borderId="1" xfId="3" applyFont="1" applyFill="1" applyBorder="1" applyAlignment="1">
      <alignment vertical="center" wrapText="1"/>
    </xf>
    <xf numFmtId="0" fontId="4" fillId="6" borderId="1" xfId="0" applyFont="1" applyFill="1" applyBorder="1" applyAlignment="1">
      <alignment vertical="center" wrapText="1"/>
    </xf>
    <xf numFmtId="1" fontId="6" fillId="6" borderId="6" xfId="0" applyNumberFormat="1" applyFont="1" applyFill="1" applyBorder="1" applyAlignment="1">
      <alignment horizontal="center" vertical="center"/>
    </xf>
    <xf numFmtId="1" fontId="6" fillId="6" borderId="7" xfId="0" applyNumberFormat="1" applyFont="1" applyFill="1" applyBorder="1" applyAlignment="1">
      <alignment horizontal="center" vertical="center"/>
    </xf>
    <xf numFmtId="0" fontId="6" fillId="0" borderId="0" xfId="0" applyFont="1" applyAlignment="1">
      <alignment horizontal="left" wrapText="1"/>
    </xf>
    <xf numFmtId="43" fontId="4" fillId="6" borderId="9" xfId="3" applyFont="1" applyFill="1" applyBorder="1" applyAlignment="1">
      <alignment horizontal="center" vertical="center"/>
    </xf>
    <xf numFmtId="43" fontId="4" fillId="6" borderId="19" xfId="3" applyFont="1" applyFill="1" applyBorder="1" applyAlignment="1">
      <alignment horizontal="center" vertical="center"/>
    </xf>
    <xf numFmtId="0" fontId="14" fillId="0" borderId="9" xfId="0" applyFont="1" applyBorder="1" applyAlignment="1">
      <alignment horizontal="left" vertical="center" wrapText="1"/>
    </xf>
    <xf numFmtId="0" fontId="14" fillId="0" borderId="19"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center" wrapText="1"/>
    </xf>
    <xf numFmtId="0" fontId="12" fillId="0" borderId="0" xfId="0" applyFont="1" applyAlignment="1">
      <alignment horizontal="center" wrapText="1"/>
    </xf>
    <xf numFmtId="0" fontId="38" fillId="0" borderId="9"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3" xfId="0" applyFont="1" applyBorder="1" applyAlignment="1">
      <alignment horizontal="left" vertical="center" wrapText="1"/>
    </xf>
    <xf numFmtId="0" fontId="38" fillId="0" borderId="5" xfId="0" applyFont="1" applyBorder="1" applyAlignment="1">
      <alignment horizontal="left" vertical="center" wrapText="1"/>
    </xf>
    <xf numFmtId="0" fontId="12" fillId="0" borderId="14" xfId="0" applyFont="1" applyBorder="1" applyAlignment="1">
      <alignment horizontal="justify" vertical="center" wrapText="1"/>
    </xf>
    <xf numFmtId="0" fontId="12" fillId="0" borderId="15" xfId="0" applyFont="1" applyBorder="1" applyAlignment="1">
      <alignment horizontal="center" vertical="center" wrapText="1"/>
    </xf>
    <xf numFmtId="0" fontId="38" fillId="0" borderId="14" xfId="0" applyFont="1" applyBorder="1" applyAlignment="1">
      <alignment horizontal="center" vertical="center" wrapText="1"/>
    </xf>
    <xf numFmtId="182" fontId="12" fillId="0" borderId="9" xfId="4" applyNumberFormat="1" applyFont="1" applyBorder="1" applyAlignment="1">
      <alignment horizontal="center" vertical="center"/>
    </xf>
    <xf numFmtId="182" fontId="12" fillId="0" borderId="19" xfId="4" applyNumberFormat="1" applyFont="1" applyBorder="1" applyAlignment="1">
      <alignment horizontal="center" vertical="center"/>
    </xf>
    <xf numFmtId="0" fontId="14" fillId="0" borderId="5" xfId="0" applyFont="1" applyBorder="1" applyAlignment="1">
      <alignment horizontal="left" vertical="center" wrapText="1"/>
    </xf>
    <xf numFmtId="0" fontId="12" fillId="0" borderId="10" xfId="0" applyFont="1" applyBorder="1" applyAlignment="1">
      <alignment horizontal="center"/>
    </xf>
    <xf numFmtId="0" fontId="12" fillId="0" borderId="19" xfId="0" applyFont="1" applyBorder="1" applyAlignment="1">
      <alignment horizontal="center"/>
    </xf>
    <xf numFmtId="14" fontId="12" fillId="0" borderId="1" xfId="0" applyNumberFormat="1" applyFont="1" applyBorder="1" applyAlignment="1">
      <alignment horizontal="center" vertical="center"/>
    </xf>
    <xf numFmtId="0" fontId="12" fillId="0" borderId="9" xfId="0" applyFont="1" applyBorder="1" applyAlignment="1">
      <alignment horizontal="center"/>
    </xf>
    <xf numFmtId="0" fontId="12" fillId="0" borderId="13" xfId="0" applyFont="1" applyBorder="1" applyAlignment="1">
      <alignment horizontal="center" vertical="center"/>
    </xf>
    <xf numFmtId="187" fontId="12" fillId="0" borderId="13" xfId="0" applyNumberFormat="1" applyFont="1" applyBorder="1" applyAlignment="1">
      <alignment horizontal="center" vertical="center" wrapText="1"/>
    </xf>
    <xf numFmtId="187" fontId="12" fillId="0" borderId="20" xfId="0" applyNumberFormat="1" applyFont="1" applyBorder="1" applyAlignment="1">
      <alignment horizontal="center" vertical="center" wrapText="1"/>
    </xf>
    <xf numFmtId="0" fontId="38" fillId="0" borderId="10" xfId="0" applyFont="1" applyBorder="1" applyAlignment="1">
      <alignment horizontal="justify" vertical="center" wrapText="1"/>
    </xf>
    <xf numFmtId="0" fontId="38" fillId="0" borderId="19" xfId="0" applyFont="1" applyBorder="1" applyAlignment="1">
      <alignment horizontal="justify" vertical="center" wrapText="1"/>
    </xf>
    <xf numFmtId="182" fontId="12" fillId="0" borderId="10" xfId="4" applyNumberFormat="1" applyFont="1" applyBorder="1" applyAlignment="1">
      <alignment horizontal="center" vertical="center"/>
    </xf>
    <xf numFmtId="168" fontId="12" fillId="0" borderId="9" xfId="0" applyNumberFormat="1" applyFont="1" applyBorder="1" applyAlignment="1">
      <alignment horizontal="center" vertical="center"/>
    </xf>
    <xf numFmtId="168" fontId="12" fillId="0" borderId="10" xfId="0" applyNumberFormat="1" applyFont="1" applyBorder="1" applyAlignment="1">
      <alignment horizontal="center" vertical="center"/>
    </xf>
    <xf numFmtId="168" fontId="12" fillId="0" borderId="19" xfId="0" applyNumberFormat="1" applyFont="1" applyBorder="1" applyAlignment="1">
      <alignment horizontal="center" vertical="center"/>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0"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9" xfId="0" applyFont="1" applyBorder="1" applyAlignment="1">
      <alignment horizontal="justify" vertical="center" wrapText="1"/>
    </xf>
    <xf numFmtId="1" fontId="38" fillId="0" borderId="3" xfId="0" applyNumberFormat="1" applyFont="1" applyBorder="1" applyAlignment="1">
      <alignment horizontal="center" vertical="center" wrapText="1"/>
    </xf>
    <xf numFmtId="1" fontId="38" fillId="0" borderId="11" xfId="0" applyNumberFormat="1" applyFont="1" applyBorder="1" applyAlignment="1">
      <alignment horizontal="center" vertical="center" wrapText="1"/>
    </xf>
    <xf numFmtId="0" fontId="38" fillId="6" borderId="9" xfId="0" applyFont="1" applyFill="1" applyBorder="1" applyAlignment="1">
      <alignment horizontal="center" vertical="center" wrapText="1"/>
    </xf>
    <xf numFmtId="0" fontId="38" fillId="6" borderId="10" xfId="0" applyFont="1" applyFill="1" applyBorder="1" applyAlignment="1">
      <alignment horizontal="center" vertical="center" wrapText="1"/>
    </xf>
    <xf numFmtId="9" fontId="12" fillId="6" borderId="9" xfId="4" applyFont="1" applyFill="1" applyBorder="1" applyAlignment="1">
      <alignment horizontal="center" vertical="center"/>
    </xf>
    <xf numFmtId="168" fontId="12" fillId="6" borderId="1" xfId="0" applyNumberFormat="1" applyFont="1" applyFill="1" applyBorder="1" applyAlignment="1">
      <alignment horizontal="center" vertical="center"/>
    </xf>
    <xf numFmtId="0" fontId="38" fillId="6" borderId="9" xfId="0" applyFont="1" applyFill="1" applyBorder="1" applyAlignment="1">
      <alignment horizontal="justify" vertical="center" wrapText="1"/>
    </xf>
    <xf numFmtId="0" fontId="38" fillId="6" borderId="10" xfId="0" applyFont="1" applyFill="1" applyBorder="1" applyAlignment="1">
      <alignment horizontal="justify" vertical="center" wrapText="1"/>
    </xf>
    <xf numFmtId="0" fontId="38" fillId="6" borderId="19" xfId="0" applyFont="1" applyFill="1" applyBorder="1" applyAlignment="1">
      <alignment horizontal="justify" vertical="center" wrapText="1"/>
    </xf>
    <xf numFmtId="166" fontId="12" fillId="6" borderId="9" xfId="18" applyNumberFormat="1" applyFont="1" applyFill="1" applyBorder="1" applyAlignment="1">
      <alignment horizontal="center" vertical="center"/>
    </xf>
    <xf numFmtId="166" fontId="12" fillId="6" borderId="10" xfId="18" applyNumberFormat="1" applyFont="1" applyFill="1" applyBorder="1" applyAlignment="1">
      <alignment horizontal="center" vertical="center"/>
    </xf>
    <xf numFmtId="166" fontId="12" fillId="6" borderId="19" xfId="18" applyNumberFormat="1" applyFont="1" applyFill="1" applyBorder="1" applyAlignment="1">
      <alignment horizontal="center"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20" xfId="0" applyFont="1" applyBorder="1" applyAlignment="1">
      <alignment horizontal="center" vertical="center" wrapText="1"/>
    </xf>
    <xf numFmtId="187" fontId="12" fillId="6" borderId="10" xfId="0" applyNumberFormat="1" applyFont="1" applyFill="1" applyBorder="1" applyAlignment="1">
      <alignment horizontal="center" vertical="center" wrapText="1"/>
    </xf>
    <xf numFmtId="187" fontId="12" fillId="6" borderId="19" xfId="0" applyNumberFormat="1" applyFont="1" applyFill="1" applyBorder="1" applyAlignment="1">
      <alignment horizontal="center" vertical="center" wrapText="1"/>
    </xf>
    <xf numFmtId="166" fontId="12" fillId="0" borderId="9" xfId="0" applyNumberFormat="1" applyFont="1" applyBorder="1" applyAlignment="1">
      <alignment horizontal="center" vertical="center"/>
    </xf>
    <xf numFmtId="166" fontId="12" fillId="0" borderId="10" xfId="0" applyNumberFormat="1" applyFont="1" applyBorder="1" applyAlignment="1">
      <alignment horizontal="center" vertical="center"/>
    </xf>
    <xf numFmtId="166" fontId="12" fillId="0" borderId="19" xfId="0" applyNumberFormat="1" applyFont="1" applyBorder="1" applyAlignment="1">
      <alignment horizontal="center" vertical="center"/>
    </xf>
    <xf numFmtId="166" fontId="14" fillId="0" borderId="9" xfId="18" applyNumberFormat="1" applyFont="1" applyBorder="1" applyAlignment="1">
      <alignment horizontal="center" vertical="center"/>
    </xf>
    <xf numFmtId="166" fontId="14" fillId="0" borderId="10" xfId="18" applyNumberFormat="1" applyFont="1" applyBorder="1" applyAlignment="1">
      <alignment horizontal="center" vertical="center"/>
    </xf>
    <xf numFmtId="166" fontId="14" fillId="0" borderId="19" xfId="18" applyNumberFormat="1" applyFont="1" applyBorder="1" applyAlignment="1">
      <alignment horizontal="center" vertical="center"/>
    </xf>
    <xf numFmtId="3" fontId="14" fillId="0" borderId="9"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19" xfId="0" applyNumberFormat="1" applyFont="1" applyBorder="1" applyAlignment="1">
      <alignment horizontal="center" vertical="center"/>
    </xf>
    <xf numFmtId="166" fontId="14" fillId="0" borderId="9" xfId="0" applyNumberFormat="1" applyFont="1" applyBorder="1" applyAlignment="1">
      <alignment horizontal="center" vertical="center"/>
    </xf>
    <xf numFmtId="166" fontId="14" fillId="0" borderId="10" xfId="0" applyNumberFormat="1" applyFont="1" applyBorder="1" applyAlignment="1">
      <alignment horizontal="center" vertical="center"/>
    </xf>
    <xf numFmtId="166" fontId="14" fillId="0" borderId="19" xfId="0" applyNumberFormat="1" applyFont="1" applyBorder="1" applyAlignment="1">
      <alignment horizontal="center" vertical="center"/>
    </xf>
    <xf numFmtId="1" fontId="12" fillId="6" borderId="1" xfId="11" applyNumberFormat="1" applyFont="1" applyFill="1" applyBorder="1" applyAlignment="1">
      <alignment horizontal="center" vertical="center" wrapText="1"/>
    </xf>
    <xf numFmtId="186" fontId="12" fillId="6" borderId="9" xfId="0" applyNumberFormat="1" applyFont="1" applyFill="1" applyBorder="1" applyAlignment="1">
      <alignment horizontal="center" vertical="center" wrapText="1"/>
    </xf>
    <xf numFmtId="186" fontId="12" fillId="6" borderId="10" xfId="0" applyNumberFormat="1" applyFont="1" applyFill="1" applyBorder="1" applyAlignment="1">
      <alignment horizontal="center" vertical="center" wrapText="1"/>
    </xf>
    <xf numFmtId="186" fontId="12" fillId="6" borderId="19" xfId="0" applyNumberFormat="1" applyFont="1" applyFill="1" applyBorder="1" applyAlignment="1">
      <alignment horizontal="center" vertical="center" wrapText="1"/>
    </xf>
    <xf numFmtId="187" fontId="12" fillId="6" borderId="9" xfId="0" applyNumberFormat="1" applyFont="1" applyFill="1" applyBorder="1" applyAlignment="1">
      <alignment horizontal="center" vertical="center" wrapText="1"/>
    </xf>
    <xf numFmtId="0" fontId="12" fillId="0" borderId="11" xfId="0" applyFont="1" applyBorder="1" applyAlignment="1">
      <alignment horizontal="center" vertical="center"/>
    </xf>
    <xf numFmtId="14" fontId="12" fillId="0" borderId="9" xfId="0" applyNumberFormat="1" applyFont="1" applyBorder="1" applyAlignment="1">
      <alignment horizontal="center" vertical="center" wrapText="1"/>
    </xf>
    <xf numFmtId="14" fontId="12" fillId="0" borderId="10" xfId="0" applyNumberFormat="1" applyFont="1" applyBorder="1" applyAlignment="1">
      <alignment horizontal="center" vertical="center" wrapText="1"/>
    </xf>
    <xf numFmtId="14" fontId="12" fillId="0" borderId="19" xfId="0" applyNumberFormat="1" applyFont="1" applyBorder="1" applyAlignment="1">
      <alignment horizontal="center" vertical="center" wrapText="1"/>
    </xf>
    <xf numFmtId="0" fontId="14" fillId="0" borderId="9" xfId="7" applyFont="1" applyBorder="1" applyAlignment="1">
      <alignment horizontal="justify" vertical="center" wrapText="1"/>
    </xf>
    <xf numFmtId="0" fontId="14" fillId="0" borderId="10" xfId="7" applyFont="1" applyBorder="1" applyAlignment="1">
      <alignment horizontal="justify" vertical="center" wrapText="1"/>
    </xf>
    <xf numFmtId="0" fontId="14" fillId="0" borderId="19" xfId="7" applyFont="1" applyBorder="1" applyAlignment="1">
      <alignment horizontal="justify" vertical="center" wrapText="1"/>
    </xf>
    <xf numFmtId="0" fontId="14" fillId="0" borderId="1" xfId="7" applyFont="1" applyBorder="1" applyAlignment="1">
      <alignment horizontal="justify" vertical="center" wrapText="1"/>
    </xf>
    <xf numFmtId="1" fontId="14" fillId="6" borderId="1" xfId="0" applyNumberFormat="1" applyFont="1" applyFill="1" applyBorder="1" applyAlignment="1">
      <alignment horizontal="center" vertical="center" wrapText="1"/>
    </xf>
    <xf numFmtId="3" fontId="24" fillId="0" borderId="9" xfId="0" applyNumberFormat="1" applyFont="1" applyBorder="1" applyAlignment="1">
      <alignment horizontal="center" vertical="center"/>
    </xf>
    <xf numFmtId="3" fontId="24" fillId="0" borderId="10" xfId="0" applyNumberFormat="1" applyFont="1" applyBorder="1" applyAlignment="1">
      <alignment horizontal="center" vertical="center"/>
    </xf>
    <xf numFmtId="3" fontId="24" fillId="0" borderId="19" xfId="0" applyNumberFormat="1" applyFont="1" applyBorder="1" applyAlignment="1">
      <alignment horizontal="center" vertical="center"/>
    </xf>
    <xf numFmtId="166" fontId="24" fillId="0" borderId="9" xfId="18" applyNumberFormat="1" applyFont="1" applyBorder="1" applyAlignment="1">
      <alignment horizontal="center" vertical="center"/>
    </xf>
    <xf numFmtId="166" fontId="24" fillId="0" borderId="10" xfId="18" applyNumberFormat="1" applyFont="1" applyBorder="1" applyAlignment="1">
      <alignment horizontal="center" vertical="center"/>
    </xf>
    <xf numFmtId="166" fontId="24" fillId="0" borderId="19" xfId="18" applyNumberFormat="1" applyFont="1" applyBorder="1" applyAlignment="1">
      <alignment horizontal="center" vertical="center"/>
    </xf>
    <xf numFmtId="166" fontId="12" fillId="0" borderId="9" xfId="18" applyNumberFormat="1" applyFont="1" applyBorder="1" applyAlignment="1">
      <alignment horizontal="center" vertical="center"/>
    </xf>
    <xf numFmtId="166" fontId="12" fillId="0" borderId="10" xfId="18" applyNumberFormat="1" applyFont="1" applyBorder="1" applyAlignment="1">
      <alignment horizontal="center" vertical="center"/>
    </xf>
    <xf numFmtId="166" fontId="12" fillId="0" borderId="19" xfId="18" applyNumberFormat="1" applyFont="1" applyBorder="1" applyAlignment="1">
      <alignment horizontal="center" vertical="center"/>
    </xf>
    <xf numFmtId="168" fontId="12" fillId="6" borderId="19" xfId="0" applyNumberFormat="1" applyFont="1" applyFill="1" applyBorder="1" applyAlignment="1">
      <alignment horizontal="center" vertical="center"/>
    </xf>
    <xf numFmtId="0" fontId="38" fillId="6" borderId="1" xfId="0" applyFont="1" applyFill="1" applyBorder="1" applyAlignment="1">
      <alignment horizontal="justify" vertical="center" wrapText="1"/>
    </xf>
    <xf numFmtId="1" fontId="14" fillId="6" borderId="19" xfId="0" applyNumberFormat="1" applyFont="1" applyFill="1" applyBorder="1" applyAlignment="1">
      <alignment horizontal="center" vertical="center" wrapText="1"/>
    </xf>
    <xf numFmtId="166" fontId="12" fillId="0" borderId="10" xfId="18" applyNumberFormat="1" applyFont="1" applyBorder="1" applyAlignment="1">
      <alignment vertical="center"/>
    </xf>
    <xf numFmtId="166" fontId="12" fillId="0" borderId="19" xfId="18" applyNumberFormat="1" applyFont="1" applyBorder="1" applyAlignment="1">
      <alignment vertical="center"/>
    </xf>
    <xf numFmtId="0" fontId="38" fillId="0" borderId="8" xfId="0" applyFont="1" applyBorder="1" applyAlignment="1">
      <alignment horizontal="center" vertical="center" wrapText="1"/>
    </xf>
    <xf numFmtId="0" fontId="12" fillId="0" borderId="12" xfId="0" applyFont="1" applyBorder="1" applyAlignment="1">
      <alignment horizontal="center"/>
    </xf>
    <xf numFmtId="0" fontId="12" fillId="0" borderId="13" xfId="0" applyFont="1" applyBorder="1" applyAlignment="1">
      <alignment horizontal="center"/>
    </xf>
    <xf numFmtId="1" fontId="12" fillId="6" borderId="1" xfId="26" applyNumberFormat="1" applyFont="1" applyFill="1" applyBorder="1" applyAlignment="1">
      <alignment horizontal="center" vertical="center" wrapText="1"/>
    </xf>
    <xf numFmtId="168" fontId="14" fillId="0" borderId="19" xfId="0" applyNumberFormat="1" applyFont="1" applyBorder="1" applyAlignment="1">
      <alignment horizontal="center" vertical="center"/>
    </xf>
    <xf numFmtId="168" fontId="14" fillId="0" borderId="1" xfId="0" applyNumberFormat="1" applyFont="1" applyBorder="1" applyAlignment="1">
      <alignment horizontal="center" vertical="center"/>
    </xf>
    <xf numFmtId="168" fontId="12" fillId="6" borderId="9" xfId="0" applyNumberFormat="1" applyFont="1" applyFill="1" applyBorder="1" applyAlignment="1">
      <alignment horizontal="center" vertical="center"/>
    </xf>
    <xf numFmtId="168" fontId="12" fillId="6" borderId="10" xfId="0" applyNumberFormat="1" applyFont="1" applyFill="1" applyBorder="1" applyAlignment="1">
      <alignment horizontal="center" vertical="center"/>
    </xf>
    <xf numFmtId="43" fontId="14" fillId="6" borderId="9" xfId="12" applyFont="1" applyFill="1" applyBorder="1" applyAlignment="1">
      <alignment horizontal="justify" vertical="center" wrapText="1"/>
    </xf>
    <xf numFmtId="43" fontId="14" fillId="6" borderId="10" xfId="12" applyFont="1" applyFill="1" applyBorder="1" applyAlignment="1">
      <alignment horizontal="justify" vertical="center" wrapText="1"/>
    </xf>
    <xf numFmtId="187" fontId="12" fillId="6" borderId="1" xfId="17" applyNumberFormat="1" applyFont="1" applyFill="1" applyBorder="1" applyAlignment="1">
      <alignment horizontal="center" vertical="center"/>
    </xf>
    <xf numFmtId="187" fontId="12" fillId="6" borderId="9" xfId="17" applyNumberFormat="1" applyFont="1" applyFill="1" applyBorder="1" applyAlignment="1">
      <alignment horizontal="center" vertical="center"/>
    </xf>
    <xf numFmtId="14" fontId="12" fillId="0" borderId="3" xfId="0" applyNumberFormat="1" applyFont="1" applyBorder="1" applyAlignment="1">
      <alignment horizontal="center" vertical="center"/>
    </xf>
    <xf numFmtId="14" fontId="12" fillId="0" borderId="11" xfId="0" applyNumberFormat="1" applyFont="1" applyBorder="1" applyAlignment="1">
      <alignment horizontal="center" vertical="center"/>
    </xf>
    <xf numFmtId="14" fontId="12" fillId="6" borderId="19" xfId="0" applyNumberFormat="1" applyFont="1" applyFill="1" applyBorder="1" applyAlignment="1">
      <alignment horizontal="center" vertical="center"/>
    </xf>
    <xf numFmtId="0" fontId="12" fillId="6" borderId="1" xfId="0" applyFont="1" applyFill="1" applyBorder="1" applyAlignment="1">
      <alignment horizontal="center" vertical="center"/>
    </xf>
    <xf numFmtId="49" fontId="14" fillId="6" borderId="9" xfId="7" applyNumberFormat="1" applyFont="1" applyFill="1" applyBorder="1" applyAlignment="1">
      <alignment horizontal="center" vertical="center" wrapText="1"/>
    </xf>
    <xf numFmtId="49" fontId="14" fillId="6" borderId="10" xfId="7" applyNumberFormat="1" applyFont="1" applyFill="1" applyBorder="1" applyAlignment="1">
      <alignment horizontal="center" vertical="center" wrapText="1"/>
    </xf>
    <xf numFmtId="10" fontId="12" fillId="0" borderId="9" xfId="4" applyNumberFormat="1" applyFont="1" applyBorder="1" applyAlignment="1">
      <alignment horizontal="center" vertical="center"/>
    </xf>
    <xf numFmtId="10" fontId="12" fillId="0" borderId="10" xfId="4" applyNumberFormat="1" applyFont="1" applyBorder="1" applyAlignment="1">
      <alignment horizontal="center" vertical="center"/>
    </xf>
    <xf numFmtId="10" fontId="12" fillId="0" borderId="19" xfId="4" applyNumberFormat="1" applyFont="1" applyBorder="1" applyAlignment="1">
      <alignment horizontal="center" vertical="center"/>
    </xf>
    <xf numFmtId="10" fontId="12" fillId="6" borderId="9" xfId="4" applyNumberFormat="1" applyFont="1" applyFill="1" applyBorder="1" applyAlignment="1">
      <alignment horizontal="center" vertical="center"/>
    </xf>
    <xf numFmtId="10" fontId="12" fillId="6" borderId="10" xfId="4" applyNumberFormat="1" applyFont="1" applyFill="1" applyBorder="1" applyAlignment="1">
      <alignment horizontal="center" vertical="center"/>
    </xf>
    <xf numFmtId="0" fontId="14" fillId="0" borderId="1" xfId="0" applyFont="1" applyBorder="1" applyAlignment="1">
      <alignment horizontal="center" vertical="center" wrapText="1"/>
    </xf>
    <xf numFmtId="0" fontId="12" fillId="0" borderId="12" xfId="0" applyFont="1" applyBorder="1" applyAlignment="1">
      <alignment horizontal="justify" vertical="center" wrapText="1"/>
    </xf>
    <xf numFmtId="0" fontId="12" fillId="0" borderId="13" xfId="0" applyFont="1" applyBorder="1" applyAlignment="1">
      <alignment horizontal="justify" vertical="center" wrapText="1"/>
    </xf>
    <xf numFmtId="0" fontId="12" fillId="0" borderId="20" xfId="0" applyFont="1" applyBorder="1" applyAlignment="1">
      <alignment horizontal="justify" vertical="center" wrapText="1"/>
    </xf>
    <xf numFmtId="0" fontId="38" fillId="0" borderId="12" xfId="0" applyFont="1" applyBorder="1" applyAlignment="1">
      <alignment horizontal="justify" vertical="center" wrapText="1"/>
    </xf>
    <xf numFmtId="0" fontId="38" fillId="0" borderId="13" xfId="0" applyFont="1" applyBorder="1" applyAlignment="1">
      <alignment horizontal="justify" vertical="center" wrapText="1"/>
    </xf>
    <xf numFmtId="186" fontId="12" fillId="6" borderId="1" xfId="0" applyNumberFormat="1" applyFont="1" applyFill="1" applyBorder="1" applyAlignment="1">
      <alignment horizontal="center" vertical="center" wrapText="1"/>
    </xf>
    <xf numFmtId="187" fontId="12" fillId="0" borderId="9" xfId="0" applyNumberFormat="1" applyFont="1" applyBorder="1" applyAlignment="1">
      <alignment horizontal="center" vertical="center" wrapText="1"/>
    </xf>
    <xf numFmtId="187" fontId="12" fillId="0" borderId="10" xfId="0" applyNumberFormat="1" applyFont="1" applyBorder="1" applyAlignment="1">
      <alignment horizontal="center" vertical="center" wrapText="1"/>
    </xf>
    <xf numFmtId="187" fontId="12" fillId="0" borderId="19" xfId="0" applyNumberFormat="1" applyFont="1" applyBorder="1" applyAlignment="1">
      <alignment horizontal="center" vertical="center" wrapText="1"/>
    </xf>
    <xf numFmtId="0" fontId="38" fillId="0" borderId="1" xfId="0" applyFont="1" applyBorder="1" applyAlignment="1">
      <alignment horizontal="justify" vertical="center" wrapText="1"/>
    </xf>
    <xf numFmtId="166" fontId="12" fillId="6" borderId="1" xfId="18" applyNumberFormat="1" applyFont="1" applyFill="1" applyBorder="1" applyAlignment="1">
      <alignment horizontal="center" vertical="center"/>
    </xf>
    <xf numFmtId="1" fontId="12" fillId="6" borderId="1" xfId="0" applyNumberFormat="1" applyFont="1" applyFill="1" applyBorder="1" applyAlignment="1">
      <alignment horizontal="center" vertical="center"/>
    </xf>
    <xf numFmtId="0" fontId="38" fillId="6" borderId="4" xfId="0" applyFont="1" applyFill="1" applyBorder="1" applyAlignment="1">
      <alignment horizontal="justify" vertical="center" wrapText="1"/>
    </xf>
    <xf numFmtId="0" fontId="38" fillId="6" borderId="0" xfId="0" applyFont="1" applyFill="1" applyAlignment="1">
      <alignment horizontal="justify" vertical="center" wrapText="1"/>
    </xf>
    <xf numFmtId="0" fontId="38" fillId="6" borderId="2" xfId="0" applyFont="1" applyFill="1" applyBorder="1" applyAlignment="1">
      <alignment horizontal="justify" vertical="center" wrapText="1"/>
    </xf>
    <xf numFmtId="0" fontId="38" fillId="6" borderId="6" xfId="0" applyFont="1" applyFill="1" applyBorder="1" applyAlignment="1">
      <alignment horizontal="justify" vertical="center" wrapText="1"/>
    </xf>
    <xf numFmtId="188" fontId="12" fillId="0" borderId="1" xfId="0" applyNumberFormat="1" applyFont="1" applyBorder="1" applyAlignment="1">
      <alignment horizontal="center" vertical="center"/>
    </xf>
    <xf numFmtId="188" fontId="12" fillId="0" borderId="10" xfId="0" applyNumberFormat="1" applyFont="1" applyBorder="1" applyAlignment="1">
      <alignment horizontal="center" vertical="center"/>
    </xf>
    <xf numFmtId="188" fontId="12" fillId="0" borderId="9" xfId="0" applyNumberFormat="1" applyFont="1" applyBorder="1" applyAlignment="1">
      <alignment horizontal="center" vertical="center"/>
    </xf>
    <xf numFmtId="0" fontId="12" fillId="0" borderId="11" xfId="0" applyFont="1" applyBorder="1" applyAlignment="1">
      <alignment horizontal="justify" vertical="center" wrapText="1"/>
    </xf>
    <xf numFmtId="188" fontId="12" fillId="0" borderId="13" xfId="0" applyNumberFormat="1" applyFont="1" applyBorder="1" applyAlignment="1">
      <alignment horizontal="center" vertical="center"/>
    </xf>
    <xf numFmtId="0" fontId="14" fillId="0" borderId="13" xfId="0" applyFont="1" applyBorder="1" applyAlignment="1">
      <alignment horizontal="center" vertical="center" wrapText="1"/>
    </xf>
    <xf numFmtId="1" fontId="14" fillId="6" borderId="19" xfId="11" applyNumberFormat="1" applyFont="1" applyFill="1" applyBorder="1" applyAlignment="1">
      <alignment horizontal="center" vertical="center" wrapText="1"/>
    </xf>
    <xf numFmtId="1" fontId="14" fillId="6" borderId="9" xfId="11" applyNumberFormat="1" applyFont="1" applyFill="1" applyBorder="1" applyAlignment="1">
      <alignment horizontal="center" vertical="center" wrapText="1"/>
    </xf>
    <xf numFmtId="0" fontId="12" fillId="6" borderId="9" xfId="18" applyNumberFormat="1" applyFont="1" applyFill="1" applyBorder="1" applyAlignment="1">
      <alignment horizontal="center" vertical="center"/>
    </xf>
    <xf numFmtId="0" fontId="12" fillId="6" borderId="10" xfId="18" applyNumberFormat="1" applyFont="1" applyFill="1" applyBorder="1" applyAlignment="1">
      <alignment horizontal="center" vertical="center"/>
    </xf>
    <xf numFmtId="0" fontId="12" fillId="6" borderId="19" xfId="18"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12" xfId="0" applyFont="1" applyBorder="1" applyAlignment="1">
      <alignment horizontal="center" vertical="center" wrapText="1"/>
    </xf>
    <xf numFmtId="168" fontId="24" fillId="15" borderId="9" xfId="0" applyNumberFormat="1" applyFont="1" applyFill="1" applyBorder="1" applyAlignment="1">
      <alignment horizontal="center" vertical="center" wrapText="1"/>
    </xf>
    <xf numFmtId="168" fontId="24" fillId="15" borderId="10" xfId="0" applyNumberFormat="1" applyFont="1" applyFill="1" applyBorder="1" applyAlignment="1">
      <alignment horizontal="center" vertical="center" wrapText="1"/>
    </xf>
    <xf numFmtId="168" fontId="24" fillId="15" borderId="19" xfId="0" applyNumberFormat="1" applyFont="1" applyFill="1" applyBorder="1" applyAlignment="1">
      <alignment horizontal="center" vertical="center" wrapText="1"/>
    </xf>
    <xf numFmtId="0" fontId="24" fillId="15" borderId="9" xfId="0" applyFont="1" applyFill="1" applyBorder="1" applyAlignment="1">
      <alignment horizontal="center" vertical="center" wrapText="1"/>
    </xf>
    <xf numFmtId="0" fontId="24" fillId="15" borderId="10" xfId="0" applyFont="1" applyFill="1" applyBorder="1" applyAlignment="1">
      <alignment horizontal="center" vertical="center" wrapText="1"/>
    </xf>
    <xf numFmtId="0" fontId="24" fillId="15" borderId="19"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24" fillId="23" borderId="9" xfId="0" applyFont="1" applyFill="1" applyBorder="1" applyAlignment="1">
      <alignment horizontal="center" vertical="center" wrapText="1"/>
    </xf>
    <xf numFmtId="0" fontId="24" fillId="23" borderId="10" xfId="0" applyFont="1" applyFill="1" applyBorder="1" applyAlignment="1">
      <alignment horizontal="center" vertical="center" wrapText="1"/>
    </xf>
    <xf numFmtId="0" fontId="24" fillId="23" borderId="19" xfId="0" applyFont="1" applyFill="1" applyBorder="1" applyAlignment="1">
      <alignment horizontal="center" vertical="center" wrapText="1"/>
    </xf>
    <xf numFmtId="0" fontId="24" fillId="0" borderId="0" xfId="0" applyFont="1" applyAlignment="1">
      <alignment horizontal="center" vertical="center" wrapText="1"/>
    </xf>
    <xf numFmtId="0" fontId="24" fillId="15" borderId="12" xfId="0" applyFont="1" applyFill="1" applyBorder="1" applyAlignment="1">
      <alignment horizontal="center" vertical="center" wrapText="1"/>
    </xf>
    <xf numFmtId="0" fontId="24" fillId="15" borderId="13" xfId="0" applyFont="1" applyFill="1" applyBorder="1" applyAlignment="1">
      <alignment horizontal="center" vertical="center" wrapText="1"/>
    </xf>
    <xf numFmtId="0" fontId="24" fillId="15" borderId="20" xfId="0" applyFont="1" applyFill="1" applyBorder="1" applyAlignment="1">
      <alignment horizontal="center" vertical="center" wrapText="1"/>
    </xf>
    <xf numFmtId="0" fontId="37" fillId="4" borderId="9" xfId="0" applyFont="1" applyFill="1" applyBorder="1" applyAlignment="1">
      <alignment horizontal="center" vertical="center" textRotation="90" wrapText="1"/>
    </xf>
    <xf numFmtId="0" fontId="37" fillId="4" borderId="10" xfId="0" applyFont="1" applyFill="1" applyBorder="1" applyAlignment="1">
      <alignment horizontal="center" vertical="center" textRotation="90" wrapText="1"/>
    </xf>
    <xf numFmtId="0" fontId="37" fillId="4" borderId="19" xfId="0" applyFont="1" applyFill="1" applyBorder="1" applyAlignment="1">
      <alignment horizontal="center" vertical="center" textRotation="90" wrapText="1"/>
    </xf>
    <xf numFmtId="165" fontId="24" fillId="15" borderId="9" xfId="0" applyNumberFormat="1" applyFont="1" applyFill="1" applyBorder="1" applyAlignment="1">
      <alignment horizontal="center" vertical="center" wrapText="1"/>
    </xf>
    <xf numFmtId="165" fontId="24" fillId="15" borderId="10" xfId="0" applyNumberFormat="1" applyFont="1" applyFill="1" applyBorder="1" applyAlignment="1">
      <alignment horizontal="center" vertical="center" wrapText="1"/>
    </xf>
    <xf numFmtId="165" fontId="24" fillId="15" borderId="19" xfId="0" applyNumberFormat="1" applyFont="1" applyFill="1" applyBorder="1" applyAlignment="1">
      <alignment horizontal="center" vertical="center" wrapText="1"/>
    </xf>
    <xf numFmtId="3" fontId="24" fillId="15" borderId="9" xfId="0" applyNumberFormat="1" applyFont="1" applyFill="1" applyBorder="1" applyAlignment="1">
      <alignment horizontal="center" vertical="center" wrapText="1"/>
    </xf>
    <xf numFmtId="3" fontId="24" fillId="15" borderId="10" xfId="0" applyNumberFormat="1" applyFont="1" applyFill="1" applyBorder="1" applyAlignment="1">
      <alignment horizontal="center" vertical="center" wrapText="1"/>
    </xf>
    <xf numFmtId="3" fontId="24" fillId="15" borderId="19" xfId="0" applyNumberFormat="1" applyFont="1" applyFill="1" applyBorder="1" applyAlignment="1">
      <alignment horizontal="center" vertical="center" wrapText="1"/>
    </xf>
    <xf numFmtId="3" fontId="4" fillId="6" borderId="51" xfId="0" applyNumberFormat="1" applyFont="1" applyFill="1" applyBorder="1" applyAlignment="1">
      <alignment horizontal="justify" vertical="center" wrapText="1"/>
    </xf>
    <xf numFmtId="43" fontId="4" fillId="0" borderId="19" xfId="3" applyFont="1" applyFill="1" applyBorder="1" applyAlignment="1">
      <alignment horizontal="center" vertical="center" wrapText="1"/>
    </xf>
    <xf numFmtId="167" fontId="4" fillId="6" borderId="9" xfId="0" applyNumberFormat="1" applyFont="1" applyFill="1" applyBorder="1" applyAlignment="1">
      <alignment horizontal="center" vertical="center" wrapText="1"/>
    </xf>
    <xf numFmtId="167" fontId="4" fillId="6" borderId="10" xfId="0" applyNumberFormat="1" applyFont="1" applyFill="1" applyBorder="1" applyAlignment="1">
      <alignment horizontal="center" vertical="center" wrapText="1"/>
    </xf>
    <xf numFmtId="3" fontId="8" fillId="6" borderId="26" xfId="0" applyNumberFormat="1" applyFont="1" applyFill="1" applyBorder="1" applyAlignment="1">
      <alignment horizontal="center" vertical="center" wrapText="1"/>
    </xf>
    <xf numFmtId="1" fontId="4" fillId="6" borderId="26" xfId="0" applyNumberFormat="1" applyFont="1" applyFill="1" applyBorder="1" applyAlignment="1">
      <alignment horizontal="center" vertical="center" wrapText="1"/>
    </xf>
    <xf numFmtId="3" fontId="4" fillId="6" borderId="26" xfId="0" applyNumberFormat="1" applyFont="1" applyFill="1" applyBorder="1" applyAlignment="1">
      <alignment horizontal="center" vertical="center" wrapText="1"/>
    </xf>
    <xf numFmtId="9" fontId="4" fillId="6" borderId="9" xfId="5" applyNumberFormat="1" applyFont="1" applyFill="1" applyBorder="1" applyAlignment="1">
      <alignment horizontal="center" vertical="center" wrapText="1"/>
    </xf>
    <xf numFmtId="41" fontId="4" fillId="6" borderId="10" xfId="5" applyFont="1" applyFill="1" applyBorder="1" applyAlignment="1">
      <alignment horizontal="center" vertical="center" wrapText="1"/>
    </xf>
    <xf numFmtId="0" fontId="4" fillId="6" borderId="69" xfId="0" applyFont="1" applyFill="1" applyBorder="1" applyAlignment="1">
      <alignment horizontal="center" vertical="center" wrapText="1"/>
    </xf>
    <xf numFmtId="0" fontId="4" fillId="6" borderId="60" xfId="0" applyFont="1" applyFill="1" applyBorder="1" applyAlignment="1">
      <alignment horizontal="center" vertical="center" wrapText="1"/>
    </xf>
    <xf numFmtId="1" fontId="6" fillId="7" borderId="1" xfId="0" applyNumberFormat="1" applyFont="1" applyFill="1" applyBorder="1" applyAlignment="1">
      <alignment horizontal="left" vertical="center"/>
    </xf>
    <xf numFmtId="0" fontId="6" fillId="8" borderId="8" xfId="0" applyFont="1" applyFill="1" applyBorder="1" applyAlignment="1">
      <alignment horizontal="left" vertical="center"/>
    </xf>
    <xf numFmtId="0" fontId="6" fillId="8" borderId="1" xfId="0" applyFont="1" applyFill="1" applyBorder="1" applyAlignment="1">
      <alignment horizontal="left" vertical="center"/>
    </xf>
    <xf numFmtId="0" fontId="6" fillId="3" borderId="69" xfId="0" applyFont="1" applyFill="1" applyBorder="1" applyAlignment="1">
      <alignment horizontal="center" vertical="center" wrapText="1"/>
    </xf>
    <xf numFmtId="0" fontId="24" fillId="0" borderId="52"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8" xfId="0" applyFont="1" applyBorder="1" applyAlignment="1">
      <alignment horizontal="center" vertical="center"/>
    </xf>
    <xf numFmtId="0" fontId="24" fillId="0" borderId="57" xfId="0" applyFont="1" applyBorder="1" applyAlignment="1">
      <alignment horizontal="center" vertical="center"/>
    </xf>
    <xf numFmtId="0" fontId="24" fillId="0" borderId="71" xfId="0" applyFont="1" applyBorder="1" applyAlignment="1">
      <alignment horizontal="center" vertical="center"/>
    </xf>
    <xf numFmtId="0" fontId="24" fillId="0" borderId="73" xfId="0" applyFont="1" applyBorder="1" applyAlignment="1">
      <alignment horizontal="center" vertical="center"/>
    </xf>
    <xf numFmtId="0" fontId="37" fillId="4" borderId="3" xfId="0" applyFont="1" applyFill="1" applyBorder="1" applyAlignment="1">
      <alignment horizontal="center" vertical="center" textRotation="90" wrapText="1"/>
    </xf>
    <xf numFmtId="0" fontId="37" fillId="4" borderId="5" xfId="0" applyFont="1" applyFill="1" applyBorder="1" applyAlignment="1">
      <alignment horizontal="center" vertical="center" textRotation="90" wrapText="1"/>
    </xf>
    <xf numFmtId="165" fontId="36" fillId="3" borderId="3" xfId="0" applyNumberFormat="1" applyFont="1" applyFill="1" applyBorder="1" applyAlignment="1">
      <alignment horizontal="center" vertical="center" wrapText="1"/>
    </xf>
    <xf numFmtId="165" fontId="36" fillId="3" borderId="5" xfId="0" applyNumberFormat="1" applyFont="1" applyFill="1" applyBorder="1" applyAlignment="1">
      <alignment horizontal="center" vertical="center" wrapText="1"/>
    </xf>
    <xf numFmtId="165" fontId="36" fillId="3" borderId="11" xfId="0" applyNumberFormat="1" applyFont="1" applyFill="1" applyBorder="1" applyAlignment="1">
      <alignment horizontal="center" vertical="center" wrapText="1"/>
    </xf>
    <xf numFmtId="3" fontId="24" fillId="3" borderId="51" xfId="0" applyNumberFormat="1" applyFont="1" applyFill="1" applyBorder="1" applyAlignment="1">
      <alignment horizontal="center" vertical="center" wrapText="1"/>
    </xf>
    <xf numFmtId="3" fontId="24" fillId="3" borderId="62" xfId="0" applyNumberFormat="1"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7" xfId="0" applyFont="1" applyFill="1" applyBorder="1" applyAlignment="1">
      <alignment horizontal="center" vertical="center" wrapText="1"/>
    </xf>
    <xf numFmtId="0" fontId="37" fillId="4" borderId="6" xfId="0" applyFont="1" applyFill="1" applyBorder="1" applyAlignment="1">
      <alignment horizontal="center" vertical="center"/>
    </xf>
    <xf numFmtId="0" fontId="37" fillId="4" borderId="7" xfId="0" applyFont="1" applyFill="1" applyBorder="1" applyAlignment="1">
      <alignment horizontal="center" vertical="center"/>
    </xf>
    <xf numFmtId="0" fontId="37" fillId="4" borderId="4" xfId="0" applyFont="1" applyFill="1" applyBorder="1" applyAlignment="1">
      <alignment horizontal="center" vertical="center" wrapText="1"/>
    </xf>
    <xf numFmtId="0" fontId="12" fillId="0" borderId="58" xfId="22" applyFont="1" applyBorder="1" applyAlignment="1">
      <alignment horizontal="center"/>
    </xf>
    <xf numFmtId="0" fontId="12" fillId="0" borderId="4" xfId="22" applyFont="1" applyBorder="1" applyAlignment="1">
      <alignment horizontal="center"/>
    </xf>
    <xf numFmtId="0" fontId="12" fillId="0" borderId="12" xfId="22" applyFont="1" applyBorder="1" applyAlignment="1">
      <alignment horizontal="center"/>
    </xf>
    <xf numFmtId="0" fontId="12" fillId="0" borderId="9" xfId="22" applyFont="1" applyBorder="1" applyAlignment="1">
      <alignment horizontal="center" vertical="center" wrapText="1"/>
    </xf>
    <xf numFmtId="0" fontId="12" fillId="0" borderId="10" xfId="22" applyFont="1" applyBorder="1" applyAlignment="1">
      <alignment horizontal="center" vertical="center" wrapText="1"/>
    </xf>
    <xf numFmtId="0" fontId="12" fillId="0" borderId="19" xfId="22" applyFont="1" applyBorder="1" applyAlignment="1">
      <alignment horizontal="center" vertical="center" wrapText="1"/>
    </xf>
    <xf numFmtId="0" fontId="12" fillId="6" borderId="9" xfId="22" applyFont="1" applyFill="1" applyBorder="1" applyAlignment="1">
      <alignment horizontal="justify" vertical="center" wrapText="1"/>
    </xf>
    <xf numFmtId="0" fontId="12" fillId="6" borderId="10" xfId="22" applyFont="1" applyFill="1" applyBorder="1" applyAlignment="1">
      <alignment horizontal="justify" vertical="center" wrapText="1"/>
    </xf>
    <xf numFmtId="0" fontId="12" fillId="6" borderId="19" xfId="22" applyFont="1" applyFill="1" applyBorder="1" applyAlignment="1">
      <alignment horizontal="justify" vertical="center" wrapText="1"/>
    </xf>
    <xf numFmtId="0" fontId="12" fillId="6" borderId="9" xfId="22" applyFont="1" applyFill="1" applyBorder="1" applyAlignment="1">
      <alignment horizontal="center" vertical="center" wrapText="1"/>
    </xf>
    <xf numFmtId="0" fontId="12" fillId="6" borderId="10" xfId="22" applyFont="1" applyFill="1" applyBorder="1" applyAlignment="1">
      <alignment horizontal="center" vertical="center" wrapText="1"/>
    </xf>
    <xf numFmtId="0" fontId="12" fillId="6" borderId="19" xfId="22"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0" xfId="0" applyFont="1" applyFill="1" applyAlignment="1">
      <alignment horizontal="center" vertical="center" wrapText="1"/>
    </xf>
    <xf numFmtId="3" fontId="37" fillId="4" borderId="6" xfId="0" applyNumberFormat="1" applyFont="1" applyFill="1" applyBorder="1" applyAlignment="1">
      <alignment horizontal="center" vertical="center" wrapText="1"/>
    </xf>
    <xf numFmtId="3" fontId="37" fillId="4" borderId="7" xfId="0" applyNumberFormat="1" applyFont="1" applyFill="1" applyBorder="1" applyAlignment="1">
      <alignment horizontal="center" vertical="center" wrapText="1"/>
    </xf>
    <xf numFmtId="0" fontId="36" fillId="3" borderId="3" xfId="0" applyFont="1" applyFill="1" applyBorder="1" applyAlignment="1">
      <alignment horizontal="center" vertical="center" wrapText="1"/>
    </xf>
    <xf numFmtId="0" fontId="36" fillId="3" borderId="11" xfId="0" applyFont="1" applyFill="1" applyBorder="1" applyAlignment="1">
      <alignment horizontal="center" vertical="center" wrapText="1"/>
    </xf>
    <xf numFmtId="0" fontId="14" fillId="6" borderId="9" xfId="22" applyFont="1" applyFill="1" applyBorder="1" applyAlignment="1">
      <alignment horizontal="center" vertical="center" wrapText="1"/>
    </xf>
    <xf numFmtId="0" fontId="14" fillId="6" borderId="10" xfId="22" applyFont="1" applyFill="1" applyBorder="1" applyAlignment="1">
      <alignment horizontal="center" vertical="center" wrapText="1"/>
    </xf>
    <xf numFmtId="0" fontId="14" fillId="6" borderId="19" xfId="22" applyFont="1" applyFill="1" applyBorder="1" applyAlignment="1">
      <alignment horizontal="center" vertical="center" wrapText="1"/>
    </xf>
    <xf numFmtId="0" fontId="12" fillId="0" borderId="1" xfId="22" applyFont="1" applyBorder="1" applyAlignment="1">
      <alignment horizontal="center" vertical="center" wrapText="1"/>
    </xf>
    <xf numFmtId="0" fontId="36" fillId="3" borderId="5" xfId="0" applyFont="1" applyFill="1" applyBorder="1" applyAlignment="1">
      <alignment horizontal="center" vertical="center" wrapText="1"/>
    </xf>
    <xf numFmtId="0" fontId="14" fillId="6" borderId="9" xfId="3" applyNumberFormat="1" applyFont="1" applyFill="1" applyBorder="1" applyAlignment="1">
      <alignment horizontal="center" vertical="center" wrapText="1"/>
    </xf>
    <xf numFmtId="0" fontId="14" fillId="6" borderId="10" xfId="3" applyNumberFormat="1" applyFont="1" applyFill="1" applyBorder="1" applyAlignment="1">
      <alignment horizontal="center" vertical="center" wrapText="1"/>
    </xf>
    <xf numFmtId="0" fontId="14" fillId="6" borderId="19" xfId="3" applyNumberFormat="1" applyFont="1" applyFill="1" applyBorder="1" applyAlignment="1">
      <alignment horizontal="center" vertical="center" wrapText="1"/>
    </xf>
    <xf numFmtId="0" fontId="14" fillId="0" borderId="9" xfId="3" applyNumberFormat="1" applyFont="1" applyBorder="1" applyAlignment="1">
      <alignment horizontal="center" vertical="center" wrapText="1"/>
    </xf>
    <xf numFmtId="0" fontId="14" fillId="0" borderId="10" xfId="3" applyNumberFormat="1" applyFont="1" applyBorder="1" applyAlignment="1">
      <alignment horizontal="center" vertical="center" wrapText="1"/>
    </xf>
    <xf numFmtId="0" fontId="14" fillId="0" borderId="19" xfId="3" applyNumberFormat="1" applyFont="1" applyBorder="1" applyAlignment="1">
      <alignment horizontal="center" vertical="center" wrapText="1"/>
    </xf>
    <xf numFmtId="49" fontId="12" fillId="6" borderId="9" xfId="23" applyNumberFormat="1" applyFont="1" applyFill="1" applyBorder="1" applyAlignment="1">
      <alignment horizontal="justify" vertical="center" wrapText="1"/>
    </xf>
    <xf numFmtId="49" fontId="12" fillId="6" borderId="19" xfId="23" applyNumberFormat="1" applyFont="1" applyFill="1" applyBorder="1" applyAlignment="1">
      <alignment horizontal="justify" vertical="center" wrapText="1"/>
    </xf>
    <xf numFmtId="9" fontId="12" fillId="6" borderId="9" xfId="6" applyFont="1" applyFill="1" applyBorder="1" applyAlignment="1">
      <alignment horizontal="center" vertical="center" wrapText="1"/>
    </xf>
    <xf numFmtId="9" fontId="12" fillId="6" borderId="10" xfId="6" applyFont="1" applyFill="1" applyBorder="1" applyAlignment="1">
      <alignment horizontal="center" vertical="center" wrapText="1"/>
    </xf>
    <xf numFmtId="9" fontId="12" fillId="6" borderId="19" xfId="6" applyFont="1" applyFill="1" applyBorder="1" applyAlignment="1">
      <alignment horizontal="center" vertical="center" wrapText="1"/>
    </xf>
    <xf numFmtId="43" fontId="12" fillId="6" borderId="9" xfId="3" applyFont="1" applyFill="1" applyBorder="1" applyAlignment="1">
      <alignment horizontal="center" vertical="center" wrapText="1"/>
    </xf>
    <xf numFmtId="43" fontId="12" fillId="6" borderId="10" xfId="3" applyFont="1" applyFill="1" applyBorder="1" applyAlignment="1">
      <alignment horizontal="center" vertical="center" wrapText="1"/>
    </xf>
    <xf numFmtId="43" fontId="12" fillId="6" borderId="19" xfId="3" applyFont="1" applyFill="1" applyBorder="1" applyAlignment="1">
      <alignment horizontal="center" vertical="center" wrapText="1"/>
    </xf>
    <xf numFmtId="165" fontId="12" fillId="6" borderId="9" xfId="22" applyNumberFormat="1" applyFont="1" applyFill="1" applyBorder="1" applyAlignment="1">
      <alignment horizontal="center" vertical="center" wrapText="1"/>
    </xf>
    <xf numFmtId="165" fontId="12" fillId="6" borderId="10" xfId="22" applyNumberFormat="1" applyFont="1" applyFill="1" applyBorder="1" applyAlignment="1">
      <alignment horizontal="center" vertical="center" wrapText="1"/>
    </xf>
    <xf numFmtId="165" fontId="12" fillId="6" borderId="19" xfId="22" applyNumberFormat="1" applyFont="1" applyFill="1" applyBorder="1" applyAlignment="1">
      <alignment horizontal="center" vertical="center" wrapText="1"/>
    </xf>
    <xf numFmtId="3" fontId="12" fillId="6" borderId="51" xfId="22" applyNumberFormat="1" applyFont="1" applyFill="1" applyBorder="1" applyAlignment="1">
      <alignment horizontal="center" vertical="center" wrapText="1"/>
    </xf>
    <xf numFmtId="3" fontId="12" fillId="6" borderId="62" xfId="22" applyNumberFormat="1" applyFont="1" applyFill="1" applyBorder="1" applyAlignment="1">
      <alignment horizontal="center" vertical="center" wrapText="1"/>
    </xf>
    <xf numFmtId="3" fontId="12" fillId="6" borderId="70" xfId="22" applyNumberFormat="1" applyFont="1" applyFill="1" applyBorder="1" applyAlignment="1">
      <alignment horizontal="center" vertical="center" wrapText="1"/>
    </xf>
    <xf numFmtId="166" fontId="14" fillId="0" borderId="9" xfId="3" applyNumberFormat="1" applyFont="1" applyBorder="1" applyAlignment="1">
      <alignment horizontal="center" vertical="center" wrapText="1"/>
    </xf>
    <xf numFmtId="166" fontId="14" fillId="0" borderId="10" xfId="3" applyNumberFormat="1" applyFont="1" applyBorder="1" applyAlignment="1">
      <alignment horizontal="center" vertical="center" wrapText="1"/>
    </xf>
    <xf numFmtId="166" fontId="14" fillId="0" borderId="19" xfId="3" applyNumberFormat="1" applyFont="1" applyBorder="1" applyAlignment="1">
      <alignment horizontal="center" vertical="center" wrapText="1"/>
    </xf>
    <xf numFmtId="166" fontId="12" fillId="0" borderId="9" xfId="3" applyNumberFormat="1" applyFont="1" applyBorder="1" applyAlignment="1">
      <alignment horizontal="center" vertical="center" wrapText="1"/>
    </xf>
    <xf numFmtId="166" fontId="12" fillId="0" borderId="10" xfId="3" applyNumberFormat="1" applyFont="1" applyBorder="1" applyAlignment="1">
      <alignment horizontal="center" vertical="center" wrapText="1"/>
    </xf>
    <xf numFmtId="166" fontId="12" fillId="0" borderId="19" xfId="3" applyNumberFormat="1" applyFont="1" applyBorder="1" applyAlignment="1">
      <alignment horizontal="center" vertical="center" wrapText="1"/>
    </xf>
    <xf numFmtId="0" fontId="14" fillId="0" borderId="9" xfId="22" applyFont="1" applyBorder="1" applyAlignment="1">
      <alignment horizontal="center" vertical="center" wrapText="1"/>
    </xf>
    <xf numFmtId="0" fontId="14" fillId="0" borderId="10" xfId="22" applyFont="1" applyBorder="1" applyAlignment="1">
      <alignment horizontal="center" vertical="center" wrapText="1"/>
    </xf>
    <xf numFmtId="0" fontId="14" fillId="0" borderId="19" xfId="22" applyFont="1" applyBorder="1" applyAlignment="1">
      <alignment horizontal="center" vertical="center" wrapText="1"/>
    </xf>
    <xf numFmtId="0" fontId="14" fillId="6" borderId="9" xfId="22" applyFont="1" applyFill="1" applyBorder="1" applyAlignment="1">
      <alignment horizontal="justify" vertical="center" wrapText="1"/>
    </xf>
    <xf numFmtId="0" fontId="14" fillId="6" borderId="10" xfId="22" applyFont="1" applyFill="1" applyBorder="1" applyAlignment="1">
      <alignment horizontal="justify" vertical="center" wrapText="1"/>
    </xf>
    <xf numFmtId="0" fontId="14" fillId="6" borderId="19" xfId="22" applyFont="1" applyFill="1" applyBorder="1" applyAlignment="1">
      <alignment horizontal="justify" vertical="center" wrapText="1"/>
    </xf>
    <xf numFmtId="9" fontId="14" fillId="6" borderId="9" xfId="6" applyFont="1" applyFill="1" applyBorder="1" applyAlignment="1">
      <alignment horizontal="center" vertical="center" wrapText="1"/>
    </xf>
    <xf numFmtId="9" fontId="14" fillId="6" borderId="10" xfId="6" applyFont="1" applyFill="1" applyBorder="1" applyAlignment="1">
      <alignment horizontal="center" vertical="center" wrapText="1"/>
    </xf>
    <xf numFmtId="9" fontId="14" fillId="6" borderId="19" xfId="6" applyFont="1" applyFill="1" applyBorder="1" applyAlignment="1">
      <alignment horizontal="center" vertical="center" wrapText="1"/>
    </xf>
    <xf numFmtId="0" fontId="12" fillId="6" borderId="9" xfId="22" applyFont="1" applyFill="1" applyBorder="1" applyAlignment="1">
      <alignment horizontal="justify" vertical="top" wrapText="1"/>
    </xf>
    <xf numFmtId="0" fontId="12" fillId="6" borderId="19" xfId="22" applyFont="1" applyFill="1" applyBorder="1" applyAlignment="1">
      <alignment horizontal="justify" vertical="top" wrapText="1"/>
    </xf>
    <xf numFmtId="43" fontId="14" fillId="6" borderId="9" xfId="3" applyFont="1" applyFill="1" applyBorder="1" applyAlignment="1">
      <alignment horizontal="center" vertical="center" wrapText="1"/>
    </xf>
    <xf numFmtId="43" fontId="14" fillId="6" borderId="10" xfId="3" applyFont="1" applyFill="1" applyBorder="1" applyAlignment="1">
      <alignment horizontal="center" vertical="center" wrapText="1"/>
    </xf>
    <xf numFmtId="43" fontId="14" fillId="6" borderId="19" xfId="3" applyFont="1" applyFill="1" applyBorder="1" applyAlignment="1">
      <alignment horizontal="center" vertical="center" wrapText="1"/>
    </xf>
    <xf numFmtId="3" fontId="14" fillId="6" borderId="51" xfId="22" applyNumberFormat="1" applyFont="1" applyFill="1" applyBorder="1" applyAlignment="1">
      <alignment horizontal="center" vertical="center" wrapText="1"/>
    </xf>
    <xf numFmtId="3" fontId="14" fillId="6" borderId="62" xfId="22" applyNumberFormat="1" applyFont="1" applyFill="1" applyBorder="1" applyAlignment="1">
      <alignment horizontal="center" vertical="center" wrapText="1"/>
    </xf>
    <xf numFmtId="3" fontId="14" fillId="6" borderId="70" xfId="22" applyNumberFormat="1" applyFont="1" applyFill="1" applyBorder="1" applyAlignment="1">
      <alignment horizontal="center" vertical="center" wrapText="1"/>
    </xf>
    <xf numFmtId="165" fontId="14" fillId="6" borderId="9" xfId="22" applyNumberFormat="1" applyFont="1" applyFill="1" applyBorder="1" applyAlignment="1">
      <alignment horizontal="center" vertical="center" wrapText="1"/>
    </xf>
    <xf numFmtId="165" fontId="14" fillId="6" borderId="10" xfId="22" applyNumberFormat="1" applyFont="1" applyFill="1" applyBorder="1" applyAlignment="1">
      <alignment horizontal="center" vertical="center" wrapText="1"/>
    </xf>
    <xf numFmtId="165" fontId="14" fillId="6" borderId="19" xfId="22" applyNumberFormat="1" applyFont="1" applyFill="1" applyBorder="1" applyAlignment="1">
      <alignment horizontal="center" vertical="center" wrapText="1"/>
    </xf>
    <xf numFmtId="0" fontId="12" fillId="0" borderId="12" xfId="3" applyNumberFormat="1" applyFont="1" applyBorder="1" applyAlignment="1">
      <alignment horizontal="center" vertical="center" wrapText="1"/>
    </xf>
    <xf numFmtId="0" fontId="12" fillId="0" borderId="13" xfId="3" applyNumberFormat="1" applyFont="1" applyBorder="1" applyAlignment="1">
      <alignment horizontal="center" vertical="center" wrapText="1"/>
    </xf>
    <xf numFmtId="0" fontId="12" fillId="0" borderId="20" xfId="3" applyNumberFormat="1" applyFont="1" applyBorder="1" applyAlignment="1">
      <alignment horizontal="center" vertical="center" wrapText="1"/>
    </xf>
    <xf numFmtId="0" fontId="12" fillId="0" borderId="9" xfId="3" applyNumberFormat="1" applyFont="1" applyBorder="1" applyAlignment="1">
      <alignment horizontal="center" vertical="center" wrapText="1"/>
    </xf>
    <xf numFmtId="0" fontId="12" fillId="0" borderId="10" xfId="3" applyNumberFormat="1" applyFont="1" applyBorder="1" applyAlignment="1">
      <alignment horizontal="center" vertical="center" wrapText="1"/>
    </xf>
    <xf numFmtId="0" fontId="12" fillId="0" borderId="19" xfId="3" applyNumberFormat="1" applyFont="1" applyBorder="1" applyAlignment="1">
      <alignment horizontal="center" vertical="center" wrapText="1"/>
    </xf>
    <xf numFmtId="9" fontId="14" fillId="6" borderId="1" xfId="6" applyFont="1" applyFill="1" applyBorder="1" applyAlignment="1">
      <alignment horizontal="center" vertical="center" wrapText="1"/>
    </xf>
    <xf numFmtId="0" fontId="12" fillId="6" borderId="1" xfId="22" applyFont="1" applyFill="1" applyBorder="1" applyAlignment="1">
      <alignment horizontal="justify" vertical="center" wrapText="1"/>
    </xf>
    <xf numFmtId="0" fontId="17" fillId="6" borderId="16" xfId="22" applyFont="1" applyFill="1" applyBorder="1" applyAlignment="1">
      <alignment horizontal="center" vertical="center" wrapText="1"/>
    </xf>
    <xf numFmtId="0" fontId="17" fillId="6" borderId="39" xfId="22" applyFont="1" applyFill="1" applyBorder="1" applyAlignment="1">
      <alignment horizontal="center" vertical="center" wrapText="1"/>
    </xf>
    <xf numFmtId="0" fontId="17" fillId="6" borderId="27" xfId="22" applyFont="1" applyFill="1" applyBorder="1" applyAlignment="1">
      <alignment horizontal="center" vertical="center" wrapText="1"/>
    </xf>
    <xf numFmtId="0" fontId="14" fillId="0" borderId="9" xfId="22" applyFont="1" applyBorder="1" applyAlignment="1">
      <alignment horizontal="justify" vertical="center" wrapText="1"/>
    </xf>
    <xf numFmtId="0" fontId="14" fillId="0" borderId="10" xfId="22" applyFont="1" applyBorder="1" applyAlignment="1">
      <alignment horizontal="justify" vertical="center" wrapText="1"/>
    </xf>
    <xf numFmtId="0" fontId="14" fillId="0" borderId="19" xfId="22" applyFont="1" applyBorder="1" applyAlignment="1">
      <alignment horizontal="justify" vertical="center" wrapText="1"/>
    </xf>
    <xf numFmtId="0" fontId="12" fillId="0" borderId="3"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5" xfId="22" applyFont="1" applyBorder="1" applyAlignment="1">
      <alignment horizontal="center" vertical="center" wrapText="1"/>
    </xf>
    <xf numFmtId="0" fontId="12" fillId="0" borderId="9" xfId="22" applyFont="1" applyBorder="1" applyAlignment="1">
      <alignment horizontal="justify" vertical="center" wrapText="1"/>
    </xf>
    <xf numFmtId="0" fontId="12" fillId="0" borderId="10" xfId="22" applyFont="1" applyBorder="1" applyAlignment="1">
      <alignment horizontal="justify" vertical="center" wrapText="1"/>
    </xf>
    <xf numFmtId="0" fontId="12" fillId="0" borderId="19" xfId="22" applyFont="1" applyBorder="1" applyAlignment="1">
      <alignment horizontal="justify"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20" xfId="22" applyFont="1" applyBorder="1" applyAlignment="1">
      <alignment horizontal="center" vertical="center" wrapText="1"/>
    </xf>
    <xf numFmtId="0" fontId="12" fillId="6" borderId="14" xfId="22" applyFont="1" applyFill="1" applyBorder="1" applyAlignment="1">
      <alignment horizontal="justify" vertical="center" wrapText="1"/>
    </xf>
    <xf numFmtId="0" fontId="12" fillId="6" borderId="15" xfId="22" applyFont="1" applyFill="1" applyBorder="1" applyAlignment="1">
      <alignment horizontal="justify" vertical="center" wrapText="1"/>
    </xf>
    <xf numFmtId="9" fontId="14" fillId="0" borderId="14" xfId="6" applyFont="1" applyBorder="1" applyAlignment="1">
      <alignment horizontal="center" vertical="center" wrapText="1"/>
    </xf>
    <xf numFmtId="9" fontId="14" fillId="0" borderId="16" xfId="6" applyFont="1" applyBorder="1" applyAlignment="1">
      <alignment horizontal="center" vertical="center" wrapText="1"/>
    </xf>
    <xf numFmtId="43" fontId="12" fillId="6" borderId="12" xfId="3" applyFont="1" applyFill="1" applyBorder="1" applyAlignment="1">
      <alignment horizontal="center" vertical="center" wrapText="1"/>
    </xf>
    <xf numFmtId="43" fontId="12" fillId="6" borderId="13" xfId="3" applyFont="1" applyFill="1" applyBorder="1" applyAlignment="1">
      <alignment horizontal="center" vertical="center" wrapText="1"/>
    </xf>
    <xf numFmtId="0" fontId="14" fillId="0" borderId="11" xfId="22" applyFont="1" applyBorder="1" applyAlignment="1">
      <alignment horizontal="justify" vertical="center" wrapText="1"/>
    </xf>
    <xf numFmtId="49" fontId="14" fillId="0" borderId="9" xfId="23" applyNumberFormat="1" applyFont="1" applyBorder="1" applyAlignment="1">
      <alignment horizontal="justify" vertical="center" wrapText="1"/>
    </xf>
    <xf numFmtId="49" fontId="14" fillId="0" borderId="10" xfId="23" applyNumberFormat="1" applyFont="1" applyBorder="1" applyAlignment="1">
      <alignment horizontal="justify" vertical="center" wrapText="1"/>
    </xf>
    <xf numFmtId="49" fontId="14" fillId="0" borderId="11" xfId="23" applyNumberFormat="1" applyFont="1" applyBorder="1" applyAlignment="1">
      <alignment horizontal="justify" vertical="center" wrapText="1"/>
    </xf>
    <xf numFmtId="9" fontId="12" fillId="0" borderId="14" xfId="6" applyFont="1" applyBorder="1" applyAlignment="1">
      <alignment horizontal="center" vertical="center" wrapText="1"/>
    </xf>
    <xf numFmtId="49" fontId="12" fillId="6" borderId="5" xfId="23" applyNumberFormat="1" applyFont="1" applyFill="1" applyBorder="1" applyAlignment="1">
      <alignment horizontal="justify" vertical="center" wrapText="1"/>
    </xf>
    <xf numFmtId="165" fontId="12" fillId="0" borderId="9" xfId="22" applyNumberFormat="1" applyFont="1" applyBorder="1" applyAlignment="1">
      <alignment horizontal="center" vertical="center" wrapText="1"/>
    </xf>
    <xf numFmtId="165" fontId="12" fillId="0" borderId="10" xfId="22" applyNumberFormat="1" applyFont="1" applyBorder="1" applyAlignment="1">
      <alignment horizontal="center" vertical="center" wrapText="1"/>
    </xf>
    <xf numFmtId="3" fontId="12" fillId="0" borderId="51" xfId="22" applyNumberFormat="1" applyFont="1" applyBorder="1" applyAlignment="1">
      <alignment horizontal="center" vertical="center" wrapText="1"/>
    </xf>
    <xf numFmtId="3" fontId="12" fillId="0" borderId="62" xfId="22" applyNumberFormat="1" applyFont="1" applyBorder="1" applyAlignment="1">
      <alignment horizontal="center" vertical="center" wrapText="1"/>
    </xf>
    <xf numFmtId="3" fontId="12" fillId="0" borderId="70" xfId="22" applyNumberFormat="1" applyFont="1" applyBorder="1" applyAlignment="1">
      <alignment horizontal="center" vertical="center" wrapText="1"/>
    </xf>
    <xf numFmtId="49" fontId="14" fillId="0" borderId="16" xfId="23" applyNumberFormat="1" applyFont="1" applyBorder="1" applyAlignment="1">
      <alignment horizontal="justify" vertical="center" wrapText="1"/>
    </xf>
    <xf numFmtId="49" fontId="14" fillId="0" borderId="39" xfId="23" applyNumberFormat="1" applyFont="1" applyBorder="1" applyAlignment="1">
      <alignment horizontal="justify" vertical="center" wrapText="1"/>
    </xf>
    <xf numFmtId="49" fontId="14" fillId="0" borderId="27" xfId="23" applyNumberFormat="1" applyFont="1" applyBorder="1" applyAlignment="1">
      <alignment horizontal="justify" vertical="center" wrapText="1"/>
    </xf>
    <xf numFmtId="41" fontId="14" fillId="0" borderId="16" xfId="22" applyNumberFormat="1" applyFont="1" applyBorder="1" applyAlignment="1">
      <alignment horizontal="center" vertical="center"/>
    </xf>
    <xf numFmtId="41" fontId="14" fillId="0" borderId="27" xfId="22" applyNumberFormat="1" applyFont="1" applyBorder="1" applyAlignment="1">
      <alignment horizontal="center" vertical="center"/>
    </xf>
    <xf numFmtId="1" fontId="14" fillId="0" borderId="16" xfId="22" applyNumberFormat="1" applyFont="1" applyBorder="1" applyAlignment="1">
      <alignment horizontal="center" vertical="center" wrapText="1"/>
    </xf>
    <xf numFmtId="1" fontId="14" fillId="0" borderId="27" xfId="22" applyNumberFormat="1" applyFont="1" applyBorder="1" applyAlignment="1">
      <alignment horizontal="center" vertical="center" wrapText="1"/>
    </xf>
    <xf numFmtId="49" fontId="14" fillId="0" borderId="19" xfId="23" applyNumberFormat="1" applyFont="1" applyBorder="1" applyAlignment="1">
      <alignment horizontal="justify" vertical="center" wrapText="1"/>
    </xf>
    <xf numFmtId="49" fontId="12" fillId="6" borderId="3" xfId="23" applyNumberFormat="1" applyFont="1" applyFill="1" applyBorder="1" applyAlignment="1">
      <alignment horizontal="justify" vertical="center" wrapText="1"/>
    </xf>
    <xf numFmtId="0" fontId="14" fillId="0" borderId="41" xfId="22" applyFont="1" applyBorder="1" applyAlignment="1">
      <alignment horizontal="center" vertical="center" wrapText="1"/>
    </xf>
    <xf numFmtId="0" fontId="14" fillId="0" borderId="0" xfId="22" applyFont="1" applyAlignment="1">
      <alignment horizontal="center" vertical="center" wrapText="1"/>
    </xf>
    <xf numFmtId="0" fontId="14" fillId="0" borderId="2" xfId="22" applyFont="1" applyBorder="1" applyAlignment="1">
      <alignment horizontal="center" vertical="center" wrapText="1"/>
    </xf>
    <xf numFmtId="9" fontId="12" fillId="0" borderId="10" xfId="6" applyFont="1" applyBorder="1" applyAlignment="1">
      <alignment horizontal="center" vertical="center" wrapText="1"/>
    </xf>
    <xf numFmtId="9" fontId="12" fillId="0" borderId="19" xfId="6" applyFont="1" applyBorder="1" applyAlignment="1">
      <alignment horizontal="center" vertical="center" wrapText="1"/>
    </xf>
    <xf numFmtId="43" fontId="12" fillId="6" borderId="3" xfId="3" applyFont="1" applyFill="1" applyBorder="1" applyAlignment="1">
      <alignment horizontal="center" vertical="center" wrapText="1"/>
    </xf>
    <xf numFmtId="43" fontId="12" fillId="6" borderId="11" xfId="3" applyFont="1" applyFill="1" applyBorder="1" applyAlignment="1">
      <alignment horizontal="center" vertical="center" wrapText="1"/>
    </xf>
    <xf numFmtId="43" fontId="12" fillId="6" borderId="5" xfId="3" applyFont="1" applyFill="1" applyBorder="1" applyAlignment="1">
      <alignment horizontal="center" vertical="center" wrapText="1"/>
    </xf>
    <xf numFmtId="0" fontId="12" fillId="0" borderId="14" xfId="22" applyFont="1" applyBorder="1" applyAlignment="1">
      <alignment horizontal="justify" vertical="center" wrapText="1"/>
    </xf>
    <xf numFmtId="0" fontId="12" fillId="6" borderId="12" xfId="22" applyFont="1" applyFill="1" applyBorder="1" applyAlignment="1">
      <alignment horizontal="justify" vertical="center" wrapText="1"/>
    </xf>
    <xf numFmtId="0" fontId="12" fillId="6" borderId="13" xfId="22" applyFont="1" applyFill="1" applyBorder="1" applyAlignment="1">
      <alignment horizontal="justify" vertical="center" wrapText="1"/>
    </xf>
    <xf numFmtId="0" fontId="12" fillId="6" borderId="20" xfId="22" applyFont="1" applyFill="1" applyBorder="1" applyAlignment="1">
      <alignment horizontal="justify" vertical="center" wrapText="1"/>
    </xf>
    <xf numFmtId="49" fontId="12" fillId="6" borderId="11" xfId="23" applyNumberFormat="1" applyFont="1" applyFill="1" applyBorder="1" applyAlignment="1">
      <alignment horizontal="justify" vertical="center" wrapText="1"/>
    </xf>
    <xf numFmtId="165" fontId="12" fillId="0" borderId="1" xfId="22" applyNumberFormat="1" applyFont="1" applyBorder="1" applyAlignment="1">
      <alignment horizontal="center" vertical="center" wrapText="1"/>
    </xf>
    <xf numFmtId="0" fontId="12" fillId="6" borderId="12" xfId="22" applyFont="1" applyFill="1" applyBorder="1" applyAlignment="1">
      <alignment horizontal="center" vertical="center" wrapText="1"/>
    </xf>
    <xf numFmtId="0" fontId="12" fillId="6" borderId="13" xfId="22" applyFont="1" applyFill="1" applyBorder="1" applyAlignment="1">
      <alignment horizontal="center" vertical="center" wrapText="1"/>
    </xf>
    <xf numFmtId="0" fontId="12" fillId="6" borderId="20" xfId="22" applyFont="1" applyFill="1" applyBorder="1" applyAlignment="1">
      <alignment horizontal="center" vertical="center" wrapText="1"/>
    </xf>
    <xf numFmtId="43" fontId="12" fillId="21" borderId="1" xfId="3" applyFont="1" applyFill="1" applyBorder="1" applyAlignment="1">
      <alignment horizontal="center" vertical="center"/>
    </xf>
    <xf numFmtId="0" fontId="12" fillId="6" borderId="1" xfId="22" applyFont="1" applyFill="1" applyBorder="1" applyAlignment="1">
      <alignment horizontal="center" vertical="center" wrapText="1"/>
    </xf>
    <xf numFmtId="0" fontId="17" fillId="0" borderId="14" xfId="22" applyFont="1" applyBorder="1" applyAlignment="1">
      <alignment horizontal="center" vertical="center" wrapText="1"/>
    </xf>
    <xf numFmtId="0" fontId="17" fillId="0" borderId="14" xfId="22" applyFont="1" applyBorder="1" applyAlignment="1">
      <alignment horizontal="justify" vertical="center" wrapText="1"/>
    </xf>
    <xf numFmtId="0" fontId="12" fillId="6" borderId="14" xfId="22" applyFont="1" applyFill="1" applyBorder="1" applyAlignment="1">
      <alignment horizontal="center" vertical="center" wrapText="1"/>
    </xf>
    <xf numFmtId="0" fontId="12" fillId="0" borderId="44" xfId="22" applyFont="1" applyBorder="1" applyAlignment="1">
      <alignment horizontal="center" vertical="center" wrapText="1"/>
    </xf>
    <xf numFmtId="170" fontId="12" fillId="6" borderId="9" xfId="22" applyNumberFormat="1" applyFont="1" applyFill="1" applyBorder="1" applyAlignment="1">
      <alignment horizontal="center" vertical="center" wrapText="1"/>
    </xf>
    <xf numFmtId="170" fontId="12" fillId="6" borderId="10" xfId="22" applyNumberFormat="1" applyFont="1" applyFill="1" applyBorder="1" applyAlignment="1">
      <alignment horizontal="center" vertical="center" wrapText="1"/>
    </xf>
    <xf numFmtId="170" fontId="12" fillId="6" borderId="19" xfId="22" applyNumberFormat="1" applyFont="1" applyFill="1" applyBorder="1" applyAlignment="1">
      <alignment horizontal="center" vertical="center" wrapText="1"/>
    </xf>
    <xf numFmtId="49" fontId="17" fillId="6" borderId="3" xfId="23" applyNumberFormat="1" applyFont="1" applyFill="1" applyBorder="1" applyAlignment="1">
      <alignment horizontal="justify" vertical="center" wrapText="1"/>
    </xf>
    <xf numFmtId="49" fontId="17" fillId="6" borderId="11" xfId="23" applyNumberFormat="1" applyFont="1" applyFill="1" applyBorder="1" applyAlignment="1">
      <alignment horizontal="justify" vertical="center" wrapText="1"/>
    </xf>
    <xf numFmtId="1" fontId="12" fillId="6" borderId="9" xfId="22" applyNumberFormat="1" applyFont="1" applyFill="1" applyBorder="1" applyAlignment="1">
      <alignment horizontal="center" vertical="center" wrapText="1"/>
    </xf>
    <xf numFmtId="1" fontId="12" fillId="6" borderId="10" xfId="22" applyNumberFormat="1" applyFont="1" applyFill="1" applyBorder="1" applyAlignment="1">
      <alignment horizontal="center" vertical="center" wrapText="1"/>
    </xf>
    <xf numFmtId="1" fontId="12" fillId="6" borderId="19" xfId="22" applyNumberFormat="1" applyFont="1" applyFill="1" applyBorder="1" applyAlignment="1">
      <alignment horizontal="center" vertical="center" wrapText="1"/>
    </xf>
    <xf numFmtId="1" fontId="12" fillId="6" borderId="51" xfId="22" applyNumberFormat="1" applyFont="1" applyFill="1" applyBorder="1" applyAlignment="1">
      <alignment horizontal="center" vertical="center" wrapText="1"/>
    </xf>
    <xf numFmtId="1" fontId="12" fillId="6" borderId="62" xfId="22" applyNumberFormat="1" applyFont="1" applyFill="1" applyBorder="1" applyAlignment="1">
      <alignment horizontal="center" vertical="center" wrapText="1"/>
    </xf>
    <xf numFmtId="1" fontId="12" fillId="6" borderId="70" xfId="22" applyNumberFormat="1" applyFont="1" applyFill="1" applyBorder="1" applyAlignment="1">
      <alignment horizontal="center" vertical="center" wrapText="1"/>
    </xf>
    <xf numFmtId="165" fontId="12" fillId="6" borderId="1" xfId="22" applyNumberFormat="1" applyFont="1" applyFill="1" applyBorder="1" applyAlignment="1">
      <alignment horizontal="center" vertical="center" wrapText="1"/>
    </xf>
    <xf numFmtId="49" fontId="12" fillId="6" borderId="74" xfId="23" applyNumberFormat="1" applyFont="1" applyFill="1" applyBorder="1" applyAlignment="1">
      <alignment horizontal="justify" vertical="center" wrapText="1"/>
    </xf>
    <xf numFmtId="49" fontId="12" fillId="6" borderId="75" xfId="23" applyNumberFormat="1" applyFont="1" applyFill="1" applyBorder="1" applyAlignment="1">
      <alignment horizontal="justify" vertical="center" wrapText="1"/>
    </xf>
    <xf numFmtId="49" fontId="12" fillId="0" borderId="17" xfId="23" applyNumberFormat="1" applyFont="1" applyBorder="1" applyAlignment="1">
      <alignment horizontal="justify" vertical="center" wrapText="1"/>
    </xf>
    <xf numFmtId="49" fontId="12" fillId="0" borderId="34" xfId="23" applyNumberFormat="1" applyFont="1" applyBorder="1" applyAlignment="1">
      <alignment horizontal="justify" vertical="center" wrapText="1"/>
    </xf>
    <xf numFmtId="49" fontId="12" fillId="0" borderId="21" xfId="23" applyNumberFormat="1" applyFont="1" applyBorder="1" applyAlignment="1">
      <alignment horizontal="justify" vertical="center" wrapText="1"/>
    </xf>
    <xf numFmtId="49" fontId="12" fillId="6" borderId="34" xfId="23" applyNumberFormat="1" applyFont="1" applyFill="1" applyBorder="1" applyAlignment="1">
      <alignment horizontal="justify" vertical="center" wrapText="1"/>
    </xf>
    <xf numFmtId="49" fontId="12" fillId="0" borderId="14" xfId="23" applyNumberFormat="1" applyFont="1" applyBorder="1" applyAlignment="1">
      <alignment horizontal="justify" vertical="center" wrapText="1"/>
    </xf>
    <xf numFmtId="0" fontId="24" fillId="0" borderId="3" xfId="22" applyFont="1" applyBorder="1" applyAlignment="1">
      <alignment horizontal="center" vertical="center" wrapText="1"/>
    </xf>
    <xf numFmtId="0" fontId="24" fillId="0" borderId="4" xfId="22" applyFont="1" applyBorder="1" applyAlignment="1">
      <alignment horizontal="center" vertical="center" wrapText="1"/>
    </xf>
    <xf numFmtId="0" fontId="24" fillId="0" borderId="11" xfId="22" applyFont="1" applyBorder="1" applyAlignment="1">
      <alignment horizontal="center" vertical="center" wrapText="1"/>
    </xf>
    <xf numFmtId="0" fontId="24" fillId="0" borderId="0" xfId="22" applyFont="1" applyAlignment="1">
      <alignment horizontal="center" vertical="center" wrapText="1"/>
    </xf>
    <xf numFmtId="0" fontId="24" fillId="0" borderId="5" xfId="22" applyFont="1" applyBorder="1" applyAlignment="1">
      <alignment horizontal="center" vertical="center" wrapText="1"/>
    </xf>
    <xf numFmtId="0" fontId="24" fillId="0" borderId="2" xfId="22" applyFont="1" applyBorder="1" applyAlignment="1">
      <alignment horizontal="center" vertical="center" wrapText="1"/>
    </xf>
    <xf numFmtId="0" fontId="12" fillId="6" borderId="4" xfId="22" applyFont="1" applyFill="1" applyBorder="1" applyAlignment="1">
      <alignment horizontal="justify" vertical="center" wrapText="1"/>
    </xf>
    <xf numFmtId="0" fontId="12" fillId="6" borderId="2" xfId="22" applyFont="1" applyFill="1" applyBorder="1" applyAlignment="1">
      <alignment horizontal="justify" vertical="center" wrapText="1"/>
    </xf>
    <xf numFmtId="0" fontId="24" fillId="0" borderId="14" xfId="22" applyFont="1" applyBorder="1" applyAlignment="1">
      <alignment horizontal="center" vertical="center" wrapText="1"/>
    </xf>
    <xf numFmtId="0" fontId="12" fillId="0" borderId="18" xfId="22" applyFont="1" applyBorder="1" applyAlignment="1">
      <alignment horizontal="center" vertical="center" wrapText="1"/>
    </xf>
    <xf numFmtId="0" fontId="12" fillId="6" borderId="74" xfId="22" applyFont="1" applyFill="1" applyBorder="1" applyAlignment="1">
      <alignment horizontal="center" vertical="center" wrapText="1"/>
    </xf>
    <xf numFmtId="0" fontId="12" fillId="6" borderId="34" xfId="22" applyFont="1" applyFill="1" applyBorder="1" applyAlignment="1">
      <alignment horizontal="center" vertical="center" wrapText="1"/>
    </xf>
    <xf numFmtId="0" fontId="12" fillId="6" borderId="75" xfId="22" applyFont="1" applyFill="1" applyBorder="1" applyAlignment="1">
      <alignment horizontal="center" vertical="center" wrapText="1"/>
    </xf>
    <xf numFmtId="10" fontId="12" fillId="6" borderId="9" xfId="6" applyNumberFormat="1" applyFont="1" applyFill="1" applyBorder="1" applyAlignment="1">
      <alignment horizontal="center" vertical="center" wrapText="1"/>
    </xf>
    <xf numFmtId="10" fontId="12" fillId="6" borderId="10" xfId="6" applyNumberFormat="1" applyFont="1" applyFill="1" applyBorder="1" applyAlignment="1">
      <alignment horizontal="center" vertical="center" wrapText="1"/>
    </xf>
    <xf numFmtId="10" fontId="12" fillId="6" borderId="19" xfId="6" applyNumberFormat="1" applyFont="1" applyFill="1" applyBorder="1" applyAlignment="1">
      <alignment horizontal="center" vertical="center" wrapText="1"/>
    </xf>
    <xf numFmtId="0" fontId="12" fillId="6" borderId="15" xfId="22" quotePrefix="1" applyFont="1" applyFill="1" applyBorder="1" applyAlignment="1">
      <alignment horizontal="justify" vertical="center" wrapText="1"/>
    </xf>
    <xf numFmtId="0" fontId="12" fillId="6" borderId="4" xfId="22" applyFont="1" applyFill="1" applyBorder="1" applyAlignment="1">
      <alignment horizontal="center" vertical="center" wrapText="1"/>
    </xf>
    <xf numFmtId="0" fontId="12" fillId="6" borderId="2" xfId="22" applyFont="1" applyFill="1" applyBorder="1" applyAlignment="1">
      <alignment horizontal="center" vertical="center" wrapText="1"/>
    </xf>
    <xf numFmtId="10" fontId="12" fillId="6" borderId="1" xfId="6" applyNumberFormat="1" applyFont="1" applyFill="1" applyBorder="1" applyAlignment="1">
      <alignment horizontal="center" vertical="center" wrapText="1"/>
    </xf>
    <xf numFmtId="0" fontId="12" fillId="6" borderId="74" xfId="22" quotePrefix="1" applyFont="1" applyFill="1" applyBorder="1" applyAlignment="1">
      <alignment horizontal="justify" vertical="center" wrapText="1"/>
    </xf>
    <xf numFmtId="0" fontId="12" fillId="6" borderId="75" xfId="22" quotePrefix="1" applyFont="1" applyFill="1" applyBorder="1" applyAlignment="1">
      <alignment horizontal="justify" vertical="center" wrapText="1"/>
    </xf>
    <xf numFmtId="43" fontId="12" fillId="6" borderId="1" xfId="3" applyFont="1" applyFill="1" applyBorder="1" applyAlignment="1">
      <alignment horizontal="center" vertical="center" wrapText="1"/>
    </xf>
    <xf numFmtId="0" fontId="12" fillId="6" borderId="3" xfId="22" applyFont="1" applyFill="1" applyBorder="1" applyAlignment="1">
      <alignment horizontal="justify" vertical="center" wrapText="1"/>
    </xf>
    <xf numFmtId="0" fontId="12" fillId="6" borderId="11" xfId="22" applyFont="1" applyFill="1" applyBorder="1" applyAlignment="1">
      <alignment horizontal="justify" vertical="center" wrapText="1"/>
    </xf>
    <xf numFmtId="0" fontId="12" fillId="6" borderId="5" xfId="22" applyFont="1" applyFill="1" applyBorder="1" applyAlignment="1">
      <alignment horizontal="justify" vertical="center" wrapText="1"/>
    </xf>
    <xf numFmtId="0" fontId="12" fillId="6" borderId="3" xfId="22" quotePrefix="1" applyFont="1" applyFill="1" applyBorder="1" applyAlignment="1">
      <alignment horizontal="justify" vertical="center" wrapText="1"/>
    </xf>
    <xf numFmtId="0" fontId="12" fillId="6" borderId="11" xfId="22" quotePrefix="1" applyFont="1" applyFill="1" applyBorder="1" applyAlignment="1">
      <alignment horizontal="justify" vertical="center" wrapText="1"/>
    </xf>
    <xf numFmtId="0" fontId="12" fillId="6" borderId="5" xfId="22" quotePrefix="1" applyFont="1" applyFill="1" applyBorder="1" applyAlignment="1">
      <alignment horizontal="justify" vertical="center" wrapText="1"/>
    </xf>
    <xf numFmtId="0" fontId="12" fillId="0" borderId="9" xfId="22" applyFont="1" applyBorder="1" applyAlignment="1">
      <alignment horizontal="center" vertical="center"/>
    </xf>
    <xf numFmtId="0" fontId="12" fillId="0" borderId="10" xfId="22" applyFont="1" applyBorder="1" applyAlignment="1">
      <alignment horizontal="center" vertical="center"/>
    </xf>
    <xf numFmtId="0" fontId="12" fillId="0" borderId="19" xfId="22" applyFont="1" applyBorder="1" applyAlignment="1">
      <alignment horizontal="center" vertical="center"/>
    </xf>
    <xf numFmtId="166" fontId="24" fillId="21" borderId="7" xfId="3" applyNumberFormat="1" applyFont="1" applyFill="1" applyBorder="1" applyAlignment="1">
      <alignment horizontal="center" vertical="center" textRotation="180" wrapText="1"/>
    </xf>
    <xf numFmtId="166" fontId="24" fillId="21" borderId="6" xfId="3" applyNumberFormat="1" applyFont="1" applyFill="1" applyBorder="1" applyAlignment="1">
      <alignment horizontal="center" vertical="center" textRotation="180" wrapText="1"/>
    </xf>
    <xf numFmtId="0" fontId="12" fillId="0" borderId="14" xfId="22" applyFont="1" applyBorder="1" applyAlignment="1">
      <alignment horizontal="center" vertical="center" wrapText="1"/>
    </xf>
    <xf numFmtId="14" fontId="12" fillId="0" borderId="9" xfId="3" applyNumberFormat="1" applyFont="1" applyBorder="1" applyAlignment="1">
      <alignment horizontal="center" vertical="center" wrapText="1"/>
    </xf>
    <xf numFmtId="0" fontId="12" fillId="0" borderId="51" xfId="3" applyNumberFormat="1" applyFont="1" applyBorder="1" applyAlignment="1">
      <alignment horizontal="center" vertical="center" wrapText="1"/>
    </xf>
    <xf numFmtId="0" fontId="12" fillId="0" borderId="62" xfId="3" applyNumberFormat="1" applyFont="1" applyBorder="1" applyAlignment="1">
      <alignment horizontal="center" vertical="center" wrapText="1"/>
    </xf>
    <xf numFmtId="0" fontId="12" fillId="0" borderId="70" xfId="3" applyNumberFormat="1" applyFont="1" applyBorder="1" applyAlignment="1">
      <alignment horizontal="center" vertical="center" wrapText="1"/>
    </xf>
    <xf numFmtId="0" fontId="12" fillId="6" borderId="48" xfId="22" applyFont="1" applyFill="1" applyBorder="1" applyAlignment="1">
      <alignment horizontal="center" vertical="center" wrapText="1"/>
    </xf>
    <xf numFmtId="0" fontId="12" fillId="6" borderId="49" xfId="22" applyFont="1" applyFill="1" applyBorder="1" applyAlignment="1">
      <alignment horizontal="center" vertical="center" wrapText="1"/>
    </xf>
    <xf numFmtId="49" fontId="12" fillId="6" borderId="3" xfId="23" quotePrefix="1" applyNumberFormat="1" applyFont="1" applyFill="1" applyBorder="1" applyAlignment="1">
      <alignment horizontal="justify" vertical="center" wrapText="1"/>
    </xf>
    <xf numFmtId="49" fontId="12" fillId="6" borderId="5" xfId="23" quotePrefix="1" applyNumberFormat="1" applyFont="1" applyFill="1" applyBorder="1" applyAlignment="1">
      <alignment horizontal="justify" vertical="center" wrapText="1"/>
    </xf>
    <xf numFmtId="49" fontId="14" fillId="6" borderId="3" xfId="23" quotePrefix="1" applyNumberFormat="1" applyFont="1" applyFill="1" applyBorder="1" applyAlignment="1">
      <alignment horizontal="justify" vertical="center" wrapText="1"/>
    </xf>
    <xf numFmtId="49" fontId="14" fillId="6" borderId="5" xfId="23" quotePrefix="1" applyNumberFormat="1" applyFont="1" applyFill="1" applyBorder="1" applyAlignment="1">
      <alignment horizontal="justify" vertical="center" wrapText="1"/>
    </xf>
    <xf numFmtId="0" fontId="12" fillId="0" borderId="16" xfId="22" applyFont="1" applyBorder="1" applyAlignment="1">
      <alignment horizontal="center" vertical="center" wrapText="1"/>
    </xf>
    <xf numFmtId="0" fontId="12" fillId="6" borderId="47" xfId="22" applyFont="1" applyFill="1" applyBorder="1" applyAlignment="1">
      <alignment horizontal="center" vertical="center" wrapText="1"/>
    </xf>
    <xf numFmtId="0" fontId="12" fillId="6" borderId="9" xfId="22" applyFont="1" applyFill="1" applyBorder="1" applyAlignment="1">
      <alignment horizontal="center" vertical="center"/>
    </xf>
    <xf numFmtId="0" fontId="12" fillId="6" borderId="10" xfId="22" applyFont="1" applyFill="1" applyBorder="1" applyAlignment="1">
      <alignment horizontal="center" vertical="center"/>
    </xf>
    <xf numFmtId="49" fontId="14" fillId="0" borderId="3" xfId="23" applyNumberFormat="1" applyFont="1" applyBorder="1" applyAlignment="1">
      <alignment horizontal="justify" vertical="center" wrapText="1"/>
    </xf>
    <xf numFmtId="49" fontId="14" fillId="0" borderId="5" xfId="23" applyNumberFormat="1" applyFont="1" applyBorder="1" applyAlignment="1">
      <alignment horizontal="justify" vertical="center" wrapText="1"/>
    </xf>
    <xf numFmtId="0" fontId="12" fillId="6" borderId="72" xfId="22" applyFont="1" applyFill="1" applyBorder="1" applyAlignment="1">
      <alignment horizontal="justify" vertical="center" wrapText="1"/>
    </xf>
    <xf numFmtId="9" fontId="12" fillId="0" borderId="9" xfId="4" applyFont="1" applyBorder="1" applyAlignment="1">
      <alignment horizontal="center" vertical="center" wrapText="1"/>
    </xf>
    <xf numFmtId="9" fontId="12" fillId="0" borderId="10" xfId="4" applyFont="1" applyBorder="1" applyAlignment="1">
      <alignment horizontal="center" vertical="center" wrapText="1"/>
    </xf>
    <xf numFmtId="9" fontId="12" fillId="0" borderId="19" xfId="4" applyFont="1" applyBorder="1" applyAlignment="1">
      <alignment horizontal="center" vertical="center" wrapText="1"/>
    </xf>
    <xf numFmtId="0" fontId="12" fillId="6" borderId="26" xfId="22" applyFont="1" applyFill="1" applyBorder="1" applyAlignment="1">
      <alignment horizontal="center" vertical="center" wrapText="1"/>
    </xf>
    <xf numFmtId="14" fontId="14" fillId="0" borderId="1" xfId="3" applyNumberFormat="1" applyFont="1" applyBorder="1" applyAlignment="1">
      <alignment horizontal="center" vertical="center" wrapText="1"/>
    </xf>
    <xf numFmtId="0" fontId="14" fillId="0" borderId="1" xfId="3" applyNumberFormat="1" applyFont="1" applyBorder="1" applyAlignment="1">
      <alignment horizontal="center" vertical="center" wrapText="1"/>
    </xf>
    <xf numFmtId="3" fontId="12" fillId="6" borderId="77" xfId="22" applyNumberFormat="1" applyFont="1" applyFill="1" applyBorder="1" applyAlignment="1">
      <alignment horizontal="center" vertical="center" wrapText="1"/>
    </xf>
    <xf numFmtId="0" fontId="12" fillId="0" borderId="28" xfId="22" applyFont="1" applyBorder="1" applyAlignment="1">
      <alignment horizontal="center"/>
    </xf>
    <xf numFmtId="0" fontId="12" fillId="0" borderId="29" xfId="22" applyFont="1" applyBorder="1" applyAlignment="1">
      <alignment horizontal="center"/>
    </xf>
    <xf numFmtId="0" fontId="12" fillId="0" borderId="30" xfId="22" applyFont="1" applyBorder="1" applyAlignment="1">
      <alignment horizontal="center"/>
    </xf>
    <xf numFmtId="0" fontId="24" fillId="6" borderId="0" xfId="22" applyFont="1" applyFill="1" applyAlignment="1">
      <alignment horizontal="center"/>
    </xf>
    <xf numFmtId="0" fontId="12" fillId="6" borderId="0" xfId="22" applyFont="1" applyFill="1" applyAlignment="1">
      <alignment horizontal="center"/>
    </xf>
    <xf numFmtId="3" fontId="19" fillId="0" borderId="14" xfId="0" applyNumberFormat="1" applyFont="1" applyBorder="1" applyAlignment="1">
      <alignment horizontal="center" vertical="center"/>
    </xf>
    <xf numFmtId="165" fontId="19" fillId="0" borderId="14" xfId="0" applyNumberFormat="1" applyFont="1" applyBorder="1" applyAlignment="1">
      <alignment horizontal="center" vertical="center" wrapText="1"/>
    </xf>
    <xf numFmtId="3" fontId="19" fillId="0" borderId="65" xfId="0" applyNumberFormat="1" applyFont="1" applyBorder="1" applyAlignment="1">
      <alignment horizontal="center" vertical="center" wrapText="1"/>
    </xf>
    <xf numFmtId="43" fontId="19" fillId="0" borderId="14" xfId="12" applyFont="1" applyBorder="1" applyAlignment="1">
      <alignment horizontal="center" vertical="center" wrapText="1"/>
    </xf>
    <xf numFmtId="0" fontId="8" fillId="0" borderId="14" xfId="0" applyFont="1" applyBorder="1" applyAlignment="1">
      <alignment horizontal="center" vertical="center" wrapText="1"/>
    </xf>
    <xf numFmtId="3" fontId="19" fillId="0" borderId="51" xfId="0" applyNumberFormat="1" applyFont="1" applyBorder="1" applyAlignment="1">
      <alignment horizontal="center" vertical="center" wrapText="1"/>
    </xf>
    <xf numFmtId="0" fontId="19" fillId="0" borderId="14" xfId="0" applyFont="1" applyBorder="1" applyAlignment="1">
      <alignment horizontal="center" vertical="center" wrapText="1"/>
    </xf>
    <xf numFmtId="0" fontId="19" fillId="0" borderId="14" xfId="0" applyFont="1" applyBorder="1" applyAlignment="1">
      <alignment horizontal="justify" vertical="center" wrapText="1"/>
    </xf>
    <xf numFmtId="9" fontId="8" fillId="0" borderId="14" xfId="11" applyNumberFormat="1" applyFont="1" applyBorder="1" applyAlignment="1">
      <alignment horizontal="center" vertical="center" wrapText="1"/>
    </xf>
    <xf numFmtId="165" fontId="19" fillId="0" borderId="9" xfId="0" applyNumberFormat="1" applyFont="1" applyBorder="1" applyAlignment="1">
      <alignment horizontal="center" vertical="center" wrapText="1"/>
    </xf>
    <xf numFmtId="165" fontId="19" fillId="0" borderId="10" xfId="0" applyNumberFormat="1" applyFont="1" applyBorder="1" applyAlignment="1">
      <alignment horizontal="center" vertical="center" wrapText="1"/>
    </xf>
    <xf numFmtId="3" fontId="19" fillId="0" borderId="8" xfId="0" applyNumberFormat="1" applyFont="1" applyBorder="1" applyAlignment="1">
      <alignment horizontal="center" vertical="center"/>
    </xf>
    <xf numFmtId="3" fontId="19" fillId="0" borderId="12" xfId="0" applyNumberFormat="1" applyFont="1" applyBorder="1" applyAlignment="1">
      <alignment horizontal="center" vertical="center"/>
    </xf>
    <xf numFmtId="9" fontId="8" fillId="0" borderId="1" xfId="11" applyNumberFormat="1" applyFont="1" applyBorder="1" applyAlignment="1">
      <alignment horizontal="center" vertical="center" wrapText="1"/>
    </xf>
    <xf numFmtId="9" fontId="8" fillId="0" borderId="9" xfId="11" applyNumberFormat="1" applyFont="1" applyBorder="1" applyAlignment="1">
      <alignment horizontal="center" vertical="center" wrapText="1"/>
    </xf>
    <xf numFmtId="4" fontId="19" fillId="6" borderId="1" xfId="12" applyNumberFormat="1" applyFont="1" applyFill="1" applyBorder="1" applyAlignment="1">
      <alignment horizontal="right" vertical="center" wrapText="1"/>
    </xf>
    <xf numFmtId="4" fontId="19" fillId="6" borderId="9" xfId="12" applyNumberFormat="1" applyFont="1" applyFill="1" applyBorder="1" applyAlignment="1">
      <alignment horizontal="right" vertical="center" wrapText="1"/>
    </xf>
    <xf numFmtId="0" fontId="19" fillId="0" borderId="9" xfId="0" applyFont="1" applyBorder="1" applyAlignment="1">
      <alignment horizontal="justify" vertical="center" wrapText="1" readingOrder="2"/>
    </xf>
    <xf numFmtId="0" fontId="19" fillId="0" borderId="10" xfId="0" applyFont="1" applyBorder="1" applyAlignment="1">
      <alignment horizontal="justify" vertical="center" wrapText="1" readingOrder="2"/>
    </xf>
    <xf numFmtId="0" fontId="19" fillId="0" borderId="11" xfId="0" applyFont="1" applyBorder="1" applyAlignment="1">
      <alignment horizontal="justify" vertical="center" wrapText="1" readingOrder="2"/>
    </xf>
    <xf numFmtId="0" fontId="19" fillId="0" borderId="9" xfId="0" applyFont="1" applyBorder="1" applyAlignment="1">
      <alignment horizontal="center" vertical="center" wrapText="1"/>
    </xf>
    <xf numFmtId="3" fontId="19" fillId="0" borderId="19" xfId="0" applyNumberFormat="1" applyFont="1" applyBorder="1" applyAlignment="1">
      <alignment horizontal="center" vertical="center"/>
    </xf>
    <xf numFmtId="9" fontId="8" fillId="0" borderId="9" xfId="11" applyFont="1" applyBorder="1" applyAlignment="1">
      <alignment horizontal="center" vertical="center" wrapText="1"/>
    </xf>
    <xf numFmtId="9" fontId="8" fillId="0" borderId="19" xfId="11" applyFont="1" applyBorder="1" applyAlignment="1">
      <alignment horizontal="center" vertical="center" wrapText="1"/>
    </xf>
    <xf numFmtId="43" fontId="19" fillId="0" borderId="9" xfId="12" applyFont="1" applyBorder="1" applyAlignment="1">
      <alignment horizontal="center" vertical="center" wrapText="1"/>
    </xf>
    <xf numFmtId="43" fontId="19" fillId="0" borderId="19" xfId="12" applyFont="1" applyBorder="1" applyAlignment="1">
      <alignment horizontal="center" vertical="center" wrapText="1"/>
    </xf>
    <xf numFmtId="3" fontId="19" fillId="0" borderId="9" xfId="0" applyNumberFormat="1" applyFont="1" applyBorder="1" applyAlignment="1">
      <alignment horizontal="justify" vertical="center" wrapText="1"/>
    </xf>
    <xf numFmtId="3" fontId="19" fillId="0" borderId="19" xfId="0" applyNumberFormat="1" applyFont="1" applyBorder="1" applyAlignment="1">
      <alignment horizontal="justify" vertical="center" wrapText="1"/>
    </xf>
    <xf numFmtId="0" fontId="19" fillId="0" borderId="19" xfId="0" applyFont="1" applyBorder="1" applyAlignment="1">
      <alignment horizontal="center" vertical="center" wrapText="1"/>
    </xf>
    <xf numFmtId="0" fontId="19" fillId="0" borderId="19" xfId="0" applyFont="1" applyBorder="1" applyAlignment="1">
      <alignment horizontal="justify" vertical="center" wrapText="1"/>
    </xf>
    <xf numFmtId="165" fontId="19" fillId="0" borderId="19" xfId="0" applyNumberFormat="1" applyFont="1" applyBorder="1" applyAlignment="1">
      <alignment horizontal="center" vertical="center" wrapText="1"/>
    </xf>
    <xf numFmtId="3" fontId="22" fillId="0" borderId="51" xfId="0" applyNumberFormat="1" applyFont="1" applyBorder="1" applyAlignment="1">
      <alignment horizontal="center" vertical="center" wrapText="1"/>
    </xf>
    <xf numFmtId="3" fontId="22" fillId="0" borderId="62" xfId="0" applyNumberFormat="1" applyFont="1" applyBorder="1" applyAlignment="1">
      <alignment horizontal="center" vertical="center"/>
    </xf>
    <xf numFmtId="0" fontId="19" fillId="6" borderId="9"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7" xfId="0" applyFont="1" applyBorder="1" applyAlignment="1">
      <alignment horizontal="center" vertical="center" wrapText="1"/>
    </xf>
    <xf numFmtId="0" fontId="20" fillId="0" borderId="58" xfId="0" applyFont="1" applyBorder="1" applyAlignment="1">
      <alignment horizontal="center" vertical="center"/>
    </xf>
    <xf numFmtId="0" fontId="20" fillId="0" borderId="57" xfId="0" applyFont="1" applyBorder="1" applyAlignment="1">
      <alignment horizontal="center" vertical="center"/>
    </xf>
    <xf numFmtId="0" fontId="20" fillId="0" borderId="50" xfId="0" applyFont="1" applyBorder="1" applyAlignment="1">
      <alignment horizontal="center" vertical="center"/>
    </xf>
    <xf numFmtId="1" fontId="20" fillId="11" borderId="60" xfId="0" applyNumberFormat="1" applyFont="1" applyFill="1" applyBorder="1" applyAlignment="1">
      <alignment horizontal="center" vertical="center" wrapText="1"/>
    </xf>
    <xf numFmtId="1" fontId="20" fillId="11" borderId="61" xfId="0" applyNumberFormat="1" applyFont="1" applyFill="1" applyBorder="1" applyAlignment="1">
      <alignment horizontal="center" vertical="center" wrapText="1"/>
    </xf>
    <xf numFmtId="3" fontId="20" fillId="11" borderId="51" xfId="0" applyNumberFormat="1" applyFont="1" applyFill="1" applyBorder="1" applyAlignment="1">
      <alignment horizontal="center" vertical="center" wrapText="1"/>
    </xf>
    <xf numFmtId="3" fontId="20" fillId="11" borderId="62"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0" borderId="5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8" xfId="0" applyFont="1" applyBorder="1" applyAlignment="1">
      <alignment horizontal="center" vertical="center"/>
    </xf>
    <xf numFmtId="0" fontId="7" fillId="0" borderId="4" xfId="0" applyFont="1" applyBorder="1" applyAlignment="1">
      <alignment horizontal="center" vertical="center"/>
    </xf>
    <xf numFmtId="0" fontId="7" fillId="0" borderId="57"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4" xfId="0" applyFont="1" applyBorder="1" applyAlignment="1">
      <alignment horizontal="center" vertical="center"/>
    </xf>
    <xf numFmtId="0" fontId="7" fillId="0" borderId="8" xfId="0" applyFont="1" applyBorder="1" applyAlignment="1">
      <alignment horizontal="center" vertical="center"/>
    </xf>
    <xf numFmtId="0" fontId="7" fillId="3" borderId="69"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165" fontId="7" fillId="3" borderId="5" xfId="0" applyNumberFormat="1" applyFont="1" applyFill="1" applyBorder="1" applyAlignment="1">
      <alignment horizontal="center" vertical="center" wrapText="1"/>
    </xf>
    <xf numFmtId="3" fontId="7" fillId="3" borderId="50" xfId="0" applyNumberFormat="1" applyFont="1" applyFill="1" applyBorder="1" applyAlignment="1">
      <alignment horizontal="center" vertical="center" wrapText="1"/>
    </xf>
    <xf numFmtId="0" fontId="7" fillId="3" borderId="1" xfId="0" applyFont="1" applyFill="1" applyBorder="1" applyAlignment="1">
      <alignment horizontal="justify" vertical="center" wrapText="1"/>
    </xf>
    <xf numFmtId="180" fontId="7" fillId="3" borderId="3" xfId="19" applyFont="1" applyFill="1" applyBorder="1" applyAlignment="1">
      <alignment horizontal="center" vertical="center" wrapText="1"/>
    </xf>
    <xf numFmtId="180" fontId="7" fillId="3" borderId="11" xfId="19"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 fontId="8" fillId="6" borderId="1" xfId="0" applyNumberFormat="1" applyFont="1" applyFill="1" applyBorder="1" applyAlignment="1">
      <alignment horizontal="center" vertical="center" wrapText="1"/>
    </xf>
    <xf numFmtId="43" fontId="8" fillId="6" borderId="19" xfId="1" applyFont="1" applyFill="1" applyBorder="1" applyAlignment="1">
      <alignment horizontal="center" vertical="center" wrapText="1"/>
    </xf>
    <xf numFmtId="3" fontId="8" fillId="6" borderId="9" xfId="0" applyNumberFormat="1" applyFont="1" applyFill="1" applyBorder="1" applyAlignment="1">
      <alignment horizontal="justify" vertical="center" wrapText="1"/>
    </xf>
    <xf numFmtId="3" fontId="8" fillId="6" borderId="10" xfId="0" applyNumberFormat="1" applyFont="1" applyFill="1" applyBorder="1" applyAlignment="1">
      <alignment horizontal="justify" vertical="center" wrapText="1"/>
    </xf>
    <xf numFmtId="3" fontId="8" fillId="6" borderId="19" xfId="0" applyNumberFormat="1" applyFont="1" applyFill="1" applyBorder="1" applyAlignment="1">
      <alignment horizontal="justify" vertical="center" wrapText="1"/>
    </xf>
    <xf numFmtId="0" fontId="8" fillId="6" borderId="8" xfId="0" applyFont="1" applyFill="1" applyBorder="1" applyAlignment="1">
      <alignment horizontal="center" vertical="center" wrapText="1"/>
    </xf>
    <xf numFmtId="43" fontId="8" fillId="6" borderId="1" xfId="1" applyFont="1" applyFill="1" applyBorder="1" applyAlignment="1">
      <alignment horizontal="center" vertical="center" wrapText="1"/>
    </xf>
    <xf numFmtId="0" fontId="8" fillId="6" borderId="20" xfId="0" applyFont="1" applyFill="1" applyBorder="1" applyAlignment="1">
      <alignment horizontal="center" vertical="center" wrapText="1"/>
    </xf>
    <xf numFmtId="167" fontId="8" fillId="6" borderId="9" xfId="0" applyNumberFormat="1" applyFont="1" applyFill="1" applyBorder="1" applyAlignment="1">
      <alignment horizontal="center" vertical="center" wrapText="1"/>
    </xf>
    <xf numFmtId="167" fontId="8" fillId="6" borderId="10" xfId="0" applyNumberFormat="1" applyFont="1" applyFill="1" applyBorder="1" applyAlignment="1">
      <alignment horizontal="center" vertical="center" wrapText="1"/>
    </xf>
    <xf numFmtId="0" fontId="8" fillId="6" borderId="1" xfId="0" applyFont="1" applyFill="1" applyBorder="1" applyAlignment="1">
      <alignment horizontal="center"/>
    </xf>
    <xf numFmtId="167" fontId="8" fillId="6" borderId="19" xfId="0" applyNumberFormat="1" applyFont="1" applyFill="1" applyBorder="1" applyAlignment="1">
      <alignment horizontal="center" vertical="center" wrapText="1"/>
    </xf>
    <xf numFmtId="167" fontId="8" fillId="6" borderId="1" xfId="0" applyNumberFormat="1" applyFont="1" applyFill="1" applyBorder="1" applyAlignment="1">
      <alignment horizontal="center" vertical="center" wrapText="1"/>
    </xf>
    <xf numFmtId="3" fontId="8" fillId="6" borderId="1" xfId="0" applyNumberFormat="1" applyFont="1" applyFill="1" applyBorder="1" applyAlignment="1">
      <alignment horizontal="justify" vertical="center" wrapText="1"/>
    </xf>
    <xf numFmtId="0" fontId="8" fillId="6" borderId="3" xfId="0" applyFont="1" applyFill="1" applyBorder="1" applyAlignment="1">
      <alignment horizontal="center"/>
    </xf>
    <xf numFmtId="0" fontId="8" fillId="6" borderId="11" xfId="0" applyFont="1" applyFill="1" applyBorder="1" applyAlignment="1">
      <alignment horizontal="center"/>
    </xf>
    <xf numFmtId="0" fontId="8" fillId="6" borderId="5" xfId="0" applyFont="1" applyFill="1" applyBorder="1" applyAlignment="1">
      <alignment horizontal="center"/>
    </xf>
    <xf numFmtId="167" fontId="8" fillId="6" borderId="9" xfId="0" applyNumberFormat="1" applyFont="1" applyFill="1" applyBorder="1" applyAlignment="1">
      <alignment horizontal="justify" vertical="center" wrapText="1"/>
    </xf>
    <xf numFmtId="167" fontId="8" fillId="6" borderId="10" xfId="0" applyNumberFormat="1" applyFont="1" applyFill="1" applyBorder="1" applyAlignment="1">
      <alignment horizontal="justify" vertical="center" wrapText="1"/>
    </xf>
    <xf numFmtId="0" fontId="8" fillId="0" borderId="9" xfId="0" applyFont="1" applyBorder="1" applyAlignment="1">
      <alignment horizontal="justify" vertical="top" wrapText="1"/>
    </xf>
    <xf numFmtId="0" fontId="8" fillId="0" borderId="10" xfId="0" applyFont="1" applyBorder="1" applyAlignment="1">
      <alignment horizontal="justify" vertical="top" wrapText="1"/>
    </xf>
    <xf numFmtId="0" fontId="8" fillId="6" borderId="9" xfId="0" applyFont="1" applyFill="1" applyBorder="1" applyAlignment="1">
      <alignment horizontal="justify" vertical="top" wrapText="1"/>
    </xf>
    <xf numFmtId="0" fontId="8" fillId="6" borderId="10" xfId="0" applyFont="1" applyFill="1" applyBorder="1" applyAlignment="1">
      <alignment horizontal="justify" vertical="top" wrapText="1"/>
    </xf>
    <xf numFmtId="0" fontId="8" fillId="6" borderId="9" xfId="0" applyFont="1" applyFill="1" applyBorder="1" applyAlignment="1">
      <alignment horizontal="center" vertical="center"/>
    </xf>
    <xf numFmtId="0" fontId="8" fillId="6" borderId="10" xfId="0" applyFont="1" applyFill="1" applyBorder="1" applyAlignment="1">
      <alignment horizontal="center" vertical="center"/>
    </xf>
    <xf numFmtId="0" fontId="8" fillId="0" borderId="0" xfId="0" applyFont="1" applyAlignment="1">
      <alignment horizontal="center" vertical="top" wrapText="1"/>
    </xf>
    <xf numFmtId="0" fontId="7" fillId="0" borderId="0" xfId="0" applyFont="1" applyBorder="1" applyAlignment="1">
      <alignment horizontal="center" vertical="top" wrapText="1"/>
    </xf>
    <xf numFmtId="0" fontId="7" fillId="0" borderId="0" xfId="0" applyFont="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justify" vertical="center"/>
    </xf>
    <xf numFmtId="14" fontId="15" fillId="23" borderId="1" xfId="0" applyNumberFormat="1" applyFont="1" applyFill="1" applyBorder="1" applyAlignment="1">
      <alignment horizontal="center" vertical="center" wrapText="1"/>
    </xf>
    <xf numFmtId="3" fontId="15" fillId="23" borderId="1" xfId="0" applyNumberFormat="1" applyFont="1" applyFill="1" applyBorder="1" applyAlignment="1">
      <alignment horizontal="center" vertical="center" wrapText="1"/>
    </xf>
    <xf numFmtId="0" fontId="15" fillId="23" borderId="9" xfId="0" applyFont="1" applyFill="1" applyBorder="1" applyAlignment="1">
      <alignment horizontal="center" vertical="center"/>
    </xf>
    <xf numFmtId="0" fontId="15" fillId="23" borderId="19" xfId="0" applyFont="1" applyFill="1" applyBorder="1" applyAlignment="1">
      <alignment horizontal="center" vertical="center"/>
    </xf>
    <xf numFmtId="0" fontId="27" fillId="4" borderId="9" xfId="0" applyFont="1" applyFill="1" applyBorder="1" applyAlignment="1">
      <alignment horizontal="center" vertical="center" textRotation="90" wrapText="1"/>
    </xf>
    <xf numFmtId="0" fontId="27" fillId="4" borderId="19" xfId="0" applyFont="1" applyFill="1" applyBorder="1" applyAlignment="1">
      <alignment horizontal="center" vertical="center" textRotation="90" wrapText="1"/>
    </xf>
    <xf numFmtId="0" fontId="15" fillId="23" borderId="9" xfId="0" applyFont="1" applyFill="1" applyBorder="1" applyAlignment="1">
      <alignment horizontal="center" vertical="center" wrapText="1"/>
    </xf>
    <xf numFmtId="0" fontId="15" fillId="23" borderId="10" xfId="0" applyFont="1" applyFill="1" applyBorder="1" applyAlignment="1">
      <alignment horizontal="center" vertical="center" wrapText="1"/>
    </xf>
    <xf numFmtId="0" fontId="15" fillId="23" borderId="19" xfId="0" applyFont="1" applyFill="1" applyBorder="1" applyAlignment="1">
      <alignment horizontal="center" vertical="center" wrapText="1"/>
    </xf>
    <xf numFmtId="0" fontId="15" fillId="23" borderId="10" xfId="0" applyFont="1" applyFill="1" applyBorder="1" applyAlignment="1">
      <alignment horizontal="center" vertical="center"/>
    </xf>
    <xf numFmtId="3" fontId="15" fillId="23" borderId="9" xfId="0" applyNumberFormat="1" applyFont="1" applyFill="1" applyBorder="1" applyAlignment="1">
      <alignment horizontal="center" vertical="center" wrapText="1"/>
    </xf>
    <xf numFmtId="3" fontId="15" fillId="23" borderId="19" xfId="0" applyNumberFormat="1" applyFont="1" applyFill="1" applyBorder="1" applyAlignment="1">
      <alignment horizontal="center" vertical="center" wrapText="1"/>
    </xf>
    <xf numFmtId="0" fontId="26" fillId="5" borderId="6" xfId="0" applyFont="1" applyFill="1" applyBorder="1" applyAlignment="1">
      <alignment horizontal="left" vertical="center" wrapText="1"/>
    </xf>
    <xf numFmtId="0" fontId="26" fillId="5" borderId="7" xfId="0" applyFont="1" applyFill="1" applyBorder="1" applyAlignment="1">
      <alignment horizontal="left" vertical="center" wrapText="1"/>
    </xf>
    <xf numFmtId="0" fontId="26" fillId="16" borderId="6" xfId="0" applyFont="1" applyFill="1" applyBorder="1" applyAlignment="1">
      <alignment horizontal="left" vertical="center" wrapText="1"/>
    </xf>
    <xf numFmtId="0" fontId="26" fillId="16" borderId="7" xfId="0" applyFont="1" applyFill="1" applyBorder="1" applyAlignment="1">
      <alignment horizontal="left" vertical="center" wrapText="1"/>
    </xf>
    <xf numFmtId="0" fontId="26" fillId="16" borderId="8" xfId="0" applyFont="1" applyFill="1" applyBorder="1" applyAlignment="1">
      <alignment horizontal="left" vertical="center" wrapText="1"/>
    </xf>
    <xf numFmtId="0" fontId="26" fillId="8" borderId="1" xfId="0" applyFont="1" applyFill="1" applyBorder="1" applyAlignment="1">
      <alignment horizontal="left" vertical="center" wrapText="1"/>
    </xf>
    <xf numFmtId="0" fontId="26" fillId="8" borderId="9" xfId="0" applyFont="1" applyFill="1" applyBorder="1" applyAlignment="1">
      <alignment horizontal="left" vertical="center" wrapText="1"/>
    </xf>
    <xf numFmtId="49" fontId="14" fillId="6" borderId="9" xfId="0" applyNumberFormat="1" applyFont="1" applyFill="1" applyBorder="1" applyAlignment="1">
      <alignment horizontal="center" vertical="center" wrapText="1"/>
    </xf>
    <xf numFmtId="49" fontId="14" fillId="6" borderId="10" xfId="0" applyNumberFormat="1"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0" borderId="9" xfId="1" applyNumberFormat="1" applyFont="1" applyBorder="1" applyAlignment="1">
      <alignment horizontal="center" vertical="center" wrapText="1"/>
    </xf>
    <xf numFmtId="0" fontId="14" fillId="0" borderId="10" xfId="1" applyNumberFormat="1" applyFont="1" applyBorder="1" applyAlignment="1">
      <alignment horizontal="center" vertical="center" wrapText="1"/>
    </xf>
    <xf numFmtId="41" fontId="14" fillId="0" borderId="9" xfId="5" applyFont="1" applyBorder="1" applyAlignment="1">
      <alignment horizontal="center" vertical="center" wrapText="1"/>
    </xf>
    <xf numFmtId="41" fontId="14" fillId="0" borderId="10" xfId="5" applyFont="1" applyBorder="1" applyAlignment="1">
      <alignment horizontal="center" vertical="center" wrapText="1"/>
    </xf>
    <xf numFmtId="9" fontId="14" fillId="0" borderId="9" xfId="4" applyNumberFormat="1" applyFont="1" applyBorder="1" applyAlignment="1">
      <alignment horizontal="center" vertical="center" wrapText="1"/>
    </xf>
    <xf numFmtId="9" fontId="14" fillId="0" borderId="10" xfId="4" applyNumberFormat="1" applyFont="1" applyBorder="1" applyAlignment="1">
      <alignment horizontal="center" vertical="center" wrapText="1"/>
    </xf>
    <xf numFmtId="43" fontId="14" fillId="0" borderId="9" xfId="1" applyFont="1" applyBorder="1" applyAlignment="1">
      <alignment horizontal="center" vertical="center" wrapText="1"/>
    </xf>
    <xf numFmtId="43" fontId="14" fillId="0" borderId="10" xfId="1" applyFont="1" applyBorder="1" applyAlignment="1">
      <alignment horizontal="center" vertical="center" wrapText="1"/>
    </xf>
    <xf numFmtId="0" fontId="14" fillId="0" borderId="3" xfId="0" applyFont="1" applyBorder="1" applyAlignment="1">
      <alignment horizontal="justify" vertical="center" wrapText="1"/>
    </xf>
    <xf numFmtId="14" fontId="14" fillId="0" borderId="9" xfId="0" applyNumberFormat="1" applyFont="1" applyBorder="1" applyAlignment="1">
      <alignment horizontal="center" vertical="center" wrapText="1"/>
    </xf>
    <xf numFmtId="14" fontId="14" fillId="0" borderId="10" xfId="0" applyNumberFormat="1" applyFont="1" applyBorder="1" applyAlignment="1">
      <alignment horizontal="center" vertical="center" wrapText="1"/>
    </xf>
    <xf numFmtId="0" fontId="15" fillId="8" borderId="1" xfId="0" applyFont="1" applyFill="1" applyBorder="1" applyAlignment="1">
      <alignment horizontal="left"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4" fillId="6" borderId="19" xfId="0" applyFont="1" applyFill="1" applyBorder="1" applyAlignment="1">
      <alignment horizontal="center" vertical="center" wrapText="1"/>
    </xf>
    <xf numFmtId="0" fontId="14" fillId="6" borderId="15" xfId="0" applyFont="1" applyFill="1" applyBorder="1" applyAlignment="1">
      <alignment horizontal="justify" vertical="center" wrapText="1"/>
    </xf>
    <xf numFmtId="41" fontId="14" fillId="0" borderId="12" xfId="5" applyFont="1" applyBorder="1" applyAlignment="1">
      <alignment horizontal="center" vertical="center" wrapText="1"/>
    </xf>
    <xf numFmtId="41" fontId="14" fillId="0" borderId="13" xfId="5" applyFont="1" applyBorder="1" applyAlignment="1">
      <alignment horizontal="center" vertical="center" wrapText="1"/>
    </xf>
    <xf numFmtId="41" fontId="14" fillId="6" borderId="9" xfId="5" applyFont="1" applyFill="1" applyBorder="1" applyAlignment="1">
      <alignment horizontal="center" vertical="center" wrapText="1"/>
    </xf>
    <xf numFmtId="41" fontId="14" fillId="6" borderId="10" xfId="5" applyFont="1" applyFill="1" applyBorder="1" applyAlignment="1">
      <alignment horizontal="center" vertical="center" wrapText="1"/>
    </xf>
    <xf numFmtId="43" fontId="14" fillId="0" borderId="19" xfId="1" applyFont="1" applyBorder="1" applyAlignment="1">
      <alignment horizontal="center" vertical="center" wrapText="1"/>
    </xf>
    <xf numFmtId="49" fontId="14" fillId="6" borderId="19" xfId="0" applyNumberFormat="1" applyFont="1" applyFill="1" applyBorder="1" applyAlignment="1">
      <alignment horizontal="center" vertical="center" wrapText="1"/>
    </xf>
    <xf numFmtId="189" fontId="14" fillId="6" borderId="9" xfId="0" applyNumberFormat="1" applyFont="1" applyFill="1" applyBorder="1" applyAlignment="1">
      <alignment horizontal="center" vertical="center" wrapText="1"/>
    </xf>
    <xf numFmtId="189" fontId="14" fillId="6" borderId="19" xfId="0" applyNumberFormat="1" applyFont="1" applyFill="1" applyBorder="1" applyAlignment="1">
      <alignment horizontal="center" vertical="center" wrapText="1"/>
    </xf>
    <xf numFmtId="0" fontId="7" fillId="6" borderId="1" xfId="0" applyFont="1" applyFill="1" applyBorder="1" applyAlignment="1">
      <alignment horizontal="center" vertical="center"/>
    </xf>
    <xf numFmtId="9" fontId="14" fillId="6" borderId="9" xfId="4" applyNumberFormat="1" applyFont="1" applyFill="1" applyBorder="1" applyAlignment="1">
      <alignment horizontal="center" vertical="center" wrapText="1"/>
    </xf>
    <xf numFmtId="9" fontId="14" fillId="6" borderId="10" xfId="4" applyNumberFormat="1" applyFont="1" applyFill="1" applyBorder="1" applyAlignment="1">
      <alignment horizontal="center" vertical="center" wrapText="1"/>
    </xf>
    <xf numFmtId="41" fontId="14" fillId="6" borderId="13" xfId="5" applyFont="1" applyFill="1" applyBorder="1" applyAlignment="1">
      <alignment horizontal="center" vertical="center" wrapText="1"/>
    </xf>
    <xf numFmtId="0" fontId="14" fillId="6" borderId="3" xfId="0" applyFont="1" applyFill="1" applyBorder="1" applyAlignment="1">
      <alignment horizontal="justify" vertical="center" wrapText="1"/>
    </xf>
    <xf numFmtId="0" fontId="14" fillId="6" borderId="5" xfId="0" applyFont="1" applyFill="1" applyBorder="1" applyAlignment="1">
      <alignment horizontal="justify" vertical="center" wrapText="1"/>
    </xf>
    <xf numFmtId="9" fontId="14" fillId="6" borderId="19" xfId="4" applyNumberFormat="1" applyFont="1" applyFill="1" applyBorder="1" applyAlignment="1">
      <alignment horizontal="center" vertical="center" wrapText="1"/>
    </xf>
    <xf numFmtId="1" fontId="24" fillId="0" borderId="1" xfId="0" applyNumberFormat="1" applyFont="1" applyBorder="1" applyAlignment="1">
      <alignment horizontal="center"/>
    </xf>
    <xf numFmtId="3" fontId="12" fillId="6" borderId="9" xfId="0" applyNumberFormat="1" applyFont="1" applyFill="1" applyBorder="1" applyAlignment="1">
      <alignment horizontal="justify" vertical="center" wrapText="1"/>
    </xf>
    <xf numFmtId="3" fontId="12" fillId="6" borderId="10" xfId="0" applyNumberFormat="1" applyFont="1" applyFill="1" applyBorder="1" applyAlignment="1">
      <alignment horizontal="justify" vertical="center" wrapText="1"/>
    </xf>
    <xf numFmtId="3" fontId="12" fillId="6" borderId="19" xfId="0" applyNumberFormat="1" applyFont="1" applyFill="1" applyBorder="1" applyAlignment="1">
      <alignment horizontal="justify" vertical="center" wrapText="1"/>
    </xf>
    <xf numFmtId="2" fontId="4" fillId="0" borderId="9" xfId="0" applyNumberFormat="1" applyFont="1" applyBorder="1" applyAlignment="1">
      <alignment horizontal="justify" vertical="center" wrapText="1"/>
    </xf>
    <xf numFmtId="2" fontId="4" fillId="0" borderId="10" xfId="0" applyNumberFormat="1" applyFont="1" applyBorder="1" applyAlignment="1">
      <alignment horizontal="justify" vertical="center" wrapText="1"/>
    </xf>
    <xf numFmtId="1" fontId="12" fillId="6" borderId="10" xfId="0" applyNumberFormat="1" applyFont="1" applyFill="1" applyBorder="1" applyAlignment="1">
      <alignment horizontal="center" vertical="center" wrapText="1"/>
    </xf>
    <xf numFmtId="9" fontId="8" fillId="6" borderId="9" xfId="6" applyFont="1" applyFill="1" applyBorder="1" applyAlignment="1">
      <alignment horizontal="center" vertical="center" wrapText="1"/>
    </xf>
    <xf numFmtId="9" fontId="8" fillId="6" borderId="10" xfId="6" applyFont="1" applyFill="1" applyBorder="1" applyAlignment="1">
      <alignment horizontal="center" vertical="center" wrapText="1"/>
    </xf>
    <xf numFmtId="181" fontId="4" fillId="6" borderId="1" xfId="17" applyNumberFormat="1" applyFont="1" applyFill="1" applyBorder="1" applyAlignment="1">
      <alignment horizontal="center" vertical="center"/>
    </xf>
    <xf numFmtId="2" fontId="4" fillId="6" borderId="9" xfId="0" applyNumberFormat="1" applyFont="1" applyFill="1" applyBorder="1" applyAlignment="1">
      <alignment horizontal="justify" vertical="center" wrapText="1"/>
    </xf>
    <xf numFmtId="2" fontId="4" fillId="6" borderId="19" xfId="0" applyNumberFormat="1" applyFont="1" applyFill="1" applyBorder="1" applyAlignment="1">
      <alignment horizontal="justify" vertical="center" wrapText="1"/>
    </xf>
  </cellXfs>
  <cellStyles count="28">
    <cellStyle name="Excel Built-in Normal" xfId="8"/>
    <cellStyle name="Excel Built-in Normal 2" xfId="23"/>
    <cellStyle name="Millares" xfId="1" builtinId="3"/>
    <cellStyle name="Millares [0] 2" xfId="13"/>
    <cellStyle name="Millares [0] 3" xfId="5"/>
    <cellStyle name="Millares 2" xfId="12"/>
    <cellStyle name="Millares 2 2" xfId="3"/>
    <cellStyle name="Millares 3" xfId="15"/>
    <cellStyle name="Millares 3 2" xfId="25"/>
    <cellStyle name="Millares 3 3" xfId="16"/>
    <cellStyle name="Millares 4" xfId="18"/>
    <cellStyle name="Moneda" xfId="17" builtinId="4"/>
    <cellStyle name="Moneda [0] 2" xfId="19"/>
    <cellStyle name="Moneda [0] 2 2" xfId="24"/>
    <cellStyle name="Moneda [0] 2 3" xfId="21"/>
    <cellStyle name="Moneda 2" xfId="14"/>
    <cellStyle name="Normal" xfId="0" builtinId="0"/>
    <cellStyle name="Normal 2 2" xfId="7"/>
    <cellStyle name="Normal 2 2 2" xfId="27"/>
    <cellStyle name="Normal 3" xfId="9"/>
    <cellStyle name="Normal 4" xfId="10"/>
    <cellStyle name="Normal 7" xfId="22"/>
    <cellStyle name="Porcentaje" xfId="4" builtinId="5"/>
    <cellStyle name="Porcentaje 2 2" xfId="11"/>
    <cellStyle name="Porcentaje 2 2 2" xfId="2"/>
    <cellStyle name="Porcentaje 2 2 2 2" xfId="20"/>
    <cellStyle name="Porcentaje 2 3" xfId="6"/>
    <cellStyle name="Porcentual 2"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361951</xdr:colOff>
      <xdr:row>0</xdr:row>
      <xdr:rowOff>0</xdr:rowOff>
    </xdr:from>
    <xdr:to>
      <xdr:col>2</xdr:col>
      <xdr:colOff>498408</xdr:colOff>
      <xdr:row>2</xdr:row>
      <xdr:rowOff>177078</xdr:rowOff>
    </xdr:to>
    <xdr:pic>
      <xdr:nvPicPr>
        <xdr:cNvPr id="2" name="Imagen 1" descr="C:\Users\AUXPLANEACION03\Desktop\Gobernacion_del_quindio.jpg">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0"/>
          <a:ext cx="1260407" cy="71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274864</xdr:colOff>
      <xdr:row>0</xdr:row>
      <xdr:rowOff>0</xdr:rowOff>
    </xdr:from>
    <xdr:to>
      <xdr:col>1</xdr:col>
      <xdr:colOff>53975</xdr:colOff>
      <xdr:row>4</xdr:row>
      <xdr:rowOff>122011</xdr:rowOff>
    </xdr:to>
    <xdr:pic>
      <xdr:nvPicPr>
        <xdr:cNvPr id="2" name="Imagen 1" descr="C:\Users\AUXPLANEACION03\Desktop\Gobernacion_del_quindio.jpg">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64" y="0"/>
          <a:ext cx="1122136" cy="1226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171450</xdr:colOff>
      <xdr:row>6</xdr:row>
      <xdr:rowOff>120650</xdr:rowOff>
    </xdr:to>
    <xdr:pic>
      <xdr:nvPicPr>
        <xdr:cNvPr id="2" name="Imagen 1" descr="C:\Users\AUXPLANEACION03\Desktop\Gobernacion_del_quindio.jpg">
          <a:extLst>
            <a:ext uri="{FF2B5EF4-FFF2-40B4-BE49-F238E27FC236}">
              <a16:creationId xmlns=""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41161" cy="12636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PLANEACION03/Downloads/RECIBIDO%20PROMOTO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DIEGO%20RAMIREZ\Dropbox\Edades_Simples_1985-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MOTORA"/>
      <sheetName val="POAI SEP 30"/>
      <sheetName val="PLAN DE ACCION SEP 30"/>
      <sheetName val="SEGUIMIENTO PLAN DE ACCIÓN"/>
      <sheetName val="ejeGastos"/>
    </sheetNames>
    <sheetDataSet>
      <sheetData sheetId="0">
        <row r="16">
          <cell r="O16">
            <v>290660276</v>
          </cell>
        </row>
        <row r="17">
          <cell r="O17">
            <v>23256016</v>
          </cell>
        </row>
        <row r="18">
          <cell r="O18">
            <v>573181075</v>
          </cell>
        </row>
        <row r="19">
          <cell r="O19">
            <v>573181075</v>
          </cell>
        </row>
        <row r="20">
          <cell r="O20">
            <v>572320553</v>
          </cell>
        </row>
        <row r="21">
          <cell r="O21">
            <v>23000000</v>
          </cell>
        </row>
        <row r="22">
          <cell r="O22">
            <v>9000000</v>
          </cell>
        </row>
        <row r="23">
          <cell r="O23">
            <v>573181075</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 de edad"/>
      <sheetName val="Edades simples Total"/>
      <sheetName val="Mpios creados &gt; 1985"/>
      <sheetName val="Hoja1"/>
    </sheetNames>
    <sheetDataSet>
      <sheetData sheetId="0" refreshError="1"/>
      <sheetData sheetId="1" refreshError="1"/>
      <sheetData sheetId="2" refreshError="1"/>
      <sheetData sheetId="3" refreshError="1">
        <row r="11">
          <cell r="H11">
            <v>111093.8</v>
          </cell>
        </row>
        <row r="12">
          <cell r="D12">
            <v>271068.87199999997</v>
          </cell>
          <cell r="E12">
            <v>284400.12800000003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6"/>
  <sheetViews>
    <sheetView showGridLines="0" zoomScale="70" zoomScaleNormal="70" workbookViewId="0">
      <selection sqref="A1:AO4"/>
    </sheetView>
  </sheetViews>
  <sheetFormatPr baseColWidth="10" defaultColWidth="11.42578125" defaultRowHeight="15" x14ac:dyDescent="0.2"/>
  <cols>
    <col min="1" max="1" width="10.5703125" style="369" bestFit="1" customWidth="1"/>
    <col min="2" max="2" width="35.7109375" style="369" bestFit="1" customWidth="1"/>
    <col min="3" max="3" width="13" style="369" hidden="1" customWidth="1"/>
    <col min="4" max="4" width="10.5703125" style="369" bestFit="1" customWidth="1"/>
    <col min="5" max="5" width="28" style="369" bestFit="1" customWidth="1"/>
    <col min="6" max="6" width="12.28515625" style="369" hidden="1" customWidth="1"/>
    <col min="7" max="7" width="10.5703125" style="369" bestFit="1" customWidth="1"/>
    <col min="8" max="8" width="62.28515625" style="369" bestFit="1" customWidth="1"/>
    <col min="9" max="9" width="3.7109375" style="369" hidden="1" customWidth="1"/>
    <col min="10" max="10" width="10.5703125" style="521" bestFit="1" customWidth="1"/>
    <col min="11" max="11" width="37.7109375" style="521" customWidth="1"/>
    <col min="12" max="12" width="37.140625" style="521" customWidth="1"/>
    <col min="13" max="13" width="18.140625" style="521" customWidth="1"/>
    <col min="14" max="14" width="35.7109375" style="521" customWidth="1"/>
    <col min="15" max="15" width="20.42578125" style="521" customWidth="1"/>
    <col min="16" max="16" width="59.85546875" style="521" customWidth="1"/>
    <col min="17" max="17" width="14.5703125" style="522" customWidth="1"/>
    <col min="18" max="18" width="20.140625" style="521" customWidth="1"/>
    <col min="19" max="19" width="40.7109375" style="521" customWidth="1"/>
    <col min="20" max="20" width="48.28515625" style="521" customWidth="1"/>
    <col min="21" max="21" width="43" style="521" customWidth="1"/>
    <col min="22" max="22" width="22" style="369" bestFit="1" customWidth="1"/>
    <col min="23" max="23" width="10.5703125" style="369" bestFit="1" customWidth="1"/>
    <col min="24" max="24" width="28.85546875" style="369" bestFit="1" customWidth="1"/>
    <col min="25" max="25" width="16.28515625" style="369" bestFit="1" customWidth="1"/>
    <col min="26" max="26" width="19.28515625" style="369" bestFit="1" customWidth="1"/>
    <col min="27" max="27" width="15.7109375" style="369" customWidth="1"/>
    <col min="28" max="28" width="21.140625" style="369" customWidth="1"/>
    <col min="29" max="29" width="18.42578125" style="369" customWidth="1"/>
    <col min="30" max="30" width="19.28515625" style="369" customWidth="1"/>
    <col min="31" max="31" width="18.140625" style="369" customWidth="1"/>
    <col min="32" max="32" width="16.85546875" style="369" customWidth="1"/>
    <col min="33" max="33" width="13.7109375" style="369" customWidth="1"/>
    <col min="34" max="34" width="8.85546875" style="369" customWidth="1"/>
    <col min="35" max="35" width="14.140625" style="369" customWidth="1"/>
    <col min="36" max="36" width="14.5703125" style="369" customWidth="1"/>
    <col min="37" max="38" width="12.140625" style="369" customWidth="1"/>
    <col min="39" max="39" width="14" style="369" customWidth="1"/>
    <col min="40" max="40" width="14.28515625" style="369" customWidth="1"/>
    <col min="41" max="41" width="18.42578125" style="369" customWidth="1"/>
    <col min="42" max="42" width="20.140625" style="369" customWidth="1"/>
    <col min="43" max="43" width="28.7109375" style="369" customWidth="1"/>
    <col min="44" max="44" width="70.140625" style="369" bestFit="1" customWidth="1"/>
    <col min="45" max="16384" width="11.42578125" style="369"/>
  </cols>
  <sheetData>
    <row r="1" spans="1:44" x14ac:dyDescent="0.2">
      <c r="A1" s="2475" t="s">
        <v>503</v>
      </c>
      <c r="B1" s="2475"/>
      <c r="C1" s="2475"/>
      <c r="D1" s="2475"/>
      <c r="E1" s="2475"/>
      <c r="F1" s="2475"/>
      <c r="G1" s="2475"/>
      <c r="H1" s="2475"/>
      <c r="I1" s="2475"/>
      <c r="J1" s="2475"/>
      <c r="K1" s="2475"/>
      <c r="L1" s="2475"/>
      <c r="M1" s="2475"/>
      <c r="N1" s="2475"/>
      <c r="O1" s="2475"/>
      <c r="P1" s="2475"/>
      <c r="Q1" s="2475"/>
      <c r="R1" s="2475"/>
      <c r="S1" s="2475"/>
      <c r="T1" s="2475"/>
      <c r="U1" s="2475"/>
      <c r="V1" s="2475"/>
      <c r="W1" s="2475"/>
      <c r="X1" s="2475"/>
      <c r="Y1" s="2475"/>
      <c r="Z1" s="2475"/>
      <c r="AA1" s="2475"/>
      <c r="AB1" s="2475"/>
      <c r="AC1" s="2475"/>
      <c r="AD1" s="2475"/>
      <c r="AE1" s="2475"/>
      <c r="AF1" s="2475"/>
      <c r="AG1" s="2475"/>
      <c r="AH1" s="2475"/>
      <c r="AI1" s="2475"/>
      <c r="AJ1" s="2475"/>
      <c r="AK1" s="2475"/>
      <c r="AL1" s="2475"/>
      <c r="AM1" s="2475"/>
      <c r="AN1" s="2475"/>
      <c r="AO1" s="2475"/>
      <c r="AP1" s="368" t="s">
        <v>0</v>
      </c>
      <c r="AQ1" s="368" t="s">
        <v>1</v>
      </c>
    </row>
    <row r="2" spans="1:44" x14ac:dyDescent="0.2">
      <c r="A2" s="2475"/>
      <c r="B2" s="2475"/>
      <c r="C2" s="2475"/>
      <c r="D2" s="2475"/>
      <c r="E2" s="2475"/>
      <c r="F2" s="2475"/>
      <c r="G2" s="2475"/>
      <c r="H2" s="2475"/>
      <c r="I2" s="2475"/>
      <c r="J2" s="2475"/>
      <c r="K2" s="2475"/>
      <c r="L2" s="2475"/>
      <c r="M2" s="2475"/>
      <c r="N2" s="2475"/>
      <c r="O2" s="2475"/>
      <c r="P2" s="2475"/>
      <c r="Q2" s="2475"/>
      <c r="R2" s="2475"/>
      <c r="S2" s="2475"/>
      <c r="T2" s="2475"/>
      <c r="U2" s="2475"/>
      <c r="V2" s="2475"/>
      <c r="W2" s="2475"/>
      <c r="X2" s="2475"/>
      <c r="Y2" s="2475"/>
      <c r="Z2" s="2475"/>
      <c r="AA2" s="2475"/>
      <c r="AB2" s="2475"/>
      <c r="AC2" s="2475"/>
      <c r="AD2" s="2475"/>
      <c r="AE2" s="2475"/>
      <c r="AF2" s="2475"/>
      <c r="AG2" s="2475"/>
      <c r="AH2" s="2475"/>
      <c r="AI2" s="2475"/>
      <c r="AJ2" s="2475"/>
      <c r="AK2" s="2475"/>
      <c r="AL2" s="2475"/>
      <c r="AM2" s="2475"/>
      <c r="AN2" s="2475"/>
      <c r="AO2" s="2475"/>
      <c r="AP2" s="370" t="s">
        <v>2</v>
      </c>
      <c r="AQ2" s="371" t="s">
        <v>319</v>
      </c>
    </row>
    <row r="3" spans="1:44" x14ac:dyDescent="0.2">
      <c r="A3" s="2475"/>
      <c r="B3" s="2475"/>
      <c r="C3" s="2475"/>
      <c r="D3" s="2475"/>
      <c r="E3" s="2475"/>
      <c r="F3" s="2475"/>
      <c r="G3" s="2475"/>
      <c r="H3" s="2475"/>
      <c r="I3" s="2475"/>
      <c r="J3" s="2475"/>
      <c r="K3" s="2475"/>
      <c r="L3" s="2475"/>
      <c r="M3" s="2475"/>
      <c r="N3" s="2475"/>
      <c r="O3" s="2475"/>
      <c r="P3" s="2475"/>
      <c r="Q3" s="2475"/>
      <c r="R3" s="2475"/>
      <c r="S3" s="2475"/>
      <c r="T3" s="2475"/>
      <c r="U3" s="2475"/>
      <c r="V3" s="2475"/>
      <c r="W3" s="2475"/>
      <c r="X3" s="2475"/>
      <c r="Y3" s="2475"/>
      <c r="Z3" s="2475"/>
      <c r="AA3" s="2475"/>
      <c r="AB3" s="2475"/>
      <c r="AC3" s="2475"/>
      <c r="AD3" s="2475"/>
      <c r="AE3" s="2475"/>
      <c r="AF3" s="2475"/>
      <c r="AG3" s="2475"/>
      <c r="AH3" s="2475"/>
      <c r="AI3" s="2475"/>
      <c r="AJ3" s="2475"/>
      <c r="AK3" s="2475"/>
      <c r="AL3" s="2475"/>
      <c r="AM3" s="2475"/>
      <c r="AN3" s="2475"/>
      <c r="AO3" s="2475"/>
      <c r="AP3" s="368" t="s">
        <v>3</v>
      </c>
      <c r="AQ3" s="372" t="s">
        <v>4</v>
      </c>
    </row>
    <row r="4" spans="1:44" x14ac:dyDescent="0.2">
      <c r="A4" s="2476"/>
      <c r="B4" s="2476"/>
      <c r="C4" s="2476"/>
      <c r="D4" s="2476"/>
      <c r="E4" s="2476"/>
      <c r="F4" s="2476"/>
      <c r="G4" s="2476"/>
      <c r="H4" s="2476"/>
      <c r="I4" s="2476"/>
      <c r="J4" s="2476"/>
      <c r="K4" s="2476"/>
      <c r="L4" s="2476"/>
      <c r="M4" s="2476"/>
      <c r="N4" s="2476"/>
      <c r="O4" s="2476"/>
      <c r="P4" s="2476"/>
      <c r="Q4" s="2476"/>
      <c r="R4" s="2476"/>
      <c r="S4" s="2476"/>
      <c r="T4" s="2476"/>
      <c r="U4" s="2476"/>
      <c r="V4" s="2476"/>
      <c r="W4" s="2476"/>
      <c r="X4" s="2476"/>
      <c r="Y4" s="2476"/>
      <c r="Z4" s="2476"/>
      <c r="AA4" s="2476"/>
      <c r="AB4" s="2476"/>
      <c r="AC4" s="2476"/>
      <c r="AD4" s="2476"/>
      <c r="AE4" s="2476"/>
      <c r="AF4" s="2476"/>
      <c r="AG4" s="2476"/>
      <c r="AH4" s="2476"/>
      <c r="AI4" s="2476"/>
      <c r="AJ4" s="2476"/>
      <c r="AK4" s="2476"/>
      <c r="AL4" s="2476"/>
      <c r="AM4" s="2476"/>
      <c r="AN4" s="2476"/>
      <c r="AO4" s="2476"/>
      <c r="AP4" s="368" t="s">
        <v>5</v>
      </c>
      <c r="AQ4" s="125" t="s">
        <v>93</v>
      </c>
    </row>
    <row r="5" spans="1:44" ht="15.75" x14ac:dyDescent="0.2">
      <c r="A5" s="2477" t="s">
        <v>7</v>
      </c>
      <c r="B5" s="2477"/>
      <c r="C5" s="2477"/>
      <c r="D5" s="2477"/>
      <c r="E5" s="2477"/>
      <c r="F5" s="2477"/>
      <c r="G5" s="2477"/>
      <c r="H5" s="2477"/>
      <c r="I5" s="2477"/>
      <c r="J5" s="2477"/>
      <c r="K5" s="2477"/>
      <c r="L5" s="2477"/>
      <c r="M5" s="2477"/>
      <c r="N5" s="2479" t="s">
        <v>8</v>
      </c>
      <c r="O5" s="2479"/>
      <c r="P5" s="2479"/>
      <c r="Q5" s="2479"/>
      <c r="R5" s="2479"/>
      <c r="S5" s="2479"/>
      <c r="T5" s="2479"/>
      <c r="U5" s="2479"/>
      <c r="V5" s="2479"/>
      <c r="W5" s="2479"/>
      <c r="X5" s="2479"/>
      <c r="Y5" s="2479"/>
      <c r="Z5" s="2479"/>
      <c r="AA5" s="2479"/>
      <c r="AB5" s="2479"/>
      <c r="AC5" s="2479"/>
      <c r="AD5" s="2479"/>
      <c r="AE5" s="2479"/>
      <c r="AF5" s="2479"/>
      <c r="AG5" s="2479"/>
      <c r="AH5" s="2479"/>
      <c r="AI5" s="2479"/>
      <c r="AJ5" s="2479"/>
      <c r="AK5" s="2479"/>
      <c r="AL5" s="2479"/>
      <c r="AM5" s="2479"/>
      <c r="AN5" s="2479"/>
      <c r="AO5" s="2479"/>
      <c r="AP5" s="2479"/>
      <c r="AQ5" s="2479"/>
    </row>
    <row r="6" spans="1:44" ht="15.75" x14ac:dyDescent="0.2">
      <c r="A6" s="2478"/>
      <c r="B6" s="2478"/>
      <c r="C6" s="2478"/>
      <c r="D6" s="2478"/>
      <c r="E6" s="2478"/>
      <c r="F6" s="2478"/>
      <c r="G6" s="2478"/>
      <c r="H6" s="2478"/>
      <c r="I6" s="2478"/>
      <c r="J6" s="2478"/>
      <c r="K6" s="2478"/>
      <c r="L6" s="2478"/>
      <c r="M6" s="2478"/>
      <c r="N6" s="373"/>
      <c r="O6" s="374"/>
      <c r="P6" s="374"/>
      <c r="Q6" s="375"/>
      <c r="R6" s="374"/>
      <c r="S6" s="374"/>
      <c r="T6" s="374"/>
      <c r="U6" s="374"/>
      <c r="V6" s="376"/>
      <c r="W6" s="376"/>
      <c r="X6" s="376"/>
      <c r="Y6" s="2480" t="s">
        <v>320</v>
      </c>
      <c r="Z6" s="2478"/>
      <c r="AA6" s="2478"/>
      <c r="AB6" s="2478"/>
      <c r="AC6" s="2478"/>
      <c r="AD6" s="2478"/>
      <c r="AE6" s="2478"/>
      <c r="AF6" s="2478"/>
      <c r="AG6" s="2478"/>
      <c r="AH6" s="2478"/>
      <c r="AI6" s="2478"/>
      <c r="AJ6" s="2478"/>
      <c r="AK6" s="2478"/>
      <c r="AL6" s="2478"/>
      <c r="AM6" s="2481"/>
      <c r="AN6" s="377"/>
      <c r="AO6" s="376"/>
      <c r="AP6" s="376"/>
      <c r="AQ6" s="378"/>
    </row>
    <row r="7" spans="1:44" ht="15.75" customHeight="1" x14ac:dyDescent="0.2">
      <c r="A7" s="2482" t="s">
        <v>9</v>
      </c>
      <c r="B7" s="2484" t="s">
        <v>10</v>
      </c>
      <c r="C7" s="2485"/>
      <c r="D7" s="2485" t="s">
        <v>9</v>
      </c>
      <c r="E7" s="2484" t="s">
        <v>11</v>
      </c>
      <c r="F7" s="2485"/>
      <c r="G7" s="2462" t="s">
        <v>9</v>
      </c>
      <c r="H7" s="2484" t="s">
        <v>12</v>
      </c>
      <c r="I7" s="2485"/>
      <c r="J7" s="2485" t="s">
        <v>9</v>
      </c>
      <c r="K7" s="2484" t="s">
        <v>13</v>
      </c>
      <c r="L7" s="2462" t="s">
        <v>14</v>
      </c>
      <c r="M7" s="2462" t="s">
        <v>15</v>
      </c>
      <c r="N7" s="2462" t="s">
        <v>16</v>
      </c>
      <c r="O7" s="2462" t="s">
        <v>94</v>
      </c>
      <c r="P7" s="2462" t="s">
        <v>8</v>
      </c>
      <c r="Q7" s="2491" t="s">
        <v>18</v>
      </c>
      <c r="R7" s="2493" t="s">
        <v>19</v>
      </c>
      <c r="S7" s="2462" t="s">
        <v>20</v>
      </c>
      <c r="T7" s="2462" t="s">
        <v>21</v>
      </c>
      <c r="U7" s="2462" t="s">
        <v>22</v>
      </c>
      <c r="V7" s="2462" t="s">
        <v>19</v>
      </c>
      <c r="W7" s="379"/>
      <c r="X7" s="2462" t="s">
        <v>23</v>
      </c>
      <c r="Y7" s="2471" t="s">
        <v>24</v>
      </c>
      <c r="Z7" s="2472"/>
      <c r="AA7" s="2473" t="s">
        <v>25</v>
      </c>
      <c r="AB7" s="2474"/>
      <c r="AC7" s="2474"/>
      <c r="AD7" s="2474"/>
      <c r="AE7" s="2504" t="s">
        <v>26</v>
      </c>
      <c r="AF7" s="2505"/>
      <c r="AG7" s="2505"/>
      <c r="AH7" s="2505"/>
      <c r="AI7" s="2505"/>
      <c r="AJ7" s="2505"/>
      <c r="AK7" s="2473" t="s">
        <v>27</v>
      </c>
      <c r="AL7" s="2474"/>
      <c r="AM7" s="2474"/>
      <c r="AN7" s="2495" t="s">
        <v>28</v>
      </c>
      <c r="AO7" s="2498" t="s">
        <v>29</v>
      </c>
      <c r="AP7" s="2498" t="s">
        <v>30</v>
      </c>
      <c r="AQ7" s="2464" t="s">
        <v>31</v>
      </c>
    </row>
    <row r="8" spans="1:44" x14ac:dyDescent="0.2">
      <c r="A8" s="2483"/>
      <c r="B8" s="2486"/>
      <c r="C8" s="2487"/>
      <c r="D8" s="2487"/>
      <c r="E8" s="2486"/>
      <c r="F8" s="2487"/>
      <c r="G8" s="2463"/>
      <c r="H8" s="2486"/>
      <c r="I8" s="2487"/>
      <c r="J8" s="2487"/>
      <c r="K8" s="2486"/>
      <c r="L8" s="2463"/>
      <c r="M8" s="2463"/>
      <c r="N8" s="2463"/>
      <c r="O8" s="2463"/>
      <c r="P8" s="2463"/>
      <c r="Q8" s="2492"/>
      <c r="R8" s="2494"/>
      <c r="S8" s="2463"/>
      <c r="T8" s="2463"/>
      <c r="U8" s="2463"/>
      <c r="V8" s="2463"/>
      <c r="W8" s="2467" t="s">
        <v>9</v>
      </c>
      <c r="X8" s="2463"/>
      <c r="Y8" s="2468" t="s">
        <v>32</v>
      </c>
      <c r="Z8" s="2506" t="s">
        <v>33</v>
      </c>
      <c r="AA8" s="2468" t="s">
        <v>34</v>
      </c>
      <c r="AB8" s="2468" t="s">
        <v>321</v>
      </c>
      <c r="AC8" s="2468" t="s">
        <v>322</v>
      </c>
      <c r="AD8" s="2468" t="s">
        <v>323</v>
      </c>
      <c r="AE8" s="2468" t="s">
        <v>38</v>
      </c>
      <c r="AF8" s="2468" t="s">
        <v>39</v>
      </c>
      <c r="AG8" s="2468" t="s">
        <v>40</v>
      </c>
      <c r="AH8" s="2468" t="s">
        <v>41</v>
      </c>
      <c r="AI8" s="2468" t="s">
        <v>42</v>
      </c>
      <c r="AJ8" s="2468" t="s">
        <v>43</v>
      </c>
      <c r="AK8" s="2468" t="s">
        <v>44</v>
      </c>
      <c r="AL8" s="2468" t="s">
        <v>45</v>
      </c>
      <c r="AM8" s="2468" t="s">
        <v>46</v>
      </c>
      <c r="AN8" s="2496"/>
      <c r="AO8" s="2499"/>
      <c r="AP8" s="2499"/>
      <c r="AQ8" s="2465"/>
    </row>
    <row r="9" spans="1:44" ht="15" customHeight="1" x14ac:dyDescent="0.2">
      <c r="A9" s="2483"/>
      <c r="B9" s="2486"/>
      <c r="C9" s="2487"/>
      <c r="D9" s="2487"/>
      <c r="E9" s="2486"/>
      <c r="F9" s="2487"/>
      <c r="G9" s="2463"/>
      <c r="H9" s="2486"/>
      <c r="I9" s="2487"/>
      <c r="J9" s="2487"/>
      <c r="K9" s="2486"/>
      <c r="L9" s="2463"/>
      <c r="M9" s="2463"/>
      <c r="N9" s="2463"/>
      <c r="O9" s="2463"/>
      <c r="P9" s="2463"/>
      <c r="Q9" s="2492"/>
      <c r="R9" s="2494"/>
      <c r="S9" s="2463"/>
      <c r="T9" s="2463"/>
      <c r="U9" s="2463"/>
      <c r="V9" s="2463"/>
      <c r="W9" s="2467"/>
      <c r="X9" s="2463"/>
      <c r="Y9" s="2469"/>
      <c r="Z9" s="2507"/>
      <c r="AA9" s="2469"/>
      <c r="AB9" s="2469"/>
      <c r="AC9" s="2469"/>
      <c r="AD9" s="2469"/>
      <c r="AE9" s="2469"/>
      <c r="AF9" s="2469"/>
      <c r="AG9" s="2469"/>
      <c r="AH9" s="2469"/>
      <c r="AI9" s="2469"/>
      <c r="AJ9" s="2469"/>
      <c r="AK9" s="2469"/>
      <c r="AL9" s="2469"/>
      <c r="AM9" s="2469"/>
      <c r="AN9" s="2496"/>
      <c r="AO9" s="2499"/>
      <c r="AP9" s="2499"/>
      <c r="AQ9" s="2465"/>
    </row>
    <row r="10" spans="1:44" ht="35.25" customHeight="1" x14ac:dyDescent="0.2">
      <c r="A10" s="2483"/>
      <c r="B10" s="2486"/>
      <c r="C10" s="2487"/>
      <c r="D10" s="2487"/>
      <c r="E10" s="2486"/>
      <c r="F10" s="2487"/>
      <c r="G10" s="2463"/>
      <c r="H10" s="2486"/>
      <c r="I10" s="2487"/>
      <c r="J10" s="2487"/>
      <c r="K10" s="2486"/>
      <c r="L10" s="2463"/>
      <c r="M10" s="2463"/>
      <c r="N10" s="2463"/>
      <c r="O10" s="2463"/>
      <c r="P10" s="2463"/>
      <c r="Q10" s="2492"/>
      <c r="R10" s="2494"/>
      <c r="S10" s="2463"/>
      <c r="T10" s="2463"/>
      <c r="U10" s="2463"/>
      <c r="V10" s="2463"/>
      <c r="W10" s="2467"/>
      <c r="X10" s="2463"/>
      <c r="Y10" s="2469"/>
      <c r="Z10" s="2507"/>
      <c r="AA10" s="2469"/>
      <c r="AB10" s="2469"/>
      <c r="AC10" s="2469"/>
      <c r="AD10" s="2469"/>
      <c r="AE10" s="2469"/>
      <c r="AF10" s="2469"/>
      <c r="AG10" s="2469"/>
      <c r="AH10" s="2469"/>
      <c r="AI10" s="2469"/>
      <c r="AJ10" s="2469"/>
      <c r="AK10" s="2469"/>
      <c r="AL10" s="2469"/>
      <c r="AM10" s="2469"/>
      <c r="AN10" s="2496"/>
      <c r="AO10" s="2499"/>
      <c r="AP10" s="2499"/>
      <c r="AQ10" s="2465"/>
    </row>
    <row r="11" spans="1:44" ht="38.25" customHeight="1" x14ac:dyDescent="0.2">
      <c r="A11" s="2483"/>
      <c r="B11" s="2486"/>
      <c r="C11" s="2487"/>
      <c r="D11" s="2487"/>
      <c r="E11" s="2486"/>
      <c r="F11" s="2487"/>
      <c r="G11" s="2463"/>
      <c r="H11" s="2486"/>
      <c r="I11" s="2487"/>
      <c r="J11" s="2487"/>
      <c r="K11" s="2486"/>
      <c r="L11" s="2463"/>
      <c r="M11" s="2463"/>
      <c r="N11" s="2463"/>
      <c r="O11" s="2463"/>
      <c r="P11" s="2463"/>
      <c r="Q11" s="2492"/>
      <c r="R11" s="2494"/>
      <c r="S11" s="2463"/>
      <c r="T11" s="2463"/>
      <c r="U11" s="2463"/>
      <c r="V11" s="2463"/>
      <c r="W11" s="2467"/>
      <c r="X11" s="2463"/>
      <c r="Y11" s="2469"/>
      <c r="Z11" s="2507"/>
      <c r="AA11" s="2469"/>
      <c r="AB11" s="2469"/>
      <c r="AC11" s="2469"/>
      <c r="AD11" s="2469"/>
      <c r="AE11" s="2469"/>
      <c r="AF11" s="2469"/>
      <c r="AG11" s="2469"/>
      <c r="AH11" s="2469"/>
      <c r="AI11" s="2469"/>
      <c r="AJ11" s="2469"/>
      <c r="AK11" s="2469"/>
      <c r="AL11" s="2469"/>
      <c r="AM11" s="2469"/>
      <c r="AN11" s="2496"/>
      <c r="AO11" s="2499"/>
      <c r="AP11" s="2499"/>
      <c r="AQ11" s="2465"/>
    </row>
    <row r="12" spans="1:44" ht="15" customHeight="1" x14ac:dyDescent="0.2">
      <c r="A12" s="2483"/>
      <c r="B12" s="2488"/>
      <c r="C12" s="2489"/>
      <c r="D12" s="2487"/>
      <c r="E12" s="2486"/>
      <c r="F12" s="2487"/>
      <c r="G12" s="2490"/>
      <c r="H12" s="2488"/>
      <c r="I12" s="2489"/>
      <c r="J12" s="2487"/>
      <c r="K12" s="2486"/>
      <c r="L12" s="2463"/>
      <c r="M12" s="2463"/>
      <c r="N12" s="2463"/>
      <c r="O12" s="2463"/>
      <c r="P12" s="2463"/>
      <c r="Q12" s="2492"/>
      <c r="R12" s="2494"/>
      <c r="S12" s="2463"/>
      <c r="T12" s="2463"/>
      <c r="U12" s="2463"/>
      <c r="V12" s="2463"/>
      <c r="W12" s="2467"/>
      <c r="X12" s="2463"/>
      <c r="Y12" s="2470"/>
      <c r="Z12" s="2508"/>
      <c r="AA12" s="2470"/>
      <c r="AB12" s="2470"/>
      <c r="AC12" s="2470"/>
      <c r="AD12" s="2470"/>
      <c r="AE12" s="2470"/>
      <c r="AF12" s="2470"/>
      <c r="AG12" s="2470"/>
      <c r="AH12" s="2470"/>
      <c r="AI12" s="2470"/>
      <c r="AJ12" s="2470"/>
      <c r="AK12" s="2470"/>
      <c r="AL12" s="2470"/>
      <c r="AM12" s="2470"/>
      <c r="AN12" s="2497"/>
      <c r="AO12" s="2500"/>
      <c r="AP12" s="2500"/>
      <c r="AQ12" s="2466"/>
    </row>
    <row r="13" spans="1:44" ht="15.75" x14ac:dyDescent="0.2">
      <c r="A13" s="380">
        <v>5</v>
      </c>
      <c r="B13" s="381" t="s">
        <v>47</v>
      </c>
      <c r="C13" s="381"/>
      <c r="D13" s="381"/>
      <c r="E13" s="381"/>
      <c r="F13" s="381"/>
      <c r="G13" s="381"/>
      <c r="H13" s="381"/>
      <c r="I13" s="381"/>
      <c r="J13" s="382"/>
      <c r="K13" s="382"/>
      <c r="L13" s="383"/>
      <c r="M13" s="382"/>
      <c r="N13" s="382"/>
      <c r="O13" s="382"/>
      <c r="P13" s="382"/>
      <c r="Q13" s="384"/>
      <c r="R13" s="385"/>
      <c r="S13" s="382"/>
      <c r="T13" s="382"/>
      <c r="U13" s="382"/>
      <c r="V13" s="386"/>
      <c r="W13" s="387"/>
      <c r="X13" s="383"/>
      <c r="Y13" s="2503"/>
      <c r="Z13" s="2503"/>
      <c r="AA13" s="381"/>
      <c r="AB13" s="381"/>
      <c r="AC13" s="381"/>
      <c r="AD13" s="381"/>
      <c r="AE13" s="381"/>
      <c r="AF13" s="381"/>
      <c r="AG13" s="381"/>
      <c r="AH13" s="381"/>
      <c r="AI13" s="381"/>
      <c r="AJ13" s="381"/>
      <c r="AK13" s="381"/>
      <c r="AL13" s="381"/>
      <c r="AM13" s="381"/>
      <c r="AN13" s="381"/>
      <c r="AO13" s="389"/>
      <c r="AP13" s="389"/>
      <c r="AQ13" s="390"/>
    </row>
    <row r="14" spans="1:44" ht="15.75" x14ac:dyDescent="0.2">
      <c r="A14" s="391"/>
      <c r="B14" s="392"/>
      <c r="C14" s="393"/>
      <c r="D14" s="394">
        <v>28</v>
      </c>
      <c r="E14" s="395" t="s">
        <v>324</v>
      </c>
      <c r="F14" s="395"/>
      <c r="G14" s="395"/>
      <c r="H14" s="395"/>
      <c r="I14" s="395"/>
      <c r="J14" s="396"/>
      <c r="K14" s="396"/>
      <c r="L14" s="396"/>
      <c r="M14" s="396"/>
      <c r="N14" s="396"/>
      <c r="O14" s="396"/>
      <c r="P14" s="396"/>
      <c r="Q14" s="397"/>
      <c r="R14" s="398"/>
      <c r="S14" s="396"/>
      <c r="T14" s="396"/>
      <c r="U14" s="396"/>
      <c r="V14" s="399"/>
      <c r="W14" s="400"/>
      <c r="X14" s="401"/>
      <c r="Y14" s="395"/>
      <c r="Z14" s="395"/>
      <c r="AA14" s="395"/>
      <c r="AB14" s="395"/>
      <c r="AC14" s="395"/>
      <c r="AD14" s="395"/>
      <c r="AE14" s="395"/>
      <c r="AF14" s="395"/>
      <c r="AG14" s="395"/>
      <c r="AH14" s="395"/>
      <c r="AI14" s="395"/>
      <c r="AJ14" s="395"/>
      <c r="AK14" s="395"/>
      <c r="AL14" s="395"/>
      <c r="AM14" s="395"/>
      <c r="AN14" s="395"/>
      <c r="AO14" s="402"/>
      <c r="AP14" s="402"/>
      <c r="AQ14" s="403"/>
    </row>
    <row r="15" spans="1:44" ht="15.75" x14ac:dyDescent="0.2">
      <c r="A15" s="404"/>
      <c r="B15" s="405"/>
      <c r="C15" s="406"/>
      <c r="D15" s="407"/>
      <c r="E15" s="408"/>
      <c r="F15" s="409"/>
      <c r="G15" s="410">
        <v>89</v>
      </c>
      <c r="H15" s="411" t="s">
        <v>325</v>
      </c>
      <c r="I15" s="411"/>
      <c r="J15" s="412"/>
      <c r="K15" s="412"/>
      <c r="L15" s="412"/>
      <c r="M15" s="412"/>
      <c r="N15" s="412"/>
      <c r="O15" s="412"/>
      <c r="P15" s="412"/>
      <c r="Q15" s="413"/>
      <c r="R15" s="414"/>
      <c r="S15" s="412"/>
      <c r="T15" s="412"/>
      <c r="U15" s="412"/>
      <c r="V15" s="415"/>
      <c r="W15" s="416"/>
      <c r="X15" s="417"/>
      <c r="Y15" s="411"/>
      <c r="Z15" s="411"/>
      <c r="AA15" s="411"/>
      <c r="AB15" s="411"/>
      <c r="AC15" s="411"/>
      <c r="AD15" s="411"/>
      <c r="AE15" s="411"/>
      <c r="AF15" s="411"/>
      <c r="AG15" s="411"/>
      <c r="AH15" s="411"/>
      <c r="AI15" s="411"/>
      <c r="AJ15" s="411"/>
      <c r="AK15" s="411"/>
      <c r="AL15" s="411"/>
      <c r="AM15" s="411"/>
      <c r="AN15" s="411"/>
      <c r="AO15" s="418"/>
      <c r="AP15" s="418"/>
      <c r="AQ15" s="419"/>
    </row>
    <row r="16" spans="1:44" ht="75" x14ac:dyDescent="0.2">
      <c r="A16" s="420"/>
      <c r="B16" s="421"/>
      <c r="C16" s="422"/>
      <c r="D16" s="423"/>
      <c r="E16" s="424"/>
      <c r="F16" s="425"/>
      <c r="G16" s="426"/>
      <c r="H16" s="427"/>
      <c r="I16" s="428"/>
      <c r="J16" s="429">
        <v>282</v>
      </c>
      <c r="K16" s="430" t="s">
        <v>326</v>
      </c>
      <c r="L16" s="430" t="s">
        <v>327</v>
      </c>
      <c r="M16" s="429">
        <v>2</v>
      </c>
      <c r="N16" s="429" t="s">
        <v>328</v>
      </c>
      <c r="O16" s="431" t="s">
        <v>329</v>
      </c>
      <c r="P16" s="432" t="s">
        <v>330</v>
      </c>
      <c r="Q16" s="433">
        <f>+(V16)/R16</f>
        <v>1</v>
      </c>
      <c r="R16" s="434">
        <f>V16</f>
        <v>79103800</v>
      </c>
      <c r="S16" s="435" t="s">
        <v>331</v>
      </c>
      <c r="T16" s="435" t="s">
        <v>332</v>
      </c>
      <c r="U16" s="436" t="s">
        <v>333</v>
      </c>
      <c r="V16" s="437">
        <f>79500000-396200</f>
        <v>79103800</v>
      </c>
      <c r="W16" s="438" t="s">
        <v>202</v>
      </c>
      <c r="X16" s="439" t="s">
        <v>72</v>
      </c>
      <c r="Y16" s="440">
        <v>292684</v>
      </c>
      <c r="Z16" s="440">
        <v>282326</v>
      </c>
      <c r="AA16" s="440">
        <v>135912</v>
      </c>
      <c r="AB16" s="440">
        <v>45122</v>
      </c>
      <c r="AC16" s="440">
        <v>307101</v>
      </c>
      <c r="AD16" s="440">
        <v>86875</v>
      </c>
      <c r="AE16" s="440">
        <v>2145</v>
      </c>
      <c r="AF16" s="440">
        <v>12718</v>
      </c>
      <c r="AG16" s="440">
        <v>26</v>
      </c>
      <c r="AH16" s="440">
        <v>37</v>
      </c>
      <c r="AI16" s="440">
        <v>0</v>
      </c>
      <c r="AJ16" s="440">
        <v>0</v>
      </c>
      <c r="AK16" s="440">
        <v>53164</v>
      </c>
      <c r="AL16" s="440">
        <v>16982</v>
      </c>
      <c r="AM16" s="440">
        <v>60013</v>
      </c>
      <c r="AN16" s="440">
        <v>575010</v>
      </c>
      <c r="AO16" s="441">
        <v>43467</v>
      </c>
      <c r="AP16" s="441">
        <v>43830</v>
      </c>
      <c r="AQ16" s="442" t="s">
        <v>334</v>
      </c>
      <c r="AR16" s="443"/>
    </row>
    <row r="17" spans="1:44" ht="75" x14ac:dyDescent="0.2">
      <c r="A17" s="420"/>
      <c r="B17" s="421"/>
      <c r="C17" s="422"/>
      <c r="D17" s="423"/>
      <c r="E17" s="424"/>
      <c r="F17" s="425"/>
      <c r="G17" s="444"/>
      <c r="H17" s="445"/>
      <c r="I17" s="446"/>
      <c r="J17" s="2509">
        <v>283</v>
      </c>
      <c r="K17" s="2501" t="s">
        <v>335</v>
      </c>
      <c r="L17" s="2501" t="s">
        <v>336</v>
      </c>
      <c r="M17" s="2509">
        <v>1</v>
      </c>
      <c r="N17" s="2501" t="s">
        <v>337</v>
      </c>
      <c r="O17" s="2510" t="s">
        <v>338</v>
      </c>
      <c r="P17" s="2501" t="s">
        <v>339</v>
      </c>
      <c r="Q17" s="2511">
        <f>+(V17+V18+V19)/R17</f>
        <v>1</v>
      </c>
      <c r="R17" s="2512">
        <f>SUM(V17:V19)</f>
        <v>44007000</v>
      </c>
      <c r="S17" s="2501" t="s">
        <v>340</v>
      </c>
      <c r="T17" s="449" t="s">
        <v>341</v>
      </c>
      <c r="U17" s="436" t="s">
        <v>342</v>
      </c>
      <c r="V17" s="450">
        <f>30550000+8750000+4707000</f>
        <v>44007000</v>
      </c>
      <c r="W17" s="451">
        <v>20</v>
      </c>
      <c r="X17" s="452" t="s">
        <v>72</v>
      </c>
      <c r="Y17" s="2502">
        <v>850</v>
      </c>
      <c r="Z17" s="2502">
        <v>550</v>
      </c>
      <c r="AA17" s="2502">
        <v>400</v>
      </c>
      <c r="AB17" s="2502">
        <v>0</v>
      </c>
      <c r="AC17" s="2502">
        <v>950</v>
      </c>
      <c r="AD17" s="2502">
        <v>50</v>
      </c>
      <c r="AE17" s="2502">
        <v>0</v>
      </c>
      <c r="AF17" s="2502">
        <v>30</v>
      </c>
      <c r="AG17" s="2502">
        <v>0</v>
      </c>
      <c r="AH17" s="2502">
        <v>0</v>
      </c>
      <c r="AI17" s="2502">
        <v>0</v>
      </c>
      <c r="AJ17" s="2502">
        <v>0</v>
      </c>
      <c r="AK17" s="2502">
        <v>0</v>
      </c>
      <c r="AL17" s="2502">
        <v>0</v>
      </c>
      <c r="AM17" s="2502">
        <v>0</v>
      </c>
      <c r="AN17" s="2502">
        <v>1400</v>
      </c>
      <c r="AO17" s="2516">
        <v>43467</v>
      </c>
      <c r="AP17" s="2516">
        <v>43830</v>
      </c>
      <c r="AQ17" s="2517" t="s">
        <v>343</v>
      </c>
      <c r="AR17" s="453"/>
    </row>
    <row r="18" spans="1:44" ht="60" x14ac:dyDescent="0.2">
      <c r="A18" s="420"/>
      <c r="B18" s="421"/>
      <c r="C18" s="422"/>
      <c r="D18" s="423"/>
      <c r="E18" s="424"/>
      <c r="F18" s="425"/>
      <c r="G18" s="444"/>
      <c r="H18" s="445"/>
      <c r="I18" s="446"/>
      <c r="J18" s="2509"/>
      <c r="K18" s="2501"/>
      <c r="L18" s="2501"/>
      <c r="M18" s="2509"/>
      <c r="N18" s="2501"/>
      <c r="O18" s="2510"/>
      <c r="P18" s="2501"/>
      <c r="Q18" s="2511"/>
      <c r="R18" s="2512"/>
      <c r="S18" s="2501"/>
      <c r="T18" s="436" t="s">
        <v>344</v>
      </c>
      <c r="U18" s="436" t="s">
        <v>345</v>
      </c>
      <c r="V18" s="437">
        <f>7000000-7000000</f>
        <v>0</v>
      </c>
      <c r="W18" s="451">
        <v>20</v>
      </c>
      <c r="X18" s="452" t="s">
        <v>72</v>
      </c>
      <c r="Y18" s="2502"/>
      <c r="Z18" s="2502"/>
      <c r="AA18" s="2502"/>
      <c r="AB18" s="2502"/>
      <c r="AC18" s="2502"/>
      <c r="AD18" s="2502"/>
      <c r="AE18" s="2502"/>
      <c r="AF18" s="2502"/>
      <c r="AG18" s="2502"/>
      <c r="AH18" s="2502"/>
      <c r="AI18" s="2502"/>
      <c r="AJ18" s="2502"/>
      <c r="AK18" s="2502"/>
      <c r="AL18" s="2502"/>
      <c r="AM18" s="2502"/>
      <c r="AN18" s="2502"/>
      <c r="AO18" s="2516"/>
      <c r="AP18" s="2516"/>
      <c r="AQ18" s="2517"/>
      <c r="AR18" s="453"/>
    </row>
    <row r="19" spans="1:44" ht="45" x14ac:dyDescent="0.2">
      <c r="A19" s="420"/>
      <c r="B19" s="421"/>
      <c r="C19" s="422"/>
      <c r="D19" s="423"/>
      <c r="E19" s="424"/>
      <c r="F19" s="425"/>
      <c r="G19" s="444"/>
      <c r="H19" s="445"/>
      <c r="I19" s="446"/>
      <c r="J19" s="2509"/>
      <c r="K19" s="2501"/>
      <c r="L19" s="2501"/>
      <c r="M19" s="2509"/>
      <c r="N19" s="2501"/>
      <c r="O19" s="2510"/>
      <c r="P19" s="2501"/>
      <c r="Q19" s="2511"/>
      <c r="R19" s="2512"/>
      <c r="S19" s="2501"/>
      <c r="T19" s="436" t="s">
        <v>346</v>
      </c>
      <c r="U19" s="436" t="s">
        <v>347</v>
      </c>
      <c r="V19" s="437">
        <f>1750000-1750000</f>
        <v>0</v>
      </c>
      <c r="W19" s="454">
        <v>20</v>
      </c>
      <c r="X19" s="455" t="s">
        <v>72</v>
      </c>
      <c r="Y19" s="2502"/>
      <c r="Z19" s="2502"/>
      <c r="AA19" s="2502"/>
      <c r="AB19" s="2502"/>
      <c r="AC19" s="2502"/>
      <c r="AD19" s="2502"/>
      <c r="AE19" s="2502"/>
      <c r="AF19" s="2502"/>
      <c r="AG19" s="2502"/>
      <c r="AH19" s="2502"/>
      <c r="AI19" s="2502"/>
      <c r="AJ19" s="2502"/>
      <c r="AK19" s="2502"/>
      <c r="AL19" s="2502"/>
      <c r="AM19" s="2502"/>
      <c r="AN19" s="2502"/>
      <c r="AO19" s="2516"/>
      <c r="AP19" s="2516"/>
      <c r="AQ19" s="2517"/>
      <c r="AR19" s="453"/>
    </row>
    <row r="20" spans="1:44" ht="75" x14ac:dyDescent="0.2">
      <c r="A20" s="404"/>
      <c r="B20" s="405"/>
      <c r="C20" s="406"/>
      <c r="D20" s="456"/>
      <c r="E20" s="457"/>
      <c r="F20" s="458"/>
      <c r="G20" s="459"/>
      <c r="H20" s="460"/>
      <c r="I20" s="461"/>
      <c r="J20" s="462">
        <v>285</v>
      </c>
      <c r="K20" s="463" t="s">
        <v>348</v>
      </c>
      <c r="L20" s="436" t="s">
        <v>349</v>
      </c>
      <c r="M20" s="439">
        <v>1</v>
      </c>
      <c r="N20" s="430" t="s">
        <v>350</v>
      </c>
      <c r="O20" s="439" t="s">
        <v>351</v>
      </c>
      <c r="P20" s="436" t="s">
        <v>352</v>
      </c>
      <c r="Q20" s="464">
        <f>+V20/R20</f>
        <v>1</v>
      </c>
      <c r="R20" s="465">
        <f>V20</f>
        <v>78604667</v>
      </c>
      <c r="S20" s="463" t="s">
        <v>353</v>
      </c>
      <c r="T20" s="463" t="s">
        <v>354</v>
      </c>
      <c r="U20" s="463" t="s">
        <v>355</v>
      </c>
      <c r="V20" s="437">
        <f>89600000-10995333</f>
        <v>78604667</v>
      </c>
      <c r="W20" s="454">
        <v>20</v>
      </c>
      <c r="X20" s="455" t="s">
        <v>72</v>
      </c>
      <c r="Y20" s="466">
        <v>292684</v>
      </c>
      <c r="Z20" s="466">
        <v>282326</v>
      </c>
      <c r="AA20" s="466">
        <v>135912</v>
      </c>
      <c r="AB20" s="466">
        <v>45122</v>
      </c>
      <c r="AC20" s="466">
        <v>307101</v>
      </c>
      <c r="AD20" s="466">
        <v>86875</v>
      </c>
      <c r="AE20" s="466">
        <v>2145</v>
      </c>
      <c r="AF20" s="466">
        <v>12718</v>
      </c>
      <c r="AG20" s="466">
        <v>26</v>
      </c>
      <c r="AH20" s="466">
        <v>37</v>
      </c>
      <c r="AI20" s="466">
        <v>0</v>
      </c>
      <c r="AJ20" s="466">
        <v>0</v>
      </c>
      <c r="AK20" s="466">
        <v>53164</v>
      </c>
      <c r="AL20" s="466">
        <v>16982</v>
      </c>
      <c r="AM20" s="466">
        <v>60013</v>
      </c>
      <c r="AN20" s="466">
        <v>575010</v>
      </c>
      <c r="AO20" s="467">
        <v>43467</v>
      </c>
      <c r="AP20" s="467">
        <v>43830</v>
      </c>
      <c r="AQ20" s="468" t="s">
        <v>356</v>
      </c>
      <c r="AR20" s="443"/>
    </row>
    <row r="21" spans="1:44" ht="75" x14ac:dyDescent="0.2">
      <c r="A21" s="404"/>
      <c r="B21" s="405"/>
      <c r="C21" s="406"/>
      <c r="D21" s="456"/>
      <c r="E21" s="457"/>
      <c r="F21" s="458"/>
      <c r="G21" s="459"/>
      <c r="H21" s="460"/>
      <c r="I21" s="461"/>
      <c r="J21" s="462">
        <v>280</v>
      </c>
      <c r="K21" s="463" t="s">
        <v>357</v>
      </c>
      <c r="L21" s="436" t="s">
        <v>358</v>
      </c>
      <c r="M21" s="469">
        <v>1</v>
      </c>
      <c r="N21" s="470"/>
      <c r="O21" s="2518" t="s">
        <v>359</v>
      </c>
      <c r="P21" s="2521" t="s">
        <v>360</v>
      </c>
      <c r="Q21" s="471">
        <f>+(V21)/R21</f>
        <v>2.9053308782970842E-3</v>
      </c>
      <c r="R21" s="2524">
        <f>SUM(V21:V25)</f>
        <v>5212143000</v>
      </c>
      <c r="S21" s="2518" t="s">
        <v>361</v>
      </c>
      <c r="T21" s="436" t="s">
        <v>362</v>
      </c>
      <c r="U21" s="436" t="s">
        <v>363</v>
      </c>
      <c r="V21" s="472">
        <f>24850000-5000000-4707000</f>
        <v>15143000</v>
      </c>
      <c r="W21" s="473">
        <v>20</v>
      </c>
      <c r="X21" s="474" t="s">
        <v>72</v>
      </c>
      <c r="Y21" s="2513">
        <v>292684</v>
      </c>
      <c r="Z21" s="2513">
        <v>282326</v>
      </c>
      <c r="AA21" s="2513">
        <v>135912</v>
      </c>
      <c r="AB21" s="2513">
        <v>45122</v>
      </c>
      <c r="AC21" s="2513">
        <v>307101</v>
      </c>
      <c r="AD21" s="2513">
        <v>86875</v>
      </c>
      <c r="AE21" s="2513">
        <v>2145</v>
      </c>
      <c r="AF21" s="2513">
        <v>12718</v>
      </c>
      <c r="AG21" s="2513">
        <v>26</v>
      </c>
      <c r="AH21" s="2513">
        <v>37</v>
      </c>
      <c r="AI21" s="2513">
        <v>0</v>
      </c>
      <c r="AJ21" s="2513">
        <v>0</v>
      </c>
      <c r="AK21" s="2513">
        <v>53164</v>
      </c>
      <c r="AL21" s="2513">
        <v>16982</v>
      </c>
      <c r="AM21" s="2513">
        <v>60013</v>
      </c>
      <c r="AN21" s="2513">
        <v>575010</v>
      </c>
      <c r="AO21" s="2530">
        <v>43466</v>
      </c>
      <c r="AP21" s="2530">
        <v>43830</v>
      </c>
      <c r="AQ21" s="468" t="s">
        <v>364</v>
      </c>
    </row>
    <row r="22" spans="1:44" ht="45" x14ac:dyDescent="0.2">
      <c r="A22" s="404"/>
      <c r="B22" s="405"/>
      <c r="C22" s="406"/>
      <c r="D22" s="456"/>
      <c r="E22" s="457"/>
      <c r="F22" s="458"/>
      <c r="G22" s="459"/>
      <c r="H22" s="460"/>
      <c r="I22" s="461"/>
      <c r="J22" s="2533">
        <v>281</v>
      </c>
      <c r="K22" s="2534" t="s">
        <v>365</v>
      </c>
      <c r="L22" s="2501" t="s">
        <v>366</v>
      </c>
      <c r="M22" s="2536">
        <v>1</v>
      </c>
      <c r="N22" s="2519" t="s">
        <v>367</v>
      </c>
      <c r="O22" s="2519"/>
      <c r="P22" s="2522"/>
      <c r="Q22" s="2537">
        <f>+(V22+V23)/R21</f>
        <v>1.6020281868705445E-2</v>
      </c>
      <c r="R22" s="2525"/>
      <c r="S22" s="2519"/>
      <c r="T22" s="2501" t="s">
        <v>368</v>
      </c>
      <c r="U22" s="436" t="s">
        <v>369</v>
      </c>
      <c r="V22" s="475">
        <f>83500000-83500000</f>
        <v>0</v>
      </c>
      <c r="W22" s="473">
        <v>20</v>
      </c>
      <c r="X22" s="474" t="s">
        <v>83</v>
      </c>
      <c r="Y22" s="2514"/>
      <c r="Z22" s="2514"/>
      <c r="AA22" s="2514"/>
      <c r="AB22" s="2514"/>
      <c r="AC22" s="2514"/>
      <c r="AD22" s="2514"/>
      <c r="AE22" s="2514"/>
      <c r="AF22" s="2514"/>
      <c r="AG22" s="2514"/>
      <c r="AH22" s="2514"/>
      <c r="AI22" s="2514"/>
      <c r="AJ22" s="2514"/>
      <c r="AK22" s="2514"/>
      <c r="AL22" s="2514"/>
      <c r="AM22" s="2514"/>
      <c r="AN22" s="2514"/>
      <c r="AO22" s="2531"/>
      <c r="AP22" s="2531"/>
      <c r="AQ22" s="2517" t="s">
        <v>370</v>
      </c>
    </row>
    <row r="23" spans="1:44" ht="30" x14ac:dyDescent="0.2">
      <c r="A23" s="404"/>
      <c r="B23" s="405"/>
      <c r="C23" s="406"/>
      <c r="D23" s="456"/>
      <c r="E23" s="457"/>
      <c r="F23" s="458"/>
      <c r="G23" s="459"/>
      <c r="H23" s="460"/>
      <c r="I23" s="461"/>
      <c r="J23" s="2533"/>
      <c r="K23" s="2535"/>
      <c r="L23" s="2501"/>
      <c r="M23" s="2536"/>
      <c r="N23" s="2519"/>
      <c r="O23" s="2519"/>
      <c r="P23" s="2522"/>
      <c r="Q23" s="2538"/>
      <c r="R23" s="2525"/>
      <c r="S23" s="2519"/>
      <c r="T23" s="2501"/>
      <c r="U23" s="430" t="s">
        <v>371</v>
      </c>
      <c r="V23" s="475">
        <f>0+83500000</f>
        <v>83500000</v>
      </c>
      <c r="W23" s="473">
        <v>20</v>
      </c>
      <c r="X23" s="474" t="s">
        <v>83</v>
      </c>
      <c r="Y23" s="2514"/>
      <c r="Z23" s="2514"/>
      <c r="AA23" s="2514"/>
      <c r="AB23" s="2514"/>
      <c r="AC23" s="2514"/>
      <c r="AD23" s="2514"/>
      <c r="AE23" s="2514"/>
      <c r="AF23" s="2514"/>
      <c r="AG23" s="2514"/>
      <c r="AH23" s="2514"/>
      <c r="AI23" s="2514"/>
      <c r="AJ23" s="2514"/>
      <c r="AK23" s="2514"/>
      <c r="AL23" s="2514"/>
      <c r="AM23" s="2514"/>
      <c r="AN23" s="2514"/>
      <c r="AO23" s="2531"/>
      <c r="AP23" s="2531"/>
      <c r="AQ23" s="2517"/>
      <c r="AR23" s="476"/>
    </row>
    <row r="24" spans="1:44" ht="45" x14ac:dyDescent="0.2">
      <c r="A24" s="404"/>
      <c r="B24" s="405"/>
      <c r="C24" s="406"/>
      <c r="D24" s="456"/>
      <c r="E24" s="457"/>
      <c r="F24" s="458"/>
      <c r="G24" s="459"/>
      <c r="H24" s="460"/>
      <c r="I24" s="461"/>
      <c r="J24" s="462">
        <v>287</v>
      </c>
      <c r="K24" s="463" t="s">
        <v>372</v>
      </c>
      <c r="L24" s="436" t="s">
        <v>373</v>
      </c>
      <c r="M24" s="469">
        <v>1</v>
      </c>
      <c r="N24" s="477"/>
      <c r="O24" s="2519"/>
      <c r="P24" s="2522"/>
      <c r="Q24" s="471">
        <f>+V24/R21</f>
        <v>2.1776071761653509E-2</v>
      </c>
      <c r="R24" s="2525"/>
      <c r="S24" s="2519"/>
      <c r="T24" s="436" t="s">
        <v>374</v>
      </c>
      <c r="U24" s="478" t="s">
        <v>375</v>
      </c>
      <c r="V24" s="472">
        <f>108500000+5000000</f>
        <v>113500000</v>
      </c>
      <c r="W24" s="473">
        <v>20</v>
      </c>
      <c r="X24" s="474" t="s">
        <v>83</v>
      </c>
      <c r="Y24" s="2514"/>
      <c r="Z24" s="2514"/>
      <c r="AA24" s="2514"/>
      <c r="AB24" s="2514"/>
      <c r="AC24" s="2514"/>
      <c r="AD24" s="2514"/>
      <c r="AE24" s="2514"/>
      <c r="AF24" s="2514"/>
      <c r="AG24" s="2514"/>
      <c r="AH24" s="2514"/>
      <c r="AI24" s="2514"/>
      <c r="AJ24" s="2514"/>
      <c r="AK24" s="2514"/>
      <c r="AL24" s="2514"/>
      <c r="AM24" s="2514"/>
      <c r="AN24" s="2514"/>
      <c r="AO24" s="2531"/>
      <c r="AP24" s="2531"/>
      <c r="AQ24" s="468"/>
    </row>
    <row r="25" spans="1:44" ht="105.75" thickBot="1" x14ac:dyDescent="0.25">
      <c r="A25" s="479"/>
      <c r="B25" s="480"/>
      <c r="C25" s="481"/>
      <c r="D25" s="482"/>
      <c r="E25" s="483"/>
      <c r="F25" s="484"/>
      <c r="G25" s="485"/>
      <c r="H25" s="486"/>
      <c r="I25" s="487"/>
      <c r="J25" s="429">
        <v>289</v>
      </c>
      <c r="K25" s="430" t="s">
        <v>376</v>
      </c>
      <c r="L25" s="430" t="s">
        <v>377</v>
      </c>
      <c r="M25" s="488">
        <v>1</v>
      </c>
      <c r="N25" s="477" t="s">
        <v>378</v>
      </c>
      <c r="O25" s="2520"/>
      <c r="P25" s="2523"/>
      <c r="Q25" s="489">
        <f>+V25/R21</f>
        <v>0.95929831549134392</v>
      </c>
      <c r="R25" s="2526"/>
      <c r="S25" s="2520"/>
      <c r="T25" s="430" t="s">
        <v>379</v>
      </c>
      <c r="U25" s="436" t="s">
        <v>380</v>
      </c>
      <c r="V25" s="450">
        <v>5000000000</v>
      </c>
      <c r="W25" s="490">
        <v>46</v>
      </c>
      <c r="X25" s="491" t="s">
        <v>381</v>
      </c>
      <c r="Y25" s="2515"/>
      <c r="Z25" s="2515"/>
      <c r="AA25" s="2515"/>
      <c r="AB25" s="2515"/>
      <c r="AC25" s="2515"/>
      <c r="AD25" s="2515"/>
      <c r="AE25" s="2515"/>
      <c r="AF25" s="2515"/>
      <c r="AG25" s="2515"/>
      <c r="AH25" s="2515"/>
      <c r="AI25" s="2515"/>
      <c r="AJ25" s="2515"/>
      <c r="AK25" s="2515"/>
      <c r="AL25" s="2515"/>
      <c r="AM25" s="2515"/>
      <c r="AN25" s="2515"/>
      <c r="AO25" s="2532"/>
      <c r="AP25" s="2532"/>
      <c r="AQ25" s="492" t="s">
        <v>382</v>
      </c>
    </row>
    <row r="26" spans="1:44" ht="16.5" thickBot="1" x14ac:dyDescent="0.3">
      <c r="A26" s="493" t="s">
        <v>383</v>
      </c>
      <c r="B26" s="494"/>
      <c r="C26" s="494"/>
      <c r="D26" s="494"/>
      <c r="E26" s="494"/>
      <c r="F26" s="494"/>
      <c r="G26" s="494"/>
      <c r="H26" s="494"/>
      <c r="I26" s="494"/>
      <c r="J26" s="495"/>
      <c r="K26" s="496"/>
      <c r="L26" s="497"/>
      <c r="M26" s="498"/>
      <c r="N26" s="496"/>
      <c r="O26" s="497"/>
      <c r="P26" s="497"/>
      <c r="Q26" s="499"/>
      <c r="R26" s="500">
        <f>SUM(R16:R25)</f>
        <v>5413858467</v>
      </c>
      <c r="S26" s="501"/>
      <c r="T26" s="496"/>
      <c r="U26" s="502"/>
      <c r="V26" s="503">
        <f>SUM(V16:V25)</f>
        <v>5413858467</v>
      </c>
      <c r="W26" s="504"/>
      <c r="X26" s="505"/>
      <c r="Y26" s="506"/>
      <c r="Z26" s="506"/>
      <c r="AA26" s="506"/>
      <c r="AB26" s="506"/>
      <c r="AC26" s="506"/>
      <c r="AD26" s="506"/>
      <c r="AE26" s="505"/>
      <c r="AF26" s="505"/>
      <c r="AG26" s="505"/>
      <c r="AH26" s="505"/>
      <c r="AI26" s="505"/>
      <c r="AJ26" s="505"/>
      <c r="AK26" s="505"/>
      <c r="AL26" s="505"/>
      <c r="AM26" s="505"/>
      <c r="AN26" s="505"/>
      <c r="AO26" s="507"/>
      <c r="AP26" s="507"/>
      <c r="AQ26" s="508"/>
    </row>
    <row r="27" spans="1:44" x14ac:dyDescent="0.2">
      <c r="A27" s="509"/>
      <c r="B27" s="509"/>
      <c r="C27" s="509"/>
      <c r="D27" s="509"/>
      <c r="E27" s="509"/>
      <c r="F27" s="509"/>
      <c r="G27" s="509"/>
      <c r="H27" s="509"/>
      <c r="I27" s="509"/>
      <c r="J27" s="510"/>
      <c r="K27" s="511"/>
      <c r="L27" s="510"/>
      <c r="M27" s="510"/>
      <c r="N27" s="510"/>
      <c r="O27" s="510"/>
      <c r="P27" s="511"/>
      <c r="Q27" s="512"/>
      <c r="R27" s="513"/>
      <c r="S27" s="511"/>
      <c r="T27" s="511"/>
      <c r="U27" s="511"/>
      <c r="V27" s="514"/>
      <c r="W27" s="515"/>
      <c r="X27" s="516"/>
      <c r="Y27" s="517"/>
      <c r="Z27" s="517"/>
      <c r="AA27" s="517"/>
      <c r="AB27" s="517"/>
      <c r="AC27" s="517"/>
      <c r="AD27" s="517"/>
      <c r="AE27" s="517"/>
      <c r="AF27" s="517"/>
      <c r="AG27" s="517"/>
      <c r="AH27" s="517"/>
      <c r="AI27" s="517"/>
      <c r="AJ27" s="517"/>
      <c r="AK27" s="517"/>
      <c r="AL27" s="517"/>
      <c r="AM27" s="517"/>
      <c r="AN27" s="517"/>
      <c r="AO27" s="517"/>
      <c r="AP27" s="517"/>
      <c r="AQ27" s="517"/>
    </row>
    <row r="28" spans="1:44" x14ac:dyDescent="0.2">
      <c r="A28" s="509"/>
      <c r="B28" s="509"/>
      <c r="C28" s="509"/>
      <c r="D28" s="509"/>
      <c r="E28" s="509"/>
      <c r="F28" s="509"/>
      <c r="G28" s="509"/>
      <c r="H28" s="509"/>
      <c r="I28" s="509"/>
      <c r="J28" s="510"/>
      <c r="K28" s="511"/>
      <c r="L28" s="510"/>
      <c r="M28" s="510"/>
      <c r="N28" s="510"/>
      <c r="O28" s="510"/>
      <c r="P28" s="511"/>
      <c r="Q28" s="512"/>
      <c r="R28" s="518"/>
      <c r="S28" s="511"/>
      <c r="T28" s="511"/>
      <c r="U28" s="511"/>
      <c r="V28" s="519"/>
      <c r="W28" s="515"/>
      <c r="X28" s="516"/>
      <c r="Y28" s="517"/>
      <c r="Z28" s="517"/>
      <c r="AA28" s="517"/>
      <c r="AB28" s="517"/>
      <c r="AC28" s="517"/>
      <c r="AD28" s="517"/>
      <c r="AE28" s="517"/>
      <c r="AF28" s="517"/>
      <c r="AG28" s="517"/>
      <c r="AH28" s="517"/>
      <c r="AI28" s="517"/>
      <c r="AJ28" s="517"/>
      <c r="AK28" s="517"/>
      <c r="AL28" s="517"/>
      <c r="AM28" s="517"/>
      <c r="AN28" s="517"/>
      <c r="AO28" s="517"/>
      <c r="AP28" s="517"/>
      <c r="AQ28" s="517"/>
    </row>
    <row r="29" spans="1:44" ht="15.75" x14ac:dyDescent="0.25">
      <c r="A29" s="520"/>
      <c r="B29" s="520" t="s">
        <v>384</v>
      </c>
      <c r="C29" s="520"/>
      <c r="D29" s="520"/>
      <c r="E29" s="520"/>
      <c r="F29" s="509"/>
      <c r="G29" s="509"/>
      <c r="H29" s="509"/>
      <c r="I29" s="509"/>
      <c r="J29" s="510"/>
      <c r="K29" s="511"/>
      <c r="L29" s="510"/>
      <c r="M29" s="510"/>
      <c r="N29" s="510"/>
      <c r="O29" s="510"/>
      <c r="P29" s="511"/>
      <c r="Q29" s="512"/>
      <c r="R29" s="518"/>
      <c r="S29" s="511"/>
      <c r="T29" s="511"/>
      <c r="U29" s="511"/>
      <c r="V29" s="517"/>
      <c r="W29" s="515"/>
      <c r="X29" s="516"/>
      <c r="Y29" s="517"/>
      <c r="Z29" s="517"/>
      <c r="AA29" s="517"/>
      <c r="AB29" s="517"/>
      <c r="AC29" s="517"/>
      <c r="AD29" s="517"/>
      <c r="AE29" s="517"/>
      <c r="AF29" s="517"/>
      <c r="AG29" s="517"/>
      <c r="AH29" s="517"/>
      <c r="AI29" s="517"/>
      <c r="AJ29" s="517"/>
      <c r="AK29" s="517"/>
      <c r="AL29" s="517"/>
      <c r="AM29" s="517"/>
      <c r="AN29" s="517"/>
      <c r="AO29" s="517"/>
      <c r="AP29" s="517"/>
      <c r="AQ29" s="517"/>
    </row>
    <row r="30" spans="1:44" x14ac:dyDescent="0.2">
      <c r="B30" s="369" t="s">
        <v>385</v>
      </c>
      <c r="V30" s="523"/>
    </row>
    <row r="31" spans="1:44" ht="15.75" x14ac:dyDescent="0.2">
      <c r="Q31" s="2527"/>
      <c r="R31" s="2527"/>
      <c r="S31" s="2527"/>
      <c r="T31" s="2527"/>
      <c r="U31" s="2527"/>
      <c r="V31" s="2527"/>
      <c r="W31" s="2527"/>
    </row>
    <row r="32" spans="1:44" ht="15.75" x14ac:dyDescent="0.25">
      <c r="M32" s="2528" t="s">
        <v>384</v>
      </c>
      <c r="N32" s="2528"/>
      <c r="O32" s="2528"/>
    </row>
    <row r="33" spans="10:16" x14ac:dyDescent="0.2">
      <c r="M33" s="2529" t="s">
        <v>385</v>
      </c>
      <c r="N33" s="2529"/>
      <c r="O33" s="2529"/>
    </row>
    <row r="36" spans="10:16" ht="48" customHeight="1" x14ac:dyDescent="0.2">
      <c r="J36" s="2527"/>
      <c r="K36" s="2527"/>
      <c r="L36" s="2527"/>
      <c r="M36" s="2527"/>
      <c r="N36" s="2527"/>
      <c r="O36" s="2527"/>
      <c r="P36" s="2527"/>
    </row>
  </sheetData>
  <sheetProtection password="A60F" sheet="1" objects="1" scenarios="1"/>
  <mergeCells count="112">
    <mergeCell ref="AQ22:AQ23"/>
    <mergeCell ref="Q31:W31"/>
    <mergeCell ref="M32:O32"/>
    <mergeCell ref="M33:O33"/>
    <mergeCell ref="J36:P36"/>
    <mergeCell ref="AO21:AO25"/>
    <mergeCell ref="AP21:AP25"/>
    <mergeCell ref="J22:J23"/>
    <mergeCell ref="K22:K23"/>
    <mergeCell ref="L22:L23"/>
    <mergeCell ref="M22:M23"/>
    <mergeCell ref="N22:N23"/>
    <mergeCell ref="Q22:Q23"/>
    <mergeCell ref="T22:T23"/>
    <mergeCell ref="AI21:AI25"/>
    <mergeCell ref="AJ21:AJ25"/>
    <mergeCell ref="AK21:AK25"/>
    <mergeCell ref="AL21:AL25"/>
    <mergeCell ref="AM21:AM25"/>
    <mergeCell ref="AN21:AN25"/>
    <mergeCell ref="AC21:AC25"/>
    <mergeCell ref="AD21:AD25"/>
    <mergeCell ref="AE21:AE25"/>
    <mergeCell ref="AF21:AF25"/>
    <mergeCell ref="AG21:AG25"/>
    <mergeCell ref="AH21:AH25"/>
    <mergeCell ref="AP17:AP19"/>
    <mergeCell ref="AQ17:AQ19"/>
    <mergeCell ref="O21:O25"/>
    <mergeCell ref="P21:P25"/>
    <mergeCell ref="R21:R25"/>
    <mergeCell ref="S21:S25"/>
    <mergeCell ref="Y21:Y25"/>
    <mergeCell ref="Z21:Z25"/>
    <mergeCell ref="AA21:AA25"/>
    <mergeCell ref="AB21:AB25"/>
    <mergeCell ref="AJ17:AJ19"/>
    <mergeCell ref="AK17:AK19"/>
    <mergeCell ref="AL17:AL19"/>
    <mergeCell ref="AM17:AM19"/>
    <mergeCell ref="AN17:AN19"/>
    <mergeCell ref="AO17:AO19"/>
    <mergeCell ref="AD17:AD19"/>
    <mergeCell ref="AE17:AE19"/>
    <mergeCell ref="AF17:AF19"/>
    <mergeCell ref="AG17:AG19"/>
    <mergeCell ref="AH17:AH19"/>
    <mergeCell ref="AI17:AI19"/>
    <mergeCell ref="J17:J19"/>
    <mergeCell ref="K17:K19"/>
    <mergeCell ref="L17:L19"/>
    <mergeCell ref="M17:M19"/>
    <mergeCell ref="N17:N19"/>
    <mergeCell ref="O17:O19"/>
    <mergeCell ref="P17:P19"/>
    <mergeCell ref="Q17:Q19"/>
    <mergeCell ref="R17:R19"/>
    <mergeCell ref="S17:S19"/>
    <mergeCell ref="Y17:Y19"/>
    <mergeCell ref="Z17:Z19"/>
    <mergeCell ref="AA17:AA19"/>
    <mergeCell ref="AB17:AB19"/>
    <mergeCell ref="AC17:AC19"/>
    <mergeCell ref="Y13:Z13"/>
    <mergeCell ref="AE7:AJ7"/>
    <mergeCell ref="AK7:AM7"/>
    <mergeCell ref="AD8:AD12"/>
    <mergeCell ref="AE8:AE12"/>
    <mergeCell ref="AF8:AF12"/>
    <mergeCell ref="AG8:AG12"/>
    <mergeCell ref="AH8:AH12"/>
    <mergeCell ref="AI8:AI12"/>
    <mergeCell ref="AJ8:AJ12"/>
    <mergeCell ref="AK8:AK12"/>
    <mergeCell ref="AL8:AL12"/>
    <mergeCell ref="AM8:AM12"/>
    <mergeCell ref="Y8:Y12"/>
    <mergeCell ref="Z8:Z12"/>
    <mergeCell ref="A1:AO4"/>
    <mergeCell ref="A5:M6"/>
    <mergeCell ref="N5:AQ5"/>
    <mergeCell ref="Y6:AM6"/>
    <mergeCell ref="A7:A12"/>
    <mergeCell ref="B7:C12"/>
    <mergeCell ref="D7:D12"/>
    <mergeCell ref="E7:F12"/>
    <mergeCell ref="G7:G12"/>
    <mergeCell ref="H7:I12"/>
    <mergeCell ref="P7:P12"/>
    <mergeCell ref="Q7:Q12"/>
    <mergeCell ref="R7:R12"/>
    <mergeCell ref="S7:S12"/>
    <mergeCell ref="T7:T12"/>
    <mergeCell ref="U7:U12"/>
    <mergeCell ref="J7:J12"/>
    <mergeCell ref="AN7:AN12"/>
    <mergeCell ref="AO7:AO12"/>
    <mergeCell ref="AP7:AP12"/>
    <mergeCell ref="K7:K12"/>
    <mergeCell ref="L7:L12"/>
    <mergeCell ref="M7:M12"/>
    <mergeCell ref="N7:N12"/>
    <mergeCell ref="O7:O12"/>
    <mergeCell ref="AQ7:AQ12"/>
    <mergeCell ref="W8:W12"/>
    <mergeCell ref="AA8:AA12"/>
    <mergeCell ref="AB8:AB12"/>
    <mergeCell ref="AC8:AC12"/>
    <mergeCell ref="V7:V12"/>
    <mergeCell ref="X7:X12"/>
    <mergeCell ref="Y7:Z7"/>
    <mergeCell ref="AA7:AD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
  <sheetViews>
    <sheetView showGridLines="0" zoomScale="60" zoomScaleNormal="60" workbookViewId="0">
      <selection sqref="A1:AP4"/>
    </sheetView>
  </sheetViews>
  <sheetFormatPr baseColWidth="10" defaultColWidth="11.42578125" defaultRowHeight="15" x14ac:dyDescent="0.2"/>
  <cols>
    <col min="1" max="1" width="14.28515625" style="2" customWidth="1"/>
    <col min="2" max="2" width="18.140625" style="2" customWidth="1"/>
    <col min="3" max="3" width="8.28515625" style="2" customWidth="1"/>
    <col min="4" max="4" width="19" style="2" customWidth="1"/>
    <col min="5" max="5" width="10" style="2" customWidth="1"/>
    <col min="6" max="6" width="11.42578125" style="2" customWidth="1"/>
    <col min="7" max="7" width="17.85546875" style="2" customWidth="1"/>
    <col min="8" max="9" width="20.7109375" style="2" customWidth="1"/>
    <col min="10" max="10" width="17.140625" style="2" customWidth="1"/>
    <col min="11" max="11" width="52" style="1450" customWidth="1"/>
    <col min="12" max="12" width="43.140625" style="2" hidden="1" customWidth="1"/>
    <col min="13" max="13" width="21.85546875" style="2" hidden="1" customWidth="1"/>
    <col min="14" max="14" width="38.42578125" style="1461" customWidth="1"/>
    <col min="15" max="15" width="23.28515625" style="2" customWidth="1"/>
    <col min="16" max="16" width="33.42578125" style="2" customWidth="1"/>
    <col min="17" max="17" width="16.140625" style="2" customWidth="1"/>
    <col min="18" max="18" width="33.42578125" style="2" customWidth="1"/>
    <col min="19" max="19" width="43" style="2" customWidth="1"/>
    <col min="20" max="20" width="44.5703125" style="2" customWidth="1"/>
    <col min="21" max="21" width="54.7109375" style="1450" customWidth="1"/>
    <col min="22" max="22" width="30.42578125" style="2" bestFit="1" customWidth="1"/>
    <col min="23" max="23" width="16.140625" style="128" customWidth="1"/>
    <col min="24" max="24" width="33" style="1770" customWidth="1"/>
    <col min="25" max="25" width="15" style="2" customWidth="1"/>
    <col min="26" max="26" width="12.85546875" style="2" customWidth="1"/>
    <col min="27" max="27" width="13.42578125" style="2" customWidth="1"/>
    <col min="28" max="28" width="13.140625" style="2" customWidth="1"/>
    <col min="29" max="29" width="14.5703125" style="2" customWidth="1"/>
    <col min="30" max="30" width="13.140625" style="2" customWidth="1"/>
    <col min="31" max="31" width="12.7109375" style="2" customWidth="1"/>
    <col min="32" max="32" width="8" style="2" customWidth="1"/>
    <col min="33" max="36" width="7.42578125" style="2" customWidth="1"/>
    <col min="37" max="39" width="7.5703125" style="2" bestFit="1" customWidth="1"/>
    <col min="40" max="40" width="9" style="2" bestFit="1" customWidth="1"/>
    <col min="41" max="41" width="19" style="1461" customWidth="1"/>
    <col min="42" max="42" width="26" style="1461" customWidth="1"/>
    <col min="43" max="43" width="24.42578125" style="2" customWidth="1"/>
    <col min="44" max="50" width="14.85546875" style="2" customWidth="1"/>
    <col min="51" max="16384" width="11.42578125" style="2"/>
  </cols>
  <sheetData>
    <row r="1" spans="1:57" ht="16.5" customHeight="1" x14ac:dyDescent="0.2">
      <c r="A1" s="2778" t="s">
        <v>1172</v>
      </c>
      <c r="B1" s="2778"/>
      <c r="C1" s="2778"/>
      <c r="D1" s="2778"/>
      <c r="E1" s="2778"/>
      <c r="F1" s="2778"/>
      <c r="G1" s="2778"/>
      <c r="H1" s="2778"/>
      <c r="I1" s="2778"/>
      <c r="J1" s="2778"/>
      <c r="K1" s="2778"/>
      <c r="L1" s="2778"/>
      <c r="M1" s="2778"/>
      <c r="N1" s="2778"/>
      <c r="O1" s="2778"/>
      <c r="P1" s="2778"/>
      <c r="Q1" s="2778"/>
      <c r="R1" s="2778"/>
      <c r="S1" s="2778"/>
      <c r="T1" s="2778"/>
      <c r="U1" s="2778"/>
      <c r="V1" s="2778"/>
      <c r="W1" s="2778"/>
      <c r="X1" s="2778"/>
      <c r="Y1" s="2778"/>
      <c r="Z1" s="2778"/>
      <c r="AA1" s="2778"/>
      <c r="AB1" s="2778"/>
      <c r="AC1" s="2778"/>
      <c r="AD1" s="2778"/>
      <c r="AE1" s="2778"/>
      <c r="AF1" s="2778"/>
      <c r="AG1" s="2778"/>
      <c r="AH1" s="2778"/>
      <c r="AI1" s="2778"/>
      <c r="AJ1" s="2778"/>
      <c r="AK1" s="2778"/>
      <c r="AL1" s="2778"/>
      <c r="AM1" s="2778"/>
      <c r="AN1" s="2778"/>
      <c r="AO1" s="2778"/>
      <c r="AP1" s="3205"/>
      <c r="AQ1" s="6" t="s">
        <v>1</v>
      </c>
    </row>
    <row r="2" spans="1:57" ht="33.75" customHeight="1" x14ac:dyDescent="0.2">
      <c r="A2" s="2778"/>
      <c r="B2" s="2778"/>
      <c r="C2" s="2778"/>
      <c r="D2" s="2778"/>
      <c r="E2" s="2778"/>
      <c r="F2" s="2778"/>
      <c r="G2" s="2778"/>
      <c r="H2" s="2778"/>
      <c r="I2" s="2778"/>
      <c r="J2" s="2778"/>
      <c r="K2" s="2778"/>
      <c r="L2" s="2778"/>
      <c r="M2" s="2778"/>
      <c r="N2" s="2778"/>
      <c r="O2" s="2778"/>
      <c r="P2" s="2778"/>
      <c r="Q2" s="2778"/>
      <c r="R2" s="2778"/>
      <c r="S2" s="2778"/>
      <c r="T2" s="2778"/>
      <c r="U2" s="2778"/>
      <c r="V2" s="2778"/>
      <c r="W2" s="2778"/>
      <c r="X2" s="2778"/>
      <c r="Y2" s="2778"/>
      <c r="Z2" s="2778"/>
      <c r="AA2" s="2778"/>
      <c r="AB2" s="2778"/>
      <c r="AC2" s="2778"/>
      <c r="AD2" s="2778"/>
      <c r="AE2" s="2778"/>
      <c r="AF2" s="2778"/>
      <c r="AG2" s="2778"/>
      <c r="AH2" s="2778"/>
      <c r="AI2" s="2778"/>
      <c r="AJ2" s="2778"/>
      <c r="AK2" s="2778"/>
      <c r="AL2" s="2778"/>
      <c r="AM2" s="2778"/>
      <c r="AN2" s="2778"/>
      <c r="AO2" s="2778"/>
      <c r="AP2" s="3205"/>
      <c r="AQ2" s="1509">
        <v>7</v>
      </c>
    </row>
    <row r="3" spans="1:57" ht="26.25" customHeight="1" x14ac:dyDescent="0.2">
      <c r="A3" s="2778"/>
      <c r="B3" s="2778"/>
      <c r="C3" s="2778"/>
      <c r="D3" s="2778"/>
      <c r="E3" s="2778"/>
      <c r="F3" s="2778"/>
      <c r="G3" s="2778"/>
      <c r="H3" s="2778"/>
      <c r="I3" s="2778"/>
      <c r="J3" s="2778"/>
      <c r="K3" s="2778"/>
      <c r="L3" s="2778"/>
      <c r="M3" s="2778"/>
      <c r="N3" s="2778"/>
      <c r="O3" s="2778"/>
      <c r="P3" s="2778"/>
      <c r="Q3" s="2778"/>
      <c r="R3" s="2778"/>
      <c r="S3" s="2778"/>
      <c r="T3" s="2778"/>
      <c r="U3" s="2778"/>
      <c r="V3" s="2778"/>
      <c r="W3" s="2778"/>
      <c r="X3" s="2778"/>
      <c r="Y3" s="2778"/>
      <c r="Z3" s="2778"/>
      <c r="AA3" s="2778"/>
      <c r="AB3" s="2778"/>
      <c r="AC3" s="2778"/>
      <c r="AD3" s="2778"/>
      <c r="AE3" s="2778"/>
      <c r="AF3" s="2778"/>
      <c r="AG3" s="2778"/>
      <c r="AH3" s="2778"/>
      <c r="AI3" s="2778"/>
      <c r="AJ3" s="2778"/>
      <c r="AK3" s="2778"/>
      <c r="AL3" s="2778"/>
      <c r="AM3" s="2778"/>
      <c r="AN3" s="2778"/>
      <c r="AO3" s="2778"/>
      <c r="AP3" s="3205"/>
      <c r="AQ3" s="1510" t="s">
        <v>4</v>
      </c>
    </row>
    <row r="4" spans="1:57" s="8" customFormat="1" ht="33.75" customHeight="1" x14ac:dyDescent="0.2">
      <c r="A4" s="2779"/>
      <c r="B4" s="2779"/>
      <c r="C4" s="2779"/>
      <c r="D4" s="2779"/>
      <c r="E4" s="2779"/>
      <c r="F4" s="2779"/>
      <c r="G4" s="2779"/>
      <c r="H4" s="2779"/>
      <c r="I4" s="2779"/>
      <c r="J4" s="2779"/>
      <c r="K4" s="2779"/>
      <c r="L4" s="2779"/>
      <c r="M4" s="2779"/>
      <c r="N4" s="2779"/>
      <c r="O4" s="2779"/>
      <c r="P4" s="2779"/>
      <c r="Q4" s="2779"/>
      <c r="R4" s="2779"/>
      <c r="S4" s="2779"/>
      <c r="T4" s="2779"/>
      <c r="U4" s="2779"/>
      <c r="V4" s="2779"/>
      <c r="W4" s="2779"/>
      <c r="X4" s="2779"/>
      <c r="Y4" s="2779"/>
      <c r="Z4" s="2779"/>
      <c r="AA4" s="2779"/>
      <c r="AB4" s="2779"/>
      <c r="AC4" s="2779"/>
      <c r="AD4" s="2779"/>
      <c r="AE4" s="2779"/>
      <c r="AF4" s="2779"/>
      <c r="AG4" s="2779"/>
      <c r="AH4" s="2779"/>
      <c r="AI4" s="2779"/>
      <c r="AJ4" s="2779"/>
      <c r="AK4" s="2779"/>
      <c r="AL4" s="2779"/>
      <c r="AM4" s="2779"/>
      <c r="AN4" s="2779"/>
      <c r="AO4" s="2779"/>
      <c r="AP4" s="3206"/>
      <c r="AQ4" s="7" t="s">
        <v>6</v>
      </c>
    </row>
    <row r="5" spans="1:57" ht="30" customHeight="1" x14ac:dyDescent="0.2">
      <c r="A5" s="2858" t="s">
        <v>7</v>
      </c>
      <c r="B5" s="2858"/>
      <c r="C5" s="2858"/>
      <c r="D5" s="2858"/>
      <c r="E5" s="2858"/>
      <c r="F5" s="2858"/>
      <c r="G5" s="2858"/>
      <c r="H5" s="2858"/>
      <c r="I5" s="2858"/>
      <c r="J5" s="2858"/>
      <c r="K5" s="2858"/>
      <c r="L5" s="2858"/>
      <c r="M5" s="2858"/>
      <c r="N5" s="1413"/>
      <c r="O5" s="1413"/>
      <c r="P5" s="2858" t="s">
        <v>8</v>
      </c>
      <c r="Q5" s="2858"/>
      <c r="R5" s="2858"/>
      <c r="S5" s="2858"/>
      <c r="T5" s="2858"/>
      <c r="U5" s="2858"/>
      <c r="V5" s="2858"/>
      <c r="W5" s="2858"/>
      <c r="X5" s="2858"/>
      <c r="Y5" s="2858"/>
      <c r="Z5" s="2858"/>
      <c r="AA5" s="2858"/>
      <c r="AB5" s="2858"/>
      <c r="AC5" s="2858"/>
      <c r="AD5" s="2858"/>
      <c r="AE5" s="2858"/>
      <c r="AF5" s="2858"/>
      <c r="AG5" s="2858"/>
      <c r="AH5" s="2858"/>
      <c r="AI5" s="2858"/>
      <c r="AJ5" s="2858"/>
      <c r="AK5" s="2858"/>
      <c r="AL5" s="2858"/>
      <c r="AM5" s="2858"/>
      <c r="AN5" s="2858"/>
      <c r="AO5" s="2858"/>
      <c r="AP5" s="2858"/>
      <c r="AQ5" s="2858"/>
    </row>
    <row r="6" spans="1:57" ht="34.5" customHeight="1" x14ac:dyDescent="0.2">
      <c r="A6" s="2770" t="s">
        <v>9</v>
      </c>
      <c r="B6" s="2781" t="s">
        <v>10</v>
      </c>
      <c r="C6" s="2782"/>
      <c r="D6" s="2772" t="s">
        <v>9</v>
      </c>
      <c r="E6" s="2781" t="s">
        <v>11</v>
      </c>
      <c r="F6" s="2782"/>
      <c r="G6" s="2772" t="s">
        <v>9</v>
      </c>
      <c r="H6" s="2781" t="s">
        <v>12</v>
      </c>
      <c r="I6" s="2782"/>
      <c r="J6" s="2772" t="s">
        <v>9</v>
      </c>
      <c r="K6" s="2772" t="s">
        <v>13</v>
      </c>
      <c r="L6" s="2772" t="s">
        <v>14</v>
      </c>
      <c r="M6" s="2772" t="s">
        <v>15</v>
      </c>
      <c r="N6" s="2772" t="s">
        <v>16</v>
      </c>
      <c r="O6" s="2772" t="s">
        <v>94</v>
      </c>
      <c r="P6" s="2772" t="s">
        <v>8</v>
      </c>
      <c r="Q6" s="2785" t="s">
        <v>18</v>
      </c>
      <c r="R6" s="2785" t="s">
        <v>19</v>
      </c>
      <c r="S6" s="2785" t="s">
        <v>20</v>
      </c>
      <c r="T6" s="2785" t="s">
        <v>21</v>
      </c>
      <c r="U6" s="2785" t="s">
        <v>22</v>
      </c>
      <c r="V6" s="1511" t="s">
        <v>19</v>
      </c>
      <c r="W6" s="1455"/>
      <c r="X6" s="2772" t="s">
        <v>23</v>
      </c>
      <c r="Y6" s="3585" t="s">
        <v>24</v>
      </c>
      <c r="Z6" s="3586"/>
      <c r="AA6" s="3594" t="s">
        <v>25</v>
      </c>
      <c r="AB6" s="3595"/>
      <c r="AC6" s="3595"/>
      <c r="AD6" s="3595"/>
      <c r="AE6" s="3596" t="s">
        <v>26</v>
      </c>
      <c r="AF6" s="3597"/>
      <c r="AG6" s="3597"/>
      <c r="AH6" s="3597"/>
      <c r="AI6" s="3597"/>
      <c r="AJ6" s="3597"/>
      <c r="AK6" s="3594" t="s">
        <v>27</v>
      </c>
      <c r="AL6" s="3595"/>
      <c r="AM6" s="3595"/>
      <c r="AN6" s="3598" t="s">
        <v>28</v>
      </c>
      <c r="AO6" s="3591" t="s">
        <v>29</v>
      </c>
      <c r="AP6" s="3591" t="s">
        <v>30</v>
      </c>
      <c r="AQ6" s="2765" t="s">
        <v>31</v>
      </c>
      <c r="AR6" s="38"/>
      <c r="AS6" s="38"/>
      <c r="AT6" s="38"/>
      <c r="AU6" s="38"/>
      <c r="AV6" s="38"/>
      <c r="AW6" s="38"/>
      <c r="AX6" s="38"/>
      <c r="AY6" s="38"/>
      <c r="AZ6" s="38"/>
      <c r="BA6" s="38"/>
      <c r="BB6" s="38"/>
      <c r="BC6" s="38"/>
      <c r="BD6" s="38"/>
      <c r="BE6" s="38"/>
    </row>
    <row r="7" spans="1:57" ht="179.25" customHeight="1" x14ac:dyDescent="0.2">
      <c r="A7" s="2771"/>
      <c r="B7" s="2783"/>
      <c r="C7" s="2784"/>
      <c r="D7" s="2773"/>
      <c r="E7" s="2783"/>
      <c r="F7" s="2784"/>
      <c r="G7" s="2773"/>
      <c r="H7" s="2783"/>
      <c r="I7" s="2784"/>
      <c r="J7" s="2773"/>
      <c r="K7" s="2773"/>
      <c r="L7" s="2773"/>
      <c r="M7" s="3587"/>
      <c r="N7" s="2773"/>
      <c r="O7" s="2773"/>
      <c r="P7" s="2773"/>
      <c r="Q7" s="2786"/>
      <c r="R7" s="2786"/>
      <c r="S7" s="2786"/>
      <c r="T7" s="2786"/>
      <c r="U7" s="2786"/>
      <c r="V7" s="1415" t="s">
        <v>1173</v>
      </c>
      <c r="W7" s="1414" t="s">
        <v>9</v>
      </c>
      <c r="X7" s="2773"/>
      <c r="Y7" s="126" t="s">
        <v>32</v>
      </c>
      <c r="Z7" s="127" t="s">
        <v>33</v>
      </c>
      <c r="AA7" s="126" t="s">
        <v>34</v>
      </c>
      <c r="AB7" s="126" t="s">
        <v>35</v>
      </c>
      <c r="AC7" s="126" t="s">
        <v>506</v>
      </c>
      <c r="AD7" s="126" t="s">
        <v>37</v>
      </c>
      <c r="AE7" s="126" t="s">
        <v>38</v>
      </c>
      <c r="AF7" s="126" t="s">
        <v>39</v>
      </c>
      <c r="AG7" s="126" t="s">
        <v>40</v>
      </c>
      <c r="AH7" s="126" t="s">
        <v>41</v>
      </c>
      <c r="AI7" s="126" t="s">
        <v>42</v>
      </c>
      <c r="AJ7" s="126" t="s">
        <v>43</v>
      </c>
      <c r="AK7" s="126" t="s">
        <v>44</v>
      </c>
      <c r="AL7" s="126" t="s">
        <v>45</v>
      </c>
      <c r="AM7" s="126" t="s">
        <v>46</v>
      </c>
      <c r="AN7" s="3599"/>
      <c r="AO7" s="3592"/>
      <c r="AP7" s="3592"/>
      <c r="AQ7" s="3593"/>
      <c r="AR7" s="38"/>
      <c r="AS7" s="38"/>
      <c r="AT7" s="38"/>
      <c r="AU7" s="38"/>
      <c r="AV7" s="38"/>
      <c r="AW7" s="38"/>
      <c r="AX7" s="38"/>
      <c r="AY7" s="38"/>
      <c r="AZ7" s="38"/>
      <c r="BA7" s="38"/>
      <c r="BB7" s="38"/>
      <c r="BC7" s="38"/>
      <c r="BD7" s="38"/>
      <c r="BE7" s="38"/>
    </row>
    <row r="8" spans="1:57" s="1520" customFormat="1" ht="15.75" x14ac:dyDescent="0.25">
      <c r="A8" s="1512">
        <v>3</v>
      </c>
      <c r="B8" s="1513"/>
      <c r="C8" s="1513" t="s">
        <v>999</v>
      </c>
      <c r="D8" s="1513"/>
      <c r="E8" s="1513"/>
      <c r="F8" s="1513"/>
      <c r="G8" s="1513"/>
      <c r="H8" s="1513"/>
      <c r="I8" s="1513"/>
      <c r="J8" s="1513"/>
      <c r="K8" s="16"/>
      <c r="L8" s="16"/>
      <c r="M8" s="1513"/>
      <c r="N8" s="17"/>
      <c r="O8" s="1513"/>
      <c r="P8" s="16"/>
      <c r="Q8" s="1514"/>
      <c r="R8" s="1515"/>
      <c r="S8" s="16"/>
      <c r="T8" s="16"/>
      <c r="U8" s="16"/>
      <c r="V8" s="16"/>
      <c r="W8" s="17"/>
      <c r="X8" s="1513"/>
      <c r="Y8" s="1513"/>
      <c r="Z8" s="1513"/>
      <c r="AA8" s="1513"/>
      <c r="AB8" s="1513"/>
      <c r="AC8" s="1513"/>
      <c r="AD8" s="1513"/>
      <c r="AE8" s="1513"/>
      <c r="AF8" s="1513"/>
      <c r="AG8" s="1513"/>
      <c r="AH8" s="1516"/>
      <c r="AI8" s="16"/>
      <c r="AJ8" s="1517"/>
      <c r="AK8" s="1517"/>
      <c r="AL8" s="1517"/>
      <c r="AM8" s="1517"/>
      <c r="AN8" s="1517"/>
      <c r="AO8" s="1518"/>
      <c r="AP8" s="1518"/>
      <c r="AQ8" s="1519"/>
    </row>
    <row r="9" spans="1:57" s="1520" customFormat="1" ht="15.75" x14ac:dyDescent="0.25">
      <c r="A9" s="1521"/>
      <c r="B9" s="1468"/>
      <c r="C9" s="1469"/>
      <c r="D9" s="1522">
        <v>5</v>
      </c>
      <c r="E9" s="1523" t="s">
        <v>1174</v>
      </c>
      <c r="F9" s="1523"/>
      <c r="G9" s="1523"/>
      <c r="H9" s="1523"/>
      <c r="I9" s="1523"/>
      <c r="J9" s="1523"/>
      <c r="K9" s="28"/>
      <c r="L9" s="28"/>
      <c r="M9" s="1523"/>
      <c r="N9" s="29"/>
      <c r="O9" s="1523"/>
      <c r="P9" s="28"/>
      <c r="Q9" s="1524"/>
      <c r="R9" s="1525"/>
      <c r="S9" s="28"/>
      <c r="T9" s="28"/>
      <c r="U9" s="28"/>
      <c r="V9" s="28"/>
      <c r="W9" s="29"/>
      <c r="X9" s="1523"/>
      <c r="Y9" s="1523"/>
      <c r="Z9" s="1523"/>
      <c r="AA9" s="1523"/>
      <c r="AB9" s="1523"/>
      <c r="AC9" s="1523"/>
      <c r="AD9" s="1523"/>
      <c r="AE9" s="1523"/>
      <c r="AF9" s="1523"/>
      <c r="AG9" s="1523"/>
      <c r="AH9" s="1526"/>
      <c r="AI9" s="28"/>
      <c r="AJ9" s="1527"/>
      <c r="AK9" s="1527"/>
      <c r="AL9" s="1527"/>
      <c r="AM9" s="1527"/>
      <c r="AN9" s="1527"/>
      <c r="AO9" s="1528"/>
      <c r="AP9" s="1528"/>
      <c r="AQ9" s="1529"/>
    </row>
    <row r="10" spans="1:57" s="1520" customFormat="1" ht="15.75" x14ac:dyDescent="0.25">
      <c r="A10" s="1530"/>
      <c r="B10" s="1470"/>
      <c r="C10" s="1470"/>
      <c r="D10" s="1531"/>
      <c r="E10" s="1532"/>
      <c r="F10" s="1533"/>
      <c r="G10" s="1534">
        <v>16</v>
      </c>
      <c r="H10" s="1416" t="s">
        <v>1175</v>
      </c>
      <c r="I10" s="1416"/>
      <c r="J10" s="1416"/>
      <c r="K10" s="158"/>
      <c r="L10" s="158"/>
      <c r="M10" s="1416"/>
      <c r="N10" s="260"/>
      <c r="O10" s="1416"/>
      <c r="P10" s="158"/>
      <c r="Q10" s="1535"/>
      <c r="R10" s="1536"/>
      <c r="S10" s="158"/>
      <c r="T10" s="1537"/>
      <c r="U10" s="1537"/>
      <c r="V10" s="1537"/>
      <c r="W10" s="1538"/>
      <c r="X10" s="1539"/>
      <c r="Y10" s="1416"/>
      <c r="Z10" s="1416"/>
      <c r="AA10" s="1416"/>
      <c r="AB10" s="1416"/>
      <c r="AC10" s="1416"/>
      <c r="AD10" s="1416"/>
      <c r="AE10" s="1540"/>
      <c r="AF10" s="1416"/>
      <c r="AG10" s="1416"/>
      <c r="AH10" s="1541"/>
      <c r="AI10" s="158"/>
      <c r="AJ10" s="1542"/>
      <c r="AK10" s="1542"/>
      <c r="AL10" s="1542"/>
      <c r="AM10" s="1542"/>
      <c r="AN10" s="1542"/>
      <c r="AO10" s="1543"/>
      <c r="AP10" s="1543"/>
      <c r="AQ10" s="1544"/>
    </row>
    <row r="11" spans="1:57" s="1520" customFormat="1" ht="15.75" customHeight="1" x14ac:dyDescent="0.25">
      <c r="A11" s="1530"/>
      <c r="B11" s="1470"/>
      <c r="C11" s="1470"/>
      <c r="D11" s="1545"/>
      <c r="E11" s="1546"/>
      <c r="F11" s="1547"/>
      <c r="G11" s="360"/>
      <c r="H11" s="360"/>
      <c r="I11" s="1548"/>
      <c r="J11" s="2608">
        <v>65</v>
      </c>
      <c r="K11" s="3308" t="s">
        <v>1176</v>
      </c>
      <c r="L11" s="3308" t="s">
        <v>1177</v>
      </c>
      <c r="M11" s="2951">
        <v>1</v>
      </c>
      <c r="N11" s="2880" t="s">
        <v>1178</v>
      </c>
      <c r="O11" s="3302" t="s">
        <v>1179</v>
      </c>
      <c r="P11" s="3307" t="s">
        <v>1180</v>
      </c>
      <c r="Q11" s="3583">
        <f>SUM(V11:V15)/$R$11</f>
        <v>0.28664236022810946</v>
      </c>
      <c r="R11" s="3588">
        <f>SUM(V11:V25)</f>
        <v>22459800034.010002</v>
      </c>
      <c r="S11" s="3355" t="s">
        <v>1181</v>
      </c>
      <c r="T11" s="3589" t="s">
        <v>1182</v>
      </c>
      <c r="U11" s="3589" t="s">
        <v>1183</v>
      </c>
      <c r="V11" s="3590">
        <v>2166498979</v>
      </c>
      <c r="W11" s="2655">
        <v>35</v>
      </c>
      <c r="X11" s="3601" t="s">
        <v>1184</v>
      </c>
      <c r="Y11" s="3306">
        <v>20555</v>
      </c>
      <c r="Z11" s="3600">
        <v>21361</v>
      </c>
      <c r="AA11" s="3600">
        <v>30460</v>
      </c>
      <c r="AB11" s="3600">
        <v>9593</v>
      </c>
      <c r="AC11" s="3600">
        <v>1762</v>
      </c>
      <c r="AD11" s="3600">
        <v>101</v>
      </c>
      <c r="AE11" s="3600">
        <v>308</v>
      </c>
      <c r="AF11" s="3600">
        <v>277</v>
      </c>
      <c r="AG11" s="3600">
        <v>0</v>
      </c>
      <c r="AH11" s="3600">
        <v>0</v>
      </c>
      <c r="AI11" s="3600">
        <v>0</v>
      </c>
      <c r="AJ11" s="3600">
        <v>0</v>
      </c>
      <c r="AK11" s="3600">
        <v>2907</v>
      </c>
      <c r="AL11" s="3600">
        <v>2589</v>
      </c>
      <c r="AM11" s="3600">
        <v>2954</v>
      </c>
      <c r="AN11" s="3600">
        <f>+Y11+Z11</f>
        <v>41916</v>
      </c>
      <c r="AO11" s="3611">
        <v>43466</v>
      </c>
      <c r="AP11" s="3605">
        <v>43830</v>
      </c>
      <c r="AQ11" s="2608" t="s">
        <v>1185</v>
      </c>
    </row>
    <row r="12" spans="1:57" s="1520" customFormat="1" ht="18" customHeight="1" x14ac:dyDescent="0.25">
      <c r="A12" s="1530"/>
      <c r="B12" s="1470"/>
      <c r="C12" s="1470"/>
      <c r="D12" s="1545"/>
      <c r="E12" s="1546"/>
      <c r="F12" s="1547"/>
      <c r="G12" s="360"/>
      <c r="H12" s="360"/>
      <c r="I12" s="1548"/>
      <c r="J12" s="2608"/>
      <c r="K12" s="3308"/>
      <c r="L12" s="3308"/>
      <c r="M12" s="2951"/>
      <c r="N12" s="2881"/>
      <c r="O12" s="3302"/>
      <c r="P12" s="3308"/>
      <c r="Q12" s="3583"/>
      <c r="R12" s="3588"/>
      <c r="S12" s="3355"/>
      <c r="T12" s="3589"/>
      <c r="U12" s="3589"/>
      <c r="V12" s="3590"/>
      <c r="W12" s="2655"/>
      <c r="X12" s="3601"/>
      <c r="Y12" s="3306"/>
      <c r="Z12" s="3600"/>
      <c r="AA12" s="3600"/>
      <c r="AB12" s="3600"/>
      <c r="AC12" s="3600"/>
      <c r="AD12" s="3600"/>
      <c r="AE12" s="3600"/>
      <c r="AF12" s="3600"/>
      <c r="AG12" s="3600"/>
      <c r="AH12" s="3600"/>
      <c r="AI12" s="3600"/>
      <c r="AJ12" s="3600"/>
      <c r="AK12" s="3600"/>
      <c r="AL12" s="3600"/>
      <c r="AM12" s="3600"/>
      <c r="AN12" s="3600"/>
      <c r="AO12" s="3612"/>
      <c r="AP12" s="3606"/>
      <c r="AQ12" s="2608"/>
    </row>
    <row r="13" spans="1:57" s="1520" customFormat="1" ht="28.5" customHeight="1" x14ac:dyDescent="0.25">
      <c r="A13" s="1530"/>
      <c r="B13" s="1470"/>
      <c r="C13" s="1470"/>
      <c r="D13" s="1545"/>
      <c r="E13" s="1546"/>
      <c r="F13" s="1547"/>
      <c r="G13" s="360"/>
      <c r="H13" s="360"/>
      <c r="I13" s="1548"/>
      <c r="J13" s="2608"/>
      <c r="K13" s="3308"/>
      <c r="L13" s="3308"/>
      <c r="M13" s="2951"/>
      <c r="N13" s="2881"/>
      <c r="O13" s="3302"/>
      <c r="P13" s="3308"/>
      <c r="Q13" s="3583"/>
      <c r="R13" s="3588"/>
      <c r="S13" s="3355"/>
      <c r="T13" s="3589"/>
      <c r="U13" s="3589"/>
      <c r="V13" s="1549">
        <f>1142155795+241355304</f>
        <v>1383511099</v>
      </c>
      <c r="W13" s="1430">
        <v>20</v>
      </c>
      <c r="X13" s="1550" t="s">
        <v>72</v>
      </c>
      <c r="Y13" s="3306"/>
      <c r="Z13" s="3600"/>
      <c r="AA13" s="3600"/>
      <c r="AB13" s="3600"/>
      <c r="AC13" s="3600"/>
      <c r="AD13" s="3600"/>
      <c r="AE13" s="3600"/>
      <c r="AF13" s="3600"/>
      <c r="AG13" s="3600"/>
      <c r="AH13" s="3600"/>
      <c r="AI13" s="3600"/>
      <c r="AJ13" s="3600"/>
      <c r="AK13" s="3600"/>
      <c r="AL13" s="3600"/>
      <c r="AM13" s="3600"/>
      <c r="AN13" s="3600"/>
      <c r="AO13" s="3612"/>
      <c r="AP13" s="3606"/>
      <c r="AQ13" s="2608"/>
    </row>
    <row r="14" spans="1:57" s="1520" customFormat="1" ht="28.5" customHeight="1" x14ac:dyDescent="0.25">
      <c r="A14" s="1530"/>
      <c r="B14" s="1470"/>
      <c r="C14" s="1470"/>
      <c r="D14" s="1545"/>
      <c r="E14" s="1546"/>
      <c r="F14" s="1547"/>
      <c r="G14" s="360"/>
      <c r="H14" s="360"/>
      <c r="I14" s="1548"/>
      <c r="J14" s="2608"/>
      <c r="K14" s="3308"/>
      <c r="L14" s="3308"/>
      <c r="M14" s="2951"/>
      <c r="N14" s="2881"/>
      <c r="O14" s="3302"/>
      <c r="P14" s="3308"/>
      <c r="Q14" s="3583"/>
      <c r="R14" s="3588"/>
      <c r="S14" s="3355"/>
      <c r="T14" s="3589"/>
      <c r="U14" s="3589"/>
      <c r="V14" s="1549">
        <v>43958033</v>
      </c>
      <c r="W14" s="1430">
        <v>91</v>
      </c>
      <c r="X14" s="1550" t="s">
        <v>1186</v>
      </c>
      <c r="Y14" s="3306"/>
      <c r="Z14" s="3600"/>
      <c r="AA14" s="3600"/>
      <c r="AB14" s="3600"/>
      <c r="AC14" s="3600"/>
      <c r="AD14" s="3600"/>
      <c r="AE14" s="3600"/>
      <c r="AF14" s="3600"/>
      <c r="AG14" s="3600"/>
      <c r="AH14" s="3600"/>
      <c r="AI14" s="3600"/>
      <c r="AJ14" s="3600"/>
      <c r="AK14" s="3600"/>
      <c r="AL14" s="3600"/>
      <c r="AM14" s="3600"/>
      <c r="AN14" s="3600"/>
      <c r="AO14" s="3612"/>
      <c r="AP14" s="3606"/>
      <c r="AQ14" s="2608"/>
    </row>
    <row r="15" spans="1:57" s="1520" customFormat="1" ht="31.5" customHeight="1" x14ac:dyDescent="0.25">
      <c r="A15" s="1530"/>
      <c r="B15" s="1470"/>
      <c r="C15" s="1470"/>
      <c r="D15" s="1545"/>
      <c r="E15" s="1546"/>
      <c r="F15" s="1547"/>
      <c r="G15" s="360"/>
      <c r="H15" s="360"/>
      <c r="I15" s="1548"/>
      <c r="J15" s="2609"/>
      <c r="K15" s="3319"/>
      <c r="L15" s="3319"/>
      <c r="M15" s="2952"/>
      <c r="N15" s="2881"/>
      <c r="O15" s="3302"/>
      <c r="P15" s="3308"/>
      <c r="Q15" s="3584"/>
      <c r="R15" s="3588"/>
      <c r="S15" s="3355"/>
      <c r="T15" s="3589"/>
      <c r="U15" s="3589"/>
      <c r="V15" s="1551">
        <f>2321723335+522238646</f>
        <v>2843961981</v>
      </c>
      <c r="W15" s="1552">
        <v>88</v>
      </c>
      <c r="X15" s="1553" t="s">
        <v>140</v>
      </c>
      <c r="Y15" s="3306"/>
      <c r="Z15" s="3600"/>
      <c r="AA15" s="3600"/>
      <c r="AB15" s="3600"/>
      <c r="AC15" s="3600"/>
      <c r="AD15" s="3600"/>
      <c r="AE15" s="3600"/>
      <c r="AF15" s="3600"/>
      <c r="AG15" s="3600"/>
      <c r="AH15" s="3600"/>
      <c r="AI15" s="3600"/>
      <c r="AJ15" s="3600"/>
      <c r="AK15" s="3600"/>
      <c r="AL15" s="3600"/>
      <c r="AM15" s="3600"/>
      <c r="AN15" s="3600"/>
      <c r="AO15" s="3612"/>
      <c r="AP15" s="3606"/>
      <c r="AQ15" s="2608"/>
    </row>
    <row r="16" spans="1:57" s="1520" customFormat="1" ht="32.25" customHeight="1" x14ac:dyDescent="0.25">
      <c r="A16" s="1530"/>
      <c r="B16" s="1470"/>
      <c r="C16" s="1470"/>
      <c r="D16" s="1545"/>
      <c r="E16" s="1546"/>
      <c r="F16" s="1547"/>
      <c r="G16" s="360"/>
      <c r="H16" s="360"/>
      <c r="I16" s="1548"/>
      <c r="J16" s="2588">
        <v>66</v>
      </c>
      <c r="K16" s="3307" t="s">
        <v>1187</v>
      </c>
      <c r="L16" s="3307" t="s">
        <v>1188</v>
      </c>
      <c r="M16" s="2950">
        <v>1</v>
      </c>
      <c r="N16" s="2881"/>
      <c r="O16" s="3302"/>
      <c r="P16" s="3308"/>
      <c r="Q16" s="3608">
        <f>SUM(V16:V21)/$R$11</f>
        <v>0.65547644768507485</v>
      </c>
      <c r="R16" s="3588"/>
      <c r="S16" s="3355"/>
      <c r="T16" s="2662" t="s">
        <v>1189</v>
      </c>
      <c r="U16" s="2662" t="s">
        <v>1190</v>
      </c>
      <c r="V16" s="1554">
        <f>9000000000-9451667+2317639250+481791807</f>
        <v>11789979390</v>
      </c>
      <c r="W16" s="1431">
        <v>81</v>
      </c>
      <c r="X16" s="1555" t="s">
        <v>1191</v>
      </c>
      <c r="Y16" s="3306"/>
      <c r="Z16" s="3600"/>
      <c r="AA16" s="3600"/>
      <c r="AB16" s="3600"/>
      <c r="AC16" s="3600"/>
      <c r="AD16" s="3600"/>
      <c r="AE16" s="3600"/>
      <c r="AF16" s="3600"/>
      <c r="AG16" s="3600"/>
      <c r="AH16" s="3600"/>
      <c r="AI16" s="3600"/>
      <c r="AJ16" s="3600"/>
      <c r="AK16" s="3600"/>
      <c r="AL16" s="3600"/>
      <c r="AM16" s="3600"/>
      <c r="AN16" s="3600"/>
      <c r="AO16" s="3612"/>
      <c r="AP16" s="3606"/>
      <c r="AQ16" s="2608"/>
    </row>
    <row r="17" spans="1:43" s="1520" customFormat="1" ht="36" customHeight="1" x14ac:dyDescent="0.25">
      <c r="A17" s="1530"/>
      <c r="B17" s="1470"/>
      <c r="C17" s="1470"/>
      <c r="D17" s="1545"/>
      <c r="E17" s="1546"/>
      <c r="F17" s="1547"/>
      <c r="G17" s="360"/>
      <c r="H17" s="360"/>
      <c r="I17" s="1548"/>
      <c r="J17" s="2608"/>
      <c r="K17" s="3308"/>
      <c r="L17" s="3308"/>
      <c r="M17" s="2951"/>
      <c r="N17" s="2881"/>
      <c r="O17" s="3302"/>
      <c r="P17" s="3308"/>
      <c r="Q17" s="3583"/>
      <c r="R17" s="3588"/>
      <c r="S17" s="3355"/>
      <c r="T17" s="2662"/>
      <c r="U17" s="2662"/>
      <c r="V17" s="1554">
        <v>150000000</v>
      </c>
      <c r="W17" s="1431">
        <v>81</v>
      </c>
      <c r="X17" s="1555" t="s">
        <v>1192</v>
      </c>
      <c r="Y17" s="3306"/>
      <c r="Z17" s="3600"/>
      <c r="AA17" s="3600"/>
      <c r="AB17" s="3600"/>
      <c r="AC17" s="3600"/>
      <c r="AD17" s="3600"/>
      <c r="AE17" s="3600"/>
      <c r="AF17" s="3600"/>
      <c r="AG17" s="3600"/>
      <c r="AH17" s="3600"/>
      <c r="AI17" s="3600"/>
      <c r="AJ17" s="3600"/>
      <c r="AK17" s="3600"/>
      <c r="AL17" s="3600"/>
      <c r="AM17" s="3600"/>
      <c r="AN17" s="3600"/>
      <c r="AO17" s="3612"/>
      <c r="AP17" s="3606"/>
      <c r="AQ17" s="2608"/>
    </row>
    <row r="18" spans="1:43" s="1520" customFormat="1" ht="36" customHeight="1" x14ac:dyDescent="0.25">
      <c r="A18" s="1530"/>
      <c r="B18" s="1470"/>
      <c r="C18" s="1470"/>
      <c r="D18" s="1545"/>
      <c r="E18" s="1546"/>
      <c r="F18" s="1547"/>
      <c r="G18" s="360"/>
      <c r="H18" s="360"/>
      <c r="I18" s="1548"/>
      <c r="J18" s="2608"/>
      <c r="K18" s="3308"/>
      <c r="L18" s="3308"/>
      <c r="M18" s="2951"/>
      <c r="N18" s="2881"/>
      <c r="O18" s="3302"/>
      <c r="P18" s="3308"/>
      <c r="Q18" s="3583"/>
      <c r="R18" s="3588"/>
      <c r="S18" s="3355"/>
      <c r="T18" s="2662"/>
      <c r="U18" s="2662"/>
      <c r="V18" s="1554">
        <v>1577857420.24</v>
      </c>
      <c r="W18" s="1431">
        <v>137</v>
      </c>
      <c r="X18" s="1555" t="s">
        <v>1193</v>
      </c>
      <c r="Y18" s="3306"/>
      <c r="Z18" s="3600"/>
      <c r="AA18" s="3600"/>
      <c r="AB18" s="3600"/>
      <c r="AC18" s="3600"/>
      <c r="AD18" s="3600"/>
      <c r="AE18" s="3600"/>
      <c r="AF18" s="3600"/>
      <c r="AG18" s="3600"/>
      <c r="AH18" s="3600"/>
      <c r="AI18" s="3600"/>
      <c r="AJ18" s="3600"/>
      <c r="AK18" s="3600"/>
      <c r="AL18" s="3600"/>
      <c r="AM18" s="3600"/>
      <c r="AN18" s="3600"/>
      <c r="AO18" s="3612"/>
      <c r="AP18" s="3606"/>
      <c r="AQ18" s="2608"/>
    </row>
    <row r="19" spans="1:43" s="1520" customFormat="1" ht="41.25" customHeight="1" x14ac:dyDescent="0.25">
      <c r="A19" s="1530"/>
      <c r="B19" s="1470"/>
      <c r="C19" s="1470"/>
      <c r="D19" s="1545"/>
      <c r="E19" s="1546"/>
      <c r="F19" s="1547"/>
      <c r="G19" s="360"/>
      <c r="H19" s="360"/>
      <c r="I19" s="1548"/>
      <c r="J19" s="2608"/>
      <c r="K19" s="3308"/>
      <c r="L19" s="3308"/>
      <c r="M19" s="2951"/>
      <c r="N19" s="2881"/>
      <c r="O19" s="3302"/>
      <c r="P19" s="3308"/>
      <c r="Q19" s="3583"/>
      <c r="R19" s="3588"/>
      <c r="S19" s="3355"/>
      <c r="T19" s="2662"/>
      <c r="U19" s="2662"/>
      <c r="V19" s="1554">
        <v>909383464.76999998</v>
      </c>
      <c r="W19" s="1431">
        <v>56</v>
      </c>
      <c r="X19" s="1556" t="s">
        <v>1194</v>
      </c>
      <c r="Y19" s="3306"/>
      <c r="Z19" s="3600"/>
      <c r="AA19" s="3600"/>
      <c r="AB19" s="3600"/>
      <c r="AC19" s="3600"/>
      <c r="AD19" s="3600"/>
      <c r="AE19" s="3600"/>
      <c r="AF19" s="3600"/>
      <c r="AG19" s="3600"/>
      <c r="AH19" s="3600"/>
      <c r="AI19" s="3600"/>
      <c r="AJ19" s="3600"/>
      <c r="AK19" s="3600"/>
      <c r="AL19" s="3600"/>
      <c r="AM19" s="3600"/>
      <c r="AN19" s="3600"/>
      <c r="AO19" s="3612"/>
      <c r="AP19" s="3606"/>
      <c r="AQ19" s="2608"/>
    </row>
    <row r="20" spans="1:43" s="1520" customFormat="1" ht="33" customHeight="1" x14ac:dyDescent="0.25">
      <c r="A20" s="1530"/>
      <c r="B20" s="1470"/>
      <c r="C20" s="1470"/>
      <c r="D20" s="1545"/>
      <c r="E20" s="1546"/>
      <c r="F20" s="1547"/>
      <c r="G20" s="360"/>
      <c r="H20" s="360"/>
      <c r="I20" s="1548"/>
      <c r="J20" s="2608"/>
      <c r="K20" s="3308"/>
      <c r="L20" s="3308"/>
      <c r="M20" s="2951"/>
      <c r="N20" s="2881"/>
      <c r="O20" s="3302"/>
      <c r="P20" s="3308"/>
      <c r="Q20" s="3583"/>
      <c r="R20" s="3588"/>
      <c r="S20" s="3355"/>
      <c r="T20" s="2662"/>
      <c r="U20" s="3609" t="s">
        <v>1195</v>
      </c>
      <c r="V20" s="1557">
        <v>285198000</v>
      </c>
      <c r="W20" s="1431">
        <v>20</v>
      </c>
      <c r="X20" s="1555" t="s">
        <v>72</v>
      </c>
      <c r="Y20" s="3306"/>
      <c r="Z20" s="3600"/>
      <c r="AA20" s="3600"/>
      <c r="AB20" s="3600"/>
      <c r="AC20" s="3600"/>
      <c r="AD20" s="3600"/>
      <c r="AE20" s="3600"/>
      <c r="AF20" s="3600"/>
      <c r="AG20" s="3600"/>
      <c r="AH20" s="3600"/>
      <c r="AI20" s="3600"/>
      <c r="AJ20" s="3600"/>
      <c r="AK20" s="3600"/>
      <c r="AL20" s="3600"/>
      <c r="AM20" s="3600"/>
      <c r="AN20" s="3600"/>
      <c r="AO20" s="3612"/>
      <c r="AP20" s="3606"/>
      <c r="AQ20" s="2608"/>
    </row>
    <row r="21" spans="1:43" s="1520" customFormat="1" ht="33.75" customHeight="1" x14ac:dyDescent="0.25">
      <c r="A21" s="1530"/>
      <c r="B21" s="1470"/>
      <c r="C21" s="1470"/>
      <c r="D21" s="1545"/>
      <c r="E21" s="1546"/>
      <c r="F21" s="1547"/>
      <c r="G21" s="360"/>
      <c r="H21" s="360"/>
      <c r="I21" s="1548"/>
      <c r="J21" s="2609"/>
      <c r="K21" s="3319"/>
      <c r="L21" s="3319"/>
      <c r="M21" s="2952"/>
      <c r="N21" s="2881"/>
      <c r="O21" s="3302"/>
      <c r="P21" s="3308"/>
      <c r="Q21" s="3584"/>
      <c r="R21" s="3588"/>
      <c r="S21" s="3355"/>
      <c r="T21" s="2662"/>
      <c r="U21" s="3610"/>
      <c r="V21" s="1557">
        <v>9451667</v>
      </c>
      <c r="W21" s="1431">
        <v>81</v>
      </c>
      <c r="X21" s="1555" t="s">
        <v>1191</v>
      </c>
      <c r="Y21" s="3306"/>
      <c r="Z21" s="3600"/>
      <c r="AA21" s="3600"/>
      <c r="AB21" s="3600"/>
      <c r="AC21" s="3600"/>
      <c r="AD21" s="3600"/>
      <c r="AE21" s="3600"/>
      <c r="AF21" s="3600"/>
      <c r="AG21" s="3600"/>
      <c r="AH21" s="3600"/>
      <c r="AI21" s="3600"/>
      <c r="AJ21" s="3600"/>
      <c r="AK21" s="3600"/>
      <c r="AL21" s="3600"/>
      <c r="AM21" s="3600"/>
      <c r="AN21" s="3600"/>
      <c r="AO21" s="3612"/>
      <c r="AP21" s="3606"/>
      <c r="AQ21" s="2608"/>
    </row>
    <row r="22" spans="1:43" s="1559" customFormat="1" ht="28.5" customHeight="1" x14ac:dyDescent="0.25">
      <c r="A22" s="1530"/>
      <c r="B22" s="1470"/>
      <c r="C22" s="1470"/>
      <c r="D22" s="1545"/>
      <c r="E22" s="1546"/>
      <c r="F22" s="1547"/>
      <c r="G22" s="360"/>
      <c r="H22" s="360"/>
      <c r="I22" s="1548"/>
      <c r="J22" s="2588">
        <v>67</v>
      </c>
      <c r="K22" s="3307" t="s">
        <v>1196</v>
      </c>
      <c r="L22" s="3307" t="s">
        <v>1197</v>
      </c>
      <c r="M22" s="2950">
        <v>1</v>
      </c>
      <c r="N22" s="2881"/>
      <c r="O22" s="3302"/>
      <c r="P22" s="3308"/>
      <c r="Q22" s="3602">
        <f>SUM(V22:V25)/$R$11</f>
        <v>5.788119208681558E-2</v>
      </c>
      <c r="R22" s="3588"/>
      <c r="S22" s="3355"/>
      <c r="T22" s="2662" t="s">
        <v>1198</v>
      </c>
      <c r="U22" s="2662" t="s">
        <v>1199</v>
      </c>
      <c r="V22" s="1558">
        <f>860000000-241355304</f>
        <v>618644696</v>
      </c>
      <c r="W22" s="1431">
        <v>20</v>
      </c>
      <c r="X22" s="1555" t="s">
        <v>72</v>
      </c>
      <c r="Y22" s="3306"/>
      <c r="Z22" s="3600"/>
      <c r="AA22" s="3600"/>
      <c r="AB22" s="3600"/>
      <c r="AC22" s="3600"/>
      <c r="AD22" s="3600"/>
      <c r="AE22" s="3600"/>
      <c r="AF22" s="3600"/>
      <c r="AG22" s="3600"/>
      <c r="AH22" s="3600"/>
      <c r="AI22" s="3600"/>
      <c r="AJ22" s="3600"/>
      <c r="AK22" s="3600"/>
      <c r="AL22" s="3600"/>
      <c r="AM22" s="3600"/>
      <c r="AN22" s="3600"/>
      <c r="AO22" s="3612"/>
      <c r="AP22" s="3606"/>
      <c r="AQ22" s="2608"/>
    </row>
    <row r="23" spans="1:43" s="1559" customFormat="1" ht="28.5" customHeight="1" x14ac:dyDescent="0.25">
      <c r="A23" s="1530"/>
      <c r="B23" s="1470"/>
      <c r="C23" s="1470"/>
      <c r="D23" s="1545"/>
      <c r="E23" s="1546"/>
      <c r="F23" s="1547"/>
      <c r="G23" s="360"/>
      <c r="H23" s="360"/>
      <c r="I23" s="1548"/>
      <c r="J23" s="2608"/>
      <c r="K23" s="3308"/>
      <c r="L23" s="3308"/>
      <c r="M23" s="2951"/>
      <c r="N23" s="2881"/>
      <c r="O23" s="3302"/>
      <c r="P23" s="3308"/>
      <c r="Q23" s="3603"/>
      <c r="R23" s="3588"/>
      <c r="S23" s="3355"/>
      <c r="T23" s="2662"/>
      <c r="U23" s="2662"/>
      <c r="V23" s="1558">
        <v>241355304</v>
      </c>
      <c r="W23" s="1431">
        <v>91</v>
      </c>
      <c r="X23" s="1555" t="s">
        <v>1186</v>
      </c>
      <c r="Y23" s="3306"/>
      <c r="Z23" s="3600"/>
      <c r="AA23" s="3600"/>
      <c r="AB23" s="3600"/>
      <c r="AC23" s="3600"/>
      <c r="AD23" s="3600"/>
      <c r="AE23" s="3600"/>
      <c r="AF23" s="3600"/>
      <c r="AG23" s="3600"/>
      <c r="AH23" s="3600"/>
      <c r="AI23" s="3600"/>
      <c r="AJ23" s="3600"/>
      <c r="AK23" s="3600"/>
      <c r="AL23" s="3600"/>
      <c r="AM23" s="3600"/>
      <c r="AN23" s="3600"/>
      <c r="AO23" s="3612"/>
      <c r="AP23" s="3606"/>
      <c r="AQ23" s="2608"/>
    </row>
    <row r="24" spans="1:43" s="1559" customFormat="1" ht="27" customHeight="1" x14ac:dyDescent="0.25">
      <c r="A24" s="1530"/>
      <c r="B24" s="1470"/>
      <c r="C24" s="1470"/>
      <c r="D24" s="1545"/>
      <c r="E24" s="1546"/>
      <c r="F24" s="1547"/>
      <c r="G24" s="360"/>
      <c r="H24" s="360"/>
      <c r="I24" s="1548"/>
      <c r="J24" s="2608"/>
      <c r="K24" s="3308"/>
      <c r="L24" s="3308"/>
      <c r="M24" s="2951"/>
      <c r="N24" s="2881"/>
      <c r="O24" s="3302"/>
      <c r="P24" s="3308"/>
      <c r="Q24" s="3603"/>
      <c r="R24" s="3588"/>
      <c r="S24" s="3355"/>
      <c r="T24" s="2662"/>
      <c r="U24" s="2662"/>
      <c r="V24" s="1558">
        <v>200000000</v>
      </c>
      <c r="W24" s="1430">
        <v>35</v>
      </c>
      <c r="X24" s="1560" t="s">
        <v>1184</v>
      </c>
      <c r="Y24" s="3306"/>
      <c r="Z24" s="3600"/>
      <c r="AA24" s="3600"/>
      <c r="AB24" s="3600"/>
      <c r="AC24" s="3600"/>
      <c r="AD24" s="3600"/>
      <c r="AE24" s="3600"/>
      <c r="AF24" s="3600"/>
      <c r="AG24" s="3600"/>
      <c r="AH24" s="3600"/>
      <c r="AI24" s="3600"/>
      <c r="AJ24" s="3600"/>
      <c r="AK24" s="3600"/>
      <c r="AL24" s="3600"/>
      <c r="AM24" s="3600"/>
      <c r="AN24" s="3600"/>
      <c r="AO24" s="3612"/>
      <c r="AP24" s="3606"/>
      <c r="AQ24" s="2608"/>
    </row>
    <row r="25" spans="1:43" s="1520" customFormat="1" ht="24" customHeight="1" x14ac:dyDescent="0.25">
      <c r="A25" s="1530"/>
      <c r="B25" s="1470"/>
      <c r="C25" s="1470"/>
      <c r="D25" s="1545"/>
      <c r="E25" s="1546"/>
      <c r="F25" s="1547"/>
      <c r="G25" s="360"/>
      <c r="H25" s="360"/>
      <c r="I25" s="1548"/>
      <c r="J25" s="2608"/>
      <c r="K25" s="3308"/>
      <c r="L25" s="3308"/>
      <c r="M25" s="2951"/>
      <c r="N25" s="2919"/>
      <c r="O25" s="3302"/>
      <c r="P25" s="3319"/>
      <c r="Q25" s="3604"/>
      <c r="R25" s="3588"/>
      <c r="S25" s="3355"/>
      <c r="T25" s="2662"/>
      <c r="U25" s="2662"/>
      <c r="V25" s="1551">
        <f>0+240000000</f>
        <v>240000000</v>
      </c>
      <c r="W25" s="1561">
        <v>88</v>
      </c>
      <c r="X25" s="1562" t="s">
        <v>140</v>
      </c>
      <c r="Y25" s="3306"/>
      <c r="Z25" s="3600"/>
      <c r="AA25" s="3600"/>
      <c r="AB25" s="3600"/>
      <c r="AC25" s="3600"/>
      <c r="AD25" s="3600"/>
      <c r="AE25" s="3600"/>
      <c r="AF25" s="3600"/>
      <c r="AG25" s="3600"/>
      <c r="AH25" s="3600"/>
      <c r="AI25" s="3600"/>
      <c r="AJ25" s="3600"/>
      <c r="AK25" s="3600"/>
      <c r="AL25" s="3600"/>
      <c r="AM25" s="3600"/>
      <c r="AN25" s="3600"/>
      <c r="AO25" s="3613"/>
      <c r="AP25" s="3607"/>
      <c r="AQ25" s="2608"/>
    </row>
    <row r="26" spans="1:43" s="1520" customFormat="1" ht="19.5" customHeight="1" x14ac:dyDescent="0.25">
      <c r="A26" s="1563"/>
      <c r="B26" s="1564"/>
      <c r="C26" s="1564"/>
      <c r="D26" s="1563"/>
      <c r="E26" s="1564"/>
      <c r="F26" s="1565"/>
      <c r="G26" s="1566">
        <v>17</v>
      </c>
      <c r="H26" s="787" t="s">
        <v>1200</v>
      </c>
      <c r="I26" s="787"/>
      <c r="J26" s="165"/>
      <c r="K26" s="158"/>
      <c r="L26" s="158"/>
      <c r="M26" s="165"/>
      <c r="N26" s="830"/>
      <c r="O26" s="165"/>
      <c r="P26" s="158"/>
      <c r="Q26" s="165"/>
      <c r="R26" s="1567"/>
      <c r="S26" s="158"/>
      <c r="T26" s="1537"/>
      <c r="U26" s="1537"/>
      <c r="V26" s="1568"/>
      <c r="W26" s="1538"/>
      <c r="X26" s="1539"/>
      <c r="Y26" s="165"/>
      <c r="Z26" s="165"/>
      <c r="AA26" s="165"/>
      <c r="AB26" s="165"/>
      <c r="AC26" s="165"/>
      <c r="AD26" s="165"/>
      <c r="AE26" s="165"/>
      <c r="AF26" s="165"/>
      <c r="AG26" s="165"/>
      <c r="AH26" s="165"/>
      <c r="AI26" s="165"/>
      <c r="AJ26" s="165"/>
      <c r="AK26" s="165"/>
      <c r="AL26" s="165"/>
      <c r="AM26" s="165"/>
      <c r="AN26" s="1542"/>
      <c r="AO26" s="1543"/>
      <c r="AP26" s="1543"/>
      <c r="AQ26" s="1569"/>
    </row>
    <row r="27" spans="1:43" s="1520" customFormat="1" ht="33" customHeight="1" x14ac:dyDescent="0.25">
      <c r="A27" s="1570"/>
      <c r="B27" s="1571"/>
      <c r="C27" s="1571"/>
      <c r="D27" s="1572"/>
      <c r="E27" s="354"/>
      <c r="F27" s="354"/>
      <c r="G27" s="1573"/>
      <c r="H27" s="1574"/>
      <c r="I27" s="1575"/>
      <c r="J27" s="3616">
        <v>68</v>
      </c>
      <c r="K27" s="3307" t="s">
        <v>1201</v>
      </c>
      <c r="L27" s="1576" t="s">
        <v>1202</v>
      </c>
      <c r="M27" s="1446">
        <v>4500</v>
      </c>
      <c r="N27" s="2951" t="s">
        <v>1203</v>
      </c>
      <c r="O27" s="2951" t="s">
        <v>1204</v>
      </c>
      <c r="P27" s="3308" t="s">
        <v>1205</v>
      </c>
      <c r="Q27" s="3617">
        <f>SUM(V27:V28)/R27</f>
        <v>1.5602656586198829E-2</v>
      </c>
      <c r="R27" s="3588">
        <f>SUM(V27:V36)</f>
        <v>1602291242</v>
      </c>
      <c r="S27" s="3308" t="s">
        <v>1206</v>
      </c>
      <c r="T27" s="3319" t="s">
        <v>1207</v>
      </c>
      <c r="U27" s="3609" t="s">
        <v>1208</v>
      </c>
      <c r="V27" s="1577">
        <v>5000000</v>
      </c>
      <c r="W27" s="1578">
        <v>20</v>
      </c>
      <c r="X27" s="1579" t="s">
        <v>72</v>
      </c>
      <c r="Y27" s="3614"/>
      <c r="Z27" s="3600"/>
      <c r="AA27" s="3600"/>
      <c r="AB27" s="3600"/>
      <c r="AC27" s="3600"/>
      <c r="AD27" s="3600">
        <v>1762</v>
      </c>
      <c r="AE27" s="3600">
        <v>101</v>
      </c>
      <c r="AF27" s="3600">
        <v>277</v>
      </c>
      <c r="AG27" s="3600">
        <v>0</v>
      </c>
      <c r="AH27" s="3600">
        <v>0</v>
      </c>
      <c r="AI27" s="3600">
        <v>0</v>
      </c>
      <c r="AJ27" s="3600">
        <v>0</v>
      </c>
      <c r="AK27" s="3600">
        <v>2907</v>
      </c>
      <c r="AL27" s="3600">
        <v>2589</v>
      </c>
      <c r="AM27" s="3600">
        <v>2954</v>
      </c>
      <c r="AN27" s="3600">
        <v>10590</v>
      </c>
      <c r="AO27" s="3611">
        <v>43486</v>
      </c>
      <c r="AP27" s="3611">
        <v>43791</v>
      </c>
      <c r="AQ27" s="2608" t="s">
        <v>1209</v>
      </c>
    </row>
    <row r="28" spans="1:43" s="1520" customFormat="1" ht="53.25" customHeight="1" x14ac:dyDescent="0.25">
      <c r="A28" s="1570"/>
      <c r="B28" s="1571"/>
      <c r="C28" s="1571"/>
      <c r="D28" s="1572"/>
      <c r="E28" s="354"/>
      <c r="F28" s="354"/>
      <c r="G28" s="1572"/>
      <c r="H28" s="354"/>
      <c r="I28" s="1580"/>
      <c r="J28" s="3615"/>
      <c r="K28" s="3319"/>
      <c r="L28" s="1576"/>
      <c r="M28" s="1446"/>
      <c r="N28" s="2951"/>
      <c r="O28" s="2951"/>
      <c r="P28" s="3308"/>
      <c r="Q28" s="3618"/>
      <c r="R28" s="3588"/>
      <c r="S28" s="3308"/>
      <c r="T28" s="2937"/>
      <c r="U28" s="3610"/>
      <c r="V28" s="279">
        <f>0+20000000</f>
        <v>20000000</v>
      </c>
      <c r="W28" s="1581">
        <v>88</v>
      </c>
      <c r="X28" s="1582" t="s">
        <v>140</v>
      </c>
      <c r="Y28" s="3614"/>
      <c r="Z28" s="3600"/>
      <c r="AA28" s="3600"/>
      <c r="AB28" s="3600"/>
      <c r="AC28" s="3600"/>
      <c r="AD28" s="3600"/>
      <c r="AE28" s="3600"/>
      <c r="AF28" s="3600"/>
      <c r="AG28" s="3600"/>
      <c r="AH28" s="3600"/>
      <c r="AI28" s="3600"/>
      <c r="AJ28" s="3600"/>
      <c r="AK28" s="3600"/>
      <c r="AL28" s="3600"/>
      <c r="AM28" s="3600"/>
      <c r="AN28" s="3600"/>
      <c r="AO28" s="3612"/>
      <c r="AP28" s="3612"/>
      <c r="AQ28" s="2608"/>
    </row>
    <row r="29" spans="1:43" s="1520" customFormat="1" ht="96" customHeight="1" x14ac:dyDescent="0.25">
      <c r="A29" s="1570"/>
      <c r="B29" s="1571"/>
      <c r="C29" s="1571"/>
      <c r="D29" s="1572"/>
      <c r="E29" s="354"/>
      <c r="F29" s="354"/>
      <c r="G29" s="1572"/>
      <c r="H29" s="354"/>
      <c r="I29" s="1580"/>
      <c r="J29" s="1583">
        <v>69</v>
      </c>
      <c r="K29" s="1584" t="s">
        <v>1210</v>
      </c>
      <c r="L29" s="1576" t="s">
        <v>1211</v>
      </c>
      <c r="M29" s="1473">
        <v>1</v>
      </c>
      <c r="N29" s="2951"/>
      <c r="O29" s="2951"/>
      <c r="P29" s="3308"/>
      <c r="Q29" s="1585">
        <f>SUM(V29)/R27</f>
        <v>3.1205313172397654E-3</v>
      </c>
      <c r="R29" s="3588"/>
      <c r="S29" s="3308"/>
      <c r="T29" s="2937"/>
      <c r="U29" s="1438" t="s">
        <v>1212</v>
      </c>
      <c r="V29" s="1586">
        <v>5000000</v>
      </c>
      <c r="W29" s="1587">
        <v>20</v>
      </c>
      <c r="X29" s="1588" t="s">
        <v>72</v>
      </c>
      <c r="Y29" s="3600"/>
      <c r="Z29" s="3600"/>
      <c r="AA29" s="3600"/>
      <c r="AB29" s="3600"/>
      <c r="AC29" s="3600"/>
      <c r="AD29" s="3600"/>
      <c r="AE29" s="3600"/>
      <c r="AF29" s="3600"/>
      <c r="AG29" s="3600"/>
      <c r="AH29" s="3600"/>
      <c r="AI29" s="3600"/>
      <c r="AJ29" s="3600"/>
      <c r="AK29" s="3600"/>
      <c r="AL29" s="3600"/>
      <c r="AM29" s="3600"/>
      <c r="AN29" s="3600"/>
      <c r="AO29" s="3612"/>
      <c r="AP29" s="3612"/>
      <c r="AQ29" s="2608"/>
    </row>
    <row r="30" spans="1:43" s="1520" customFormat="1" ht="41.25" customHeight="1" x14ac:dyDescent="0.25">
      <c r="A30" s="1570"/>
      <c r="B30" s="1571"/>
      <c r="C30" s="1571"/>
      <c r="D30" s="1572"/>
      <c r="E30" s="354"/>
      <c r="F30" s="354"/>
      <c r="G30" s="1572"/>
      <c r="H30" s="354"/>
      <c r="I30" s="1580"/>
      <c r="J30" s="3625">
        <v>70</v>
      </c>
      <c r="K30" s="3307" t="s">
        <v>1213</v>
      </c>
      <c r="L30" s="2937" t="s">
        <v>1214</v>
      </c>
      <c r="M30" s="3626">
        <v>490</v>
      </c>
      <c r="N30" s="2951"/>
      <c r="O30" s="2951"/>
      <c r="P30" s="3308"/>
      <c r="Q30" s="3623">
        <f>SUM(V30:V31)/R27</f>
        <v>6.2410626344795309E-3</v>
      </c>
      <c r="R30" s="3588"/>
      <c r="S30" s="3308"/>
      <c r="T30" s="2937"/>
      <c r="U30" s="1439" t="s">
        <v>1215</v>
      </c>
      <c r="V30" s="1586">
        <v>10000000</v>
      </c>
      <c r="W30" s="1589">
        <v>20</v>
      </c>
      <c r="X30" s="1590" t="s">
        <v>72</v>
      </c>
      <c r="Y30" s="3600"/>
      <c r="Z30" s="3600"/>
      <c r="AA30" s="3600"/>
      <c r="AB30" s="3600"/>
      <c r="AC30" s="3600"/>
      <c r="AD30" s="3600"/>
      <c r="AE30" s="3600"/>
      <c r="AF30" s="3600"/>
      <c r="AG30" s="3600"/>
      <c r="AH30" s="3600"/>
      <c r="AI30" s="3600"/>
      <c r="AJ30" s="3600"/>
      <c r="AK30" s="3600"/>
      <c r="AL30" s="3600"/>
      <c r="AM30" s="3600"/>
      <c r="AN30" s="3600"/>
      <c r="AO30" s="3612"/>
      <c r="AP30" s="3612"/>
      <c r="AQ30" s="2608"/>
    </row>
    <row r="31" spans="1:43" s="1520" customFormat="1" ht="66.75" customHeight="1" x14ac:dyDescent="0.25">
      <c r="A31" s="1570"/>
      <c r="B31" s="1571"/>
      <c r="C31" s="1571"/>
      <c r="D31" s="1572"/>
      <c r="E31" s="354"/>
      <c r="F31" s="354"/>
      <c r="G31" s="1572"/>
      <c r="H31" s="354"/>
      <c r="I31" s="1580"/>
      <c r="J31" s="3614"/>
      <c r="K31" s="3308"/>
      <c r="L31" s="2937"/>
      <c r="M31" s="3627"/>
      <c r="N31" s="2951"/>
      <c r="O31" s="2951"/>
      <c r="P31" s="3308"/>
      <c r="Q31" s="3628"/>
      <c r="R31" s="3588"/>
      <c r="S31" s="3308"/>
      <c r="T31" s="2937"/>
      <c r="U31" s="1417" t="s">
        <v>1216</v>
      </c>
      <c r="V31" s="1591"/>
      <c r="W31" s="1589"/>
      <c r="X31" s="1592"/>
      <c r="Y31" s="3600"/>
      <c r="Z31" s="3600"/>
      <c r="AA31" s="3600"/>
      <c r="AB31" s="3600"/>
      <c r="AC31" s="3600"/>
      <c r="AD31" s="3600"/>
      <c r="AE31" s="3600"/>
      <c r="AF31" s="3600"/>
      <c r="AG31" s="3600"/>
      <c r="AH31" s="3600"/>
      <c r="AI31" s="3600"/>
      <c r="AJ31" s="3600"/>
      <c r="AK31" s="3600"/>
      <c r="AL31" s="3600"/>
      <c r="AM31" s="3600"/>
      <c r="AN31" s="3600"/>
      <c r="AO31" s="3612"/>
      <c r="AP31" s="3612"/>
      <c r="AQ31" s="2608"/>
    </row>
    <row r="32" spans="1:43" s="1520" customFormat="1" ht="72" customHeight="1" x14ac:dyDescent="0.25">
      <c r="A32" s="1570"/>
      <c r="B32" s="1571"/>
      <c r="C32" s="1571"/>
      <c r="D32" s="1572"/>
      <c r="E32" s="354"/>
      <c r="F32" s="354"/>
      <c r="G32" s="1572"/>
      <c r="H32" s="354"/>
      <c r="I32" s="1580"/>
      <c r="J32" s="1583">
        <v>71</v>
      </c>
      <c r="K32" s="1584" t="s">
        <v>1217</v>
      </c>
      <c r="L32" s="1584" t="s">
        <v>1218</v>
      </c>
      <c r="M32" s="1593">
        <v>2570</v>
      </c>
      <c r="N32" s="2951"/>
      <c r="O32" s="2951"/>
      <c r="P32" s="3308"/>
      <c r="Q32" s="1594">
        <f>+V32/R27</f>
        <v>0</v>
      </c>
      <c r="R32" s="3588"/>
      <c r="S32" s="3308"/>
      <c r="T32" s="2937"/>
      <c r="U32" s="1439" t="s">
        <v>1219</v>
      </c>
      <c r="V32" s="1424">
        <v>0</v>
      </c>
      <c r="W32" s="1589"/>
      <c r="X32" s="1592"/>
      <c r="Y32" s="3600"/>
      <c r="Z32" s="3600"/>
      <c r="AA32" s="3600"/>
      <c r="AB32" s="3600"/>
      <c r="AC32" s="3600"/>
      <c r="AD32" s="3600"/>
      <c r="AE32" s="3600"/>
      <c r="AF32" s="3600"/>
      <c r="AG32" s="3600">
        <v>0</v>
      </c>
      <c r="AH32" s="3600"/>
      <c r="AI32" s="3600"/>
      <c r="AJ32" s="3600"/>
      <c r="AK32" s="3600"/>
      <c r="AL32" s="3600"/>
      <c r="AM32" s="3600"/>
      <c r="AN32" s="3600"/>
      <c r="AO32" s="3612"/>
      <c r="AP32" s="3612"/>
      <c r="AQ32" s="2608"/>
    </row>
    <row r="33" spans="1:43" s="1520" customFormat="1" ht="32.25" customHeight="1" x14ac:dyDescent="0.25">
      <c r="A33" s="1570"/>
      <c r="B33" s="1571"/>
      <c r="C33" s="1571"/>
      <c r="D33" s="1572"/>
      <c r="E33" s="354"/>
      <c r="F33" s="354"/>
      <c r="G33" s="1572"/>
      <c r="H33" s="354"/>
      <c r="I33" s="1580"/>
      <c r="J33" s="3616">
        <v>72</v>
      </c>
      <c r="K33" s="3619" t="s">
        <v>1220</v>
      </c>
      <c r="L33" s="1576" t="s">
        <v>1221</v>
      </c>
      <c r="M33" s="1589">
        <v>455</v>
      </c>
      <c r="N33" s="2951"/>
      <c r="O33" s="2951"/>
      <c r="P33" s="3308"/>
      <c r="Q33" s="3617">
        <f>SUM(V33:V34)/R27</f>
        <v>3.388350418256858E-2</v>
      </c>
      <c r="R33" s="3588"/>
      <c r="S33" s="3308"/>
      <c r="T33" s="2937"/>
      <c r="U33" s="2617" t="s">
        <v>1222</v>
      </c>
      <c r="V33" s="1424">
        <v>5000000</v>
      </c>
      <c r="W33" s="1589">
        <v>20</v>
      </c>
      <c r="X33" s="1590" t="s">
        <v>72</v>
      </c>
      <c r="Y33" s="3600"/>
      <c r="Z33" s="3600"/>
      <c r="AA33" s="3600"/>
      <c r="AB33" s="3600"/>
      <c r="AC33" s="3600"/>
      <c r="AD33" s="3600"/>
      <c r="AE33" s="3600"/>
      <c r="AF33" s="3600"/>
      <c r="AG33" s="3600"/>
      <c r="AH33" s="3600"/>
      <c r="AI33" s="3600"/>
      <c r="AJ33" s="3600"/>
      <c r="AK33" s="3600"/>
      <c r="AL33" s="3600"/>
      <c r="AM33" s="3600"/>
      <c r="AN33" s="3600"/>
      <c r="AO33" s="3612"/>
      <c r="AP33" s="3612"/>
      <c r="AQ33" s="2608"/>
    </row>
    <row r="34" spans="1:43" s="1520" customFormat="1" ht="69.75" customHeight="1" x14ac:dyDescent="0.25">
      <c r="A34" s="1570"/>
      <c r="B34" s="1571"/>
      <c r="C34" s="1571"/>
      <c r="D34" s="1572"/>
      <c r="E34" s="354"/>
      <c r="F34" s="354"/>
      <c r="G34" s="1572"/>
      <c r="H34" s="354"/>
      <c r="I34" s="1580"/>
      <c r="J34" s="3615"/>
      <c r="K34" s="3620"/>
      <c r="L34" s="1595"/>
      <c r="M34" s="1596"/>
      <c r="N34" s="2951"/>
      <c r="O34" s="2951"/>
      <c r="P34" s="3308"/>
      <c r="Q34" s="3618"/>
      <c r="R34" s="3588"/>
      <c r="S34" s="3308"/>
      <c r="T34" s="2937"/>
      <c r="U34" s="2616"/>
      <c r="V34" s="1597">
        <v>49291242</v>
      </c>
      <c r="W34" s="1426">
        <v>25</v>
      </c>
      <c r="X34" s="1598" t="s">
        <v>1223</v>
      </c>
      <c r="Y34" s="3600"/>
      <c r="Z34" s="3600"/>
      <c r="AA34" s="3600"/>
      <c r="AB34" s="3600"/>
      <c r="AC34" s="3600"/>
      <c r="AD34" s="3600"/>
      <c r="AE34" s="3600"/>
      <c r="AF34" s="3600"/>
      <c r="AG34" s="3600"/>
      <c r="AH34" s="3600"/>
      <c r="AI34" s="3600"/>
      <c r="AJ34" s="3600"/>
      <c r="AK34" s="3600"/>
      <c r="AL34" s="3600"/>
      <c r="AM34" s="3600"/>
      <c r="AN34" s="3600"/>
      <c r="AO34" s="3612"/>
      <c r="AP34" s="3612"/>
      <c r="AQ34" s="2608"/>
    </row>
    <row r="35" spans="1:43" s="1520" customFormat="1" ht="59.25" customHeight="1" x14ac:dyDescent="0.25">
      <c r="A35" s="1570"/>
      <c r="B35" s="1571"/>
      <c r="C35" s="1571"/>
      <c r="D35" s="1572"/>
      <c r="E35" s="354"/>
      <c r="F35" s="354"/>
      <c r="G35" s="1572"/>
      <c r="H35" s="354"/>
      <c r="I35" s="1580"/>
      <c r="J35" s="3616">
        <v>73</v>
      </c>
      <c r="K35" s="3307" t="s">
        <v>1224</v>
      </c>
      <c r="L35" s="1595"/>
      <c r="M35" s="1596"/>
      <c r="N35" s="2951"/>
      <c r="O35" s="2951"/>
      <c r="P35" s="3308"/>
      <c r="Q35" s="3623">
        <f>SUM(V35:V36)/R27</f>
        <v>0.94115224527951324</v>
      </c>
      <c r="R35" s="3588"/>
      <c r="S35" s="3308"/>
      <c r="T35" s="2937"/>
      <c r="U35" s="1418" t="s">
        <v>1225</v>
      </c>
      <c r="V35" s="1599">
        <f>1508000000-200000000-5000000</f>
        <v>1303000000</v>
      </c>
      <c r="W35" s="1426">
        <v>25</v>
      </c>
      <c r="X35" s="1598" t="s">
        <v>1226</v>
      </c>
      <c r="Y35" s="3600"/>
      <c r="Z35" s="3600"/>
      <c r="AA35" s="3600"/>
      <c r="AB35" s="3600"/>
      <c r="AC35" s="3600"/>
      <c r="AD35" s="3600"/>
      <c r="AE35" s="3600"/>
      <c r="AF35" s="3600"/>
      <c r="AG35" s="3600"/>
      <c r="AH35" s="3600"/>
      <c r="AI35" s="3600"/>
      <c r="AJ35" s="3600"/>
      <c r="AK35" s="3600"/>
      <c r="AL35" s="3600"/>
      <c r="AM35" s="3600"/>
      <c r="AN35" s="3600"/>
      <c r="AO35" s="3612"/>
      <c r="AP35" s="3612"/>
      <c r="AQ35" s="2608"/>
    </row>
    <row r="36" spans="1:43" s="1520" customFormat="1" ht="81" customHeight="1" x14ac:dyDescent="0.25">
      <c r="A36" s="1570"/>
      <c r="B36" s="1571"/>
      <c r="C36" s="1571"/>
      <c r="D36" s="1572"/>
      <c r="E36" s="354"/>
      <c r="F36" s="354"/>
      <c r="G36" s="1572"/>
      <c r="H36" s="354"/>
      <c r="I36" s="1580"/>
      <c r="J36" s="3621"/>
      <c r="K36" s="3622"/>
      <c r="L36" s="1600" t="s">
        <v>183</v>
      </c>
      <c r="M36" s="1596">
        <v>1</v>
      </c>
      <c r="N36" s="2951"/>
      <c r="O36" s="2951"/>
      <c r="P36" s="3308"/>
      <c r="Q36" s="3624"/>
      <c r="R36" s="3588"/>
      <c r="S36" s="3308"/>
      <c r="T36" s="3338"/>
      <c r="U36" s="1432" t="s">
        <v>1227</v>
      </c>
      <c r="V36" s="1601">
        <f>0+200000000+5000000</f>
        <v>205000000</v>
      </c>
      <c r="W36" s="1426">
        <v>25</v>
      </c>
      <c r="X36" s="1598" t="s">
        <v>1226</v>
      </c>
      <c r="Y36" s="3615"/>
      <c r="Z36" s="3615"/>
      <c r="AA36" s="3615"/>
      <c r="AB36" s="3615"/>
      <c r="AC36" s="3615"/>
      <c r="AD36" s="3615"/>
      <c r="AE36" s="3615"/>
      <c r="AF36" s="3615"/>
      <c r="AG36" s="3615"/>
      <c r="AH36" s="3615"/>
      <c r="AI36" s="3615"/>
      <c r="AJ36" s="3615"/>
      <c r="AK36" s="3615"/>
      <c r="AL36" s="3615"/>
      <c r="AM36" s="3615"/>
      <c r="AN36" s="3615"/>
      <c r="AO36" s="3613"/>
      <c r="AP36" s="3613"/>
      <c r="AQ36" s="2609"/>
    </row>
    <row r="37" spans="1:43" s="1520" customFormat="1" ht="33" customHeight="1" x14ac:dyDescent="0.25">
      <c r="A37" s="1570"/>
      <c r="B37" s="1571"/>
      <c r="C37" s="1571"/>
      <c r="D37" s="3629"/>
      <c r="E37" s="354"/>
      <c r="F37" s="3631"/>
      <c r="G37" s="3629"/>
      <c r="H37" s="354"/>
      <c r="I37" s="3633"/>
      <c r="J37" s="3635">
        <v>74</v>
      </c>
      <c r="K37" s="3397" t="s">
        <v>1228</v>
      </c>
      <c r="L37" s="3636" t="s">
        <v>1229</v>
      </c>
      <c r="M37" s="3639">
        <v>2232</v>
      </c>
      <c r="N37" s="1451" t="s">
        <v>1230</v>
      </c>
      <c r="O37" s="2936" t="s">
        <v>1231</v>
      </c>
      <c r="P37" s="2937" t="s">
        <v>1232</v>
      </c>
      <c r="Q37" s="3643">
        <v>1</v>
      </c>
      <c r="R37" s="3646">
        <f>SUM(V37:V41)</f>
        <v>151601241535.29001</v>
      </c>
      <c r="S37" s="3308" t="s">
        <v>1233</v>
      </c>
      <c r="T37" s="3308" t="s">
        <v>1234</v>
      </c>
      <c r="U37" s="3609" t="s">
        <v>1235</v>
      </c>
      <c r="V37" s="1602">
        <v>120411000000</v>
      </c>
      <c r="W37" s="1581">
        <v>25</v>
      </c>
      <c r="X37" s="1582" t="s">
        <v>1226</v>
      </c>
      <c r="Y37" s="3661">
        <v>20555</v>
      </c>
      <c r="Z37" s="3626">
        <v>21361</v>
      </c>
      <c r="AA37" s="3639">
        <v>30460</v>
      </c>
      <c r="AB37" s="3639">
        <v>9593</v>
      </c>
      <c r="AC37" s="3639">
        <v>1762</v>
      </c>
      <c r="AD37" s="3639">
        <v>101</v>
      </c>
      <c r="AE37" s="3639">
        <v>308</v>
      </c>
      <c r="AF37" s="3639">
        <v>277</v>
      </c>
      <c r="AG37" s="3639">
        <v>0</v>
      </c>
      <c r="AH37" s="3639">
        <v>0</v>
      </c>
      <c r="AI37" s="3639">
        <v>0</v>
      </c>
      <c r="AJ37" s="3639">
        <v>0</v>
      </c>
      <c r="AK37" s="3655">
        <v>2907</v>
      </c>
      <c r="AL37" s="3655">
        <v>2589</v>
      </c>
      <c r="AM37" s="3655">
        <v>2954</v>
      </c>
      <c r="AN37" s="3658">
        <v>41916</v>
      </c>
      <c r="AO37" s="3647">
        <v>43466</v>
      </c>
      <c r="AP37" s="3647">
        <v>43830</v>
      </c>
      <c r="AQ37" s="3650" t="s">
        <v>1209</v>
      </c>
    </row>
    <row r="38" spans="1:43" s="1520" customFormat="1" ht="39" customHeight="1" x14ac:dyDescent="0.25">
      <c r="A38" s="1570"/>
      <c r="B38" s="1571"/>
      <c r="C38" s="1571"/>
      <c r="D38" s="3629"/>
      <c r="E38" s="354"/>
      <c r="F38" s="3631"/>
      <c r="G38" s="3629"/>
      <c r="H38" s="354"/>
      <c r="I38" s="3633"/>
      <c r="J38" s="3635"/>
      <c r="K38" s="3397"/>
      <c r="L38" s="3637"/>
      <c r="M38" s="3640"/>
      <c r="N38" s="1452" t="s">
        <v>1236</v>
      </c>
      <c r="O38" s="2936"/>
      <c r="P38" s="2937"/>
      <c r="Q38" s="3644"/>
      <c r="R38" s="3646"/>
      <c r="S38" s="3308"/>
      <c r="T38" s="3308"/>
      <c r="U38" s="3609"/>
      <c r="V38" s="1558">
        <f>22161000000+2749098635</f>
        <v>24910098635</v>
      </c>
      <c r="W38" s="1581">
        <v>26</v>
      </c>
      <c r="X38" s="1603" t="s">
        <v>1237</v>
      </c>
      <c r="Y38" s="3631"/>
      <c r="Z38" s="3627"/>
      <c r="AA38" s="3640"/>
      <c r="AB38" s="3640"/>
      <c r="AC38" s="3640"/>
      <c r="AD38" s="3640"/>
      <c r="AE38" s="3640"/>
      <c r="AF38" s="3640"/>
      <c r="AG38" s="3640"/>
      <c r="AH38" s="3640"/>
      <c r="AI38" s="3640"/>
      <c r="AJ38" s="3640"/>
      <c r="AK38" s="3656"/>
      <c r="AL38" s="3656"/>
      <c r="AM38" s="3656"/>
      <c r="AN38" s="3659"/>
      <c r="AO38" s="3648"/>
      <c r="AP38" s="3648"/>
      <c r="AQ38" s="3651"/>
    </row>
    <row r="39" spans="1:43" s="1520" customFormat="1" ht="40.5" customHeight="1" x14ac:dyDescent="0.25">
      <c r="A39" s="1570"/>
      <c r="B39" s="1571"/>
      <c r="C39" s="1571"/>
      <c r="D39" s="3629"/>
      <c r="E39" s="354"/>
      <c r="F39" s="3631"/>
      <c r="G39" s="3629"/>
      <c r="H39" s="354"/>
      <c r="I39" s="3633"/>
      <c r="J39" s="3635"/>
      <c r="K39" s="3397"/>
      <c r="L39" s="3637"/>
      <c r="M39" s="3640"/>
      <c r="N39" s="1452" t="s">
        <v>1238</v>
      </c>
      <c r="O39" s="2936"/>
      <c r="P39" s="2937"/>
      <c r="Q39" s="3644"/>
      <c r="R39" s="3646"/>
      <c r="S39" s="3308"/>
      <c r="T39" s="3308"/>
      <c r="U39" s="3609"/>
      <c r="V39" s="1602">
        <v>742459176.28999996</v>
      </c>
      <c r="W39" s="1604">
        <v>9</v>
      </c>
      <c r="X39" s="1603" t="s">
        <v>1239</v>
      </c>
      <c r="Y39" s="3631"/>
      <c r="Z39" s="3627"/>
      <c r="AA39" s="3640"/>
      <c r="AB39" s="3640"/>
      <c r="AC39" s="3640"/>
      <c r="AD39" s="3640"/>
      <c r="AE39" s="3640"/>
      <c r="AF39" s="3640"/>
      <c r="AG39" s="3640"/>
      <c r="AH39" s="3640"/>
      <c r="AI39" s="3640"/>
      <c r="AJ39" s="3640"/>
      <c r="AK39" s="3656"/>
      <c r="AL39" s="3656"/>
      <c r="AM39" s="3656"/>
      <c r="AN39" s="3659"/>
      <c r="AO39" s="3648"/>
      <c r="AP39" s="3648"/>
      <c r="AQ39" s="3651"/>
    </row>
    <row r="40" spans="1:43" s="1520" customFormat="1" ht="39.75" customHeight="1" x14ac:dyDescent="0.25">
      <c r="A40" s="1570"/>
      <c r="B40" s="1571"/>
      <c r="C40" s="1571"/>
      <c r="D40" s="3629"/>
      <c r="E40" s="354"/>
      <c r="F40" s="3631"/>
      <c r="G40" s="3629"/>
      <c r="H40" s="354"/>
      <c r="I40" s="3633"/>
      <c r="J40" s="3635"/>
      <c r="K40" s="3397"/>
      <c r="L40" s="3637"/>
      <c r="M40" s="3640"/>
      <c r="N40" s="1452" t="s">
        <v>1240</v>
      </c>
      <c r="O40" s="2936"/>
      <c r="P40" s="2937"/>
      <c r="Q40" s="3644"/>
      <c r="R40" s="3646"/>
      <c r="S40" s="3308"/>
      <c r="T40" s="3308"/>
      <c r="U40" s="3609"/>
      <c r="V40" s="1605">
        <v>917000000</v>
      </c>
      <c r="W40" s="1464">
        <v>146</v>
      </c>
      <c r="X40" s="1603" t="s">
        <v>1237</v>
      </c>
      <c r="Y40" s="3631"/>
      <c r="Z40" s="3627"/>
      <c r="AA40" s="3640"/>
      <c r="AB40" s="3640"/>
      <c r="AC40" s="3640"/>
      <c r="AD40" s="3640"/>
      <c r="AE40" s="3640"/>
      <c r="AF40" s="3640"/>
      <c r="AG40" s="3640"/>
      <c r="AH40" s="3640"/>
      <c r="AI40" s="3640"/>
      <c r="AJ40" s="3640"/>
      <c r="AK40" s="3656"/>
      <c r="AL40" s="3656"/>
      <c r="AM40" s="3656"/>
      <c r="AN40" s="3659"/>
      <c r="AO40" s="3648"/>
      <c r="AP40" s="3648"/>
      <c r="AQ40" s="3651"/>
    </row>
    <row r="41" spans="1:43" s="1520" customFormat="1" ht="54" customHeight="1" x14ac:dyDescent="0.25">
      <c r="A41" s="1570"/>
      <c r="B41" s="1571"/>
      <c r="C41" s="1571"/>
      <c r="D41" s="3630"/>
      <c r="E41" s="1606"/>
      <c r="F41" s="3632"/>
      <c r="G41" s="3630"/>
      <c r="H41" s="1606"/>
      <c r="I41" s="3634"/>
      <c r="J41" s="3635"/>
      <c r="K41" s="3397"/>
      <c r="L41" s="3638"/>
      <c r="M41" s="3641"/>
      <c r="N41" s="1453" t="s">
        <v>1241</v>
      </c>
      <c r="O41" s="2936"/>
      <c r="P41" s="2937"/>
      <c r="Q41" s="3645"/>
      <c r="R41" s="3646"/>
      <c r="S41" s="3319"/>
      <c r="T41" s="3319"/>
      <c r="U41" s="3610"/>
      <c r="V41" s="1551">
        <f>0+4000000000+620683724</f>
        <v>4620683724</v>
      </c>
      <c r="W41" s="1561">
        <v>88</v>
      </c>
      <c r="X41" s="1562" t="s">
        <v>140</v>
      </c>
      <c r="Y41" s="3632"/>
      <c r="Z41" s="3642"/>
      <c r="AA41" s="3641"/>
      <c r="AB41" s="3641"/>
      <c r="AC41" s="3641"/>
      <c r="AD41" s="3641"/>
      <c r="AE41" s="3641"/>
      <c r="AF41" s="3641"/>
      <c r="AG41" s="3641"/>
      <c r="AH41" s="3641"/>
      <c r="AI41" s="3641">
        <v>0</v>
      </c>
      <c r="AJ41" s="3641">
        <v>0</v>
      </c>
      <c r="AK41" s="3657"/>
      <c r="AL41" s="3657"/>
      <c r="AM41" s="3657"/>
      <c r="AN41" s="3660"/>
      <c r="AO41" s="3649"/>
      <c r="AP41" s="3649"/>
      <c r="AQ41" s="3652"/>
    </row>
    <row r="42" spans="1:43" s="1520" customFormat="1" ht="15.75" x14ac:dyDescent="0.25">
      <c r="A42" s="1563"/>
      <c r="B42" s="1564"/>
      <c r="C42" s="1565"/>
      <c r="D42" s="143">
        <v>6</v>
      </c>
      <c r="E42" s="1607" t="s">
        <v>1242</v>
      </c>
      <c r="F42" s="1607"/>
      <c r="G42" s="1607"/>
      <c r="H42" s="1607"/>
      <c r="I42" s="1607"/>
      <c r="J42" s="1607"/>
      <c r="K42" s="873"/>
      <c r="L42" s="28"/>
      <c r="M42" s="27"/>
      <c r="N42" s="29"/>
      <c r="O42" s="29"/>
      <c r="P42" s="28"/>
      <c r="Q42" s="1608"/>
      <c r="R42" s="1609"/>
      <c r="S42" s="28"/>
      <c r="T42" s="28"/>
      <c r="U42" s="28"/>
      <c r="V42" s="1610"/>
      <c r="W42" s="1611"/>
      <c r="X42" s="1607"/>
      <c r="Y42" s="29"/>
      <c r="Z42" s="29"/>
      <c r="AA42" s="27"/>
      <c r="AB42" s="27"/>
      <c r="AC42" s="27"/>
      <c r="AD42" s="27"/>
      <c r="AE42" s="27"/>
      <c r="AF42" s="27"/>
      <c r="AG42" s="27"/>
      <c r="AH42" s="1612"/>
      <c r="AI42" s="1612"/>
      <c r="AJ42" s="1527"/>
      <c r="AK42" s="1527"/>
      <c r="AL42" s="1527"/>
      <c r="AM42" s="1527"/>
      <c r="AN42" s="1527"/>
      <c r="AO42" s="1528"/>
      <c r="AP42" s="1528"/>
      <c r="AQ42" s="1613"/>
    </row>
    <row r="43" spans="1:43" s="1520" customFormat="1" ht="15.75" x14ac:dyDescent="0.25">
      <c r="A43" s="1563"/>
      <c r="B43" s="1614"/>
      <c r="C43" s="1614"/>
      <c r="D43" s="1615"/>
      <c r="E43" s="1616"/>
      <c r="F43" s="1617"/>
      <c r="G43" s="1618">
        <v>19</v>
      </c>
      <c r="H43" s="1416" t="s">
        <v>1243</v>
      </c>
      <c r="I43" s="1416"/>
      <c r="J43" s="1416"/>
      <c r="K43" s="158"/>
      <c r="L43" s="158"/>
      <c r="M43" s="165"/>
      <c r="N43" s="159"/>
      <c r="O43" s="165"/>
      <c r="P43" s="158"/>
      <c r="Q43" s="165"/>
      <c r="R43" s="1567"/>
      <c r="S43" s="158"/>
      <c r="T43" s="158"/>
      <c r="U43" s="158"/>
      <c r="V43" s="1619"/>
      <c r="W43" s="159"/>
      <c r="X43" s="1416"/>
      <c r="Y43" s="165"/>
      <c r="Z43" s="165"/>
      <c r="AA43" s="165"/>
      <c r="AB43" s="165"/>
      <c r="AC43" s="165"/>
      <c r="AD43" s="165"/>
      <c r="AE43" s="165"/>
      <c r="AF43" s="165"/>
      <c r="AG43" s="165"/>
      <c r="AH43" s="165"/>
      <c r="AI43" s="165"/>
      <c r="AJ43" s="1542"/>
      <c r="AK43" s="1542"/>
      <c r="AL43" s="1542"/>
      <c r="AM43" s="1542"/>
      <c r="AN43" s="1542"/>
      <c r="AO43" s="1543"/>
      <c r="AP43" s="1543"/>
      <c r="AQ43" s="1569"/>
    </row>
    <row r="44" spans="1:43" s="1520" customFormat="1" ht="82.5" customHeight="1" x14ac:dyDescent="0.25">
      <c r="A44" s="185"/>
      <c r="B44" s="184"/>
      <c r="C44" s="184"/>
      <c r="D44" s="1620"/>
      <c r="E44" s="1614"/>
      <c r="F44" s="1621"/>
      <c r="G44" s="184"/>
      <c r="H44" s="184"/>
      <c r="I44" s="184"/>
      <c r="J44" s="1622">
        <v>75</v>
      </c>
      <c r="K44" s="1576" t="s">
        <v>1244</v>
      </c>
      <c r="L44" s="1576" t="s">
        <v>1245</v>
      </c>
      <c r="M44" s="1446">
        <v>36</v>
      </c>
      <c r="N44" s="1623"/>
      <c r="O44" s="2951" t="s">
        <v>1246</v>
      </c>
      <c r="P44" s="3308" t="s">
        <v>1247</v>
      </c>
      <c r="Q44" s="1499">
        <v>0</v>
      </c>
      <c r="R44" s="3653">
        <f>SUM(V44:V52)</f>
        <v>68355000</v>
      </c>
      <c r="S44" s="3308" t="s">
        <v>1248</v>
      </c>
      <c r="T44" s="1576" t="s">
        <v>1249</v>
      </c>
      <c r="U44" s="1624" t="s">
        <v>1250</v>
      </c>
      <c r="V44" s="1625"/>
      <c r="W44" s="1457"/>
      <c r="X44" s="1626"/>
      <c r="Y44" s="3627">
        <v>20555</v>
      </c>
      <c r="Z44" s="3627">
        <v>21361</v>
      </c>
      <c r="AA44" s="3627">
        <v>30460</v>
      </c>
      <c r="AB44" s="3627">
        <v>9593</v>
      </c>
      <c r="AC44" s="3627">
        <v>1762</v>
      </c>
      <c r="AD44" s="3627">
        <v>101</v>
      </c>
      <c r="AE44" s="3627">
        <v>308</v>
      </c>
      <c r="AF44" s="3627">
        <v>277</v>
      </c>
      <c r="AG44" s="3627">
        <v>0</v>
      </c>
      <c r="AH44" s="3627">
        <v>0</v>
      </c>
      <c r="AI44" s="3627">
        <v>0</v>
      </c>
      <c r="AJ44" s="3627">
        <v>0</v>
      </c>
      <c r="AK44" s="3627">
        <v>2907</v>
      </c>
      <c r="AL44" s="3627">
        <v>2589</v>
      </c>
      <c r="AM44" s="3627">
        <v>2954</v>
      </c>
      <c r="AN44" s="3627">
        <v>41916</v>
      </c>
      <c r="AO44" s="3332">
        <v>43500</v>
      </c>
      <c r="AP44" s="3332">
        <v>43798</v>
      </c>
      <c r="AQ44" s="2951" t="s">
        <v>1185</v>
      </c>
    </row>
    <row r="45" spans="1:43" s="1520" customFormat="1" ht="54" customHeight="1" x14ac:dyDescent="0.25">
      <c r="A45" s="185"/>
      <c r="B45" s="184"/>
      <c r="C45" s="184"/>
      <c r="D45" s="1620"/>
      <c r="E45" s="1614"/>
      <c r="F45" s="1621"/>
      <c r="G45" s="184"/>
      <c r="H45" s="184"/>
      <c r="I45" s="184"/>
      <c r="J45" s="3616">
        <v>76</v>
      </c>
      <c r="K45" s="3307" t="s">
        <v>1251</v>
      </c>
      <c r="L45" s="1595"/>
      <c r="M45" s="1445"/>
      <c r="N45" s="1623"/>
      <c r="O45" s="2951"/>
      <c r="P45" s="3355"/>
      <c r="Q45" s="3662">
        <f>+(V45+V46)/R44</f>
        <v>0.41481969131738716</v>
      </c>
      <c r="R45" s="3654"/>
      <c r="S45" s="3308"/>
      <c r="T45" s="3663" t="s">
        <v>1252</v>
      </c>
      <c r="U45" s="2662" t="s">
        <v>1253</v>
      </c>
      <c r="V45" s="1627">
        <v>10000000</v>
      </c>
      <c r="W45" s="1464">
        <v>20</v>
      </c>
      <c r="X45" s="1603" t="s">
        <v>59</v>
      </c>
      <c r="Y45" s="3631"/>
      <c r="Z45" s="3627"/>
      <c r="AA45" s="3627"/>
      <c r="AB45" s="3627"/>
      <c r="AC45" s="3627"/>
      <c r="AD45" s="3627"/>
      <c r="AE45" s="3627"/>
      <c r="AF45" s="3627"/>
      <c r="AG45" s="3627"/>
      <c r="AH45" s="3627"/>
      <c r="AI45" s="3627"/>
      <c r="AJ45" s="3627"/>
      <c r="AK45" s="3627"/>
      <c r="AL45" s="3627"/>
      <c r="AM45" s="3627"/>
      <c r="AN45" s="3627"/>
      <c r="AO45" s="3333"/>
      <c r="AP45" s="3333"/>
      <c r="AQ45" s="2951"/>
    </row>
    <row r="46" spans="1:43" s="1520" customFormat="1" ht="51.75" customHeight="1" x14ac:dyDescent="0.25">
      <c r="A46" s="1572"/>
      <c r="B46" s="354"/>
      <c r="C46" s="354"/>
      <c r="D46" s="1620"/>
      <c r="E46" s="1614"/>
      <c r="F46" s="1621"/>
      <c r="G46" s="184"/>
      <c r="H46" s="184"/>
      <c r="I46" s="184"/>
      <c r="J46" s="3615"/>
      <c r="K46" s="3319"/>
      <c r="L46" s="1600" t="s">
        <v>1254</v>
      </c>
      <c r="M46" s="1444">
        <v>1200</v>
      </c>
      <c r="N46" s="2951" t="s">
        <v>1255</v>
      </c>
      <c r="O46" s="2951"/>
      <c r="P46" s="3355"/>
      <c r="Q46" s="3662"/>
      <c r="R46" s="3654"/>
      <c r="S46" s="3308"/>
      <c r="T46" s="3664"/>
      <c r="U46" s="2662"/>
      <c r="V46" s="1628">
        <f>0+18355000</f>
        <v>18355000</v>
      </c>
      <c r="W46" s="1561">
        <v>88</v>
      </c>
      <c r="X46" s="1562" t="s">
        <v>140</v>
      </c>
      <c r="Y46" s="3631"/>
      <c r="Z46" s="3627"/>
      <c r="AA46" s="3627"/>
      <c r="AB46" s="3627"/>
      <c r="AC46" s="3627"/>
      <c r="AD46" s="3627"/>
      <c r="AE46" s="3627"/>
      <c r="AF46" s="3627"/>
      <c r="AG46" s="3627"/>
      <c r="AH46" s="3627"/>
      <c r="AI46" s="3627"/>
      <c r="AJ46" s="3627"/>
      <c r="AK46" s="3627"/>
      <c r="AL46" s="3627"/>
      <c r="AM46" s="3627"/>
      <c r="AN46" s="3627"/>
      <c r="AO46" s="3333"/>
      <c r="AP46" s="3333"/>
      <c r="AQ46" s="2951"/>
    </row>
    <row r="47" spans="1:43" s="1520" customFormat="1" ht="67.5" customHeight="1" x14ac:dyDescent="0.25">
      <c r="A47" s="1572"/>
      <c r="B47" s="354"/>
      <c r="C47" s="354"/>
      <c r="D47" s="1620"/>
      <c r="E47" s="1614"/>
      <c r="F47" s="1621"/>
      <c r="G47" s="184"/>
      <c r="H47" s="184"/>
      <c r="I47" s="184"/>
      <c r="J47" s="1423">
        <v>77</v>
      </c>
      <c r="K47" s="1584" t="s">
        <v>1256</v>
      </c>
      <c r="L47" s="1584" t="s">
        <v>1257</v>
      </c>
      <c r="M47" s="1473">
        <v>80</v>
      </c>
      <c r="N47" s="2951"/>
      <c r="O47" s="2951"/>
      <c r="P47" s="3308"/>
      <c r="Q47" s="1502">
        <v>0</v>
      </c>
      <c r="R47" s="3653"/>
      <c r="S47" s="3308"/>
      <c r="T47" s="1584" t="s">
        <v>1258</v>
      </c>
      <c r="U47" s="1438" t="s">
        <v>1259</v>
      </c>
      <c r="V47" s="1629"/>
      <c r="W47" s="1463"/>
      <c r="X47" s="1630"/>
      <c r="Y47" s="3627"/>
      <c r="Z47" s="3627"/>
      <c r="AA47" s="3627"/>
      <c r="AB47" s="3627"/>
      <c r="AC47" s="3627"/>
      <c r="AD47" s="3627"/>
      <c r="AE47" s="3627"/>
      <c r="AF47" s="3627"/>
      <c r="AG47" s="3627"/>
      <c r="AH47" s="3627"/>
      <c r="AI47" s="3627"/>
      <c r="AJ47" s="3627"/>
      <c r="AK47" s="3627"/>
      <c r="AL47" s="3627"/>
      <c r="AM47" s="3627"/>
      <c r="AN47" s="3627"/>
      <c r="AO47" s="3333"/>
      <c r="AP47" s="3333"/>
      <c r="AQ47" s="2951"/>
    </row>
    <row r="48" spans="1:43" s="1520" customFormat="1" ht="106.5" customHeight="1" x14ac:dyDescent="0.25">
      <c r="A48" s="1572"/>
      <c r="B48" s="354"/>
      <c r="C48" s="354"/>
      <c r="D48" s="1620"/>
      <c r="E48" s="1614"/>
      <c r="F48" s="1621"/>
      <c r="G48" s="184"/>
      <c r="H48" s="184"/>
      <c r="I48" s="184"/>
      <c r="J48" s="1423">
        <v>78</v>
      </c>
      <c r="K48" s="1584" t="s">
        <v>1260</v>
      </c>
      <c r="L48" s="1584" t="s">
        <v>1261</v>
      </c>
      <c r="M48" s="1473">
        <v>15</v>
      </c>
      <c r="N48" s="2951"/>
      <c r="O48" s="2951"/>
      <c r="P48" s="3308"/>
      <c r="Q48" s="1631">
        <f>V48/R44</f>
        <v>0.58518030868261284</v>
      </c>
      <c r="R48" s="3653"/>
      <c r="S48" s="3308"/>
      <c r="T48" s="1584" t="s">
        <v>1262</v>
      </c>
      <c r="U48" s="1439" t="s">
        <v>1263</v>
      </c>
      <c r="V48" s="1632">
        <v>40000000</v>
      </c>
      <c r="W48" s="1454">
        <v>88</v>
      </c>
      <c r="X48" s="1562" t="s">
        <v>140</v>
      </c>
      <c r="Y48" s="3627"/>
      <c r="Z48" s="3627"/>
      <c r="AA48" s="3627"/>
      <c r="AB48" s="3627"/>
      <c r="AC48" s="3627"/>
      <c r="AD48" s="3627"/>
      <c r="AE48" s="3627"/>
      <c r="AF48" s="3627"/>
      <c r="AG48" s="3627"/>
      <c r="AH48" s="3627"/>
      <c r="AI48" s="3627"/>
      <c r="AJ48" s="3627"/>
      <c r="AK48" s="3627"/>
      <c r="AL48" s="3627"/>
      <c r="AM48" s="3627"/>
      <c r="AN48" s="3627"/>
      <c r="AO48" s="3333"/>
      <c r="AP48" s="3333"/>
      <c r="AQ48" s="2951"/>
    </row>
    <row r="49" spans="1:43" s="1520" customFormat="1" ht="99" customHeight="1" x14ac:dyDescent="0.25">
      <c r="A49" s="1572"/>
      <c r="B49" s="354"/>
      <c r="C49" s="354"/>
      <c r="D49" s="1620"/>
      <c r="E49" s="1614"/>
      <c r="F49" s="1621"/>
      <c r="G49" s="184"/>
      <c r="H49" s="184"/>
      <c r="I49" s="184"/>
      <c r="J49" s="1423">
        <v>79</v>
      </c>
      <c r="K49" s="1584" t="s">
        <v>1264</v>
      </c>
      <c r="L49" s="1584" t="s">
        <v>1265</v>
      </c>
      <c r="M49" s="1473">
        <v>230</v>
      </c>
      <c r="N49" s="2951"/>
      <c r="O49" s="2951"/>
      <c r="P49" s="3308"/>
      <c r="Q49" s="1631">
        <f>+V49/R44</f>
        <v>0</v>
      </c>
      <c r="R49" s="3653"/>
      <c r="S49" s="3308"/>
      <c r="T49" s="1584" t="s">
        <v>1266</v>
      </c>
      <c r="U49" s="1439" t="s">
        <v>1267</v>
      </c>
      <c r="V49" s="1633"/>
      <c r="W49" s="1454"/>
      <c r="X49" s="1634"/>
      <c r="Y49" s="3627"/>
      <c r="Z49" s="3627"/>
      <c r="AA49" s="3627"/>
      <c r="AB49" s="3627"/>
      <c r="AC49" s="3627"/>
      <c r="AD49" s="3627"/>
      <c r="AE49" s="3627"/>
      <c r="AF49" s="3627"/>
      <c r="AG49" s="3627"/>
      <c r="AH49" s="3627"/>
      <c r="AI49" s="3627"/>
      <c r="AJ49" s="3627"/>
      <c r="AK49" s="3627"/>
      <c r="AL49" s="3627"/>
      <c r="AM49" s="3627"/>
      <c r="AN49" s="3627"/>
      <c r="AO49" s="3333"/>
      <c r="AP49" s="3333"/>
      <c r="AQ49" s="2951"/>
    </row>
    <row r="50" spans="1:43" s="1520" customFormat="1" ht="79.5" customHeight="1" x14ac:dyDescent="0.25">
      <c r="A50" s="1572"/>
      <c r="B50" s="354"/>
      <c r="C50" s="354"/>
      <c r="D50" s="1620"/>
      <c r="E50" s="1614"/>
      <c r="F50" s="1621"/>
      <c r="G50" s="184"/>
      <c r="H50" s="184"/>
      <c r="I50" s="184"/>
      <c r="J50" s="1423">
        <v>80</v>
      </c>
      <c r="K50" s="1584" t="s">
        <v>1268</v>
      </c>
      <c r="L50" s="1584" t="s">
        <v>1269</v>
      </c>
      <c r="M50" s="1473">
        <v>4700</v>
      </c>
      <c r="N50" s="2951"/>
      <c r="O50" s="2951"/>
      <c r="P50" s="3308"/>
      <c r="Q50" s="1631">
        <v>0</v>
      </c>
      <c r="R50" s="3653"/>
      <c r="S50" s="3308"/>
      <c r="T50" s="1584" t="s">
        <v>1270</v>
      </c>
      <c r="U50" s="1439" t="s">
        <v>1271</v>
      </c>
      <c r="V50" s="1635"/>
      <c r="W50" s="1454"/>
      <c r="X50" s="1634"/>
      <c r="Y50" s="3627"/>
      <c r="Z50" s="3627"/>
      <c r="AA50" s="3627"/>
      <c r="AB50" s="3627"/>
      <c r="AC50" s="3627"/>
      <c r="AD50" s="3627"/>
      <c r="AE50" s="3627"/>
      <c r="AF50" s="3627"/>
      <c r="AG50" s="3627"/>
      <c r="AH50" s="3627"/>
      <c r="AI50" s="3627"/>
      <c r="AJ50" s="3627"/>
      <c r="AK50" s="3627"/>
      <c r="AL50" s="3627"/>
      <c r="AM50" s="3627"/>
      <c r="AN50" s="3627"/>
      <c r="AO50" s="3333"/>
      <c r="AP50" s="3333"/>
      <c r="AQ50" s="2951"/>
    </row>
    <row r="51" spans="1:43" s="1520" customFormat="1" ht="90" customHeight="1" x14ac:dyDescent="0.25">
      <c r="A51" s="1572"/>
      <c r="B51" s="354"/>
      <c r="C51" s="354"/>
      <c r="D51" s="1620"/>
      <c r="E51" s="1614"/>
      <c r="F51" s="1621"/>
      <c r="G51" s="184"/>
      <c r="H51" s="184"/>
      <c r="I51" s="184"/>
      <c r="J51" s="1423">
        <v>81</v>
      </c>
      <c r="K51" s="1584" t="s">
        <v>1272</v>
      </c>
      <c r="L51" s="1584" t="s">
        <v>1273</v>
      </c>
      <c r="M51" s="1473">
        <v>41</v>
      </c>
      <c r="N51" s="2951"/>
      <c r="O51" s="2951"/>
      <c r="P51" s="3308"/>
      <c r="Q51" s="1631">
        <v>0</v>
      </c>
      <c r="R51" s="3653"/>
      <c r="S51" s="3308"/>
      <c r="T51" s="1584" t="s">
        <v>1249</v>
      </c>
      <c r="U51" s="1439" t="s">
        <v>1274</v>
      </c>
      <c r="V51" s="1635"/>
      <c r="W51" s="1454"/>
      <c r="X51" s="1634"/>
      <c r="Y51" s="3627"/>
      <c r="Z51" s="3627"/>
      <c r="AA51" s="3627"/>
      <c r="AB51" s="3627"/>
      <c r="AC51" s="3627"/>
      <c r="AD51" s="3627"/>
      <c r="AE51" s="3627"/>
      <c r="AF51" s="3627"/>
      <c r="AG51" s="3627"/>
      <c r="AH51" s="3627"/>
      <c r="AI51" s="3627"/>
      <c r="AJ51" s="3627"/>
      <c r="AK51" s="3627"/>
      <c r="AL51" s="3627"/>
      <c r="AM51" s="3627"/>
      <c r="AN51" s="3627"/>
      <c r="AO51" s="3333"/>
      <c r="AP51" s="3333"/>
      <c r="AQ51" s="2951"/>
    </row>
    <row r="52" spans="1:43" s="1520" customFormat="1" ht="91.5" customHeight="1" x14ac:dyDescent="0.25">
      <c r="A52" s="1572"/>
      <c r="B52" s="354"/>
      <c r="C52" s="354"/>
      <c r="D52" s="1620"/>
      <c r="E52" s="1614"/>
      <c r="F52" s="1621"/>
      <c r="G52" s="184"/>
      <c r="H52" s="184"/>
      <c r="I52" s="184"/>
      <c r="J52" s="1636">
        <v>82</v>
      </c>
      <c r="K52" s="1600" t="s">
        <v>1275</v>
      </c>
      <c r="L52" s="1600" t="s">
        <v>1276</v>
      </c>
      <c r="M52" s="1444">
        <v>40</v>
      </c>
      <c r="N52" s="2952"/>
      <c r="O52" s="2951"/>
      <c r="P52" s="3308"/>
      <c r="Q52" s="1498">
        <v>0</v>
      </c>
      <c r="R52" s="3653"/>
      <c r="S52" s="3308"/>
      <c r="T52" s="1600" t="s">
        <v>1249</v>
      </c>
      <c r="U52" s="1443" t="s">
        <v>1277</v>
      </c>
      <c r="V52" s="1637"/>
      <c r="W52" s="1454"/>
      <c r="X52" s="1634"/>
      <c r="Y52" s="3627"/>
      <c r="Z52" s="3627"/>
      <c r="AA52" s="3627"/>
      <c r="AB52" s="3627"/>
      <c r="AC52" s="3627"/>
      <c r="AD52" s="3627"/>
      <c r="AE52" s="3627"/>
      <c r="AF52" s="3627"/>
      <c r="AG52" s="3627"/>
      <c r="AH52" s="3627"/>
      <c r="AI52" s="3627"/>
      <c r="AJ52" s="3627"/>
      <c r="AK52" s="3627"/>
      <c r="AL52" s="3627"/>
      <c r="AM52" s="3627"/>
      <c r="AN52" s="3627"/>
      <c r="AO52" s="3334"/>
      <c r="AP52" s="3334"/>
      <c r="AQ52" s="2951"/>
    </row>
    <row r="53" spans="1:43" s="1520" customFormat="1" ht="15.75" x14ac:dyDescent="0.25">
      <c r="A53" s="1572"/>
      <c r="B53" s="354"/>
      <c r="C53" s="354"/>
      <c r="D53" s="1572"/>
      <c r="E53" s="354"/>
      <c r="F53" s="1580"/>
      <c r="G53" s="1618">
        <v>20</v>
      </c>
      <c r="H53" s="1416" t="s">
        <v>1278</v>
      </c>
      <c r="I53" s="1416"/>
      <c r="J53" s="1416"/>
      <c r="K53" s="158"/>
      <c r="L53" s="158"/>
      <c r="M53" s="165"/>
      <c r="N53" s="159"/>
      <c r="O53" s="165"/>
      <c r="P53" s="158"/>
      <c r="Q53" s="165"/>
      <c r="R53" s="1567"/>
      <c r="S53" s="158"/>
      <c r="T53" s="158"/>
      <c r="U53" s="158"/>
      <c r="V53" s="1619"/>
      <c r="W53" s="1619"/>
      <c r="X53" s="1619"/>
      <c r="Y53" s="165"/>
      <c r="Z53" s="165"/>
      <c r="AA53" s="165"/>
      <c r="AB53" s="165"/>
      <c r="AC53" s="165"/>
      <c r="AD53" s="165"/>
      <c r="AE53" s="165"/>
      <c r="AF53" s="165"/>
      <c r="AG53" s="165"/>
      <c r="AH53" s="165"/>
      <c r="AI53" s="165"/>
      <c r="AJ53" s="1542"/>
      <c r="AK53" s="1542"/>
      <c r="AL53" s="1542"/>
      <c r="AM53" s="1542"/>
      <c r="AN53" s="1542"/>
      <c r="AO53" s="1543"/>
      <c r="AP53" s="1543"/>
      <c r="AQ53" s="1569"/>
    </row>
    <row r="54" spans="1:43" s="1520" customFormat="1" ht="39.75" customHeight="1" x14ac:dyDescent="0.25">
      <c r="A54" s="1638"/>
      <c r="B54" s="38"/>
      <c r="C54" s="38"/>
      <c r="D54" s="1639"/>
      <c r="E54" s="1640"/>
      <c r="F54" s="1641"/>
      <c r="G54" s="3403"/>
      <c r="H54" s="3403"/>
      <c r="I54" s="3404"/>
      <c r="J54" s="3616">
        <v>83</v>
      </c>
      <c r="K54" s="2617" t="s">
        <v>1279</v>
      </c>
      <c r="L54" s="1624" t="s">
        <v>1280</v>
      </c>
      <c r="M54" s="1446">
        <v>54</v>
      </c>
      <c r="N54" s="1441"/>
      <c r="O54" s="2608" t="s">
        <v>1281</v>
      </c>
      <c r="P54" s="2742" t="s">
        <v>1282</v>
      </c>
      <c r="Q54" s="3665">
        <f>(V54+V55)/$R$54</f>
        <v>0.41657615396447573</v>
      </c>
      <c r="R54" s="3676">
        <f>SUM(V54:V74)</f>
        <v>536696586.86000001</v>
      </c>
      <c r="S54" s="2742" t="s">
        <v>1283</v>
      </c>
      <c r="T54" s="2802" t="s">
        <v>1284</v>
      </c>
      <c r="U54" s="2617" t="s">
        <v>1285</v>
      </c>
      <c r="V54" s="290">
        <f>19800000+100000000</f>
        <v>119800000</v>
      </c>
      <c r="W54" s="1422">
        <v>20</v>
      </c>
      <c r="X54" s="1642" t="s">
        <v>72</v>
      </c>
      <c r="Y54" s="3616">
        <v>20555</v>
      </c>
      <c r="Z54" s="3616">
        <v>21361</v>
      </c>
      <c r="AA54" s="2566">
        <v>30460</v>
      </c>
      <c r="AB54" s="2566">
        <v>9593</v>
      </c>
      <c r="AC54" s="2566">
        <v>1762</v>
      </c>
      <c r="AD54" s="2566">
        <v>101</v>
      </c>
      <c r="AE54" s="2566">
        <v>308</v>
      </c>
      <c r="AF54" s="2566">
        <v>277</v>
      </c>
      <c r="AG54" s="2566">
        <v>0</v>
      </c>
      <c r="AH54" s="2566">
        <v>0</v>
      </c>
      <c r="AI54" s="2566">
        <v>0</v>
      </c>
      <c r="AJ54" s="2566">
        <v>0</v>
      </c>
      <c r="AK54" s="2566">
        <v>2907</v>
      </c>
      <c r="AL54" s="2566">
        <v>2589</v>
      </c>
      <c r="AM54" s="2566">
        <v>2954</v>
      </c>
      <c r="AN54" s="2566">
        <v>41916</v>
      </c>
      <c r="AO54" s="3671">
        <v>43500</v>
      </c>
      <c r="AP54" s="3671">
        <v>43798</v>
      </c>
      <c r="AQ54" s="3650" t="s">
        <v>1185</v>
      </c>
    </row>
    <row r="55" spans="1:43" s="1520" customFormat="1" ht="39" customHeight="1" x14ac:dyDescent="0.25">
      <c r="A55" s="1638"/>
      <c r="B55" s="38"/>
      <c r="C55" s="38"/>
      <c r="D55" s="1639"/>
      <c r="E55" s="1640"/>
      <c r="F55" s="1641"/>
      <c r="G55" s="3403"/>
      <c r="H55" s="3403"/>
      <c r="I55" s="3404"/>
      <c r="J55" s="3615"/>
      <c r="K55" s="2616"/>
      <c r="L55" s="1624"/>
      <c r="M55" s="1446"/>
      <c r="N55" s="1441"/>
      <c r="O55" s="2608"/>
      <c r="P55" s="2742"/>
      <c r="Q55" s="3666"/>
      <c r="R55" s="3676"/>
      <c r="S55" s="2742"/>
      <c r="T55" s="2835"/>
      <c r="U55" s="2616"/>
      <c r="V55" s="290">
        <f>0+103775000</f>
        <v>103775000</v>
      </c>
      <c r="W55" s="1422">
        <v>88</v>
      </c>
      <c r="X55" s="1642" t="s">
        <v>140</v>
      </c>
      <c r="Y55" s="3600"/>
      <c r="Z55" s="3600"/>
      <c r="AA55" s="2567"/>
      <c r="AB55" s="2567"/>
      <c r="AC55" s="2567"/>
      <c r="AD55" s="2567"/>
      <c r="AE55" s="2567"/>
      <c r="AF55" s="2567"/>
      <c r="AG55" s="2567"/>
      <c r="AH55" s="2567"/>
      <c r="AI55" s="2567"/>
      <c r="AJ55" s="2567"/>
      <c r="AK55" s="2567"/>
      <c r="AL55" s="2567"/>
      <c r="AM55" s="2567"/>
      <c r="AN55" s="2567"/>
      <c r="AO55" s="3672"/>
      <c r="AP55" s="3672"/>
      <c r="AQ55" s="3651"/>
    </row>
    <row r="56" spans="1:43" s="1520" customFormat="1" ht="61.5" customHeight="1" x14ac:dyDescent="0.25">
      <c r="A56" s="1638"/>
      <c r="B56" s="38"/>
      <c r="C56" s="38"/>
      <c r="D56" s="1639"/>
      <c r="E56" s="1640"/>
      <c r="F56" s="1641"/>
      <c r="G56" s="3403"/>
      <c r="H56" s="3403"/>
      <c r="I56" s="3404"/>
      <c r="J56" s="1423">
        <v>84</v>
      </c>
      <c r="K56" s="1439" t="s">
        <v>1286</v>
      </c>
      <c r="L56" s="1439" t="s">
        <v>1287</v>
      </c>
      <c r="M56" s="1423">
        <v>30</v>
      </c>
      <c r="N56" s="1441"/>
      <c r="O56" s="2608"/>
      <c r="P56" s="2742"/>
      <c r="Q56" s="1643">
        <f>+V56/R54</f>
        <v>0</v>
      </c>
      <c r="R56" s="3676"/>
      <c r="S56" s="2742"/>
      <c r="T56" s="1417" t="s">
        <v>1288</v>
      </c>
      <c r="U56" s="1417" t="s">
        <v>1289</v>
      </c>
      <c r="V56" s="1632"/>
      <c r="W56" s="1425"/>
      <c r="X56" s="1642"/>
      <c r="Y56" s="3600"/>
      <c r="Z56" s="3600"/>
      <c r="AA56" s="2567"/>
      <c r="AB56" s="2567"/>
      <c r="AC56" s="2567"/>
      <c r="AD56" s="2567"/>
      <c r="AE56" s="2567"/>
      <c r="AF56" s="2567"/>
      <c r="AG56" s="2567"/>
      <c r="AH56" s="2567"/>
      <c r="AI56" s="2567"/>
      <c r="AJ56" s="2567"/>
      <c r="AK56" s="2567"/>
      <c r="AL56" s="2567"/>
      <c r="AM56" s="2567"/>
      <c r="AN56" s="2567"/>
      <c r="AO56" s="3672"/>
      <c r="AP56" s="3672"/>
      <c r="AQ56" s="3651"/>
    </row>
    <row r="57" spans="1:43" s="1520" customFormat="1" ht="60" customHeight="1" x14ac:dyDescent="0.25">
      <c r="A57" s="1638"/>
      <c r="B57" s="38"/>
      <c r="C57" s="38"/>
      <c r="D57" s="1639"/>
      <c r="E57" s="1640"/>
      <c r="F57" s="1641"/>
      <c r="G57" s="3403"/>
      <c r="H57" s="3403"/>
      <c r="I57" s="3404"/>
      <c r="J57" s="1423">
        <v>85</v>
      </c>
      <c r="K57" s="1439" t="s">
        <v>1290</v>
      </c>
      <c r="L57" s="1439" t="s">
        <v>1291</v>
      </c>
      <c r="M57" s="1423">
        <v>30</v>
      </c>
      <c r="N57" s="1441"/>
      <c r="O57" s="2608"/>
      <c r="P57" s="2742"/>
      <c r="Q57" s="1643">
        <f>+V57/R54</f>
        <v>0</v>
      </c>
      <c r="R57" s="3676"/>
      <c r="S57" s="2742"/>
      <c r="T57" s="1418" t="s">
        <v>1292</v>
      </c>
      <c r="U57" s="1417" t="s">
        <v>1293</v>
      </c>
      <c r="V57" s="290">
        <f>16050000-16050000</f>
        <v>0</v>
      </c>
      <c r="W57" s="1425"/>
      <c r="X57" s="1642"/>
      <c r="Y57" s="3600"/>
      <c r="Z57" s="3600"/>
      <c r="AA57" s="2567"/>
      <c r="AB57" s="2567"/>
      <c r="AC57" s="2567"/>
      <c r="AD57" s="2567"/>
      <c r="AE57" s="2567"/>
      <c r="AF57" s="2567"/>
      <c r="AG57" s="2567"/>
      <c r="AH57" s="2567"/>
      <c r="AI57" s="2567"/>
      <c r="AJ57" s="2567"/>
      <c r="AK57" s="2567"/>
      <c r="AL57" s="2567"/>
      <c r="AM57" s="2567"/>
      <c r="AN57" s="2567"/>
      <c r="AO57" s="3672"/>
      <c r="AP57" s="3672"/>
      <c r="AQ57" s="3651"/>
    </row>
    <row r="58" spans="1:43" s="1520" customFormat="1" ht="63" customHeight="1" x14ac:dyDescent="0.25">
      <c r="A58" s="1638"/>
      <c r="B58" s="38"/>
      <c r="C58" s="38"/>
      <c r="D58" s="1639"/>
      <c r="E58" s="1640"/>
      <c r="F58" s="1641"/>
      <c r="G58" s="3403"/>
      <c r="H58" s="3403"/>
      <c r="I58" s="3404"/>
      <c r="J58" s="3616">
        <v>87</v>
      </c>
      <c r="K58" s="2617" t="s">
        <v>1294</v>
      </c>
      <c r="L58" s="3674" t="s">
        <v>1295</v>
      </c>
      <c r="M58" s="3616">
        <v>30</v>
      </c>
      <c r="N58" s="1441"/>
      <c r="O58" s="2608"/>
      <c r="P58" s="2742"/>
      <c r="Q58" s="3665">
        <f>(+V58+V59)/R54</f>
        <v>0.18609210948094382</v>
      </c>
      <c r="R58" s="3676"/>
      <c r="S58" s="2742"/>
      <c r="T58" s="2617" t="s">
        <v>1296</v>
      </c>
      <c r="U58" s="2617" t="s">
        <v>1297</v>
      </c>
      <c r="V58" s="290">
        <v>80000000</v>
      </c>
      <c r="W58" s="1425">
        <v>21</v>
      </c>
      <c r="X58" s="1642" t="s">
        <v>1298</v>
      </c>
      <c r="Y58" s="3600"/>
      <c r="Z58" s="3600"/>
      <c r="AA58" s="2567"/>
      <c r="AB58" s="2567"/>
      <c r="AC58" s="2567"/>
      <c r="AD58" s="2567"/>
      <c r="AE58" s="2567"/>
      <c r="AF58" s="2567"/>
      <c r="AG58" s="2567"/>
      <c r="AH58" s="2567"/>
      <c r="AI58" s="2567"/>
      <c r="AJ58" s="2567"/>
      <c r="AK58" s="2567"/>
      <c r="AL58" s="2567"/>
      <c r="AM58" s="2567"/>
      <c r="AN58" s="2567"/>
      <c r="AO58" s="3672"/>
      <c r="AP58" s="3672"/>
      <c r="AQ58" s="3651"/>
    </row>
    <row r="59" spans="1:43" s="1520" customFormat="1" ht="53.25" customHeight="1" x14ac:dyDescent="0.25">
      <c r="A59" s="1638"/>
      <c r="B59" s="38"/>
      <c r="C59" s="38"/>
      <c r="D59" s="1639"/>
      <c r="E59" s="1640"/>
      <c r="F59" s="1641"/>
      <c r="G59" s="3403"/>
      <c r="H59" s="3403"/>
      <c r="I59" s="3404"/>
      <c r="J59" s="3615"/>
      <c r="K59" s="2616"/>
      <c r="L59" s="3675"/>
      <c r="M59" s="3615"/>
      <c r="N59" s="1441"/>
      <c r="O59" s="2608"/>
      <c r="P59" s="2742"/>
      <c r="Q59" s="3666"/>
      <c r="R59" s="3676"/>
      <c r="S59" s="2742"/>
      <c r="T59" s="2616"/>
      <c r="U59" s="2616"/>
      <c r="V59" s="290">
        <v>19875000</v>
      </c>
      <c r="W59" s="1425">
        <v>20</v>
      </c>
      <c r="X59" s="1642" t="s">
        <v>72</v>
      </c>
      <c r="Y59" s="3600"/>
      <c r="Z59" s="3600"/>
      <c r="AA59" s="2567"/>
      <c r="AB59" s="2567"/>
      <c r="AC59" s="2567"/>
      <c r="AD59" s="2567"/>
      <c r="AE59" s="2567"/>
      <c r="AF59" s="2567"/>
      <c r="AG59" s="2567"/>
      <c r="AH59" s="2567"/>
      <c r="AI59" s="2567"/>
      <c r="AJ59" s="2567"/>
      <c r="AK59" s="2567"/>
      <c r="AL59" s="2567"/>
      <c r="AM59" s="2567"/>
      <c r="AN59" s="2567"/>
      <c r="AO59" s="3672"/>
      <c r="AP59" s="3672"/>
      <c r="AQ59" s="3651"/>
    </row>
    <row r="60" spans="1:43" s="1520" customFormat="1" ht="67.5" customHeight="1" x14ac:dyDescent="0.25">
      <c r="A60" s="1638"/>
      <c r="B60" s="38"/>
      <c r="C60" s="38"/>
      <c r="D60" s="1639"/>
      <c r="E60" s="1640"/>
      <c r="F60" s="1641"/>
      <c r="G60" s="3403"/>
      <c r="H60" s="3403"/>
      <c r="I60" s="3404"/>
      <c r="J60" s="2588">
        <v>88</v>
      </c>
      <c r="K60" s="2617" t="s">
        <v>1299</v>
      </c>
      <c r="L60" s="2617" t="s">
        <v>1300</v>
      </c>
      <c r="M60" s="2588">
        <v>36</v>
      </c>
      <c r="N60" s="1441"/>
      <c r="O60" s="2608"/>
      <c r="P60" s="2742"/>
      <c r="Q60" s="3665">
        <f>(+V60+V61+V62)/R54</f>
        <v>0.11990201088568928</v>
      </c>
      <c r="R60" s="3676"/>
      <c r="S60" s="2742"/>
      <c r="T60" s="2617" t="s">
        <v>1301</v>
      </c>
      <c r="U60" s="1417" t="s">
        <v>1302</v>
      </c>
      <c r="V60" s="1644">
        <v>28355000</v>
      </c>
      <c r="W60" s="1425">
        <v>20</v>
      </c>
      <c r="X60" s="1642" t="s">
        <v>72</v>
      </c>
      <c r="Y60" s="3600"/>
      <c r="Z60" s="3600"/>
      <c r="AA60" s="2567"/>
      <c r="AB60" s="2567"/>
      <c r="AC60" s="2567"/>
      <c r="AD60" s="2567"/>
      <c r="AE60" s="2567"/>
      <c r="AF60" s="2567"/>
      <c r="AG60" s="2567"/>
      <c r="AH60" s="2567"/>
      <c r="AI60" s="2567"/>
      <c r="AJ60" s="2567"/>
      <c r="AK60" s="2567"/>
      <c r="AL60" s="2567"/>
      <c r="AM60" s="2567"/>
      <c r="AN60" s="2567"/>
      <c r="AO60" s="3672"/>
      <c r="AP60" s="3672"/>
      <c r="AQ60" s="3651"/>
    </row>
    <row r="61" spans="1:43" s="1520" customFormat="1" ht="67.5" customHeight="1" x14ac:dyDescent="0.25">
      <c r="A61" s="1638"/>
      <c r="B61" s="38"/>
      <c r="C61" s="38"/>
      <c r="D61" s="1639"/>
      <c r="E61" s="1640"/>
      <c r="F61" s="1641"/>
      <c r="G61" s="3403"/>
      <c r="H61" s="3403"/>
      <c r="I61" s="3404"/>
      <c r="J61" s="2608"/>
      <c r="K61" s="2742"/>
      <c r="L61" s="2742"/>
      <c r="M61" s="2608"/>
      <c r="N61" s="1441"/>
      <c r="O61" s="2608"/>
      <c r="P61" s="2742"/>
      <c r="Q61" s="3667"/>
      <c r="R61" s="3676"/>
      <c r="S61" s="2742"/>
      <c r="T61" s="2742"/>
      <c r="U61" s="1418" t="s">
        <v>1303</v>
      </c>
      <c r="V61" s="1645">
        <v>27962084</v>
      </c>
      <c r="W61" s="1437">
        <v>20</v>
      </c>
      <c r="X61" s="1448" t="s">
        <v>72</v>
      </c>
      <c r="Y61" s="3600"/>
      <c r="Z61" s="3600"/>
      <c r="AA61" s="2567"/>
      <c r="AB61" s="2567"/>
      <c r="AC61" s="2567"/>
      <c r="AD61" s="2567"/>
      <c r="AE61" s="2567"/>
      <c r="AF61" s="2567"/>
      <c r="AG61" s="2567"/>
      <c r="AH61" s="2567"/>
      <c r="AI61" s="2567"/>
      <c r="AJ61" s="2567"/>
      <c r="AK61" s="2567"/>
      <c r="AL61" s="2567"/>
      <c r="AM61" s="2567"/>
      <c r="AN61" s="2567"/>
      <c r="AO61" s="3672"/>
      <c r="AP61" s="3672"/>
      <c r="AQ61" s="3651"/>
    </row>
    <row r="62" spans="1:43" s="1520" customFormat="1" ht="88.5" customHeight="1" x14ac:dyDescent="0.25">
      <c r="A62" s="1638"/>
      <c r="B62" s="38"/>
      <c r="C62" s="38"/>
      <c r="D62" s="1639"/>
      <c r="E62" s="1640"/>
      <c r="F62" s="1641"/>
      <c r="G62" s="3403"/>
      <c r="H62" s="3403"/>
      <c r="I62" s="3404"/>
      <c r="J62" s="2609"/>
      <c r="K62" s="2616"/>
      <c r="L62" s="2616"/>
      <c r="M62" s="2609"/>
      <c r="N62" s="1441" t="s">
        <v>1304</v>
      </c>
      <c r="O62" s="2608"/>
      <c r="P62" s="2742"/>
      <c r="Q62" s="3666"/>
      <c r="R62" s="3676"/>
      <c r="S62" s="2742"/>
      <c r="T62" s="3610"/>
      <c r="U62" s="1646" t="s">
        <v>1305</v>
      </c>
      <c r="V62" s="1647">
        <f>0+8033916</f>
        <v>8033916</v>
      </c>
      <c r="W62" s="1429">
        <v>20</v>
      </c>
      <c r="X62" s="1555" t="s">
        <v>72</v>
      </c>
      <c r="Y62" s="3614"/>
      <c r="Z62" s="3600"/>
      <c r="AA62" s="2567"/>
      <c r="AB62" s="2567"/>
      <c r="AC62" s="2567"/>
      <c r="AD62" s="2567"/>
      <c r="AE62" s="2567"/>
      <c r="AF62" s="2567"/>
      <c r="AG62" s="2567"/>
      <c r="AH62" s="2567"/>
      <c r="AI62" s="2567"/>
      <c r="AJ62" s="2567"/>
      <c r="AK62" s="2567"/>
      <c r="AL62" s="2567"/>
      <c r="AM62" s="2567"/>
      <c r="AN62" s="2567"/>
      <c r="AO62" s="3672"/>
      <c r="AP62" s="3672"/>
      <c r="AQ62" s="3651"/>
    </row>
    <row r="63" spans="1:43" s="1520" customFormat="1" ht="30" customHeight="1" x14ac:dyDescent="0.25">
      <c r="A63" s="1638"/>
      <c r="B63" s="38"/>
      <c r="C63" s="38"/>
      <c r="D63" s="1639"/>
      <c r="E63" s="1640"/>
      <c r="F63" s="1641"/>
      <c r="G63" s="3403"/>
      <c r="H63" s="3403"/>
      <c r="I63" s="3404"/>
      <c r="J63" s="3616">
        <v>86</v>
      </c>
      <c r="K63" s="2617" t="s">
        <v>1306</v>
      </c>
      <c r="L63" s="2617" t="s">
        <v>1307</v>
      </c>
      <c r="M63" s="2588">
        <v>1</v>
      </c>
      <c r="N63" s="1441" t="s">
        <v>1308</v>
      </c>
      <c r="O63" s="2608"/>
      <c r="P63" s="2742"/>
      <c r="Q63" s="3665">
        <f>(V63+V64+V65)/R54</f>
        <v>0</v>
      </c>
      <c r="R63" s="3676"/>
      <c r="S63" s="2742"/>
      <c r="T63" s="2617" t="s">
        <v>1296</v>
      </c>
      <c r="U63" s="1420" t="s">
        <v>1309</v>
      </c>
      <c r="V63" s="1629"/>
      <c r="W63" s="1435"/>
      <c r="X63" s="1449"/>
      <c r="Y63" s="3600"/>
      <c r="Z63" s="3600"/>
      <c r="AA63" s="2567"/>
      <c r="AB63" s="2567"/>
      <c r="AC63" s="2567"/>
      <c r="AD63" s="2567"/>
      <c r="AE63" s="2567"/>
      <c r="AF63" s="2567"/>
      <c r="AG63" s="2567"/>
      <c r="AH63" s="2567"/>
      <c r="AI63" s="2567"/>
      <c r="AJ63" s="2567"/>
      <c r="AK63" s="2567"/>
      <c r="AL63" s="2567"/>
      <c r="AM63" s="2567"/>
      <c r="AN63" s="2567"/>
      <c r="AO63" s="3672"/>
      <c r="AP63" s="3672"/>
      <c r="AQ63" s="3651"/>
    </row>
    <row r="64" spans="1:43" s="1520" customFormat="1" ht="32.25" customHeight="1" x14ac:dyDescent="0.25">
      <c r="A64" s="1638"/>
      <c r="B64" s="38"/>
      <c r="C64" s="38"/>
      <c r="D64" s="1639"/>
      <c r="E64" s="1640"/>
      <c r="F64" s="1641"/>
      <c r="G64" s="3403"/>
      <c r="H64" s="3403"/>
      <c r="I64" s="3404"/>
      <c r="J64" s="3600"/>
      <c r="K64" s="2742"/>
      <c r="L64" s="2742"/>
      <c r="M64" s="2608"/>
      <c r="N64" s="1441" t="s">
        <v>1310</v>
      </c>
      <c r="O64" s="2608"/>
      <c r="P64" s="2742"/>
      <c r="Q64" s="3667"/>
      <c r="R64" s="3676"/>
      <c r="S64" s="2742"/>
      <c r="T64" s="2742"/>
      <c r="U64" s="1417" t="s">
        <v>1311</v>
      </c>
      <c r="V64" s="1635"/>
      <c r="W64" s="1425"/>
      <c r="X64" s="1642"/>
      <c r="Y64" s="3600"/>
      <c r="Z64" s="3600"/>
      <c r="AA64" s="2567"/>
      <c r="AB64" s="2567"/>
      <c r="AC64" s="2567"/>
      <c r="AD64" s="2567"/>
      <c r="AE64" s="2567"/>
      <c r="AF64" s="2567"/>
      <c r="AG64" s="2567"/>
      <c r="AH64" s="2567"/>
      <c r="AI64" s="2567"/>
      <c r="AJ64" s="2567"/>
      <c r="AK64" s="2567"/>
      <c r="AL64" s="2567"/>
      <c r="AM64" s="2567"/>
      <c r="AN64" s="2567"/>
      <c r="AO64" s="3672"/>
      <c r="AP64" s="3672"/>
      <c r="AQ64" s="3651"/>
    </row>
    <row r="65" spans="1:43" s="1520" customFormat="1" ht="35.25" customHeight="1" x14ac:dyDescent="0.25">
      <c r="A65" s="1638"/>
      <c r="B65" s="38"/>
      <c r="C65" s="38"/>
      <c r="D65" s="1639"/>
      <c r="E65" s="1640"/>
      <c r="F65" s="1641"/>
      <c r="G65" s="3403"/>
      <c r="H65" s="3403"/>
      <c r="I65" s="3404"/>
      <c r="J65" s="3615"/>
      <c r="K65" s="2616"/>
      <c r="L65" s="2616"/>
      <c r="M65" s="2609"/>
      <c r="N65" s="1441" t="s">
        <v>1312</v>
      </c>
      <c r="O65" s="2608"/>
      <c r="P65" s="2742"/>
      <c r="Q65" s="3666"/>
      <c r="R65" s="3676"/>
      <c r="S65" s="2742"/>
      <c r="T65" s="2616"/>
      <c r="U65" s="1417" t="s">
        <v>1313</v>
      </c>
      <c r="V65" s="1648"/>
      <c r="W65" s="1425"/>
      <c r="X65" s="1642"/>
      <c r="Y65" s="3600"/>
      <c r="Z65" s="3600"/>
      <c r="AA65" s="2567"/>
      <c r="AB65" s="2567"/>
      <c r="AC65" s="2567"/>
      <c r="AD65" s="2567"/>
      <c r="AE65" s="2567"/>
      <c r="AF65" s="2567"/>
      <c r="AG65" s="2567"/>
      <c r="AH65" s="2567"/>
      <c r="AI65" s="2567"/>
      <c r="AJ65" s="2567"/>
      <c r="AK65" s="2567"/>
      <c r="AL65" s="2567"/>
      <c r="AM65" s="2567"/>
      <c r="AN65" s="2567"/>
      <c r="AO65" s="3672"/>
      <c r="AP65" s="3672"/>
      <c r="AQ65" s="3651"/>
    </row>
    <row r="66" spans="1:43" s="1520" customFormat="1" ht="77.25" customHeight="1" x14ac:dyDescent="0.25">
      <c r="A66" s="1638"/>
      <c r="B66" s="38"/>
      <c r="C66" s="38"/>
      <c r="D66" s="1639"/>
      <c r="E66" s="1640"/>
      <c r="F66" s="1641"/>
      <c r="G66" s="3403"/>
      <c r="H66" s="3403"/>
      <c r="I66" s="3404"/>
      <c r="J66" s="1423">
        <v>89</v>
      </c>
      <c r="K66" s="1439" t="s">
        <v>1314</v>
      </c>
      <c r="L66" s="1439" t="s">
        <v>1315</v>
      </c>
      <c r="M66" s="1423">
        <v>20000</v>
      </c>
      <c r="N66" s="1441"/>
      <c r="O66" s="2608"/>
      <c r="P66" s="2742"/>
      <c r="Q66" s="1643">
        <f>+V66/R54</f>
        <v>0</v>
      </c>
      <c r="R66" s="3676"/>
      <c r="S66" s="2742"/>
      <c r="T66" s="1418" t="s">
        <v>1316</v>
      </c>
      <c r="U66" s="1417" t="s">
        <v>1317</v>
      </c>
      <c r="V66" s="1635"/>
      <c r="W66" s="1425"/>
      <c r="X66" s="1642"/>
      <c r="Y66" s="3600"/>
      <c r="Z66" s="3600"/>
      <c r="AA66" s="2567"/>
      <c r="AB66" s="2567"/>
      <c r="AC66" s="2567"/>
      <c r="AD66" s="2567"/>
      <c r="AE66" s="2567"/>
      <c r="AF66" s="2567"/>
      <c r="AG66" s="2567"/>
      <c r="AH66" s="2567"/>
      <c r="AI66" s="2567"/>
      <c r="AJ66" s="2567"/>
      <c r="AK66" s="2567"/>
      <c r="AL66" s="2567"/>
      <c r="AM66" s="2567"/>
      <c r="AN66" s="2567"/>
      <c r="AO66" s="3672"/>
      <c r="AP66" s="3672"/>
      <c r="AQ66" s="3651"/>
    </row>
    <row r="67" spans="1:43" s="1520" customFormat="1" ht="48" customHeight="1" x14ac:dyDescent="0.25">
      <c r="A67" s="1638"/>
      <c r="B67" s="38"/>
      <c r="C67" s="38"/>
      <c r="D67" s="1639"/>
      <c r="E67" s="1640"/>
      <c r="F67" s="1641"/>
      <c r="G67" s="3403"/>
      <c r="H67" s="3403"/>
      <c r="I67" s="3404"/>
      <c r="J67" s="3616">
        <v>90</v>
      </c>
      <c r="K67" s="2617" t="s">
        <v>1318</v>
      </c>
      <c r="L67" s="2617" t="s">
        <v>1319</v>
      </c>
      <c r="M67" s="2823">
        <v>130</v>
      </c>
      <c r="N67" s="1441"/>
      <c r="O67" s="2608"/>
      <c r="P67" s="2742"/>
      <c r="Q67" s="3668">
        <f>(+V67+V70+V68)/R54</f>
        <v>8.7612291844639062E-2</v>
      </c>
      <c r="R67" s="3676"/>
      <c r="S67" s="3609"/>
      <c r="T67" s="3326" t="s">
        <v>1320</v>
      </c>
      <c r="U67" s="3677" t="s">
        <v>1321</v>
      </c>
      <c r="V67" s="1632">
        <v>15475000</v>
      </c>
      <c r="W67" s="1428">
        <v>20</v>
      </c>
      <c r="X67" s="1649" t="s">
        <v>72</v>
      </c>
      <c r="Y67" s="3600"/>
      <c r="Z67" s="3600"/>
      <c r="AA67" s="2567"/>
      <c r="AB67" s="2567"/>
      <c r="AC67" s="2567"/>
      <c r="AD67" s="2567"/>
      <c r="AE67" s="2567"/>
      <c r="AF67" s="2567"/>
      <c r="AG67" s="2567"/>
      <c r="AH67" s="2567"/>
      <c r="AI67" s="2567"/>
      <c r="AJ67" s="2567"/>
      <c r="AK67" s="2567"/>
      <c r="AL67" s="2567"/>
      <c r="AM67" s="2567"/>
      <c r="AN67" s="2567"/>
      <c r="AO67" s="3672"/>
      <c r="AP67" s="3672"/>
      <c r="AQ67" s="3651"/>
    </row>
    <row r="68" spans="1:43" s="1520" customFormat="1" ht="52.5" customHeight="1" x14ac:dyDescent="0.25">
      <c r="A68" s="1638"/>
      <c r="B68" s="38"/>
      <c r="C68" s="38"/>
      <c r="D68" s="1639"/>
      <c r="E68" s="1640"/>
      <c r="F68" s="1641"/>
      <c r="G68" s="3403"/>
      <c r="H68" s="3403"/>
      <c r="I68" s="3404"/>
      <c r="J68" s="3600"/>
      <c r="K68" s="2742"/>
      <c r="L68" s="2742"/>
      <c r="M68" s="2821"/>
      <c r="N68" s="1441"/>
      <c r="O68" s="2608"/>
      <c r="P68" s="2742"/>
      <c r="Q68" s="3669"/>
      <c r="R68" s="3676"/>
      <c r="S68" s="3609"/>
      <c r="T68" s="3326"/>
      <c r="U68" s="3678"/>
      <c r="V68" s="1632">
        <f>0+17146218</f>
        <v>17146218</v>
      </c>
      <c r="W68" s="1428">
        <v>25</v>
      </c>
      <c r="X68" s="1649" t="s">
        <v>1223</v>
      </c>
      <c r="Y68" s="3600"/>
      <c r="Z68" s="3600"/>
      <c r="AA68" s="2567"/>
      <c r="AB68" s="2567"/>
      <c r="AC68" s="2567"/>
      <c r="AD68" s="2567"/>
      <c r="AE68" s="2567"/>
      <c r="AF68" s="2567"/>
      <c r="AG68" s="2567"/>
      <c r="AH68" s="2567"/>
      <c r="AI68" s="2567"/>
      <c r="AJ68" s="2567"/>
      <c r="AK68" s="2567"/>
      <c r="AL68" s="2567"/>
      <c r="AM68" s="2567"/>
      <c r="AN68" s="2567"/>
      <c r="AO68" s="3672"/>
      <c r="AP68" s="3672"/>
      <c r="AQ68" s="3651"/>
    </row>
    <row r="69" spans="1:43" s="1520" customFormat="1" ht="81.75" customHeight="1" x14ac:dyDescent="0.25">
      <c r="A69" s="1638"/>
      <c r="B69" s="38"/>
      <c r="C69" s="38"/>
      <c r="D69" s="1639"/>
      <c r="E69" s="1640"/>
      <c r="F69" s="1641"/>
      <c r="G69" s="3403"/>
      <c r="H69" s="3403"/>
      <c r="I69" s="3404"/>
      <c r="J69" s="3600"/>
      <c r="K69" s="2742"/>
      <c r="L69" s="2616"/>
      <c r="M69" s="2822"/>
      <c r="N69" s="1441"/>
      <c r="O69" s="2608"/>
      <c r="P69" s="2742"/>
      <c r="Q69" s="3669"/>
      <c r="R69" s="3676"/>
      <c r="S69" s="3609"/>
      <c r="T69" s="3326"/>
      <c r="U69" s="1447" t="s">
        <v>1322</v>
      </c>
      <c r="V69" s="290">
        <f>29875000-29875000</f>
        <v>0</v>
      </c>
      <c r="W69" s="1428">
        <v>20</v>
      </c>
      <c r="X69" s="1649" t="s">
        <v>72</v>
      </c>
      <c r="Y69" s="3600"/>
      <c r="Z69" s="3600"/>
      <c r="AA69" s="2567"/>
      <c r="AB69" s="2567"/>
      <c r="AC69" s="2567"/>
      <c r="AD69" s="2567"/>
      <c r="AE69" s="2567"/>
      <c r="AF69" s="2567"/>
      <c r="AG69" s="2567"/>
      <c r="AH69" s="2567"/>
      <c r="AI69" s="2567"/>
      <c r="AJ69" s="2567"/>
      <c r="AK69" s="2567"/>
      <c r="AL69" s="2567"/>
      <c r="AM69" s="2567"/>
      <c r="AN69" s="2567"/>
      <c r="AO69" s="3672"/>
      <c r="AP69" s="3672"/>
      <c r="AQ69" s="3651"/>
    </row>
    <row r="70" spans="1:43" s="1520" customFormat="1" ht="81.75" customHeight="1" x14ac:dyDescent="0.25">
      <c r="A70" s="1638"/>
      <c r="B70" s="38"/>
      <c r="C70" s="38"/>
      <c r="D70" s="1639"/>
      <c r="E70" s="1640"/>
      <c r="F70" s="1641"/>
      <c r="G70" s="3403"/>
      <c r="H70" s="3403"/>
      <c r="I70" s="3404"/>
      <c r="J70" s="3615"/>
      <c r="K70" s="2616"/>
      <c r="L70" s="1419"/>
      <c r="M70" s="1445"/>
      <c r="N70" s="1441"/>
      <c r="O70" s="2608"/>
      <c r="P70" s="2742"/>
      <c r="Q70" s="3670"/>
      <c r="R70" s="3676"/>
      <c r="S70" s="3609"/>
      <c r="T70" s="3326"/>
      <c r="U70" s="1427" t="s">
        <v>1323</v>
      </c>
      <c r="V70" s="290">
        <v>14400000</v>
      </c>
      <c r="W70" s="1428">
        <v>20</v>
      </c>
      <c r="X70" s="1649" t="s">
        <v>72</v>
      </c>
      <c r="Y70" s="3600"/>
      <c r="Z70" s="3600"/>
      <c r="AA70" s="2567"/>
      <c r="AB70" s="2567"/>
      <c r="AC70" s="2567"/>
      <c r="AD70" s="2567"/>
      <c r="AE70" s="2567"/>
      <c r="AF70" s="2567"/>
      <c r="AG70" s="2567"/>
      <c r="AH70" s="2567"/>
      <c r="AI70" s="2567"/>
      <c r="AJ70" s="2567"/>
      <c r="AK70" s="2567"/>
      <c r="AL70" s="2567"/>
      <c r="AM70" s="2567"/>
      <c r="AN70" s="2567"/>
      <c r="AO70" s="3672"/>
      <c r="AP70" s="3672"/>
      <c r="AQ70" s="3651"/>
    </row>
    <row r="71" spans="1:43" s="1520" customFormat="1" ht="41.25" customHeight="1" x14ac:dyDescent="0.25">
      <c r="A71" s="1638"/>
      <c r="B71" s="38"/>
      <c r="C71" s="38"/>
      <c r="D71" s="1639"/>
      <c r="E71" s="1640"/>
      <c r="F71" s="1641"/>
      <c r="G71" s="3403"/>
      <c r="H71" s="3403"/>
      <c r="I71" s="3404"/>
      <c r="J71" s="3616">
        <v>91</v>
      </c>
      <c r="K71" s="2617" t="s">
        <v>1324</v>
      </c>
      <c r="L71" s="2617" t="s">
        <v>1325</v>
      </c>
      <c r="M71" s="2823">
        <v>54</v>
      </c>
      <c r="N71" s="1441"/>
      <c r="O71" s="2608"/>
      <c r="P71" s="2742"/>
      <c r="Q71" s="3665">
        <f>(+V71+V73+V72)/R54</f>
        <v>0.18981743382425206</v>
      </c>
      <c r="R71" s="3676"/>
      <c r="S71" s="2742"/>
      <c r="T71" s="2742" t="s">
        <v>1326</v>
      </c>
      <c r="U71" s="2617" t="s">
        <v>1327</v>
      </c>
      <c r="V71" s="290">
        <f>60000000+31988604.86</f>
        <v>91988604.859999999</v>
      </c>
      <c r="W71" s="1425">
        <v>21</v>
      </c>
      <c r="X71" s="1642" t="s">
        <v>1298</v>
      </c>
      <c r="Y71" s="3600"/>
      <c r="Z71" s="3600"/>
      <c r="AA71" s="2567"/>
      <c r="AB71" s="2567"/>
      <c r="AC71" s="2567"/>
      <c r="AD71" s="2567"/>
      <c r="AE71" s="2567"/>
      <c r="AF71" s="2567"/>
      <c r="AG71" s="2567"/>
      <c r="AH71" s="2567"/>
      <c r="AI71" s="2567"/>
      <c r="AJ71" s="2567"/>
      <c r="AK71" s="2567"/>
      <c r="AL71" s="2567"/>
      <c r="AM71" s="2567"/>
      <c r="AN71" s="2567"/>
      <c r="AO71" s="3672"/>
      <c r="AP71" s="3672"/>
      <c r="AQ71" s="3651"/>
    </row>
    <row r="72" spans="1:43" s="1520" customFormat="1" ht="41.25" customHeight="1" x14ac:dyDescent="0.25">
      <c r="A72" s="1638"/>
      <c r="B72" s="38"/>
      <c r="C72" s="38"/>
      <c r="D72" s="1639"/>
      <c r="E72" s="1640"/>
      <c r="F72" s="1641"/>
      <c r="G72" s="3403"/>
      <c r="H72" s="3403"/>
      <c r="I72" s="3404"/>
      <c r="J72" s="3600"/>
      <c r="K72" s="2742"/>
      <c r="L72" s="2742"/>
      <c r="M72" s="2821"/>
      <c r="N72" s="1441"/>
      <c r="O72" s="2608"/>
      <c r="P72" s="2742"/>
      <c r="Q72" s="3667"/>
      <c r="R72" s="3676"/>
      <c r="S72" s="2742"/>
      <c r="T72" s="2742"/>
      <c r="U72" s="2742"/>
      <c r="V72" s="290">
        <v>9885764</v>
      </c>
      <c r="W72" s="1428">
        <v>20</v>
      </c>
      <c r="X72" s="1649" t="s">
        <v>72</v>
      </c>
      <c r="Y72" s="3600"/>
      <c r="Z72" s="3600"/>
      <c r="AA72" s="2567"/>
      <c r="AB72" s="2567"/>
      <c r="AC72" s="2567"/>
      <c r="AD72" s="2567"/>
      <c r="AE72" s="2567"/>
      <c r="AF72" s="2567"/>
      <c r="AG72" s="2567"/>
      <c r="AH72" s="2567"/>
      <c r="AI72" s="2567"/>
      <c r="AJ72" s="2567"/>
      <c r="AK72" s="2567"/>
      <c r="AL72" s="2567"/>
      <c r="AM72" s="2567"/>
      <c r="AN72" s="2567"/>
      <c r="AO72" s="3672"/>
      <c r="AP72" s="3672"/>
      <c r="AQ72" s="3651"/>
    </row>
    <row r="73" spans="1:43" s="1520" customFormat="1" ht="37.5" customHeight="1" x14ac:dyDescent="0.25">
      <c r="A73" s="1638"/>
      <c r="B73" s="38"/>
      <c r="C73" s="38"/>
      <c r="D73" s="1639"/>
      <c r="E73" s="1640"/>
      <c r="F73" s="1641"/>
      <c r="G73" s="3403"/>
      <c r="H73" s="3403"/>
      <c r="I73" s="3404"/>
      <c r="J73" s="3615"/>
      <c r="K73" s="2616"/>
      <c r="L73" s="2616"/>
      <c r="M73" s="2822"/>
      <c r="N73" s="1441"/>
      <c r="O73" s="2608"/>
      <c r="P73" s="2742"/>
      <c r="Q73" s="3666"/>
      <c r="R73" s="3676"/>
      <c r="S73" s="2742"/>
      <c r="T73" s="2616"/>
      <c r="U73" s="2616"/>
      <c r="V73" s="290">
        <f>17146218-17146218</f>
        <v>0</v>
      </c>
      <c r="W73" s="1428">
        <v>25</v>
      </c>
      <c r="X73" s="1649" t="s">
        <v>1328</v>
      </c>
      <c r="Y73" s="3600"/>
      <c r="Z73" s="3600"/>
      <c r="AA73" s="2567"/>
      <c r="AB73" s="2567"/>
      <c r="AC73" s="2567"/>
      <c r="AD73" s="2567"/>
      <c r="AE73" s="2567"/>
      <c r="AF73" s="2567"/>
      <c r="AG73" s="2567"/>
      <c r="AH73" s="2567"/>
      <c r="AI73" s="2567"/>
      <c r="AJ73" s="2567"/>
      <c r="AK73" s="2567"/>
      <c r="AL73" s="2567"/>
      <c r="AM73" s="2567"/>
      <c r="AN73" s="2567"/>
      <c r="AO73" s="3672"/>
      <c r="AP73" s="3672"/>
      <c r="AQ73" s="3651"/>
    </row>
    <row r="74" spans="1:43" s="1520" customFormat="1" ht="60.75" customHeight="1" x14ac:dyDescent="0.25">
      <c r="A74" s="1638"/>
      <c r="B74" s="38"/>
      <c r="C74" s="38"/>
      <c r="D74" s="1639"/>
      <c r="E74" s="1640"/>
      <c r="F74" s="1641"/>
      <c r="G74" s="3403"/>
      <c r="H74" s="3403"/>
      <c r="I74" s="3404"/>
      <c r="J74" s="1636">
        <v>92</v>
      </c>
      <c r="K74" s="1443" t="s">
        <v>1329</v>
      </c>
      <c r="L74" s="1443" t="s">
        <v>1330</v>
      </c>
      <c r="M74" s="1444">
        <v>1</v>
      </c>
      <c r="N74" s="1441"/>
      <c r="O74" s="2608"/>
      <c r="P74" s="2742"/>
      <c r="Q74" s="1650">
        <f>+V74/R54</f>
        <v>0</v>
      </c>
      <c r="R74" s="3676"/>
      <c r="S74" s="2742"/>
      <c r="T74" s="1418" t="s">
        <v>1331</v>
      </c>
      <c r="U74" s="1418" t="s">
        <v>1332</v>
      </c>
      <c r="V74" s="1651">
        <f>30000000-30000000</f>
        <v>0</v>
      </c>
      <c r="W74" s="1425">
        <v>20</v>
      </c>
      <c r="X74" s="1642" t="s">
        <v>72</v>
      </c>
      <c r="Y74" s="3615"/>
      <c r="Z74" s="3615"/>
      <c r="AA74" s="2599"/>
      <c r="AB74" s="2599"/>
      <c r="AC74" s="2599"/>
      <c r="AD74" s="2599"/>
      <c r="AE74" s="2599"/>
      <c r="AF74" s="2599"/>
      <c r="AG74" s="2599"/>
      <c r="AH74" s="2599"/>
      <c r="AI74" s="2599"/>
      <c r="AJ74" s="2599"/>
      <c r="AK74" s="2599"/>
      <c r="AL74" s="2599"/>
      <c r="AM74" s="2599"/>
      <c r="AN74" s="2599"/>
      <c r="AO74" s="3673"/>
      <c r="AP74" s="3673"/>
      <c r="AQ74" s="3652"/>
    </row>
    <row r="75" spans="1:43" s="1520" customFormat="1" ht="15.75" x14ac:dyDescent="0.25">
      <c r="A75" s="1572"/>
      <c r="B75" s="354"/>
      <c r="C75" s="354"/>
      <c r="D75" s="1572"/>
      <c r="E75" s="354"/>
      <c r="F75" s="1580"/>
      <c r="G75" s="1618">
        <v>21</v>
      </c>
      <c r="H75" s="1416" t="s">
        <v>1333</v>
      </c>
      <c r="I75" s="1416"/>
      <c r="J75" s="1416"/>
      <c r="K75" s="158"/>
      <c r="L75" s="158"/>
      <c r="M75" s="165"/>
      <c r="N75" s="159"/>
      <c r="O75" s="165"/>
      <c r="P75" s="158"/>
      <c r="Q75" s="787"/>
      <c r="R75" s="1567"/>
      <c r="S75" s="158"/>
      <c r="T75" s="805"/>
      <c r="U75" s="805"/>
      <c r="V75" s="1652"/>
      <c r="W75" s="260"/>
      <c r="X75" s="1653"/>
      <c r="Y75" s="165"/>
      <c r="Z75" s="165"/>
      <c r="AA75" s="165"/>
      <c r="AB75" s="165"/>
      <c r="AC75" s="165"/>
      <c r="AD75" s="165"/>
      <c r="AE75" s="165"/>
      <c r="AF75" s="165"/>
      <c r="AG75" s="165"/>
      <c r="AH75" s="165"/>
      <c r="AI75" s="165"/>
      <c r="AJ75" s="1542"/>
      <c r="AK75" s="1542"/>
      <c r="AL75" s="1542"/>
      <c r="AM75" s="1542"/>
      <c r="AN75" s="1542"/>
      <c r="AO75" s="1543"/>
      <c r="AP75" s="1543"/>
      <c r="AQ75" s="1569"/>
    </row>
    <row r="76" spans="1:43" s="1520" customFormat="1" ht="48" customHeight="1" x14ac:dyDescent="0.25">
      <c r="A76" s="185"/>
      <c r="B76" s="184"/>
      <c r="C76" s="184"/>
      <c r="D76" s="1620"/>
      <c r="E76" s="1614"/>
      <c r="F76" s="1621"/>
      <c r="G76" s="184"/>
      <c r="H76" s="184"/>
      <c r="I76" s="230"/>
      <c r="J76" s="3616">
        <v>93</v>
      </c>
      <c r="K76" s="3307" t="s">
        <v>1334</v>
      </c>
      <c r="L76" s="1576" t="s">
        <v>1335</v>
      </c>
      <c r="M76" s="1654">
        <v>36</v>
      </c>
      <c r="N76" s="1440"/>
      <c r="O76" s="2950" t="s">
        <v>1336</v>
      </c>
      <c r="P76" s="3354" t="s">
        <v>1337</v>
      </c>
      <c r="Q76" s="3662">
        <f>+(V76+V77)/$R$76</f>
        <v>0.25982774744453385</v>
      </c>
      <c r="R76" s="3654">
        <f>SUM(V76:V82)</f>
        <v>109129992</v>
      </c>
      <c r="S76" s="3355" t="s">
        <v>1338</v>
      </c>
      <c r="T76" s="3685" t="s">
        <v>1339</v>
      </c>
      <c r="U76" s="3397" t="s">
        <v>1340</v>
      </c>
      <c r="V76" s="1655">
        <v>11861000</v>
      </c>
      <c r="W76" s="1430">
        <v>20</v>
      </c>
      <c r="X76" s="1555" t="s">
        <v>72</v>
      </c>
      <c r="Y76" s="3631">
        <v>20555</v>
      </c>
      <c r="Z76" s="3627">
        <v>21361</v>
      </c>
      <c r="AA76" s="3640">
        <v>30460</v>
      </c>
      <c r="AB76" s="3640">
        <v>9593</v>
      </c>
      <c r="AC76" s="3640">
        <v>1762</v>
      </c>
      <c r="AD76" s="3640">
        <v>101</v>
      </c>
      <c r="AE76" s="3640">
        <v>308</v>
      </c>
      <c r="AF76" s="3640">
        <v>277</v>
      </c>
      <c r="AG76" s="3640">
        <v>0</v>
      </c>
      <c r="AH76" s="3640">
        <v>0</v>
      </c>
      <c r="AI76" s="3640">
        <v>0</v>
      </c>
      <c r="AJ76" s="3656">
        <v>0</v>
      </c>
      <c r="AK76" s="3656">
        <v>2907</v>
      </c>
      <c r="AL76" s="2567">
        <v>2589</v>
      </c>
      <c r="AM76" s="3656">
        <v>2954</v>
      </c>
      <c r="AN76" s="3659">
        <v>41916</v>
      </c>
      <c r="AO76" s="3647">
        <v>43500</v>
      </c>
      <c r="AP76" s="3647">
        <v>43798</v>
      </c>
      <c r="AQ76" s="3651" t="s">
        <v>1185</v>
      </c>
    </row>
    <row r="77" spans="1:43" s="1520" customFormat="1" ht="35.25" customHeight="1" x14ac:dyDescent="0.25">
      <c r="A77" s="185"/>
      <c r="B77" s="184"/>
      <c r="C77" s="184"/>
      <c r="D77" s="1620"/>
      <c r="E77" s="1614"/>
      <c r="F77" s="1621"/>
      <c r="G77" s="184"/>
      <c r="H77" s="184"/>
      <c r="I77" s="230"/>
      <c r="J77" s="3615"/>
      <c r="K77" s="3319"/>
      <c r="L77" s="1595"/>
      <c r="M77" s="1656"/>
      <c r="N77" s="1441"/>
      <c r="O77" s="2951"/>
      <c r="P77" s="3355"/>
      <c r="Q77" s="3662"/>
      <c r="R77" s="3654"/>
      <c r="S77" s="3355"/>
      <c r="T77" s="3685"/>
      <c r="U77" s="3397"/>
      <c r="V77" s="1657">
        <f>0+16494000</f>
        <v>16494000</v>
      </c>
      <c r="W77" s="1430">
        <v>88</v>
      </c>
      <c r="X77" s="1555" t="s">
        <v>140</v>
      </c>
      <c r="Y77" s="3631"/>
      <c r="Z77" s="3627"/>
      <c r="AA77" s="3640"/>
      <c r="AB77" s="3640"/>
      <c r="AC77" s="3640"/>
      <c r="AD77" s="3640"/>
      <c r="AE77" s="3640"/>
      <c r="AF77" s="3640"/>
      <c r="AG77" s="3640"/>
      <c r="AH77" s="3640"/>
      <c r="AI77" s="3640"/>
      <c r="AJ77" s="3656"/>
      <c r="AK77" s="3656"/>
      <c r="AL77" s="2567"/>
      <c r="AM77" s="3656"/>
      <c r="AN77" s="3659"/>
      <c r="AO77" s="3648"/>
      <c r="AP77" s="3648"/>
      <c r="AQ77" s="3651"/>
    </row>
    <row r="78" spans="1:43" s="1520" customFormat="1" ht="46.5" customHeight="1" x14ac:dyDescent="0.25">
      <c r="A78" s="185"/>
      <c r="B78" s="184"/>
      <c r="C78" s="184"/>
      <c r="D78" s="1620"/>
      <c r="E78" s="1614"/>
      <c r="F78" s="1621"/>
      <c r="G78" s="184"/>
      <c r="H78" s="184"/>
      <c r="I78" s="230"/>
      <c r="J78" s="3616">
        <v>94</v>
      </c>
      <c r="K78" s="3307" t="s">
        <v>1341</v>
      </c>
      <c r="L78" s="1595"/>
      <c r="M78" s="1656"/>
      <c r="N78" s="1441"/>
      <c r="O78" s="2951"/>
      <c r="P78" s="3308"/>
      <c r="Q78" s="3683">
        <f>(V78+V79)/R76</f>
        <v>0.64143686549523438</v>
      </c>
      <c r="R78" s="3653"/>
      <c r="S78" s="3308"/>
      <c r="T78" s="3308" t="s">
        <v>1342</v>
      </c>
      <c r="U78" s="3308" t="s">
        <v>1343</v>
      </c>
      <c r="V78" s="1442">
        <v>60000000</v>
      </c>
      <c r="W78" s="1433">
        <v>21</v>
      </c>
      <c r="X78" s="1449" t="s">
        <v>1298</v>
      </c>
      <c r="Y78" s="3627"/>
      <c r="Z78" s="3627"/>
      <c r="AA78" s="3640"/>
      <c r="AB78" s="3640"/>
      <c r="AC78" s="3640"/>
      <c r="AD78" s="3640"/>
      <c r="AE78" s="3640"/>
      <c r="AF78" s="3640"/>
      <c r="AG78" s="3640"/>
      <c r="AH78" s="3640"/>
      <c r="AI78" s="3640"/>
      <c r="AJ78" s="3656"/>
      <c r="AK78" s="3656"/>
      <c r="AL78" s="2567"/>
      <c r="AM78" s="3656"/>
      <c r="AN78" s="3659"/>
      <c r="AO78" s="3648"/>
      <c r="AP78" s="3648"/>
      <c r="AQ78" s="3651"/>
    </row>
    <row r="79" spans="1:43" s="1520" customFormat="1" ht="35.25" customHeight="1" x14ac:dyDescent="0.25">
      <c r="A79" s="185"/>
      <c r="B79" s="184"/>
      <c r="C79" s="184"/>
      <c r="D79" s="1620"/>
      <c r="E79" s="1614"/>
      <c r="F79" s="1621"/>
      <c r="G79" s="184"/>
      <c r="H79" s="184"/>
      <c r="I79" s="230"/>
      <c r="J79" s="3615"/>
      <c r="K79" s="3319"/>
      <c r="L79" s="1658" t="s">
        <v>1344</v>
      </c>
      <c r="M79" s="1444">
        <v>65</v>
      </c>
      <c r="N79" s="1441" t="s">
        <v>1345</v>
      </c>
      <c r="O79" s="2951"/>
      <c r="P79" s="3308"/>
      <c r="Q79" s="3684"/>
      <c r="R79" s="3653"/>
      <c r="S79" s="3308"/>
      <c r="T79" s="3319"/>
      <c r="U79" s="3319"/>
      <c r="V79" s="1659">
        <v>10000000</v>
      </c>
      <c r="W79" s="1422">
        <v>20</v>
      </c>
      <c r="X79" s="1642" t="s">
        <v>72</v>
      </c>
      <c r="Y79" s="3627"/>
      <c r="Z79" s="3627"/>
      <c r="AA79" s="3640"/>
      <c r="AB79" s="3640"/>
      <c r="AC79" s="3640"/>
      <c r="AD79" s="3640"/>
      <c r="AE79" s="3640"/>
      <c r="AF79" s="3640"/>
      <c r="AG79" s="3640"/>
      <c r="AH79" s="3640"/>
      <c r="AI79" s="3640"/>
      <c r="AJ79" s="3656"/>
      <c r="AK79" s="3656"/>
      <c r="AL79" s="2567"/>
      <c r="AM79" s="3656"/>
      <c r="AN79" s="3659"/>
      <c r="AO79" s="3648"/>
      <c r="AP79" s="3648"/>
      <c r="AQ79" s="3651"/>
    </row>
    <row r="80" spans="1:43" s="1520" customFormat="1" ht="33" customHeight="1" x14ac:dyDescent="0.25">
      <c r="A80" s="185"/>
      <c r="B80" s="184"/>
      <c r="C80" s="184"/>
      <c r="D80" s="1620"/>
      <c r="E80" s="1614"/>
      <c r="F80" s="1621"/>
      <c r="G80" s="184"/>
      <c r="H80" s="184"/>
      <c r="I80" s="230"/>
      <c r="J80" s="3616">
        <v>95</v>
      </c>
      <c r="K80" s="3307" t="s">
        <v>1346</v>
      </c>
      <c r="L80" s="3307" t="s">
        <v>1347</v>
      </c>
      <c r="M80" s="2823">
        <v>500</v>
      </c>
      <c r="N80" s="1441" t="s">
        <v>1348</v>
      </c>
      <c r="O80" s="2951"/>
      <c r="P80" s="3308"/>
      <c r="Q80" s="3681">
        <f>+V80/R76</f>
        <v>0</v>
      </c>
      <c r="R80" s="3653"/>
      <c r="S80" s="3308"/>
      <c r="T80" s="3307" t="s">
        <v>1349</v>
      </c>
      <c r="U80" s="2617" t="s">
        <v>1350</v>
      </c>
      <c r="V80" s="3679">
        <f>10000000-10000000</f>
        <v>0</v>
      </c>
      <c r="W80" s="2551"/>
      <c r="X80" s="3687"/>
      <c r="Y80" s="3627"/>
      <c r="Z80" s="3627"/>
      <c r="AA80" s="3640"/>
      <c r="AB80" s="3640"/>
      <c r="AC80" s="3640"/>
      <c r="AD80" s="3640"/>
      <c r="AE80" s="3640"/>
      <c r="AF80" s="3640"/>
      <c r="AG80" s="3640"/>
      <c r="AH80" s="3640"/>
      <c r="AI80" s="3640"/>
      <c r="AJ80" s="3656"/>
      <c r="AK80" s="3656"/>
      <c r="AL80" s="2567"/>
      <c r="AM80" s="3656"/>
      <c r="AN80" s="3659"/>
      <c r="AO80" s="3648"/>
      <c r="AP80" s="3648"/>
      <c r="AQ80" s="3651"/>
    </row>
    <row r="81" spans="1:43" s="1520" customFormat="1" ht="59.25" customHeight="1" x14ac:dyDescent="0.25">
      <c r="A81" s="185"/>
      <c r="B81" s="184"/>
      <c r="C81" s="184"/>
      <c r="D81" s="1620"/>
      <c r="E81" s="1614"/>
      <c r="F81" s="1621"/>
      <c r="G81" s="184"/>
      <c r="H81" s="184"/>
      <c r="I81" s="230"/>
      <c r="J81" s="3615"/>
      <c r="K81" s="3319"/>
      <c r="L81" s="3319"/>
      <c r="M81" s="2822"/>
      <c r="N81" s="1441" t="s">
        <v>1351</v>
      </c>
      <c r="O81" s="2951"/>
      <c r="P81" s="3308"/>
      <c r="Q81" s="3682"/>
      <c r="R81" s="3653"/>
      <c r="S81" s="3308"/>
      <c r="T81" s="3319"/>
      <c r="U81" s="2616"/>
      <c r="V81" s="3680"/>
      <c r="W81" s="2615"/>
      <c r="X81" s="3688"/>
      <c r="Y81" s="3627"/>
      <c r="Z81" s="3627"/>
      <c r="AA81" s="3640"/>
      <c r="AB81" s="3640"/>
      <c r="AC81" s="3640"/>
      <c r="AD81" s="3640"/>
      <c r="AE81" s="3640"/>
      <c r="AF81" s="3640"/>
      <c r="AG81" s="3640"/>
      <c r="AH81" s="3640"/>
      <c r="AI81" s="3640"/>
      <c r="AJ81" s="3656"/>
      <c r="AK81" s="3656"/>
      <c r="AL81" s="2567"/>
      <c r="AM81" s="3656"/>
      <c r="AN81" s="3659"/>
      <c r="AO81" s="3648"/>
      <c r="AP81" s="3648"/>
      <c r="AQ81" s="3651"/>
    </row>
    <row r="82" spans="1:43" s="1520" customFormat="1" ht="78.75" customHeight="1" x14ac:dyDescent="0.25">
      <c r="A82" s="185"/>
      <c r="B82" s="184"/>
      <c r="C82" s="184"/>
      <c r="D82" s="1620"/>
      <c r="E82" s="1614"/>
      <c r="F82" s="1621"/>
      <c r="G82" s="184"/>
      <c r="H82" s="184"/>
      <c r="I82" s="230"/>
      <c r="J82" s="1636">
        <v>96</v>
      </c>
      <c r="K82" s="1600" t="s">
        <v>1352</v>
      </c>
      <c r="L82" s="1600" t="s">
        <v>1353</v>
      </c>
      <c r="M82" s="1660">
        <v>2</v>
      </c>
      <c r="N82" s="1436"/>
      <c r="O82" s="2952"/>
      <c r="P82" s="3319"/>
      <c r="Q82" s="1661">
        <f>+V82/R76</f>
        <v>9.87353870602318E-2</v>
      </c>
      <c r="R82" s="3653"/>
      <c r="S82" s="3308"/>
      <c r="T82" s="1459" t="s">
        <v>1354</v>
      </c>
      <c r="U82" s="1459" t="s">
        <v>1355</v>
      </c>
      <c r="V82" s="1659">
        <v>10774992</v>
      </c>
      <c r="W82" s="1422">
        <v>20</v>
      </c>
      <c r="X82" s="1642" t="s">
        <v>72</v>
      </c>
      <c r="Y82" s="3627"/>
      <c r="Z82" s="3627"/>
      <c r="AA82" s="3640"/>
      <c r="AB82" s="3640"/>
      <c r="AC82" s="3640"/>
      <c r="AD82" s="3640"/>
      <c r="AE82" s="3640"/>
      <c r="AF82" s="3640"/>
      <c r="AG82" s="3640"/>
      <c r="AH82" s="3640"/>
      <c r="AI82" s="3640"/>
      <c r="AJ82" s="3656"/>
      <c r="AK82" s="3656"/>
      <c r="AL82" s="2567"/>
      <c r="AM82" s="3656"/>
      <c r="AN82" s="3659"/>
      <c r="AO82" s="3649"/>
      <c r="AP82" s="3649"/>
      <c r="AQ82" s="3651"/>
    </row>
    <row r="83" spans="1:43" s="1520" customFormat="1" ht="15.75" x14ac:dyDescent="0.25">
      <c r="A83" s="1572"/>
      <c r="B83" s="354"/>
      <c r="C83" s="354"/>
      <c r="D83" s="1572"/>
      <c r="E83" s="354"/>
      <c r="F83" s="1580"/>
      <c r="G83" s="1618">
        <v>22</v>
      </c>
      <c r="H83" s="1416" t="s">
        <v>1356</v>
      </c>
      <c r="I83" s="1416"/>
      <c r="J83" s="1416"/>
      <c r="K83" s="158"/>
      <c r="L83" s="158"/>
      <c r="M83" s="165"/>
      <c r="N83" s="159"/>
      <c r="O83" s="165"/>
      <c r="P83" s="188"/>
      <c r="Q83" s="165"/>
      <c r="R83" s="1567"/>
      <c r="S83" s="158"/>
      <c r="T83" s="158"/>
      <c r="U83" s="805"/>
      <c r="V83" s="1652"/>
      <c r="W83" s="260"/>
      <c r="X83" s="1653"/>
      <c r="Y83" s="165"/>
      <c r="Z83" s="165"/>
      <c r="AA83" s="165"/>
      <c r="AB83" s="165"/>
      <c r="AC83" s="165"/>
      <c r="AD83" s="165"/>
      <c r="AE83" s="165"/>
      <c r="AF83" s="165"/>
      <c r="AG83" s="165"/>
      <c r="AH83" s="165"/>
      <c r="AI83" s="165"/>
      <c r="AJ83" s="1542"/>
      <c r="AK83" s="1542"/>
      <c r="AL83" s="1542"/>
      <c r="AM83" s="1542"/>
      <c r="AN83" s="1542"/>
      <c r="AO83" s="1543"/>
      <c r="AP83" s="1543"/>
      <c r="AQ83" s="1569"/>
    </row>
    <row r="84" spans="1:43" s="1520" customFormat="1" ht="45" customHeight="1" x14ac:dyDescent="0.25">
      <c r="A84" s="1662"/>
      <c r="B84" s="1663"/>
      <c r="C84" s="1663"/>
      <c r="D84" s="1662"/>
      <c r="E84" s="1663"/>
      <c r="F84" s="1664"/>
      <c r="G84" s="3689"/>
      <c r="H84" s="3689"/>
      <c r="I84" s="3306"/>
      <c r="J84" s="3600">
        <v>97</v>
      </c>
      <c r="K84" s="3308" t="s">
        <v>1357</v>
      </c>
      <c r="L84" s="3308" t="s">
        <v>1358</v>
      </c>
      <c r="M84" s="3627">
        <v>52</v>
      </c>
      <c r="N84" s="811"/>
      <c r="O84" s="2951" t="s">
        <v>1359</v>
      </c>
      <c r="P84" s="3308" t="s">
        <v>1360</v>
      </c>
      <c r="Q84" s="3690">
        <f>SUM(V84:V89)/R84</f>
        <v>1</v>
      </c>
      <c r="R84" s="3653">
        <f>SUM(V84:V89)</f>
        <v>30000000</v>
      </c>
      <c r="S84" s="3308" t="s">
        <v>1361</v>
      </c>
      <c r="T84" s="3355" t="s">
        <v>1362</v>
      </c>
      <c r="U84" s="3686" t="s">
        <v>1363</v>
      </c>
      <c r="V84" s="1665">
        <f>10000000</f>
        <v>10000000</v>
      </c>
      <c r="W84" s="1456">
        <v>20</v>
      </c>
      <c r="X84" s="1603" t="s">
        <v>1364</v>
      </c>
      <c r="Y84" s="3631">
        <v>20555</v>
      </c>
      <c r="Z84" s="3627">
        <v>21361</v>
      </c>
      <c r="AA84" s="3627">
        <v>30460</v>
      </c>
      <c r="AB84" s="3627">
        <v>9593</v>
      </c>
      <c r="AC84" s="3627">
        <v>1762</v>
      </c>
      <c r="AD84" s="3627">
        <v>101</v>
      </c>
      <c r="AE84" s="3627">
        <v>308</v>
      </c>
      <c r="AF84" s="3627">
        <v>277</v>
      </c>
      <c r="AG84" s="3627">
        <v>0</v>
      </c>
      <c r="AH84" s="3627">
        <v>0</v>
      </c>
      <c r="AI84" s="3627">
        <v>0</v>
      </c>
      <c r="AJ84" s="3627">
        <v>0</v>
      </c>
      <c r="AK84" s="3640">
        <v>2907</v>
      </c>
      <c r="AL84" s="3640">
        <v>2589</v>
      </c>
      <c r="AM84" s="3640">
        <v>2954</v>
      </c>
      <c r="AN84" s="3627">
        <v>41916</v>
      </c>
      <c r="AO84" s="3672">
        <v>43497</v>
      </c>
      <c r="AP84" s="3672">
        <v>43800</v>
      </c>
      <c r="AQ84" s="3651" t="s">
        <v>1185</v>
      </c>
    </row>
    <row r="85" spans="1:43" s="1520" customFormat="1" ht="15.75" x14ac:dyDescent="0.25">
      <c r="A85" s="1662"/>
      <c r="B85" s="1663"/>
      <c r="C85" s="1663"/>
      <c r="D85" s="1662"/>
      <c r="E85" s="1663"/>
      <c r="F85" s="1664"/>
      <c r="G85" s="3689"/>
      <c r="H85" s="3689"/>
      <c r="I85" s="3306"/>
      <c r="J85" s="3600"/>
      <c r="K85" s="3308"/>
      <c r="L85" s="3308"/>
      <c r="M85" s="3627"/>
      <c r="N85" s="811"/>
      <c r="O85" s="2951"/>
      <c r="P85" s="3308"/>
      <c r="Q85" s="3690"/>
      <c r="R85" s="3653"/>
      <c r="S85" s="3308"/>
      <c r="T85" s="3355"/>
      <c r="U85" s="3686"/>
      <c r="V85" s="3691">
        <f>0+20000000-9000000</f>
        <v>11000000</v>
      </c>
      <c r="W85" s="3694">
        <v>88</v>
      </c>
      <c r="X85" s="3695" t="s">
        <v>140</v>
      </c>
      <c r="Y85" s="3631"/>
      <c r="Z85" s="3627"/>
      <c r="AA85" s="3627"/>
      <c r="AB85" s="3627"/>
      <c r="AC85" s="3627"/>
      <c r="AD85" s="3627"/>
      <c r="AE85" s="3627"/>
      <c r="AF85" s="3627"/>
      <c r="AG85" s="3627"/>
      <c r="AH85" s="3627"/>
      <c r="AI85" s="3627"/>
      <c r="AJ85" s="3627"/>
      <c r="AK85" s="3627"/>
      <c r="AL85" s="3627"/>
      <c r="AM85" s="3627"/>
      <c r="AN85" s="3627"/>
      <c r="AO85" s="3659"/>
      <c r="AP85" s="3659"/>
      <c r="AQ85" s="3651"/>
    </row>
    <row r="86" spans="1:43" s="1520" customFormat="1" ht="18" customHeight="1" x14ac:dyDescent="0.25">
      <c r="A86" s="1662"/>
      <c r="B86" s="1663"/>
      <c r="C86" s="1663"/>
      <c r="D86" s="1662"/>
      <c r="E86" s="1663"/>
      <c r="F86" s="1664"/>
      <c r="G86" s="3689"/>
      <c r="H86" s="3689"/>
      <c r="I86" s="3306"/>
      <c r="J86" s="3600"/>
      <c r="K86" s="3308"/>
      <c r="L86" s="3308"/>
      <c r="M86" s="3627"/>
      <c r="N86" s="811" t="s">
        <v>1365</v>
      </c>
      <c r="O86" s="2951"/>
      <c r="P86" s="3308"/>
      <c r="Q86" s="3690"/>
      <c r="R86" s="3653"/>
      <c r="S86" s="3308"/>
      <c r="T86" s="3355"/>
      <c r="U86" s="3686"/>
      <c r="V86" s="3692"/>
      <c r="W86" s="3694"/>
      <c r="X86" s="3695"/>
      <c r="Y86" s="3631"/>
      <c r="Z86" s="3627"/>
      <c r="AA86" s="3627"/>
      <c r="AB86" s="3627"/>
      <c r="AC86" s="3627"/>
      <c r="AD86" s="3627"/>
      <c r="AE86" s="3627"/>
      <c r="AF86" s="3627"/>
      <c r="AG86" s="3627"/>
      <c r="AH86" s="3627"/>
      <c r="AI86" s="3627"/>
      <c r="AJ86" s="3627"/>
      <c r="AK86" s="3627"/>
      <c r="AL86" s="3627"/>
      <c r="AM86" s="3627"/>
      <c r="AN86" s="3627"/>
      <c r="AO86" s="3659"/>
      <c r="AP86" s="3659"/>
      <c r="AQ86" s="3651"/>
    </row>
    <row r="87" spans="1:43" s="1520" customFormat="1" ht="15.75" x14ac:dyDescent="0.25">
      <c r="A87" s="1662"/>
      <c r="B87" s="1663"/>
      <c r="C87" s="1663"/>
      <c r="D87" s="1662"/>
      <c r="E87" s="1663"/>
      <c r="F87" s="1664"/>
      <c r="G87" s="3689"/>
      <c r="H87" s="3689"/>
      <c r="I87" s="3306"/>
      <c r="J87" s="3600"/>
      <c r="K87" s="3308"/>
      <c r="L87" s="3308"/>
      <c r="M87" s="3627"/>
      <c r="N87" s="811" t="s">
        <v>1366</v>
      </c>
      <c r="O87" s="2951"/>
      <c r="P87" s="3308"/>
      <c r="Q87" s="3690"/>
      <c r="R87" s="3653"/>
      <c r="S87" s="3308"/>
      <c r="T87" s="3355"/>
      <c r="U87" s="3686"/>
      <c r="V87" s="3692"/>
      <c r="W87" s="3694"/>
      <c r="X87" s="3695"/>
      <c r="Y87" s="3631"/>
      <c r="Z87" s="3627"/>
      <c r="AA87" s="3627"/>
      <c r="AB87" s="3627"/>
      <c r="AC87" s="3627"/>
      <c r="AD87" s="3627"/>
      <c r="AE87" s="3627"/>
      <c r="AF87" s="3627"/>
      <c r="AG87" s="3627"/>
      <c r="AH87" s="3627"/>
      <c r="AI87" s="3627"/>
      <c r="AJ87" s="3627"/>
      <c r="AK87" s="3627"/>
      <c r="AL87" s="3627"/>
      <c r="AM87" s="3627"/>
      <c r="AN87" s="3627"/>
      <c r="AO87" s="3659"/>
      <c r="AP87" s="3659"/>
      <c r="AQ87" s="3651"/>
    </row>
    <row r="88" spans="1:43" s="1520" customFormat="1" ht="15.75" x14ac:dyDescent="0.25">
      <c r="A88" s="1662"/>
      <c r="B88" s="1663"/>
      <c r="C88" s="1663"/>
      <c r="D88" s="1662"/>
      <c r="E88" s="1663"/>
      <c r="F88" s="1664"/>
      <c r="G88" s="3689"/>
      <c r="H88" s="3689"/>
      <c r="I88" s="3306"/>
      <c r="J88" s="3600"/>
      <c r="K88" s="3308"/>
      <c r="L88" s="3308"/>
      <c r="M88" s="3627"/>
      <c r="N88" s="811"/>
      <c r="O88" s="2951"/>
      <c r="P88" s="3308"/>
      <c r="Q88" s="3690"/>
      <c r="R88" s="3653"/>
      <c r="S88" s="3308"/>
      <c r="T88" s="3355"/>
      <c r="U88" s="3686"/>
      <c r="V88" s="3693"/>
      <c r="W88" s="3694"/>
      <c r="X88" s="3695"/>
      <c r="Y88" s="3631"/>
      <c r="Z88" s="3627"/>
      <c r="AA88" s="3627"/>
      <c r="AB88" s="3627"/>
      <c r="AC88" s="3627"/>
      <c r="AD88" s="3627"/>
      <c r="AE88" s="3627"/>
      <c r="AF88" s="3627"/>
      <c r="AG88" s="3627"/>
      <c r="AH88" s="3627"/>
      <c r="AI88" s="3627"/>
      <c r="AJ88" s="3627"/>
      <c r="AK88" s="3627"/>
      <c r="AL88" s="3627"/>
      <c r="AM88" s="3627"/>
      <c r="AN88" s="3627"/>
      <c r="AO88" s="3659"/>
      <c r="AP88" s="3659"/>
      <c r="AQ88" s="3651"/>
    </row>
    <row r="89" spans="1:43" s="1520" customFormat="1" ht="92.25" customHeight="1" x14ac:dyDescent="0.25">
      <c r="A89" s="1662"/>
      <c r="B89" s="1663"/>
      <c r="C89" s="1663"/>
      <c r="D89" s="1666"/>
      <c r="E89" s="1667"/>
      <c r="F89" s="1668"/>
      <c r="G89" s="3689"/>
      <c r="H89" s="3689"/>
      <c r="I89" s="3306"/>
      <c r="J89" s="3600"/>
      <c r="K89" s="3308"/>
      <c r="L89" s="3308"/>
      <c r="M89" s="3627"/>
      <c r="N89" s="811"/>
      <c r="O89" s="2951"/>
      <c r="P89" s="3308"/>
      <c r="Q89" s="3690"/>
      <c r="R89" s="3653"/>
      <c r="S89" s="3308"/>
      <c r="T89" s="3308"/>
      <c r="U89" s="1669" t="s">
        <v>1367</v>
      </c>
      <c r="V89" s="1670">
        <f>0+9000000</f>
        <v>9000000</v>
      </c>
      <c r="W89" s="3694"/>
      <c r="X89" s="3695"/>
      <c r="Y89" s="3631"/>
      <c r="Z89" s="3627"/>
      <c r="AA89" s="3627"/>
      <c r="AB89" s="3627"/>
      <c r="AC89" s="3627"/>
      <c r="AD89" s="3627"/>
      <c r="AE89" s="3627"/>
      <c r="AF89" s="3627"/>
      <c r="AG89" s="3627"/>
      <c r="AH89" s="3627"/>
      <c r="AI89" s="3627"/>
      <c r="AJ89" s="3627"/>
      <c r="AK89" s="3627"/>
      <c r="AL89" s="3627"/>
      <c r="AM89" s="3627"/>
      <c r="AN89" s="3627"/>
      <c r="AO89" s="3659"/>
      <c r="AP89" s="3659"/>
      <c r="AQ89" s="3651"/>
    </row>
    <row r="90" spans="1:43" s="1520" customFormat="1" ht="15.75" x14ac:dyDescent="0.25">
      <c r="A90" s="1671"/>
      <c r="B90" s="1672"/>
      <c r="C90" s="1673"/>
      <c r="D90" s="143">
        <v>7</v>
      </c>
      <c r="E90" s="1607" t="s">
        <v>1368</v>
      </c>
      <c r="F90" s="1607"/>
      <c r="G90" s="1421"/>
      <c r="H90" s="1421"/>
      <c r="I90" s="1421"/>
      <c r="J90" s="1421"/>
      <c r="K90" s="1674"/>
      <c r="L90" s="1674"/>
      <c r="M90" s="1421"/>
      <c r="N90" s="1675"/>
      <c r="O90" s="1675"/>
      <c r="P90" s="1676"/>
      <c r="Q90" s="1677"/>
      <c r="R90" s="1678"/>
      <c r="S90" s="1674"/>
      <c r="T90" s="1674"/>
      <c r="U90" s="1674"/>
      <c r="V90" s="1679"/>
      <c r="W90" s="150"/>
      <c r="X90" s="1680"/>
      <c r="Y90" s="1675"/>
      <c r="Z90" s="1675"/>
      <c r="AA90" s="73"/>
      <c r="AB90" s="73"/>
      <c r="AC90" s="73"/>
      <c r="AD90" s="73"/>
      <c r="AE90" s="73"/>
      <c r="AF90" s="73"/>
      <c r="AG90" s="73"/>
      <c r="AH90" s="1681"/>
      <c r="AI90" s="1681"/>
      <c r="AJ90" s="1682"/>
      <c r="AK90" s="1682"/>
      <c r="AL90" s="1683"/>
      <c r="AM90" s="1682"/>
      <c r="AN90" s="1684"/>
      <c r="AO90" s="1685"/>
      <c r="AP90" s="1685"/>
      <c r="AQ90" s="1686"/>
    </row>
    <row r="91" spans="1:43" s="1520" customFormat="1" ht="15.75" x14ac:dyDescent="0.25">
      <c r="A91" s="1671"/>
      <c r="B91" s="1672"/>
      <c r="C91" s="1672"/>
      <c r="D91" s="1531"/>
      <c r="E91" s="1532"/>
      <c r="F91" s="1533"/>
      <c r="G91" s="1687">
        <v>23</v>
      </c>
      <c r="H91" s="1688" t="s">
        <v>1369</v>
      </c>
      <c r="I91" s="1689"/>
      <c r="J91" s="1689"/>
      <c r="K91" s="829"/>
      <c r="L91" s="829"/>
      <c r="M91" s="828"/>
      <c r="N91" s="830"/>
      <c r="O91" s="828"/>
      <c r="P91" s="1690"/>
      <c r="Q91" s="828"/>
      <c r="R91" s="1691"/>
      <c r="S91" s="829"/>
      <c r="T91" s="829"/>
      <c r="U91" s="829"/>
      <c r="V91" s="1692"/>
      <c r="W91" s="830"/>
      <c r="X91" s="1689"/>
      <c r="Y91" s="828"/>
      <c r="Z91" s="828"/>
      <c r="AA91" s="828"/>
      <c r="AB91" s="828"/>
      <c r="AC91" s="828"/>
      <c r="AD91" s="828"/>
      <c r="AE91" s="828"/>
      <c r="AF91" s="828"/>
      <c r="AG91" s="828"/>
      <c r="AH91" s="828"/>
      <c r="AI91" s="828"/>
      <c r="AJ91" s="1693"/>
      <c r="AK91" s="1693"/>
      <c r="AL91" s="1694"/>
      <c r="AM91" s="1693"/>
      <c r="AN91" s="1693"/>
      <c r="AO91" s="1695"/>
      <c r="AP91" s="1695"/>
      <c r="AQ91" s="1696"/>
    </row>
    <row r="92" spans="1:43" s="1520" customFormat="1" ht="89.25" customHeight="1" x14ac:dyDescent="0.25">
      <c r="A92" s="1671"/>
      <c r="B92" s="1672"/>
      <c r="C92" s="1672"/>
      <c r="D92" s="1545"/>
      <c r="E92" s="1546"/>
      <c r="F92" s="1547"/>
      <c r="G92" s="1465"/>
      <c r="H92" s="1466"/>
      <c r="I92" s="1467"/>
      <c r="J92" s="1622">
        <v>98</v>
      </c>
      <c r="K92" s="1576" t="s">
        <v>1370</v>
      </c>
      <c r="L92" s="1576" t="s">
        <v>1371</v>
      </c>
      <c r="M92" s="1446">
        <v>55</v>
      </c>
      <c r="N92" s="811"/>
      <c r="O92" s="2951" t="s">
        <v>1372</v>
      </c>
      <c r="P92" s="3308" t="s">
        <v>1373</v>
      </c>
      <c r="Q92" s="1697">
        <v>0</v>
      </c>
      <c r="R92" s="3653">
        <f>+V94+V96</f>
        <v>0</v>
      </c>
      <c r="S92" s="3308" t="s">
        <v>1374</v>
      </c>
      <c r="T92" s="1576" t="s">
        <v>1375</v>
      </c>
      <c r="U92" s="1438" t="s">
        <v>1376</v>
      </c>
      <c r="V92" s="1629"/>
      <c r="W92" s="3639"/>
      <c r="X92" s="3697"/>
      <c r="Y92" s="3706">
        <v>20555</v>
      </c>
      <c r="Z92" s="3706">
        <v>21361</v>
      </c>
      <c r="AA92" s="3696">
        <v>30460</v>
      </c>
      <c r="AB92" s="3696">
        <v>9593</v>
      </c>
      <c r="AC92" s="3696">
        <v>1762</v>
      </c>
      <c r="AD92" s="3696">
        <v>93</v>
      </c>
      <c r="AE92" s="3696">
        <v>238</v>
      </c>
      <c r="AF92" s="3696">
        <v>245</v>
      </c>
      <c r="AG92" s="3696">
        <v>0</v>
      </c>
      <c r="AH92" s="3696">
        <v>0</v>
      </c>
      <c r="AI92" s="3696">
        <v>0</v>
      </c>
      <c r="AJ92" s="3704">
        <v>0</v>
      </c>
      <c r="AK92" s="3704">
        <v>2629</v>
      </c>
      <c r="AL92" s="3704">
        <v>2665</v>
      </c>
      <c r="AM92" s="3704">
        <v>2683</v>
      </c>
      <c r="AN92" s="3705">
        <v>43946</v>
      </c>
      <c r="AO92" s="3671"/>
      <c r="AP92" s="3332"/>
      <c r="AQ92" s="3652" t="s">
        <v>1185</v>
      </c>
    </row>
    <row r="93" spans="1:43" s="1520" customFormat="1" ht="81" customHeight="1" x14ac:dyDescent="0.25">
      <c r="A93" s="1671"/>
      <c r="B93" s="1672"/>
      <c r="C93" s="1672"/>
      <c r="D93" s="1545"/>
      <c r="E93" s="1546"/>
      <c r="F93" s="1547"/>
      <c r="G93" s="1466"/>
      <c r="H93" s="1466"/>
      <c r="I93" s="1467"/>
      <c r="J93" s="1423">
        <v>99</v>
      </c>
      <c r="K93" s="1584" t="s">
        <v>1377</v>
      </c>
      <c r="L93" s="1584" t="s">
        <v>1378</v>
      </c>
      <c r="M93" s="1473">
        <v>150</v>
      </c>
      <c r="N93" s="1698"/>
      <c r="O93" s="2951"/>
      <c r="P93" s="3308"/>
      <c r="Q93" s="1699">
        <v>0</v>
      </c>
      <c r="R93" s="3653"/>
      <c r="S93" s="3308"/>
      <c r="T93" s="1584" t="s">
        <v>1379</v>
      </c>
      <c r="U93" s="1700" t="s">
        <v>1380</v>
      </c>
      <c r="V93" s="1635"/>
      <c r="W93" s="3640"/>
      <c r="X93" s="3698"/>
      <c r="Y93" s="3706"/>
      <c r="Z93" s="3706"/>
      <c r="AA93" s="3696"/>
      <c r="AB93" s="3696"/>
      <c r="AC93" s="3696"/>
      <c r="AD93" s="3696"/>
      <c r="AE93" s="3696"/>
      <c r="AF93" s="3696"/>
      <c r="AG93" s="3696"/>
      <c r="AH93" s="3696"/>
      <c r="AI93" s="3696"/>
      <c r="AJ93" s="3704"/>
      <c r="AK93" s="3704"/>
      <c r="AL93" s="3704"/>
      <c r="AM93" s="3704"/>
      <c r="AN93" s="3705"/>
      <c r="AO93" s="3672"/>
      <c r="AP93" s="3333"/>
      <c r="AQ93" s="3700"/>
    </row>
    <row r="94" spans="1:43" s="1520" customFormat="1" ht="72" customHeight="1" x14ac:dyDescent="0.25">
      <c r="A94" s="1671"/>
      <c r="B94" s="1672"/>
      <c r="C94" s="1672"/>
      <c r="D94" s="1545"/>
      <c r="E94" s="1546"/>
      <c r="F94" s="1547"/>
      <c r="G94" s="1466"/>
      <c r="H94" s="1466"/>
      <c r="I94" s="1467"/>
      <c r="J94" s="1423">
        <v>100</v>
      </c>
      <c r="K94" s="1584" t="s">
        <v>1381</v>
      </c>
      <c r="L94" s="1584" t="s">
        <v>1382</v>
      </c>
      <c r="M94" s="1473">
        <v>6</v>
      </c>
      <c r="N94" s="811"/>
      <c r="O94" s="2951"/>
      <c r="P94" s="3308"/>
      <c r="Q94" s="1699">
        <v>0</v>
      </c>
      <c r="R94" s="3653"/>
      <c r="S94" s="3308"/>
      <c r="T94" s="1584" t="s">
        <v>1381</v>
      </c>
      <c r="U94" s="1700" t="s">
        <v>1383</v>
      </c>
      <c r="V94" s="1424"/>
      <c r="W94" s="3640"/>
      <c r="X94" s="3698"/>
      <c r="Y94" s="3706"/>
      <c r="Z94" s="3706"/>
      <c r="AA94" s="3696"/>
      <c r="AB94" s="3696"/>
      <c r="AC94" s="3696"/>
      <c r="AD94" s="3696"/>
      <c r="AE94" s="3696"/>
      <c r="AF94" s="3696"/>
      <c r="AG94" s="3696"/>
      <c r="AH94" s="3696"/>
      <c r="AI94" s="3696"/>
      <c r="AJ94" s="3704"/>
      <c r="AK94" s="3704"/>
      <c r="AL94" s="3704"/>
      <c r="AM94" s="3704"/>
      <c r="AN94" s="3705"/>
      <c r="AO94" s="3672"/>
      <c r="AP94" s="3333"/>
      <c r="AQ94" s="3700"/>
    </row>
    <row r="95" spans="1:43" s="1520" customFormat="1" ht="49.5" customHeight="1" x14ac:dyDescent="0.25">
      <c r="A95" s="1671"/>
      <c r="B95" s="1672"/>
      <c r="C95" s="1672"/>
      <c r="D95" s="1545"/>
      <c r="E95" s="1546"/>
      <c r="F95" s="1547"/>
      <c r="G95" s="1466"/>
      <c r="H95" s="1466"/>
      <c r="I95" s="1467"/>
      <c r="J95" s="1423">
        <v>101</v>
      </c>
      <c r="K95" s="1584" t="s">
        <v>1384</v>
      </c>
      <c r="L95" s="1584" t="s">
        <v>1385</v>
      </c>
      <c r="M95" s="1473">
        <v>54</v>
      </c>
      <c r="N95" s="811"/>
      <c r="O95" s="2951"/>
      <c r="P95" s="3308"/>
      <c r="Q95" s="1699">
        <v>0</v>
      </c>
      <c r="R95" s="3653"/>
      <c r="S95" s="3308"/>
      <c r="T95" s="1584" t="s">
        <v>1386</v>
      </c>
      <c r="U95" s="1439" t="s">
        <v>1387</v>
      </c>
      <c r="V95" s="1635"/>
      <c r="W95" s="3640"/>
      <c r="X95" s="3698"/>
      <c r="Y95" s="3706"/>
      <c r="Z95" s="3706"/>
      <c r="AA95" s="3696"/>
      <c r="AB95" s="3696"/>
      <c r="AC95" s="3696"/>
      <c r="AD95" s="3696"/>
      <c r="AE95" s="3696"/>
      <c r="AF95" s="3696"/>
      <c r="AG95" s="3696"/>
      <c r="AH95" s="3696"/>
      <c r="AI95" s="3696"/>
      <c r="AJ95" s="3704"/>
      <c r="AK95" s="3704"/>
      <c r="AL95" s="3704"/>
      <c r="AM95" s="3704"/>
      <c r="AN95" s="3705"/>
      <c r="AO95" s="3672"/>
      <c r="AP95" s="3333"/>
      <c r="AQ95" s="3700"/>
    </row>
    <row r="96" spans="1:43" s="1520" customFormat="1" ht="60.75" customHeight="1" x14ac:dyDescent="0.25">
      <c r="A96" s="1671"/>
      <c r="B96" s="1672"/>
      <c r="C96" s="1672"/>
      <c r="D96" s="1545"/>
      <c r="E96" s="1546"/>
      <c r="F96" s="1547"/>
      <c r="G96" s="1466"/>
      <c r="H96" s="1466"/>
      <c r="I96" s="1467"/>
      <c r="J96" s="1636">
        <v>102</v>
      </c>
      <c r="K96" s="1600" t="s">
        <v>1388</v>
      </c>
      <c r="L96" s="1600" t="s">
        <v>1389</v>
      </c>
      <c r="M96" s="1701">
        <v>1</v>
      </c>
      <c r="N96" s="811"/>
      <c r="O96" s="2951"/>
      <c r="P96" s="3308"/>
      <c r="Q96" s="1661">
        <v>0</v>
      </c>
      <c r="R96" s="3653"/>
      <c r="S96" s="3308"/>
      <c r="T96" s="1600" t="s">
        <v>1390</v>
      </c>
      <c r="U96" s="1418" t="s">
        <v>1391</v>
      </c>
      <c r="V96" s="1702"/>
      <c r="W96" s="3641"/>
      <c r="X96" s="3699"/>
      <c r="Y96" s="3706"/>
      <c r="Z96" s="3706"/>
      <c r="AA96" s="3696"/>
      <c r="AB96" s="3696"/>
      <c r="AC96" s="3696"/>
      <c r="AD96" s="3696"/>
      <c r="AE96" s="3696"/>
      <c r="AF96" s="3696"/>
      <c r="AG96" s="3696"/>
      <c r="AH96" s="3696"/>
      <c r="AI96" s="3696"/>
      <c r="AJ96" s="3704"/>
      <c r="AK96" s="3704"/>
      <c r="AL96" s="3704"/>
      <c r="AM96" s="3704"/>
      <c r="AN96" s="3705"/>
      <c r="AO96" s="3673"/>
      <c r="AP96" s="3334"/>
      <c r="AQ96" s="3650"/>
    </row>
    <row r="97" spans="1:43" s="1520" customFormat="1" ht="15.75" x14ac:dyDescent="0.25">
      <c r="A97" s="1703"/>
      <c r="B97" s="1704"/>
      <c r="C97" s="1704"/>
      <c r="D97" s="1703"/>
      <c r="E97" s="1704"/>
      <c r="F97" s="1705"/>
      <c r="G97" s="1618">
        <v>24</v>
      </c>
      <c r="H97" s="1416" t="s">
        <v>1392</v>
      </c>
      <c r="I97" s="1416"/>
      <c r="J97" s="1416"/>
      <c r="K97" s="158"/>
      <c r="L97" s="158"/>
      <c r="M97" s="1416"/>
      <c r="N97" s="159"/>
      <c r="O97" s="1416"/>
      <c r="P97" s="188"/>
      <c r="Q97" s="1535"/>
      <c r="R97" s="1706"/>
      <c r="S97" s="158"/>
      <c r="T97" s="158"/>
      <c r="U97" s="158"/>
      <c r="V97" s="1619"/>
      <c r="W97" s="164"/>
      <c r="X97" s="1416"/>
      <c r="Y97" s="1416"/>
      <c r="Z97" s="1416"/>
      <c r="AA97" s="1416"/>
      <c r="AB97" s="1416"/>
      <c r="AC97" s="1416"/>
      <c r="AD97" s="1416"/>
      <c r="AE97" s="1416"/>
      <c r="AF97" s="1416"/>
      <c r="AG97" s="1416"/>
      <c r="AH97" s="1541"/>
      <c r="AI97" s="1541"/>
      <c r="AJ97" s="1542"/>
      <c r="AK97" s="1542"/>
      <c r="AL97" s="1542"/>
      <c r="AM97" s="1542"/>
      <c r="AN97" s="1542"/>
      <c r="AO97" s="1543"/>
      <c r="AP97" s="1543"/>
      <c r="AQ97" s="1569"/>
    </row>
    <row r="98" spans="1:43" s="1520" customFormat="1" ht="58.5" customHeight="1" x14ac:dyDescent="0.25">
      <c r="A98" s="1638"/>
      <c r="B98" s="38"/>
      <c r="C98" s="38"/>
      <c r="D98" s="1638"/>
      <c r="E98" s="38"/>
      <c r="F98" s="1707"/>
      <c r="G98" s="1466"/>
      <c r="H98" s="1466"/>
      <c r="I98" s="1467"/>
      <c r="J98" s="1622">
        <v>103</v>
      </c>
      <c r="K98" s="1576" t="s">
        <v>1393</v>
      </c>
      <c r="L98" s="1576" t="s">
        <v>1394</v>
      </c>
      <c r="M98" s="1446">
        <v>1</v>
      </c>
      <c r="N98" s="811"/>
      <c r="O98" s="2950" t="s">
        <v>1395</v>
      </c>
      <c r="P98" s="3307" t="s">
        <v>1396</v>
      </c>
      <c r="Q98" s="1697">
        <f>+V98/R98</f>
        <v>1.3996309129478067E-2</v>
      </c>
      <c r="R98" s="3701">
        <f>SUM(V98:V104)</f>
        <v>709972887</v>
      </c>
      <c r="S98" s="3687" t="s">
        <v>1397</v>
      </c>
      <c r="T98" s="3307" t="s">
        <v>1398</v>
      </c>
      <c r="U98" s="1462" t="s">
        <v>1399</v>
      </c>
      <c r="V98" s="1474">
        <v>9937000</v>
      </c>
      <c r="W98" s="1434" t="s">
        <v>202</v>
      </c>
      <c r="X98" s="1642" t="s">
        <v>72</v>
      </c>
      <c r="Y98" s="3301">
        <v>21554</v>
      </c>
      <c r="Z98" s="2950">
        <v>22392</v>
      </c>
      <c r="AA98" s="2950">
        <v>31677</v>
      </c>
      <c r="AB98" s="2950">
        <v>10302</v>
      </c>
      <c r="AC98" s="2950">
        <v>1874</v>
      </c>
      <c r="AD98" s="2950">
        <v>93</v>
      </c>
      <c r="AE98" s="2950">
        <v>238</v>
      </c>
      <c r="AF98" s="2950">
        <v>245</v>
      </c>
      <c r="AG98" s="2950">
        <v>0</v>
      </c>
      <c r="AH98" s="2950">
        <v>0</v>
      </c>
      <c r="AI98" s="2950">
        <v>0</v>
      </c>
      <c r="AJ98" s="2950">
        <v>0</v>
      </c>
      <c r="AK98" s="2950">
        <v>2629</v>
      </c>
      <c r="AL98" s="2950">
        <v>2629</v>
      </c>
      <c r="AM98" s="2950">
        <v>2683</v>
      </c>
      <c r="AN98" s="2950">
        <v>43946</v>
      </c>
      <c r="AO98" s="3671">
        <v>43490</v>
      </c>
      <c r="AP98" s="3647">
        <v>43798</v>
      </c>
      <c r="AQ98" s="3647" t="s">
        <v>1185</v>
      </c>
    </row>
    <row r="99" spans="1:43" s="1520" customFormat="1" ht="30.75" customHeight="1" x14ac:dyDescent="0.25">
      <c r="A99" s="1638"/>
      <c r="B99" s="38"/>
      <c r="C99" s="38"/>
      <c r="D99" s="1638"/>
      <c r="E99" s="38"/>
      <c r="F99" s="1707"/>
      <c r="G99" s="1466"/>
      <c r="H99" s="1466"/>
      <c r="I99" s="1467"/>
      <c r="J99" s="3616">
        <v>104</v>
      </c>
      <c r="K99" s="3307" t="s">
        <v>1400</v>
      </c>
      <c r="L99" s="1584" t="s">
        <v>1401</v>
      </c>
      <c r="M99" s="1473">
        <v>50</v>
      </c>
      <c r="N99" s="2951" t="s">
        <v>1402</v>
      </c>
      <c r="O99" s="2951"/>
      <c r="P99" s="3308"/>
      <c r="Q99" s="3707">
        <f>(+V99+V100)/R98</f>
        <v>3.9936736344693684E-2</v>
      </c>
      <c r="R99" s="3588"/>
      <c r="S99" s="3703"/>
      <c r="T99" s="3308"/>
      <c r="U99" s="3307" t="s">
        <v>1403</v>
      </c>
      <c r="V99" s="290">
        <v>9937000</v>
      </c>
      <c r="W99" s="1434" t="s">
        <v>202</v>
      </c>
      <c r="X99" s="1642" t="s">
        <v>72</v>
      </c>
      <c r="Y99" s="3302"/>
      <c r="Z99" s="2951"/>
      <c r="AA99" s="2951"/>
      <c r="AB99" s="2951"/>
      <c r="AC99" s="2951"/>
      <c r="AD99" s="2951"/>
      <c r="AE99" s="2951"/>
      <c r="AF99" s="2951"/>
      <c r="AG99" s="2951"/>
      <c r="AH99" s="2951"/>
      <c r="AI99" s="2951"/>
      <c r="AJ99" s="2951"/>
      <c r="AK99" s="2951"/>
      <c r="AL99" s="2951"/>
      <c r="AM99" s="2951"/>
      <c r="AN99" s="2951"/>
      <c r="AO99" s="3672"/>
      <c r="AP99" s="3648"/>
      <c r="AQ99" s="3648"/>
    </row>
    <row r="100" spans="1:43" s="1520" customFormat="1" ht="33.75" customHeight="1" x14ac:dyDescent="0.25">
      <c r="A100" s="1638"/>
      <c r="B100" s="38"/>
      <c r="C100" s="38"/>
      <c r="D100" s="1638"/>
      <c r="E100" s="38"/>
      <c r="F100" s="1707"/>
      <c r="G100" s="1466"/>
      <c r="H100" s="1466"/>
      <c r="I100" s="1467"/>
      <c r="J100" s="3615"/>
      <c r="K100" s="3319"/>
      <c r="L100" s="1600"/>
      <c r="M100" s="1444"/>
      <c r="N100" s="2951"/>
      <c r="O100" s="2951"/>
      <c r="P100" s="3308"/>
      <c r="Q100" s="3684"/>
      <c r="R100" s="3588"/>
      <c r="S100" s="3703"/>
      <c r="T100" s="3308"/>
      <c r="U100" s="3319"/>
      <c r="V100" s="1597">
        <f>0+18417000</f>
        <v>18417000</v>
      </c>
      <c r="W100" s="1434">
        <v>88</v>
      </c>
      <c r="X100" s="1642" t="s">
        <v>1404</v>
      </c>
      <c r="Y100" s="3302"/>
      <c r="Z100" s="2951"/>
      <c r="AA100" s="2951"/>
      <c r="AB100" s="2951"/>
      <c r="AC100" s="2951"/>
      <c r="AD100" s="2951"/>
      <c r="AE100" s="2951"/>
      <c r="AF100" s="2951"/>
      <c r="AG100" s="2951"/>
      <c r="AH100" s="2951"/>
      <c r="AI100" s="2951"/>
      <c r="AJ100" s="2951"/>
      <c r="AK100" s="2951"/>
      <c r="AL100" s="2951"/>
      <c r="AM100" s="2951"/>
      <c r="AN100" s="2951"/>
      <c r="AO100" s="3672"/>
      <c r="AP100" s="3648"/>
      <c r="AQ100" s="3648"/>
    </row>
    <row r="101" spans="1:43" s="1520" customFormat="1" ht="47.25" customHeight="1" x14ac:dyDescent="0.25">
      <c r="A101" s="1638"/>
      <c r="B101" s="38"/>
      <c r="C101" s="38"/>
      <c r="D101" s="1638"/>
      <c r="E101" s="38"/>
      <c r="F101" s="1707"/>
      <c r="G101" s="1466"/>
      <c r="H101" s="1466"/>
      <c r="I101" s="1467"/>
      <c r="J101" s="3616">
        <v>105</v>
      </c>
      <c r="K101" s="3307" t="s">
        <v>1405</v>
      </c>
      <c r="L101" s="1600"/>
      <c r="M101" s="1444"/>
      <c r="N101" s="2951"/>
      <c r="O101" s="2951"/>
      <c r="P101" s="3308"/>
      <c r="Q101" s="3707">
        <f>(+V101+V102)/R98</f>
        <v>0.87564172996369649</v>
      </c>
      <c r="R101" s="3588"/>
      <c r="S101" s="3703"/>
      <c r="T101" s="3308"/>
      <c r="U101" s="2617" t="s">
        <v>1406</v>
      </c>
      <c r="V101" s="1597">
        <v>9937000</v>
      </c>
      <c r="W101" s="1434" t="s">
        <v>202</v>
      </c>
      <c r="X101" s="1448" t="s">
        <v>72</v>
      </c>
      <c r="Y101" s="3302"/>
      <c r="Z101" s="2951"/>
      <c r="AA101" s="2951"/>
      <c r="AB101" s="2951"/>
      <c r="AC101" s="2951"/>
      <c r="AD101" s="2951"/>
      <c r="AE101" s="2951"/>
      <c r="AF101" s="2951"/>
      <c r="AG101" s="2951"/>
      <c r="AH101" s="2951"/>
      <c r="AI101" s="2951"/>
      <c r="AJ101" s="2951"/>
      <c r="AK101" s="2951"/>
      <c r="AL101" s="2951"/>
      <c r="AM101" s="2951"/>
      <c r="AN101" s="2951"/>
      <c r="AO101" s="3672"/>
      <c r="AP101" s="3648"/>
      <c r="AQ101" s="3648"/>
    </row>
    <row r="102" spans="1:43" s="1520" customFormat="1" ht="42.75" customHeight="1" x14ac:dyDescent="0.25">
      <c r="A102" s="1638"/>
      <c r="B102" s="38"/>
      <c r="C102" s="38"/>
      <c r="D102" s="1638"/>
      <c r="E102" s="38"/>
      <c r="F102" s="1707"/>
      <c r="G102" s="1466"/>
      <c r="H102" s="1466"/>
      <c r="I102" s="1467"/>
      <c r="J102" s="3615"/>
      <c r="K102" s="3319"/>
      <c r="L102" s="1658" t="s">
        <v>1401</v>
      </c>
      <c r="M102" s="1444">
        <v>47</v>
      </c>
      <c r="N102" s="2951"/>
      <c r="O102" s="2951"/>
      <c r="P102" s="3308"/>
      <c r="Q102" s="3684"/>
      <c r="R102" s="3588"/>
      <c r="S102" s="3703"/>
      <c r="T102" s="3308"/>
      <c r="U102" s="3610"/>
      <c r="V102" s="279">
        <v>611744887</v>
      </c>
      <c r="W102" s="1430">
        <v>88</v>
      </c>
      <c r="X102" s="1555" t="s">
        <v>1404</v>
      </c>
      <c r="Y102" s="3302"/>
      <c r="Z102" s="2951"/>
      <c r="AA102" s="2951"/>
      <c r="AB102" s="2951"/>
      <c r="AC102" s="2951"/>
      <c r="AD102" s="2951"/>
      <c r="AE102" s="2951"/>
      <c r="AF102" s="2951"/>
      <c r="AG102" s="2951"/>
      <c r="AH102" s="2951"/>
      <c r="AI102" s="2951"/>
      <c r="AJ102" s="2951"/>
      <c r="AK102" s="2951"/>
      <c r="AL102" s="2951"/>
      <c r="AM102" s="2951"/>
      <c r="AN102" s="2951"/>
      <c r="AO102" s="3672"/>
      <c r="AP102" s="3648"/>
      <c r="AQ102" s="3648"/>
    </row>
    <row r="103" spans="1:43" s="1520" customFormat="1" ht="33" customHeight="1" x14ac:dyDescent="0.25">
      <c r="A103" s="1638"/>
      <c r="B103" s="38"/>
      <c r="C103" s="38"/>
      <c r="D103" s="1638"/>
      <c r="E103" s="38"/>
      <c r="F103" s="1707"/>
      <c r="G103" s="1466"/>
      <c r="H103" s="1466"/>
      <c r="I103" s="1467"/>
      <c r="J103" s="3616">
        <v>106</v>
      </c>
      <c r="K103" s="3307" t="s">
        <v>1407</v>
      </c>
      <c r="L103" s="1658" t="s">
        <v>1408</v>
      </c>
      <c r="M103" s="1636">
        <v>1</v>
      </c>
      <c r="N103" s="2951"/>
      <c r="O103" s="2951"/>
      <c r="P103" s="3308"/>
      <c r="Q103" s="3707">
        <f>(+V103+V104)/R98</f>
        <v>7.0425224562131766E-2</v>
      </c>
      <c r="R103" s="3588"/>
      <c r="S103" s="3703"/>
      <c r="T103" s="3308"/>
      <c r="U103" s="3709" t="s">
        <v>1409</v>
      </c>
      <c r="V103" s="279">
        <v>15900000</v>
      </c>
      <c r="W103" s="1430" t="s">
        <v>202</v>
      </c>
      <c r="X103" s="1555" t="s">
        <v>72</v>
      </c>
      <c r="Y103" s="3302"/>
      <c r="Z103" s="2951"/>
      <c r="AA103" s="2951"/>
      <c r="AB103" s="2951"/>
      <c r="AC103" s="2951"/>
      <c r="AD103" s="2951"/>
      <c r="AE103" s="2951"/>
      <c r="AF103" s="2951"/>
      <c r="AG103" s="2951"/>
      <c r="AH103" s="2951"/>
      <c r="AI103" s="2951"/>
      <c r="AJ103" s="2951"/>
      <c r="AK103" s="2951"/>
      <c r="AL103" s="2951"/>
      <c r="AM103" s="2951"/>
      <c r="AN103" s="2951"/>
      <c r="AO103" s="3672"/>
      <c r="AP103" s="3648"/>
      <c r="AQ103" s="3648"/>
    </row>
    <row r="104" spans="1:43" s="1520" customFormat="1" ht="45" customHeight="1" x14ac:dyDescent="0.25">
      <c r="A104" s="1638"/>
      <c r="B104" s="38"/>
      <c r="C104" s="38"/>
      <c r="D104" s="1638"/>
      <c r="E104" s="38"/>
      <c r="F104" s="1707"/>
      <c r="G104" s="1466"/>
      <c r="H104" s="1466"/>
      <c r="I104" s="1466"/>
      <c r="J104" s="3615"/>
      <c r="K104" s="3319"/>
      <c r="L104" s="1658"/>
      <c r="M104" s="1636"/>
      <c r="N104" s="1452"/>
      <c r="O104" s="1452"/>
      <c r="P104" s="1460"/>
      <c r="Q104" s="3684"/>
      <c r="R104" s="3702"/>
      <c r="S104" s="1708"/>
      <c r="T104" s="1460"/>
      <c r="U104" s="3610"/>
      <c r="V104" s="279">
        <f>0+34100000</f>
        <v>34100000</v>
      </c>
      <c r="W104" s="1430">
        <v>88</v>
      </c>
      <c r="X104" s="1555" t="s">
        <v>1404</v>
      </c>
      <c r="Y104" s="3304"/>
      <c r="Z104" s="2952"/>
      <c r="AA104" s="2952"/>
      <c r="AB104" s="2952"/>
      <c r="AC104" s="2952"/>
      <c r="AD104" s="2952"/>
      <c r="AE104" s="2952"/>
      <c r="AF104" s="2952"/>
      <c r="AG104" s="2952"/>
      <c r="AH104" s="2952"/>
      <c r="AI104" s="2952"/>
      <c r="AJ104" s="2952"/>
      <c r="AK104" s="2952"/>
      <c r="AL104" s="2952"/>
      <c r="AM104" s="2952"/>
      <c r="AN104" s="2952"/>
      <c r="AO104" s="3673"/>
      <c r="AP104" s="3649"/>
      <c r="AQ104" s="1709"/>
    </row>
    <row r="105" spans="1:43" s="1520" customFormat="1" ht="41.25" customHeight="1" x14ac:dyDescent="0.25">
      <c r="A105" s="1638"/>
      <c r="B105" s="38"/>
      <c r="C105" s="38"/>
      <c r="D105" s="1638"/>
      <c r="E105" s="38"/>
      <c r="F105" s="1707"/>
      <c r="G105" s="1466"/>
      <c r="H105" s="1466"/>
      <c r="I105" s="1466"/>
      <c r="J105" s="2752">
        <v>107</v>
      </c>
      <c r="K105" s="2607" t="s">
        <v>1410</v>
      </c>
      <c r="L105" s="3708" t="s">
        <v>1411</v>
      </c>
      <c r="M105" s="2752">
        <v>1</v>
      </c>
      <c r="N105" s="2588" t="s">
        <v>1412</v>
      </c>
      <c r="O105" s="2752" t="s">
        <v>1413</v>
      </c>
      <c r="P105" s="2607" t="s">
        <v>1414</v>
      </c>
      <c r="Q105" s="3710">
        <f>SUM(V105:V108)/R105</f>
        <v>1</v>
      </c>
      <c r="R105" s="2753">
        <f>SUM(V105:V108)</f>
        <v>1294717884</v>
      </c>
      <c r="S105" s="3708" t="s">
        <v>1397</v>
      </c>
      <c r="T105" s="3708" t="s">
        <v>1398</v>
      </c>
      <c r="U105" s="2617" t="s">
        <v>1415</v>
      </c>
      <c r="V105" s="1710">
        <v>150000000</v>
      </c>
      <c r="W105" s="1433">
        <v>35</v>
      </c>
      <c r="X105" s="1449" t="s">
        <v>1416</v>
      </c>
      <c r="Y105" s="2587">
        <v>21554</v>
      </c>
      <c r="Z105" s="2752">
        <v>22392</v>
      </c>
      <c r="AA105" s="2550">
        <v>31677</v>
      </c>
      <c r="AB105" s="2565">
        <v>10302</v>
      </c>
      <c r="AC105" s="2550">
        <v>15916</v>
      </c>
      <c r="AD105" s="2565">
        <v>15683</v>
      </c>
      <c r="AE105" s="2565">
        <v>238</v>
      </c>
      <c r="AF105" s="2550">
        <v>245</v>
      </c>
      <c r="AG105" s="2565">
        <v>0</v>
      </c>
      <c r="AH105" s="2565">
        <v>0</v>
      </c>
      <c r="AI105" s="2565">
        <v>0</v>
      </c>
      <c r="AJ105" s="3713">
        <v>0</v>
      </c>
      <c r="AK105" s="3713">
        <v>2629</v>
      </c>
      <c r="AL105" s="3713">
        <v>2665</v>
      </c>
      <c r="AM105" s="3713">
        <v>2683</v>
      </c>
      <c r="AN105" s="3700">
        <v>43946</v>
      </c>
      <c r="AO105" s="3671">
        <v>43500</v>
      </c>
      <c r="AP105" s="3671">
        <v>43798</v>
      </c>
      <c r="AQ105" s="3700" t="s">
        <v>1185</v>
      </c>
    </row>
    <row r="106" spans="1:43" s="1520" customFormat="1" ht="32.25" customHeight="1" x14ac:dyDescent="0.25">
      <c r="A106" s="1638"/>
      <c r="B106" s="38"/>
      <c r="C106" s="38"/>
      <c r="D106" s="1638"/>
      <c r="E106" s="1711"/>
      <c r="F106" s="1707"/>
      <c r="G106" s="1466"/>
      <c r="H106" s="1466"/>
      <c r="I106" s="1466"/>
      <c r="J106" s="2752"/>
      <c r="K106" s="2607"/>
      <c r="L106" s="3708"/>
      <c r="M106" s="2752"/>
      <c r="N106" s="2608"/>
      <c r="O106" s="2752"/>
      <c r="P106" s="2607"/>
      <c r="Q106" s="3711"/>
      <c r="R106" s="2753"/>
      <c r="S106" s="3708"/>
      <c r="T106" s="3708"/>
      <c r="U106" s="2616"/>
      <c r="V106" s="291">
        <v>44717884</v>
      </c>
      <c r="W106" s="1422">
        <v>20</v>
      </c>
      <c r="X106" s="1642" t="s">
        <v>1417</v>
      </c>
      <c r="Y106" s="2587"/>
      <c r="Z106" s="2752"/>
      <c r="AA106" s="2550"/>
      <c r="AB106" s="2565"/>
      <c r="AC106" s="2550"/>
      <c r="AD106" s="2565"/>
      <c r="AE106" s="2565"/>
      <c r="AF106" s="2550"/>
      <c r="AG106" s="2565"/>
      <c r="AH106" s="2565"/>
      <c r="AI106" s="2565"/>
      <c r="AJ106" s="3713"/>
      <c r="AK106" s="3713"/>
      <c r="AL106" s="3713"/>
      <c r="AM106" s="3713"/>
      <c r="AN106" s="3700"/>
      <c r="AO106" s="3672"/>
      <c r="AP106" s="3672"/>
      <c r="AQ106" s="3700"/>
    </row>
    <row r="107" spans="1:43" s="1520" customFormat="1" ht="41.25" customHeight="1" x14ac:dyDescent="0.25">
      <c r="A107" s="1638"/>
      <c r="B107" s="38"/>
      <c r="C107" s="38"/>
      <c r="D107" s="1638"/>
      <c r="E107" s="1711"/>
      <c r="F107" s="1707"/>
      <c r="G107" s="1466"/>
      <c r="H107" s="1466"/>
      <c r="I107" s="1466"/>
      <c r="J107" s="2752"/>
      <c r="K107" s="2607"/>
      <c r="L107" s="3708"/>
      <c r="M107" s="2752"/>
      <c r="N107" s="2608"/>
      <c r="O107" s="2752"/>
      <c r="P107" s="2607"/>
      <c r="Q107" s="3711"/>
      <c r="R107" s="2753"/>
      <c r="S107" s="3708"/>
      <c r="T107" s="3708"/>
      <c r="U107" s="1447" t="s">
        <v>1418</v>
      </c>
      <c r="V107" s="291">
        <v>1000000000</v>
      </c>
      <c r="W107" s="1422">
        <v>88</v>
      </c>
      <c r="X107" s="1555" t="s">
        <v>1404</v>
      </c>
      <c r="Y107" s="2587"/>
      <c r="Z107" s="2752"/>
      <c r="AA107" s="2550"/>
      <c r="AB107" s="2565"/>
      <c r="AC107" s="2550"/>
      <c r="AD107" s="2565"/>
      <c r="AE107" s="2565"/>
      <c r="AF107" s="2550"/>
      <c r="AG107" s="2565"/>
      <c r="AH107" s="2565"/>
      <c r="AI107" s="2565"/>
      <c r="AJ107" s="3713"/>
      <c r="AK107" s="3713"/>
      <c r="AL107" s="3713"/>
      <c r="AM107" s="3713"/>
      <c r="AN107" s="3700"/>
      <c r="AO107" s="3672"/>
      <c r="AP107" s="3672"/>
      <c r="AQ107" s="3700"/>
    </row>
    <row r="108" spans="1:43" s="1520" customFormat="1" ht="76.5" customHeight="1" x14ac:dyDescent="0.25">
      <c r="A108" s="1638"/>
      <c r="B108" s="38"/>
      <c r="C108" s="38"/>
      <c r="D108" s="1638"/>
      <c r="E108" s="1711"/>
      <c r="F108" s="1707"/>
      <c r="G108" s="1466"/>
      <c r="H108" s="1466"/>
      <c r="I108" s="1466"/>
      <c r="J108" s="2752"/>
      <c r="K108" s="2607"/>
      <c r="L108" s="3708"/>
      <c r="M108" s="2752"/>
      <c r="N108" s="2609"/>
      <c r="O108" s="2752"/>
      <c r="P108" s="2607"/>
      <c r="Q108" s="3712"/>
      <c r="R108" s="2753"/>
      <c r="S108" s="3708"/>
      <c r="T108" s="3708"/>
      <c r="U108" s="1417" t="s">
        <v>1419</v>
      </c>
      <c r="V108" s="1712">
        <v>100000000</v>
      </c>
      <c r="W108" s="1422">
        <v>20</v>
      </c>
      <c r="X108" s="1642" t="s">
        <v>1417</v>
      </c>
      <c r="Y108" s="2587"/>
      <c r="Z108" s="2752"/>
      <c r="AA108" s="2550"/>
      <c r="AB108" s="2565"/>
      <c r="AC108" s="2550"/>
      <c r="AD108" s="2565"/>
      <c r="AE108" s="2565"/>
      <c r="AF108" s="2550"/>
      <c r="AG108" s="2565"/>
      <c r="AH108" s="2565"/>
      <c r="AI108" s="2565"/>
      <c r="AJ108" s="3713"/>
      <c r="AK108" s="3713"/>
      <c r="AL108" s="3713"/>
      <c r="AM108" s="3713"/>
      <c r="AN108" s="3700"/>
      <c r="AO108" s="3673"/>
      <c r="AP108" s="3673"/>
      <c r="AQ108" s="3700"/>
    </row>
    <row r="109" spans="1:43" s="1520" customFormat="1" ht="15.75" x14ac:dyDescent="0.25">
      <c r="A109" s="1671"/>
      <c r="B109" s="1672"/>
      <c r="C109" s="1673"/>
      <c r="D109" s="143">
        <v>8</v>
      </c>
      <c r="E109" s="1607" t="s">
        <v>1420</v>
      </c>
      <c r="F109" s="1607"/>
      <c r="G109" s="1523"/>
      <c r="H109" s="1523"/>
      <c r="I109" s="1523"/>
      <c r="J109" s="1607"/>
      <c r="K109" s="873"/>
      <c r="L109" s="873"/>
      <c r="M109" s="34"/>
      <c r="N109" s="1713"/>
      <c r="O109" s="1713"/>
      <c r="P109" s="1714"/>
      <c r="Q109" s="1715"/>
      <c r="R109" s="1716"/>
      <c r="S109" s="873"/>
      <c r="T109" s="873"/>
      <c r="U109" s="873"/>
      <c r="V109" s="1610"/>
      <c r="W109" s="1717"/>
      <c r="X109" s="1607"/>
      <c r="Y109" s="1713"/>
      <c r="Z109" s="1713"/>
      <c r="AA109" s="1718"/>
      <c r="AB109" s="1718"/>
      <c r="AC109" s="1718"/>
      <c r="AD109" s="1718"/>
      <c r="AE109" s="1718"/>
      <c r="AF109" s="1718"/>
      <c r="AG109" s="1718"/>
      <c r="AH109" s="1717"/>
      <c r="AI109" s="1717"/>
      <c r="AJ109" s="1719"/>
      <c r="AK109" s="1719"/>
      <c r="AL109" s="1719"/>
      <c r="AM109" s="1719"/>
      <c r="AN109" s="1720"/>
      <c r="AO109" s="1721"/>
      <c r="AP109" s="1721"/>
      <c r="AQ109" s="1722"/>
    </row>
    <row r="110" spans="1:43" s="1520" customFormat="1" ht="15.75" x14ac:dyDescent="0.25">
      <c r="A110" s="1671"/>
      <c r="B110" s="1672"/>
      <c r="C110" s="1672"/>
      <c r="D110" s="1723"/>
      <c r="E110" s="1724"/>
      <c r="F110" s="1725"/>
      <c r="G110" s="1618">
        <v>25</v>
      </c>
      <c r="H110" s="1416" t="s">
        <v>1421</v>
      </c>
      <c r="I110" s="1416"/>
      <c r="J110" s="1416"/>
      <c r="K110" s="158"/>
      <c r="L110" s="158"/>
      <c r="M110" s="165"/>
      <c r="N110" s="159"/>
      <c r="O110" s="165"/>
      <c r="P110" s="188"/>
      <c r="Q110" s="165"/>
      <c r="R110" s="1567"/>
      <c r="S110" s="158"/>
      <c r="T110" s="158"/>
      <c r="U110" s="158"/>
      <c r="V110" s="1619"/>
      <c r="W110" s="159"/>
      <c r="X110" s="1416"/>
      <c r="Y110" s="165"/>
      <c r="Z110" s="165"/>
      <c r="AA110" s="165"/>
      <c r="AB110" s="165"/>
      <c r="AC110" s="165"/>
      <c r="AD110" s="165"/>
      <c r="AE110" s="165"/>
      <c r="AF110" s="165"/>
      <c r="AG110" s="165"/>
      <c r="AH110" s="165"/>
      <c r="AI110" s="165"/>
      <c r="AJ110" s="1542"/>
      <c r="AK110" s="1542"/>
      <c r="AL110" s="1542"/>
      <c r="AM110" s="1542"/>
      <c r="AN110" s="1542"/>
      <c r="AO110" s="1543"/>
      <c r="AP110" s="1543"/>
      <c r="AQ110" s="1569"/>
    </row>
    <row r="111" spans="1:43" s="1520" customFormat="1" ht="36.75" customHeight="1" x14ac:dyDescent="0.25">
      <c r="A111" s="1671"/>
      <c r="B111" s="1672"/>
      <c r="C111" s="1672"/>
      <c r="D111" s="1726"/>
      <c r="E111" s="1727"/>
      <c r="F111" s="1728"/>
      <c r="G111" s="184"/>
      <c r="H111" s="184"/>
      <c r="I111" s="184"/>
      <c r="J111" s="3616">
        <v>108</v>
      </c>
      <c r="K111" s="3307" t="s">
        <v>1422</v>
      </c>
      <c r="L111" s="3687" t="s">
        <v>1423</v>
      </c>
      <c r="M111" s="2823">
        <v>4</v>
      </c>
      <c r="N111" s="2950" t="s">
        <v>1424</v>
      </c>
      <c r="O111" s="2950" t="s">
        <v>1425</v>
      </c>
      <c r="P111" s="3308" t="s">
        <v>1426</v>
      </c>
      <c r="Q111" s="3707">
        <f>(+V111+V112)/R111</f>
        <v>0.27072585259981274</v>
      </c>
      <c r="R111" s="3588">
        <f>+V111+V113</f>
        <v>36705028</v>
      </c>
      <c r="S111" s="3308" t="s">
        <v>1427</v>
      </c>
      <c r="T111" s="3687" t="s">
        <v>1428</v>
      </c>
      <c r="U111" s="2617" t="s">
        <v>1429</v>
      </c>
      <c r="V111" s="3714">
        <v>9937000</v>
      </c>
      <c r="W111" s="2944">
        <v>20</v>
      </c>
      <c r="X111" s="3716" t="s">
        <v>59</v>
      </c>
      <c r="Y111" s="3626">
        <v>21554</v>
      </c>
      <c r="Z111" s="3626">
        <v>22392</v>
      </c>
      <c r="AA111" s="3626">
        <v>31677</v>
      </c>
      <c r="AB111" s="3626">
        <v>10302</v>
      </c>
      <c r="AC111" s="3626">
        <v>15916</v>
      </c>
      <c r="AD111" s="3626">
        <v>15683</v>
      </c>
      <c r="AE111" s="3626">
        <v>238</v>
      </c>
      <c r="AF111" s="3626">
        <v>245</v>
      </c>
      <c r="AG111" s="3626">
        <v>0</v>
      </c>
      <c r="AH111" s="3626">
        <v>0</v>
      </c>
      <c r="AI111" s="3626">
        <v>0</v>
      </c>
      <c r="AJ111" s="3626">
        <v>0</v>
      </c>
      <c r="AK111" s="3626">
        <v>2629</v>
      </c>
      <c r="AL111" s="3626">
        <v>2665</v>
      </c>
      <c r="AM111" s="3626">
        <v>2683</v>
      </c>
      <c r="AN111" s="3626">
        <v>43946</v>
      </c>
      <c r="AO111" s="3647">
        <v>43497</v>
      </c>
      <c r="AP111" s="3647">
        <v>43800</v>
      </c>
      <c r="AQ111" s="3650" t="s">
        <v>1185</v>
      </c>
    </row>
    <row r="112" spans="1:43" s="1520" customFormat="1" ht="36" customHeight="1" x14ac:dyDescent="0.25">
      <c r="A112" s="1671"/>
      <c r="B112" s="1672"/>
      <c r="C112" s="1672"/>
      <c r="D112" s="1726"/>
      <c r="E112" s="1727"/>
      <c r="F112" s="1728"/>
      <c r="G112" s="184"/>
      <c r="H112" s="184"/>
      <c r="I112" s="184"/>
      <c r="J112" s="3615"/>
      <c r="K112" s="3319"/>
      <c r="L112" s="3688"/>
      <c r="M112" s="2822"/>
      <c r="N112" s="2951"/>
      <c r="O112" s="2951"/>
      <c r="P112" s="3308"/>
      <c r="Q112" s="3684"/>
      <c r="R112" s="3588"/>
      <c r="S112" s="3308"/>
      <c r="T112" s="3688"/>
      <c r="U112" s="2616"/>
      <c r="V112" s="3715"/>
      <c r="W112" s="2944"/>
      <c r="X112" s="3716"/>
      <c r="Y112" s="3627"/>
      <c r="Z112" s="3627"/>
      <c r="AA112" s="3627"/>
      <c r="AB112" s="3627"/>
      <c r="AC112" s="3627"/>
      <c r="AD112" s="3627"/>
      <c r="AE112" s="3627"/>
      <c r="AF112" s="3627"/>
      <c r="AG112" s="3627"/>
      <c r="AH112" s="3627"/>
      <c r="AI112" s="3627"/>
      <c r="AJ112" s="3627"/>
      <c r="AK112" s="3627"/>
      <c r="AL112" s="3627"/>
      <c r="AM112" s="3627"/>
      <c r="AN112" s="3627"/>
      <c r="AO112" s="3648"/>
      <c r="AP112" s="3648"/>
      <c r="AQ112" s="3651"/>
    </row>
    <row r="113" spans="1:43" s="1520" customFormat="1" ht="95.25" customHeight="1" x14ac:dyDescent="0.25">
      <c r="A113" s="1671"/>
      <c r="B113" s="1672"/>
      <c r="C113" s="1672"/>
      <c r="D113" s="1726"/>
      <c r="E113" s="1727"/>
      <c r="F113" s="1728"/>
      <c r="G113" s="184"/>
      <c r="H113" s="184"/>
      <c r="I113" s="184"/>
      <c r="J113" s="1636">
        <v>109</v>
      </c>
      <c r="K113" s="1600" t="s">
        <v>1430</v>
      </c>
      <c r="L113" s="1600" t="s">
        <v>1431</v>
      </c>
      <c r="M113" s="1444">
        <v>52</v>
      </c>
      <c r="N113" s="2952"/>
      <c r="O113" s="2952"/>
      <c r="P113" s="3308"/>
      <c r="Q113" s="1498">
        <f>(V113)/R111</f>
        <v>0.72927414740018726</v>
      </c>
      <c r="R113" s="3588"/>
      <c r="S113" s="3308"/>
      <c r="T113" s="1600" t="s">
        <v>1432</v>
      </c>
      <c r="U113" s="1443" t="s">
        <v>1433</v>
      </c>
      <c r="V113" s="1729">
        <v>26768028</v>
      </c>
      <c r="W113" s="1454">
        <v>20</v>
      </c>
      <c r="X113" s="1634" t="s">
        <v>72</v>
      </c>
      <c r="Y113" s="3642"/>
      <c r="Z113" s="3642"/>
      <c r="AA113" s="3642"/>
      <c r="AB113" s="3642"/>
      <c r="AC113" s="3642"/>
      <c r="AD113" s="3642"/>
      <c r="AE113" s="3642"/>
      <c r="AF113" s="3642"/>
      <c r="AG113" s="3642"/>
      <c r="AH113" s="3642"/>
      <c r="AI113" s="3642"/>
      <c r="AJ113" s="3642"/>
      <c r="AK113" s="3642"/>
      <c r="AL113" s="3642"/>
      <c r="AM113" s="3642"/>
      <c r="AN113" s="3642"/>
      <c r="AO113" s="3649"/>
      <c r="AP113" s="3649"/>
      <c r="AQ113" s="3652"/>
    </row>
    <row r="114" spans="1:43" s="1520" customFormat="1" ht="15.75" x14ac:dyDescent="0.25">
      <c r="A114" s="1703"/>
      <c r="B114" s="1704"/>
      <c r="C114" s="1704"/>
      <c r="D114" s="1703"/>
      <c r="E114" s="1704"/>
      <c r="F114" s="1705"/>
      <c r="G114" s="1618">
        <v>26</v>
      </c>
      <c r="H114" s="1416" t="s">
        <v>1434</v>
      </c>
      <c r="I114" s="1416"/>
      <c r="J114" s="1416"/>
      <c r="K114" s="158"/>
      <c r="L114" s="158"/>
      <c r="M114" s="165"/>
      <c r="N114" s="159"/>
      <c r="O114" s="165"/>
      <c r="P114" s="188"/>
      <c r="Q114" s="165"/>
      <c r="R114" s="1567"/>
      <c r="S114" s="158"/>
      <c r="T114" s="158"/>
      <c r="U114" s="158"/>
      <c r="V114" s="1619"/>
      <c r="W114" s="159"/>
      <c r="X114" s="1416"/>
      <c r="Y114" s="165"/>
      <c r="Z114" s="165"/>
      <c r="AA114" s="165"/>
      <c r="AB114" s="165"/>
      <c r="AC114" s="165"/>
      <c r="AD114" s="165"/>
      <c r="AE114" s="165"/>
      <c r="AF114" s="165"/>
      <c r="AG114" s="165"/>
      <c r="AH114" s="165"/>
      <c r="AI114" s="165"/>
      <c r="AJ114" s="1542"/>
      <c r="AK114" s="1542"/>
      <c r="AL114" s="1542"/>
      <c r="AM114" s="1542"/>
      <c r="AN114" s="1542"/>
      <c r="AO114" s="1543"/>
      <c r="AP114" s="1543"/>
      <c r="AQ114" s="1569"/>
    </row>
    <row r="115" spans="1:43" s="1520" customFormat="1" ht="53.25" customHeight="1" x14ac:dyDescent="0.25">
      <c r="A115" s="1671" t="s">
        <v>734</v>
      </c>
      <c r="B115" s="1672"/>
      <c r="C115" s="1672"/>
      <c r="D115" s="1671"/>
      <c r="E115" s="1672"/>
      <c r="F115" s="1673"/>
      <c r="G115" s="3717"/>
      <c r="H115" s="1471"/>
      <c r="I115" s="3527"/>
      <c r="J115" s="2587">
        <v>110</v>
      </c>
      <c r="K115" s="2937" t="s">
        <v>1435</v>
      </c>
      <c r="L115" s="2936" t="s">
        <v>1436</v>
      </c>
      <c r="M115" s="3718">
        <v>200</v>
      </c>
      <c r="N115" s="2936" t="s">
        <v>1437</v>
      </c>
      <c r="O115" s="2936" t="s">
        <v>1438</v>
      </c>
      <c r="P115" s="2937" t="s">
        <v>1439</v>
      </c>
      <c r="Q115" s="3721">
        <f>(+V115+V116+V117)/R115</f>
        <v>1</v>
      </c>
      <c r="R115" s="3722">
        <f>+V115+V116+V117</f>
        <v>706195624</v>
      </c>
      <c r="S115" s="3723" t="s">
        <v>1440</v>
      </c>
      <c r="T115" s="2937" t="s">
        <v>1441</v>
      </c>
      <c r="U115" s="2607" t="s">
        <v>1442</v>
      </c>
      <c r="V115" s="290">
        <f>600000000+56195624</f>
        <v>656195624</v>
      </c>
      <c r="W115" s="1454">
        <v>25</v>
      </c>
      <c r="X115" s="1634" t="s">
        <v>1443</v>
      </c>
      <c r="Y115" s="3626">
        <v>21554</v>
      </c>
      <c r="Z115" s="3626">
        <v>22392</v>
      </c>
      <c r="AA115" s="3626">
        <v>31677</v>
      </c>
      <c r="AB115" s="3626">
        <v>10302</v>
      </c>
      <c r="AC115" s="3626">
        <v>15916</v>
      </c>
      <c r="AD115" s="3626">
        <v>15683</v>
      </c>
      <c r="AE115" s="3626">
        <v>238</v>
      </c>
      <c r="AF115" s="3626">
        <v>245</v>
      </c>
      <c r="AG115" s="3626">
        <v>0</v>
      </c>
      <c r="AH115" s="3626">
        <v>0</v>
      </c>
      <c r="AI115" s="3626">
        <v>0</v>
      </c>
      <c r="AJ115" s="3626">
        <v>0</v>
      </c>
      <c r="AK115" s="3626">
        <v>2629</v>
      </c>
      <c r="AL115" s="3626">
        <v>2665</v>
      </c>
      <c r="AM115" s="3626">
        <v>2683</v>
      </c>
      <c r="AN115" s="3626">
        <v>43946</v>
      </c>
      <c r="AO115" s="3647">
        <v>43466</v>
      </c>
      <c r="AP115" s="3719">
        <v>43830</v>
      </c>
      <c r="AQ115" s="3650" t="s">
        <v>1185</v>
      </c>
    </row>
    <row r="116" spans="1:43" s="1520" customFormat="1" ht="53.25" customHeight="1" x14ac:dyDescent="0.25">
      <c r="A116" s="1671"/>
      <c r="B116" s="1672"/>
      <c r="C116" s="1672"/>
      <c r="D116" s="1671"/>
      <c r="E116" s="1672"/>
      <c r="F116" s="1673"/>
      <c r="G116" s="3717"/>
      <c r="H116" s="1730"/>
      <c r="I116" s="3527"/>
      <c r="J116" s="2587"/>
      <c r="K116" s="2937"/>
      <c r="L116" s="2936"/>
      <c r="M116" s="3718"/>
      <c r="N116" s="2936"/>
      <c r="O116" s="2936"/>
      <c r="P116" s="2937"/>
      <c r="Q116" s="3721"/>
      <c r="R116" s="3722"/>
      <c r="S116" s="3723"/>
      <c r="T116" s="2937"/>
      <c r="U116" s="2607"/>
      <c r="V116" s="290">
        <v>10000000</v>
      </c>
      <c r="W116" s="1457">
        <v>20</v>
      </c>
      <c r="X116" s="1658" t="s">
        <v>72</v>
      </c>
      <c r="Y116" s="3627"/>
      <c r="Z116" s="3627"/>
      <c r="AA116" s="3627"/>
      <c r="AB116" s="3627"/>
      <c r="AC116" s="3627"/>
      <c r="AD116" s="3627"/>
      <c r="AE116" s="3627"/>
      <c r="AF116" s="3627"/>
      <c r="AG116" s="3627"/>
      <c r="AH116" s="3627"/>
      <c r="AI116" s="3627"/>
      <c r="AJ116" s="3627"/>
      <c r="AK116" s="3627"/>
      <c r="AL116" s="3627"/>
      <c r="AM116" s="3627"/>
      <c r="AN116" s="3627"/>
      <c r="AO116" s="3648"/>
      <c r="AP116" s="3720"/>
      <c r="AQ116" s="3651"/>
    </row>
    <row r="117" spans="1:43" s="1520" customFormat="1" ht="48.75" customHeight="1" x14ac:dyDescent="0.25">
      <c r="A117" s="1671"/>
      <c r="B117" s="1672"/>
      <c r="C117" s="1672"/>
      <c r="D117" s="1671"/>
      <c r="E117" s="1672"/>
      <c r="F117" s="1673"/>
      <c r="G117" s="3717"/>
      <c r="H117" s="1472"/>
      <c r="I117" s="3527"/>
      <c r="J117" s="2587"/>
      <c r="K117" s="2937"/>
      <c r="L117" s="2936"/>
      <c r="M117" s="3718"/>
      <c r="N117" s="2936"/>
      <c r="O117" s="2936"/>
      <c r="P117" s="2937"/>
      <c r="Q117" s="3721"/>
      <c r="R117" s="3722"/>
      <c r="S117" s="3723"/>
      <c r="T117" s="2937"/>
      <c r="U117" s="2607"/>
      <c r="V117" s="291">
        <v>40000000</v>
      </c>
      <c r="W117" s="1561">
        <v>88</v>
      </c>
      <c r="X117" s="1562" t="s">
        <v>140</v>
      </c>
      <c r="Y117" s="3632"/>
      <c r="Z117" s="3642"/>
      <c r="AA117" s="3642"/>
      <c r="AB117" s="3642"/>
      <c r="AC117" s="3642"/>
      <c r="AD117" s="3642"/>
      <c r="AE117" s="3642"/>
      <c r="AF117" s="3642"/>
      <c r="AG117" s="3642"/>
      <c r="AH117" s="3642"/>
      <c r="AI117" s="3642"/>
      <c r="AJ117" s="3642"/>
      <c r="AK117" s="3642"/>
      <c r="AL117" s="3642"/>
      <c r="AM117" s="3642"/>
      <c r="AN117" s="3642"/>
      <c r="AO117" s="3649"/>
      <c r="AP117" s="3642"/>
      <c r="AQ117" s="3651"/>
    </row>
    <row r="118" spans="1:43" s="1520" customFormat="1" ht="15.75" x14ac:dyDescent="0.25">
      <c r="A118" s="1703"/>
      <c r="B118" s="1704"/>
      <c r="C118" s="1704"/>
      <c r="D118" s="1703"/>
      <c r="E118" s="1704"/>
      <c r="F118" s="1705"/>
      <c r="G118" s="1618">
        <v>27</v>
      </c>
      <c r="H118" s="1416" t="s">
        <v>1444</v>
      </c>
      <c r="I118" s="1416"/>
      <c r="J118" s="1416"/>
      <c r="K118" s="158"/>
      <c r="L118" s="158"/>
      <c r="M118" s="165"/>
      <c r="N118" s="159"/>
      <c r="O118" s="165"/>
      <c r="P118" s="188"/>
      <c r="Q118" s="165"/>
      <c r="R118" s="1567"/>
      <c r="S118" s="158"/>
      <c r="T118" s="158"/>
      <c r="U118" s="158"/>
      <c r="V118" s="1619"/>
      <c r="W118" s="830"/>
      <c r="X118" s="1689"/>
      <c r="Y118" s="165"/>
      <c r="Z118" s="165"/>
      <c r="AA118" s="165"/>
      <c r="AB118" s="165"/>
      <c r="AC118" s="165"/>
      <c r="AD118" s="165"/>
      <c r="AE118" s="165"/>
      <c r="AF118" s="165"/>
      <c r="AG118" s="165"/>
      <c r="AH118" s="165"/>
      <c r="AI118" s="165"/>
      <c r="AJ118" s="1542"/>
      <c r="AK118" s="1542"/>
      <c r="AL118" s="1542"/>
      <c r="AM118" s="1542"/>
      <c r="AN118" s="1542"/>
      <c r="AO118" s="1543"/>
      <c r="AP118" s="1543"/>
      <c r="AQ118" s="1569"/>
    </row>
    <row r="119" spans="1:43" s="1520" customFormat="1" ht="120" customHeight="1" x14ac:dyDescent="0.25">
      <c r="A119" s="1703"/>
      <c r="B119" s="1704"/>
      <c r="C119" s="1704"/>
      <c r="D119" s="1703"/>
      <c r="E119" s="1704"/>
      <c r="F119" s="1705"/>
      <c r="G119" s="184"/>
      <c r="H119" s="184"/>
      <c r="I119" s="184"/>
      <c r="J119" s="1731">
        <v>111</v>
      </c>
      <c r="K119" s="1595" t="s">
        <v>1445</v>
      </c>
      <c r="L119" s="1595" t="s">
        <v>1446</v>
      </c>
      <c r="M119" s="1732">
        <v>1</v>
      </c>
      <c r="N119" s="1441" t="s">
        <v>1447</v>
      </c>
      <c r="O119" s="1452" t="s">
        <v>1448</v>
      </c>
      <c r="P119" s="1460" t="s">
        <v>1449</v>
      </c>
      <c r="Q119" s="1499">
        <f>+V119/R119</f>
        <v>1</v>
      </c>
      <c r="R119" s="1733">
        <f>+V119</f>
        <v>3503000000</v>
      </c>
      <c r="S119" s="1595" t="s">
        <v>1450</v>
      </c>
      <c r="T119" s="1595" t="s">
        <v>1451</v>
      </c>
      <c r="U119" s="1624" t="s">
        <v>1452</v>
      </c>
      <c r="V119" s="1734">
        <v>3503000000</v>
      </c>
      <c r="W119" s="1458">
        <v>25</v>
      </c>
      <c r="X119" s="1708" t="s">
        <v>1226</v>
      </c>
      <c r="Y119" s="811">
        <v>21554</v>
      </c>
      <c r="Z119" s="811">
        <v>22392</v>
      </c>
      <c r="AA119" s="1735">
        <v>31677</v>
      </c>
      <c r="AB119" s="1735">
        <v>10302</v>
      </c>
      <c r="AC119" s="1735">
        <v>15916</v>
      </c>
      <c r="AD119" s="1735">
        <v>15683</v>
      </c>
      <c r="AE119" s="1735">
        <v>238</v>
      </c>
      <c r="AF119" s="1735">
        <v>245</v>
      </c>
      <c r="AG119" s="1735">
        <v>0</v>
      </c>
      <c r="AH119" s="1735">
        <v>0</v>
      </c>
      <c r="AI119" s="1736">
        <v>0</v>
      </c>
      <c r="AJ119" s="1737">
        <v>0</v>
      </c>
      <c r="AK119" s="1737">
        <v>2629</v>
      </c>
      <c r="AL119" s="1737">
        <v>2665</v>
      </c>
      <c r="AM119" s="1737">
        <v>2683</v>
      </c>
      <c r="AN119" s="1738">
        <f>Y119+Z119</f>
        <v>43946</v>
      </c>
      <c r="AO119" s="1739">
        <v>43466</v>
      </c>
      <c r="AP119" s="1739">
        <v>43830</v>
      </c>
      <c r="AQ119" s="1740" t="s">
        <v>1185</v>
      </c>
    </row>
    <row r="120" spans="1:43" s="1520" customFormat="1" ht="15.75" x14ac:dyDescent="0.25">
      <c r="A120" s="1703"/>
      <c r="B120" s="1704"/>
      <c r="C120" s="1704"/>
      <c r="D120" s="1703"/>
      <c r="E120" s="1704"/>
      <c r="F120" s="1705"/>
      <c r="G120" s="1618">
        <v>28</v>
      </c>
      <c r="H120" s="1416" t="s">
        <v>1453</v>
      </c>
      <c r="I120" s="1416"/>
      <c r="J120" s="1416"/>
      <c r="K120" s="158"/>
      <c r="L120" s="158"/>
      <c r="M120" s="165"/>
      <c r="N120" s="159"/>
      <c r="O120" s="159"/>
      <c r="P120" s="188"/>
      <c r="Q120" s="788"/>
      <c r="R120" s="1567"/>
      <c r="S120" s="158"/>
      <c r="T120" s="158"/>
      <c r="U120" s="158"/>
      <c r="V120" s="1619"/>
      <c r="W120" s="1741"/>
      <c r="X120" s="1416"/>
      <c r="Y120" s="159"/>
      <c r="Z120" s="159"/>
      <c r="AA120" s="165"/>
      <c r="AB120" s="165"/>
      <c r="AC120" s="165"/>
      <c r="AD120" s="165"/>
      <c r="AE120" s="165"/>
      <c r="AF120" s="165"/>
      <c r="AG120" s="165"/>
      <c r="AH120" s="1742"/>
      <c r="AI120" s="1742"/>
      <c r="AJ120" s="1542"/>
      <c r="AK120" s="1542"/>
      <c r="AL120" s="1542"/>
      <c r="AM120" s="1542"/>
      <c r="AN120" s="1542"/>
      <c r="AO120" s="1743"/>
      <c r="AP120" s="1543"/>
      <c r="AQ120" s="1569"/>
    </row>
    <row r="121" spans="1:43" s="1520" customFormat="1" ht="48" customHeight="1" x14ac:dyDescent="0.25">
      <c r="A121" s="1703"/>
      <c r="B121" s="1704"/>
      <c r="C121" s="1704"/>
      <c r="D121" s="1726"/>
      <c r="E121" s="1727"/>
      <c r="F121" s="1728"/>
      <c r="G121" s="1466"/>
      <c r="H121" s="1466"/>
      <c r="I121" s="1466"/>
      <c r="J121" s="3600">
        <v>112</v>
      </c>
      <c r="K121" s="3308" t="s">
        <v>1454</v>
      </c>
      <c r="L121" s="3308" t="s">
        <v>1455</v>
      </c>
      <c r="M121" s="3627">
        <v>12</v>
      </c>
      <c r="N121" s="2951" t="s">
        <v>1456</v>
      </c>
      <c r="O121" s="2951" t="s">
        <v>1457</v>
      </c>
      <c r="P121" s="3308" t="s">
        <v>1458</v>
      </c>
      <c r="Q121" s="3690">
        <f>+V121/R121</f>
        <v>0.14375937670534561</v>
      </c>
      <c r="R121" s="3653">
        <f>+V121+V123</f>
        <v>20868204</v>
      </c>
      <c r="S121" s="3307" t="s">
        <v>1459</v>
      </c>
      <c r="T121" s="3308" t="s">
        <v>1460</v>
      </c>
      <c r="U121" s="3308" t="s">
        <v>1461</v>
      </c>
      <c r="V121" s="3679">
        <v>3000000</v>
      </c>
      <c r="W121" s="2944">
        <v>20</v>
      </c>
      <c r="X121" s="3716" t="s">
        <v>72</v>
      </c>
      <c r="Y121" s="3627">
        <v>21554</v>
      </c>
      <c r="Z121" s="3627">
        <v>22392</v>
      </c>
      <c r="AA121" s="3627">
        <v>31677</v>
      </c>
      <c r="AB121" s="3627">
        <v>10302</v>
      </c>
      <c r="AC121" s="3627">
        <v>15916</v>
      </c>
      <c r="AD121" s="3627">
        <v>15683</v>
      </c>
      <c r="AE121" s="3627">
        <v>238</v>
      </c>
      <c r="AF121" s="3627">
        <v>245</v>
      </c>
      <c r="AG121" s="3627">
        <v>0</v>
      </c>
      <c r="AH121" s="3627">
        <v>0</v>
      </c>
      <c r="AI121" s="3627">
        <v>0</v>
      </c>
      <c r="AJ121" s="3627">
        <v>0</v>
      </c>
      <c r="AK121" s="3627">
        <v>2629</v>
      </c>
      <c r="AL121" s="3627">
        <v>2665</v>
      </c>
      <c r="AM121" s="3627">
        <v>2683</v>
      </c>
      <c r="AN121" s="3629">
        <f>Y121+Z121</f>
        <v>43946</v>
      </c>
      <c r="AO121" s="3647">
        <v>43591</v>
      </c>
      <c r="AP121" s="3671">
        <v>43763</v>
      </c>
      <c r="AQ121" s="3651" t="s">
        <v>1185</v>
      </c>
    </row>
    <row r="122" spans="1:43" s="1520" customFormat="1" ht="55.5" customHeight="1" x14ac:dyDescent="0.25">
      <c r="A122" s="1703"/>
      <c r="B122" s="1704"/>
      <c r="C122" s="1704"/>
      <c r="D122" s="1726"/>
      <c r="E122" s="1727"/>
      <c r="F122" s="1728"/>
      <c r="G122" s="1466"/>
      <c r="H122" s="1466"/>
      <c r="I122" s="1466"/>
      <c r="J122" s="3615"/>
      <c r="K122" s="3319"/>
      <c r="L122" s="3319"/>
      <c r="M122" s="3642"/>
      <c r="N122" s="2951"/>
      <c r="O122" s="2951"/>
      <c r="P122" s="3308"/>
      <c r="Q122" s="3684"/>
      <c r="R122" s="3653"/>
      <c r="S122" s="3308"/>
      <c r="T122" s="3319"/>
      <c r="U122" s="3319"/>
      <c r="V122" s="3680"/>
      <c r="W122" s="2944"/>
      <c r="X122" s="3716"/>
      <c r="Y122" s="3627"/>
      <c r="Z122" s="3627"/>
      <c r="AA122" s="3627"/>
      <c r="AB122" s="3627"/>
      <c r="AC122" s="3627"/>
      <c r="AD122" s="3627"/>
      <c r="AE122" s="3627"/>
      <c r="AF122" s="3627"/>
      <c r="AG122" s="3627"/>
      <c r="AH122" s="3627"/>
      <c r="AI122" s="3627"/>
      <c r="AJ122" s="3627"/>
      <c r="AK122" s="3627"/>
      <c r="AL122" s="3627"/>
      <c r="AM122" s="3627"/>
      <c r="AN122" s="3629"/>
      <c r="AO122" s="3648"/>
      <c r="AP122" s="3672"/>
      <c r="AQ122" s="3651"/>
    </row>
    <row r="123" spans="1:43" s="1520" customFormat="1" ht="88.5" customHeight="1" x14ac:dyDescent="0.25">
      <c r="A123" s="1703"/>
      <c r="B123" s="1704"/>
      <c r="C123" s="1704"/>
      <c r="D123" s="1726"/>
      <c r="E123" s="1727"/>
      <c r="F123" s="1728"/>
      <c r="G123" s="1466"/>
      <c r="H123" s="1466"/>
      <c r="I123" s="1466"/>
      <c r="J123" s="1636">
        <v>113</v>
      </c>
      <c r="K123" s="1459" t="s">
        <v>1462</v>
      </c>
      <c r="L123" s="1459" t="s">
        <v>1463</v>
      </c>
      <c r="M123" s="1701">
        <v>1</v>
      </c>
      <c r="N123" s="2951"/>
      <c r="O123" s="2951"/>
      <c r="P123" s="3308"/>
      <c r="Q123" s="1498">
        <f>+V123/R121</f>
        <v>0.85624062329465445</v>
      </c>
      <c r="R123" s="3653"/>
      <c r="S123" s="3308"/>
      <c r="T123" s="1459" t="s">
        <v>1464</v>
      </c>
      <c r="U123" s="1459" t="s">
        <v>1465</v>
      </c>
      <c r="V123" s="1702">
        <v>17868204</v>
      </c>
      <c r="W123" s="1589">
        <v>20</v>
      </c>
      <c r="X123" s="1590" t="s">
        <v>72</v>
      </c>
      <c r="Y123" s="3627"/>
      <c r="Z123" s="3627"/>
      <c r="AA123" s="3627"/>
      <c r="AB123" s="3627"/>
      <c r="AC123" s="3627"/>
      <c r="AD123" s="3627"/>
      <c r="AE123" s="3627"/>
      <c r="AF123" s="3627"/>
      <c r="AG123" s="3627"/>
      <c r="AH123" s="3627"/>
      <c r="AI123" s="3627"/>
      <c r="AJ123" s="3627"/>
      <c r="AK123" s="3627"/>
      <c r="AL123" s="3627"/>
      <c r="AM123" s="3627"/>
      <c r="AN123" s="3627"/>
      <c r="AO123" s="3649"/>
      <c r="AP123" s="3673"/>
      <c r="AQ123" s="3651"/>
    </row>
    <row r="124" spans="1:43" s="1520" customFormat="1" ht="15.75" x14ac:dyDescent="0.25">
      <c r="A124" s="1703"/>
      <c r="B124" s="1704"/>
      <c r="C124" s="1705"/>
      <c r="D124" s="143">
        <v>16</v>
      </c>
      <c r="E124" s="1607" t="s">
        <v>1466</v>
      </c>
      <c r="F124" s="1607"/>
      <c r="G124" s="1523"/>
      <c r="H124" s="1523"/>
      <c r="I124" s="1523"/>
      <c r="J124" s="1523"/>
      <c r="K124" s="28"/>
      <c r="L124" s="28"/>
      <c r="M124" s="27"/>
      <c r="N124" s="29"/>
      <c r="O124" s="29"/>
      <c r="P124" s="1744"/>
      <c r="Q124" s="1608"/>
      <c r="R124" s="1609"/>
      <c r="S124" s="28"/>
      <c r="T124" s="28"/>
      <c r="U124" s="28"/>
      <c r="V124" s="1745"/>
      <c r="W124" s="1746"/>
      <c r="X124" s="1523"/>
      <c r="Y124" s="29"/>
      <c r="Z124" s="29"/>
      <c r="AA124" s="27"/>
      <c r="AB124" s="27"/>
      <c r="AC124" s="27"/>
      <c r="AD124" s="27"/>
      <c r="AE124" s="27"/>
      <c r="AF124" s="27"/>
      <c r="AG124" s="27"/>
      <c r="AH124" s="1612"/>
      <c r="AI124" s="1612"/>
      <c r="AJ124" s="1527"/>
      <c r="AK124" s="1527"/>
      <c r="AL124" s="1527"/>
      <c r="AM124" s="1527"/>
      <c r="AN124" s="1527"/>
      <c r="AO124" s="1528"/>
      <c r="AP124" s="1528"/>
      <c r="AQ124" s="1613"/>
    </row>
    <row r="125" spans="1:43" s="1520" customFormat="1" ht="15.75" x14ac:dyDescent="0.25">
      <c r="A125" s="1703"/>
      <c r="B125" s="1704"/>
      <c r="C125" s="1705"/>
      <c r="D125" s="1747"/>
      <c r="E125" s="1747"/>
      <c r="F125" s="1748"/>
      <c r="G125" s="1618">
        <v>57</v>
      </c>
      <c r="H125" s="165" t="s">
        <v>1467</v>
      </c>
      <c r="I125" s="165"/>
      <c r="J125" s="165"/>
      <c r="K125" s="188"/>
      <c r="L125" s="188"/>
      <c r="M125" s="1749"/>
      <c r="N125" s="1750"/>
      <c r="O125" s="159"/>
      <c r="P125" s="188"/>
      <c r="Q125" s="788"/>
      <c r="R125" s="1567"/>
      <c r="S125" s="158"/>
      <c r="T125" s="158"/>
      <c r="U125" s="158"/>
      <c r="V125" s="1619"/>
      <c r="W125" s="164"/>
      <c r="X125" s="1416"/>
      <c r="Y125" s="159"/>
      <c r="Z125" s="159"/>
      <c r="AA125" s="165"/>
      <c r="AB125" s="165"/>
      <c r="AC125" s="165"/>
      <c r="AD125" s="165"/>
      <c r="AE125" s="165"/>
      <c r="AF125" s="165"/>
      <c r="AG125" s="165"/>
      <c r="AH125" s="1742"/>
      <c r="AI125" s="1742"/>
      <c r="AJ125" s="1542"/>
      <c r="AK125" s="1542"/>
      <c r="AL125" s="1542"/>
      <c r="AM125" s="1542"/>
      <c r="AN125" s="1542"/>
      <c r="AO125" s="1543"/>
      <c r="AP125" s="1543"/>
      <c r="AQ125" s="1569"/>
    </row>
    <row r="126" spans="1:43" s="1520" customFormat="1" ht="87" customHeight="1" x14ac:dyDescent="0.25">
      <c r="A126" s="1703"/>
      <c r="B126" s="1751"/>
      <c r="C126" s="1705"/>
      <c r="D126" s="1752"/>
      <c r="E126" s="1752"/>
      <c r="F126" s="1641"/>
      <c r="G126" s="1753"/>
      <c r="H126" s="1753"/>
      <c r="I126" s="230"/>
      <c r="J126" s="3616">
        <v>182</v>
      </c>
      <c r="K126" s="3619" t="s">
        <v>1468</v>
      </c>
      <c r="L126" s="1576" t="s">
        <v>1469</v>
      </c>
      <c r="M126" s="1754">
        <v>1</v>
      </c>
      <c r="N126" s="2950" t="s">
        <v>1470</v>
      </c>
      <c r="O126" s="2950" t="s">
        <v>1471</v>
      </c>
      <c r="P126" s="3307" t="s">
        <v>1472</v>
      </c>
      <c r="Q126" s="3707">
        <f>(+V126+V127)/R126</f>
        <v>1</v>
      </c>
      <c r="R126" s="3727">
        <f>V126+V127</f>
        <v>18817998</v>
      </c>
      <c r="S126" s="3619" t="s">
        <v>1473</v>
      </c>
      <c r="T126" s="3619" t="s">
        <v>1468</v>
      </c>
      <c r="U126" s="1755" t="s">
        <v>1474</v>
      </c>
      <c r="V126" s="284">
        <f>18817998-11342000</f>
        <v>7475998</v>
      </c>
      <c r="W126" s="1587">
        <v>20</v>
      </c>
      <c r="X126" s="1630" t="s">
        <v>72</v>
      </c>
      <c r="Y126" s="3626">
        <v>21554</v>
      </c>
      <c r="Z126" s="3626">
        <v>22392</v>
      </c>
      <c r="AA126" s="3639">
        <v>31677</v>
      </c>
      <c r="AB126" s="3639">
        <v>10302</v>
      </c>
      <c r="AC126" s="3639">
        <v>15916</v>
      </c>
      <c r="AD126" s="3639">
        <v>15683</v>
      </c>
      <c r="AE126" s="3639">
        <v>238</v>
      </c>
      <c r="AF126" s="3639">
        <v>245</v>
      </c>
      <c r="AG126" s="3639">
        <v>0</v>
      </c>
      <c r="AH126" s="3639">
        <v>0</v>
      </c>
      <c r="AI126" s="3639">
        <v>0</v>
      </c>
      <c r="AJ126" s="3655">
        <v>0</v>
      </c>
      <c r="AK126" s="3655">
        <v>2629</v>
      </c>
      <c r="AL126" s="3655">
        <v>2665</v>
      </c>
      <c r="AM126" s="3655">
        <v>2683</v>
      </c>
      <c r="AN126" s="3658">
        <v>43946</v>
      </c>
      <c r="AO126" s="3671">
        <v>43500</v>
      </c>
      <c r="AP126" s="3671">
        <v>43798</v>
      </c>
      <c r="AQ126" s="1756" t="s">
        <v>1185</v>
      </c>
    </row>
    <row r="127" spans="1:43" s="1520" customFormat="1" ht="57" customHeight="1" x14ac:dyDescent="0.25">
      <c r="A127" s="1703"/>
      <c r="B127" s="1751"/>
      <c r="C127" s="1757"/>
      <c r="D127" s="1752"/>
      <c r="E127" s="1752"/>
      <c r="F127" s="1758"/>
      <c r="G127" s="1753"/>
      <c r="H127" s="1753"/>
      <c r="I127" s="230"/>
      <c r="J127" s="3615"/>
      <c r="K127" s="3620"/>
      <c r="L127" s="1576"/>
      <c r="M127" s="1754"/>
      <c r="N127" s="2952"/>
      <c r="O127" s="2952"/>
      <c r="P127" s="3319"/>
      <c r="Q127" s="3684"/>
      <c r="R127" s="3728"/>
      <c r="S127" s="3620"/>
      <c r="T127" s="3620"/>
      <c r="U127" s="1755" t="s">
        <v>1475</v>
      </c>
      <c r="V127" s="284">
        <f>0+11342000</f>
        <v>11342000</v>
      </c>
      <c r="W127" s="1587">
        <v>20</v>
      </c>
      <c r="X127" s="1630" t="s">
        <v>72</v>
      </c>
      <c r="Y127" s="3642"/>
      <c r="Z127" s="3642"/>
      <c r="AA127" s="3641"/>
      <c r="AB127" s="3641"/>
      <c r="AC127" s="3641"/>
      <c r="AD127" s="3641"/>
      <c r="AE127" s="3641"/>
      <c r="AF127" s="3641"/>
      <c r="AG127" s="3641"/>
      <c r="AH127" s="3641"/>
      <c r="AI127" s="3641"/>
      <c r="AJ127" s="3657"/>
      <c r="AK127" s="3657"/>
      <c r="AL127" s="3657"/>
      <c r="AM127" s="3657"/>
      <c r="AN127" s="3660"/>
      <c r="AO127" s="3673"/>
      <c r="AP127" s="3673"/>
      <c r="AQ127" s="1756"/>
    </row>
    <row r="128" spans="1:43" s="1768" customFormat="1" ht="31.5" customHeight="1" x14ac:dyDescent="0.25">
      <c r="A128" s="3724"/>
      <c r="B128" s="3725"/>
      <c r="C128" s="3725"/>
      <c r="D128" s="3725"/>
      <c r="E128" s="3725"/>
      <c r="F128" s="3725"/>
      <c r="G128" s="3725"/>
      <c r="H128" s="3725"/>
      <c r="I128" s="3534"/>
      <c r="J128" s="1413"/>
      <c r="K128" s="1759"/>
      <c r="L128" s="1759"/>
      <c r="M128" s="1760"/>
      <c r="N128" s="1760"/>
      <c r="O128" s="1761"/>
      <c r="P128" s="1759"/>
      <c r="Q128" s="1762"/>
      <c r="R128" s="1763">
        <f>SUM(R11:R127)</f>
        <v>182697792015.16</v>
      </c>
      <c r="S128" s="1759"/>
      <c r="T128" s="1759"/>
      <c r="U128" s="1759"/>
      <c r="V128" s="1763">
        <f>SUM(V11:V127)</f>
        <v>182697792015.16</v>
      </c>
      <c r="W128" s="1764"/>
      <c r="X128" s="1765"/>
      <c r="Y128" s="1764"/>
      <c r="Z128" s="1764"/>
      <c r="AA128" s="1764"/>
      <c r="AB128" s="1764"/>
      <c r="AC128" s="1764"/>
      <c r="AD128" s="1764"/>
      <c r="AE128" s="1764"/>
      <c r="AF128" s="1764"/>
      <c r="AG128" s="1764"/>
      <c r="AH128" s="1764"/>
      <c r="AI128" s="1764"/>
      <c r="AJ128" s="1764"/>
      <c r="AK128" s="1764"/>
      <c r="AL128" s="1764"/>
      <c r="AM128" s="1764"/>
      <c r="AN128" s="1764"/>
      <c r="AO128" s="1766"/>
      <c r="AP128" s="1766"/>
      <c r="AQ128" s="1767"/>
    </row>
    <row r="129" spans="1:43" s="1520" customFormat="1" ht="15.75" x14ac:dyDescent="0.25">
      <c r="A129" s="850"/>
      <c r="B129" s="2"/>
      <c r="C129" s="2"/>
      <c r="D129" s="2"/>
      <c r="E129" s="2"/>
      <c r="F129" s="2"/>
      <c r="G129" s="2"/>
      <c r="H129" s="2"/>
      <c r="I129" s="2"/>
      <c r="J129" s="2"/>
      <c r="K129" s="233"/>
      <c r="L129" s="1450"/>
      <c r="M129" s="2"/>
      <c r="N129" s="1461"/>
      <c r="O129" s="1461"/>
      <c r="P129" s="233"/>
      <c r="Q129" s="363"/>
      <c r="R129" s="1769"/>
      <c r="S129" s="233"/>
      <c r="T129" s="233"/>
      <c r="U129" s="233"/>
      <c r="V129" s="853"/>
      <c r="W129" s="128"/>
      <c r="X129" s="1770"/>
      <c r="Y129" s="2"/>
      <c r="Z129" s="2"/>
      <c r="AA129" s="2"/>
      <c r="AB129" s="2"/>
      <c r="AC129" s="2"/>
      <c r="AD129" s="2"/>
      <c r="AE129" s="2"/>
      <c r="AF129" s="2"/>
      <c r="AG129" s="2"/>
      <c r="AO129" s="1698"/>
      <c r="AP129" s="1698"/>
      <c r="AQ129" s="1771"/>
    </row>
    <row r="130" spans="1:43" s="1520" customFormat="1" ht="15.75" x14ac:dyDescent="0.25">
      <c r="A130" s="850"/>
      <c r="B130" s="2"/>
      <c r="C130" s="2"/>
      <c r="D130" s="2"/>
      <c r="E130" s="2"/>
      <c r="F130" s="2"/>
      <c r="G130" s="2"/>
      <c r="H130" s="2"/>
      <c r="I130" s="2"/>
      <c r="J130" s="2"/>
      <c r="K130" s="233"/>
      <c r="L130" s="1450"/>
      <c r="M130" s="2"/>
      <c r="N130" s="1461"/>
      <c r="O130" s="1461"/>
      <c r="P130" s="233"/>
      <c r="Q130" s="363"/>
      <c r="R130" s="1772"/>
      <c r="S130" s="233"/>
      <c r="T130" s="233"/>
      <c r="U130" s="233"/>
      <c r="V130" s="1772"/>
      <c r="W130" s="128"/>
      <c r="X130" s="1770"/>
      <c r="Y130" s="2"/>
      <c r="Z130" s="2"/>
      <c r="AA130" s="2"/>
      <c r="AB130" s="2"/>
      <c r="AC130" s="2"/>
      <c r="AD130" s="2"/>
      <c r="AE130" s="2"/>
      <c r="AF130" s="2"/>
      <c r="AG130" s="2"/>
      <c r="AO130" s="1698"/>
      <c r="AP130" s="1698"/>
      <c r="AQ130" s="1771"/>
    </row>
    <row r="131" spans="1:43" s="1520" customFormat="1" ht="15.75" x14ac:dyDescent="0.25">
      <c r="A131" s="850"/>
      <c r="B131" s="2"/>
      <c r="C131" s="2"/>
      <c r="D131" s="2"/>
      <c r="E131" s="2"/>
      <c r="F131" s="2"/>
      <c r="G131" s="2"/>
      <c r="H131" s="2"/>
      <c r="I131" s="2"/>
      <c r="J131" s="2"/>
      <c r="K131" s="233"/>
      <c r="L131" s="1450"/>
      <c r="M131" s="2"/>
      <c r="N131" s="1461"/>
      <c r="O131" s="1461"/>
      <c r="P131" s="233"/>
      <c r="Q131" s="363"/>
      <c r="R131" s="853"/>
      <c r="S131" s="233"/>
      <c r="T131" s="233"/>
      <c r="U131" s="233"/>
      <c r="V131" s="1773"/>
      <c r="W131" s="128"/>
      <c r="X131" s="1770"/>
      <c r="Y131" s="2"/>
      <c r="Z131" s="2"/>
      <c r="AA131" s="2"/>
      <c r="AB131" s="2"/>
      <c r="AC131" s="2"/>
      <c r="AD131" s="2"/>
      <c r="AE131" s="2"/>
      <c r="AF131" s="2"/>
      <c r="AG131" s="2"/>
      <c r="AO131" s="1698"/>
      <c r="AP131" s="1698"/>
      <c r="AQ131" s="1771"/>
    </row>
    <row r="132" spans="1:43" s="1520" customFormat="1" ht="15.75" x14ac:dyDescent="0.25">
      <c r="A132" s="850"/>
      <c r="B132" s="2"/>
      <c r="C132" s="2"/>
      <c r="D132" s="2"/>
      <c r="E132" s="2"/>
      <c r="F132" s="2"/>
      <c r="G132" s="2"/>
      <c r="H132" s="2"/>
      <c r="I132" s="2"/>
      <c r="J132" s="2"/>
      <c r="K132" s="233"/>
      <c r="L132" s="1450"/>
      <c r="M132" s="2"/>
      <c r="N132" s="1461"/>
      <c r="O132" s="1461"/>
      <c r="P132" s="233"/>
      <c r="Q132" s="363"/>
      <c r="R132" s="853"/>
      <c r="S132" s="233"/>
      <c r="T132" s="233"/>
      <c r="U132" s="233"/>
      <c r="V132" s="1774"/>
      <c r="W132" s="128"/>
      <c r="X132" s="1770"/>
      <c r="Y132" s="2"/>
      <c r="Z132" s="2"/>
      <c r="AA132" s="2"/>
      <c r="AB132" s="2"/>
      <c r="AC132" s="2"/>
      <c r="AD132" s="2"/>
      <c r="AE132" s="2"/>
      <c r="AF132" s="2"/>
      <c r="AG132" s="2"/>
      <c r="AO132" s="1698"/>
      <c r="AP132" s="1698"/>
      <c r="AQ132" s="1771"/>
    </row>
    <row r="133" spans="1:43" s="1520" customFormat="1" ht="15.75" x14ac:dyDescent="0.25">
      <c r="A133" s="850"/>
      <c r="B133" s="2"/>
      <c r="C133" s="2"/>
      <c r="D133" s="2"/>
      <c r="E133" s="2"/>
      <c r="F133" s="2"/>
      <c r="G133" s="2"/>
      <c r="H133" s="2"/>
      <c r="I133" s="2"/>
      <c r="J133" s="2"/>
      <c r="K133" s="233"/>
      <c r="L133" s="1450"/>
      <c r="M133" s="2"/>
      <c r="N133" s="1461"/>
      <c r="O133" s="1461"/>
      <c r="P133" s="233"/>
      <c r="Q133" s="363"/>
      <c r="R133" s="853"/>
      <c r="S133" s="233"/>
      <c r="T133" s="233"/>
      <c r="U133" s="233"/>
      <c r="V133" s="233"/>
      <c r="W133" s="128"/>
      <c r="X133" s="1770"/>
      <c r="Y133" s="2"/>
      <c r="Z133" s="2"/>
      <c r="AA133" s="2"/>
      <c r="AB133" s="2"/>
      <c r="AC133" s="2"/>
      <c r="AD133" s="2"/>
      <c r="AE133" s="2"/>
      <c r="AF133" s="2"/>
      <c r="AG133" s="2"/>
      <c r="AO133" s="1698"/>
      <c r="AP133" s="1698"/>
      <c r="AQ133" s="1771"/>
    </row>
    <row r="134" spans="1:43" s="1520" customFormat="1" ht="15.75" x14ac:dyDescent="0.25">
      <c r="A134" s="2"/>
      <c r="B134" s="2"/>
      <c r="C134" s="2"/>
      <c r="D134" s="2"/>
      <c r="E134" s="2"/>
      <c r="F134" s="2"/>
      <c r="G134" s="1461"/>
      <c r="H134" s="1450"/>
      <c r="I134" s="2"/>
      <c r="J134" s="2"/>
      <c r="K134" s="1775"/>
      <c r="L134" s="1450"/>
      <c r="M134" s="2"/>
      <c r="N134" s="3726" t="s">
        <v>1476</v>
      </c>
      <c r="O134" s="3726"/>
      <c r="P134" s="3726"/>
      <c r="Q134" s="2"/>
      <c r="R134" s="1450"/>
      <c r="S134" s="1450"/>
      <c r="T134" s="1776"/>
      <c r="U134" s="1776"/>
      <c r="V134" s="1776"/>
      <c r="W134" s="128"/>
      <c r="X134" s="1770"/>
      <c r="Y134" s="2"/>
      <c r="Z134" s="2"/>
      <c r="AA134" s="476"/>
      <c r="AB134" s="2"/>
      <c r="AC134" s="476"/>
      <c r="AD134" s="2"/>
      <c r="AE134" s="476"/>
      <c r="AF134" s="2"/>
      <c r="AG134" s="476"/>
      <c r="AO134" s="1698"/>
      <c r="AP134" s="1698"/>
      <c r="AQ134" s="1771"/>
    </row>
    <row r="135" spans="1:43" s="1520" customFormat="1" ht="15.75" x14ac:dyDescent="0.25">
      <c r="A135" s="2"/>
      <c r="B135" s="2"/>
      <c r="C135" s="2"/>
      <c r="D135" s="2"/>
      <c r="E135" s="2"/>
      <c r="F135" s="2"/>
      <c r="G135" s="1461"/>
      <c r="H135" s="1450"/>
      <c r="I135" s="2"/>
      <c r="J135" s="2"/>
      <c r="K135" s="1775"/>
      <c r="L135" s="1450"/>
      <c r="M135" s="2"/>
      <c r="N135" s="1770" t="s">
        <v>1477</v>
      </c>
      <c r="O135" s="2"/>
      <c r="P135" s="1777"/>
      <c r="Q135" s="2"/>
      <c r="R135" s="1450"/>
      <c r="S135" s="1450"/>
      <c r="T135" s="1778"/>
      <c r="U135" s="1776"/>
      <c r="V135" s="1776"/>
      <c r="W135" s="128"/>
      <c r="X135" s="1770"/>
      <c r="Y135" s="2"/>
      <c r="Z135" s="2"/>
      <c r="AA135" s="476"/>
      <c r="AB135" s="2"/>
      <c r="AC135" s="476"/>
      <c r="AD135" s="2"/>
      <c r="AE135" s="476"/>
      <c r="AF135" s="2"/>
      <c r="AG135" s="476"/>
      <c r="AO135" s="1698"/>
      <c r="AP135" s="1698"/>
      <c r="AQ135" s="1771"/>
    </row>
    <row r="136" spans="1:43" s="1520" customFormat="1" ht="15.75" x14ac:dyDescent="0.25">
      <c r="A136" s="2"/>
      <c r="B136" s="2"/>
      <c r="C136" s="2"/>
      <c r="D136" s="2"/>
      <c r="E136" s="2"/>
      <c r="F136" s="2"/>
      <c r="G136" s="1461"/>
      <c r="H136" s="1450"/>
      <c r="I136" s="2"/>
      <c r="J136" s="2"/>
      <c r="K136" s="1775"/>
      <c r="L136" s="1450"/>
      <c r="M136" s="2"/>
      <c r="N136" s="1779"/>
      <c r="O136" s="2"/>
      <c r="P136" s="1777"/>
      <c r="Q136" s="2"/>
      <c r="R136" s="1450"/>
      <c r="S136" s="1450"/>
      <c r="T136" s="1778"/>
      <c r="U136" s="1776"/>
      <c r="V136" s="1776"/>
      <c r="W136" s="128"/>
      <c r="X136" s="1770"/>
      <c r="Y136" s="2"/>
      <c r="Z136" s="2"/>
      <c r="AA136" s="476"/>
      <c r="AB136" s="2"/>
      <c r="AC136" s="476"/>
      <c r="AD136" s="2"/>
      <c r="AE136" s="476"/>
      <c r="AF136" s="2"/>
      <c r="AG136" s="476"/>
      <c r="AO136" s="1698"/>
      <c r="AP136" s="1698"/>
      <c r="AQ136" s="1771"/>
    </row>
  </sheetData>
  <sheetProtection password="A60F" sheet="1" objects="1" scenarios="1"/>
  <mergeCells count="545">
    <mergeCell ref="AP126:AP127"/>
    <mergeCell ref="A128:I128"/>
    <mergeCell ref="N134:P134"/>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R126:R127"/>
    <mergeCell ref="S126:S127"/>
    <mergeCell ref="T126:T127"/>
    <mergeCell ref="Y126:Y127"/>
    <mergeCell ref="Z126:Z127"/>
    <mergeCell ref="AA126:AA127"/>
    <mergeCell ref="AP121:AP123"/>
    <mergeCell ref="AQ121:AQ123"/>
    <mergeCell ref="J126:J127"/>
    <mergeCell ref="K126:K127"/>
    <mergeCell ref="N126:N127"/>
    <mergeCell ref="O126:O127"/>
    <mergeCell ref="P126:P127"/>
    <mergeCell ref="Q126:Q127"/>
    <mergeCell ref="AH121:AH123"/>
    <mergeCell ref="AI121:AI123"/>
    <mergeCell ref="AJ121:AJ123"/>
    <mergeCell ref="AK121:AK123"/>
    <mergeCell ref="AL121:AL123"/>
    <mergeCell ref="AM121:AM123"/>
    <mergeCell ref="AB121:AB123"/>
    <mergeCell ref="AC121:AC123"/>
    <mergeCell ref="AD121:AD123"/>
    <mergeCell ref="AE121:AE123"/>
    <mergeCell ref="AF121:AF123"/>
    <mergeCell ref="AG121:AG123"/>
    <mergeCell ref="V121:V122"/>
    <mergeCell ref="W121:W122"/>
    <mergeCell ref="AN126:AN127"/>
    <mergeCell ref="AO126:AO127"/>
    <mergeCell ref="AA121:AA123"/>
    <mergeCell ref="P121:P123"/>
    <mergeCell ref="Q121:Q122"/>
    <mergeCell ref="R121:R123"/>
    <mergeCell ref="S121:S123"/>
    <mergeCell ref="T121:T122"/>
    <mergeCell ref="U121:U122"/>
    <mergeCell ref="AN121:AN123"/>
    <mergeCell ref="AO121:AO123"/>
    <mergeCell ref="J121:J122"/>
    <mergeCell ref="K121:K122"/>
    <mergeCell ref="L121:L122"/>
    <mergeCell ref="M121:M122"/>
    <mergeCell ref="N121:N123"/>
    <mergeCell ref="O121:O123"/>
    <mergeCell ref="AL115:AL117"/>
    <mergeCell ref="AM115:AM117"/>
    <mergeCell ref="AN115:AN117"/>
    <mergeCell ref="Z115:Z117"/>
    <mergeCell ref="AA115:AA117"/>
    <mergeCell ref="AB115:AB117"/>
    <mergeCell ref="AC115:AC117"/>
    <mergeCell ref="AD115:AD117"/>
    <mergeCell ref="AE115:AE117"/>
    <mergeCell ref="Q115:Q117"/>
    <mergeCell ref="R115:R117"/>
    <mergeCell ref="S115:S117"/>
    <mergeCell ref="T115:T117"/>
    <mergeCell ref="U115:U117"/>
    <mergeCell ref="Y115:Y117"/>
    <mergeCell ref="X121:X122"/>
    <mergeCell ref="Y121:Y123"/>
    <mergeCell ref="Z121:Z123"/>
    <mergeCell ref="AO115:AO117"/>
    <mergeCell ref="AP115:AP117"/>
    <mergeCell ref="AQ115:AQ117"/>
    <mergeCell ref="AF115:AF117"/>
    <mergeCell ref="AG115:AG117"/>
    <mergeCell ref="AH115:AH117"/>
    <mergeCell ref="AI115:AI117"/>
    <mergeCell ref="AJ115:AJ117"/>
    <mergeCell ref="AK115:AK117"/>
    <mergeCell ref="AQ111:AQ113"/>
    <mergeCell ref="G115:G117"/>
    <mergeCell ref="I115:I117"/>
    <mergeCell ref="J115:J117"/>
    <mergeCell ref="K115:K117"/>
    <mergeCell ref="L115:L117"/>
    <mergeCell ref="M115:M117"/>
    <mergeCell ref="N115:N117"/>
    <mergeCell ref="O115:O117"/>
    <mergeCell ref="P115:P117"/>
    <mergeCell ref="AK111:AK113"/>
    <mergeCell ref="AL111:AL113"/>
    <mergeCell ref="AM111:AM113"/>
    <mergeCell ref="AN111:AN113"/>
    <mergeCell ref="AO111:AO113"/>
    <mergeCell ref="AP111:AP113"/>
    <mergeCell ref="AE111:AE113"/>
    <mergeCell ref="AF111:AF113"/>
    <mergeCell ref="AG111:AG113"/>
    <mergeCell ref="AH111:AH113"/>
    <mergeCell ref="AI111:AI113"/>
    <mergeCell ref="AJ111:AJ113"/>
    <mergeCell ref="Y111:Y113"/>
    <mergeCell ref="Z111:Z113"/>
    <mergeCell ref="AA111:AA113"/>
    <mergeCell ref="AB111:AB113"/>
    <mergeCell ref="AC111:AC113"/>
    <mergeCell ref="AD111:AD113"/>
    <mergeCell ref="S111:S113"/>
    <mergeCell ref="T111:T112"/>
    <mergeCell ref="U111:U112"/>
    <mergeCell ref="V111:V112"/>
    <mergeCell ref="W111:W112"/>
    <mergeCell ref="X111:X112"/>
    <mergeCell ref="AQ105:AQ108"/>
    <mergeCell ref="J111:J112"/>
    <mergeCell ref="K111:K112"/>
    <mergeCell ref="L111:L112"/>
    <mergeCell ref="M111:M112"/>
    <mergeCell ref="N111:N113"/>
    <mergeCell ref="O111:O113"/>
    <mergeCell ref="P111:P113"/>
    <mergeCell ref="Q111:Q112"/>
    <mergeCell ref="R111:R113"/>
    <mergeCell ref="AK105:AK108"/>
    <mergeCell ref="AL105:AL108"/>
    <mergeCell ref="AM105:AM108"/>
    <mergeCell ref="AN105:AN108"/>
    <mergeCell ref="AO105:AO108"/>
    <mergeCell ref="AP105:AP108"/>
    <mergeCell ref="AE105:AE108"/>
    <mergeCell ref="AF105:AF108"/>
    <mergeCell ref="AG105:AG108"/>
    <mergeCell ref="AH105:AH108"/>
    <mergeCell ref="AI105:AI108"/>
    <mergeCell ref="AJ105:AJ108"/>
    <mergeCell ref="Y105:Y108"/>
    <mergeCell ref="Z105:Z108"/>
    <mergeCell ref="AA105:AA108"/>
    <mergeCell ref="AB105:AB108"/>
    <mergeCell ref="AC105:AC108"/>
    <mergeCell ref="AD105:AD108"/>
    <mergeCell ref="P105:P108"/>
    <mergeCell ref="Q105:Q108"/>
    <mergeCell ref="R105:R108"/>
    <mergeCell ref="S105:S108"/>
    <mergeCell ref="T105:T108"/>
    <mergeCell ref="U105:U106"/>
    <mergeCell ref="J105:J108"/>
    <mergeCell ref="K105:K108"/>
    <mergeCell ref="L105:L108"/>
    <mergeCell ref="M105:M108"/>
    <mergeCell ref="N105:N108"/>
    <mergeCell ref="O105:O108"/>
    <mergeCell ref="Q101:Q102"/>
    <mergeCell ref="U101:U102"/>
    <mergeCell ref="J103:J104"/>
    <mergeCell ref="K103:K104"/>
    <mergeCell ref="Q103:Q104"/>
    <mergeCell ref="U103:U104"/>
    <mergeCell ref="AO98:AO104"/>
    <mergeCell ref="AP98:AP104"/>
    <mergeCell ref="AQ98:AQ103"/>
    <mergeCell ref="J99:J100"/>
    <mergeCell ref="K99:K100"/>
    <mergeCell ref="N99:N103"/>
    <mergeCell ref="Q99:Q100"/>
    <mergeCell ref="U99:U100"/>
    <mergeCell ref="J101:J102"/>
    <mergeCell ref="K101:K102"/>
    <mergeCell ref="AI98:AI104"/>
    <mergeCell ref="AJ98:AJ104"/>
    <mergeCell ref="AK98:AK104"/>
    <mergeCell ref="AL98:AL104"/>
    <mergeCell ref="AM98:AM104"/>
    <mergeCell ref="AN98:AN104"/>
    <mergeCell ref="AC98:AC104"/>
    <mergeCell ref="AD98:AD104"/>
    <mergeCell ref="AE98:AE104"/>
    <mergeCell ref="AF98:AF104"/>
    <mergeCell ref="AG98:AG104"/>
    <mergeCell ref="AH98:AH104"/>
    <mergeCell ref="AQ92:AQ96"/>
    <mergeCell ref="O98:O103"/>
    <mergeCell ref="P98:P103"/>
    <mergeCell ref="R98:R104"/>
    <mergeCell ref="S98:S103"/>
    <mergeCell ref="T98:T103"/>
    <mergeCell ref="Y98:Y104"/>
    <mergeCell ref="Z98:Z104"/>
    <mergeCell ref="AA98:AA104"/>
    <mergeCell ref="AB98:AB104"/>
    <mergeCell ref="AK92:AK96"/>
    <mergeCell ref="AL92:AL96"/>
    <mergeCell ref="AM92:AM96"/>
    <mergeCell ref="AN92:AN96"/>
    <mergeCell ref="AO92:AO96"/>
    <mergeCell ref="AP92:AP96"/>
    <mergeCell ref="AE92:AE96"/>
    <mergeCell ref="AF92:AF96"/>
    <mergeCell ref="AG92:AG96"/>
    <mergeCell ref="AH92:AH96"/>
    <mergeCell ref="AI92:AI96"/>
    <mergeCell ref="AJ92:AJ96"/>
    <mergeCell ref="Y92:Y96"/>
    <mergeCell ref="Z92:Z96"/>
    <mergeCell ref="AA92:AA96"/>
    <mergeCell ref="AB92:AB96"/>
    <mergeCell ref="AC92:AC96"/>
    <mergeCell ref="AD92:AD96"/>
    <mergeCell ref="O92:O96"/>
    <mergeCell ref="P92:P96"/>
    <mergeCell ref="R92:R96"/>
    <mergeCell ref="S92:S96"/>
    <mergeCell ref="W92:W96"/>
    <mergeCell ref="X92:X96"/>
    <mergeCell ref="AN84:AN89"/>
    <mergeCell ref="AO84:AO89"/>
    <mergeCell ref="AP84:AP89"/>
    <mergeCell ref="AQ84:AQ89"/>
    <mergeCell ref="V85:V88"/>
    <mergeCell ref="W85:W89"/>
    <mergeCell ref="X85:X89"/>
    <mergeCell ref="AH84:AH89"/>
    <mergeCell ref="AI84:AI89"/>
    <mergeCell ref="AJ84:AJ89"/>
    <mergeCell ref="AK84:AK89"/>
    <mergeCell ref="AL84:AL89"/>
    <mergeCell ref="AM84:AM89"/>
    <mergeCell ref="AB84:AB89"/>
    <mergeCell ref="AC84:AC89"/>
    <mergeCell ref="AD84:AD89"/>
    <mergeCell ref="AE84:AE89"/>
    <mergeCell ref="AF84:AF89"/>
    <mergeCell ref="AG84:AG89"/>
    <mergeCell ref="S84:S89"/>
    <mergeCell ref="T84:T89"/>
    <mergeCell ref="U84:U88"/>
    <mergeCell ref="Y84:Y89"/>
    <mergeCell ref="Z84:Z89"/>
    <mergeCell ref="AA84:AA89"/>
    <mergeCell ref="X80:X81"/>
    <mergeCell ref="G84:I89"/>
    <mergeCell ref="J84:J89"/>
    <mergeCell ref="K84:K89"/>
    <mergeCell ref="L84:L89"/>
    <mergeCell ref="M84:M89"/>
    <mergeCell ref="O84:O89"/>
    <mergeCell ref="P84:P89"/>
    <mergeCell ref="Q84:Q89"/>
    <mergeCell ref="R84:R89"/>
    <mergeCell ref="AN76:AN82"/>
    <mergeCell ref="AO76:AO82"/>
    <mergeCell ref="AP76:AP82"/>
    <mergeCell ref="AQ76:AQ82"/>
    <mergeCell ref="J78:J79"/>
    <mergeCell ref="K78:K79"/>
    <mergeCell ref="Q78:Q79"/>
    <mergeCell ref="T78:T79"/>
    <mergeCell ref="U78:U79"/>
    <mergeCell ref="J80:J81"/>
    <mergeCell ref="AH76:AH82"/>
    <mergeCell ref="AI76:AI82"/>
    <mergeCell ref="AJ76:AJ82"/>
    <mergeCell ref="AK76:AK82"/>
    <mergeCell ref="AL76:AL82"/>
    <mergeCell ref="AM76:AM82"/>
    <mergeCell ref="AB76:AB82"/>
    <mergeCell ref="AC76:AC82"/>
    <mergeCell ref="AD76:AD82"/>
    <mergeCell ref="AE76:AE82"/>
    <mergeCell ref="AF76:AF82"/>
    <mergeCell ref="AG76:AG82"/>
    <mergeCell ref="S76:S82"/>
    <mergeCell ref="T76:T77"/>
    <mergeCell ref="J76:J77"/>
    <mergeCell ref="K76:K77"/>
    <mergeCell ref="O76:O82"/>
    <mergeCell ref="P76:P82"/>
    <mergeCell ref="Q76:Q77"/>
    <mergeCell ref="R76:R82"/>
    <mergeCell ref="K80:K81"/>
    <mergeCell ref="L80:L81"/>
    <mergeCell ref="M80:M81"/>
    <mergeCell ref="Q80:Q81"/>
    <mergeCell ref="T67:T70"/>
    <mergeCell ref="U76:U77"/>
    <mergeCell ref="Y76:Y82"/>
    <mergeCell ref="Z76:Z82"/>
    <mergeCell ref="AA76:AA82"/>
    <mergeCell ref="T80:T81"/>
    <mergeCell ref="U80:U81"/>
    <mergeCell ref="V80:V81"/>
    <mergeCell ref="W80:W81"/>
    <mergeCell ref="T60:T62"/>
    <mergeCell ref="J63:J65"/>
    <mergeCell ref="K63:K65"/>
    <mergeCell ref="L63:L65"/>
    <mergeCell ref="M63:M65"/>
    <mergeCell ref="Q63:Q65"/>
    <mergeCell ref="T63:T65"/>
    <mergeCell ref="AM54:AM74"/>
    <mergeCell ref="U54:U55"/>
    <mergeCell ref="Y54:Y74"/>
    <mergeCell ref="Z54:Z74"/>
    <mergeCell ref="T58:T59"/>
    <mergeCell ref="U58:U59"/>
    <mergeCell ref="U67:U68"/>
    <mergeCell ref="U71:U73"/>
    <mergeCell ref="J71:J73"/>
    <mergeCell ref="K71:K73"/>
    <mergeCell ref="L71:L73"/>
    <mergeCell ref="M71:M73"/>
    <mergeCell ref="Q71:Q73"/>
    <mergeCell ref="T71:T73"/>
    <mergeCell ref="J67:J70"/>
    <mergeCell ref="K67:K70"/>
    <mergeCell ref="L67:L69"/>
    <mergeCell ref="AN54:AN74"/>
    <mergeCell ref="AO54:AO74"/>
    <mergeCell ref="AP54:AP74"/>
    <mergeCell ref="AQ54:AQ74"/>
    <mergeCell ref="J58:J59"/>
    <mergeCell ref="K58:K59"/>
    <mergeCell ref="L58:L59"/>
    <mergeCell ref="M58:M59"/>
    <mergeCell ref="Q58:Q59"/>
    <mergeCell ref="AG54:AG74"/>
    <mergeCell ref="AH54:AH74"/>
    <mergeCell ref="AI54:AI74"/>
    <mergeCell ref="AJ54:AJ74"/>
    <mergeCell ref="AK54:AK74"/>
    <mergeCell ref="AL54:AL74"/>
    <mergeCell ref="AA54:AA74"/>
    <mergeCell ref="AB54:AB74"/>
    <mergeCell ref="AC54:AC74"/>
    <mergeCell ref="AD54:AD74"/>
    <mergeCell ref="AE54:AE74"/>
    <mergeCell ref="AF54:AF74"/>
    <mergeCell ref="R54:R74"/>
    <mergeCell ref="S54:S74"/>
    <mergeCell ref="T54:T55"/>
    <mergeCell ref="G54:I74"/>
    <mergeCell ref="J54:J55"/>
    <mergeCell ref="K54:K55"/>
    <mergeCell ref="O54:O74"/>
    <mergeCell ref="P54:P74"/>
    <mergeCell ref="Q54:Q55"/>
    <mergeCell ref="J60:J62"/>
    <mergeCell ref="K60:K62"/>
    <mergeCell ref="L60:L62"/>
    <mergeCell ref="M60:M62"/>
    <mergeCell ref="Q60:Q62"/>
    <mergeCell ref="M67:M69"/>
    <mergeCell ref="Q67:Q70"/>
    <mergeCell ref="AO44:AO52"/>
    <mergeCell ref="AP44:AP52"/>
    <mergeCell ref="AQ44:AQ52"/>
    <mergeCell ref="J45:J46"/>
    <mergeCell ref="K45:K46"/>
    <mergeCell ref="Q45:Q46"/>
    <mergeCell ref="T45:T46"/>
    <mergeCell ref="U45:U46"/>
    <mergeCell ref="N46:N52"/>
    <mergeCell ref="AI44:AI52"/>
    <mergeCell ref="AJ44:AJ52"/>
    <mergeCell ref="AK44:AK52"/>
    <mergeCell ref="AL44:AL52"/>
    <mergeCell ref="AM44:AM52"/>
    <mergeCell ref="AN44:AN52"/>
    <mergeCell ref="AC44:AC52"/>
    <mergeCell ref="AD44:AD52"/>
    <mergeCell ref="AE44:AE52"/>
    <mergeCell ref="AF44:AF52"/>
    <mergeCell ref="AG44:AG52"/>
    <mergeCell ref="AH44:AH52"/>
    <mergeCell ref="AP37:AP41"/>
    <mergeCell ref="AQ37:AQ41"/>
    <mergeCell ref="O44:O52"/>
    <mergeCell ref="P44:P52"/>
    <mergeCell ref="R44:R52"/>
    <mergeCell ref="S44:S52"/>
    <mergeCell ref="Y44:Y52"/>
    <mergeCell ref="Z44:Z52"/>
    <mergeCell ref="AA44:AA52"/>
    <mergeCell ref="AB44:AB52"/>
    <mergeCell ref="AJ37:AJ41"/>
    <mergeCell ref="AK37:AK41"/>
    <mergeCell ref="AL37:AL41"/>
    <mergeCell ref="AM37:AM41"/>
    <mergeCell ref="AN37:AN41"/>
    <mergeCell ref="AO37:AO41"/>
    <mergeCell ref="AD37:AD41"/>
    <mergeCell ref="AE37:AE41"/>
    <mergeCell ref="AF37:AF41"/>
    <mergeCell ref="AG37:AG41"/>
    <mergeCell ref="AH37:AH41"/>
    <mergeCell ref="AI37:AI41"/>
    <mergeCell ref="U37:U41"/>
    <mergeCell ref="Y37:Y41"/>
    <mergeCell ref="AA37:AA41"/>
    <mergeCell ref="AB37:AB41"/>
    <mergeCell ref="AC37:AC41"/>
    <mergeCell ref="O37:O41"/>
    <mergeCell ref="P37:P41"/>
    <mergeCell ref="Q37:Q41"/>
    <mergeCell ref="R37:R41"/>
    <mergeCell ref="S37:S41"/>
    <mergeCell ref="T37:T41"/>
    <mergeCell ref="D37:D41"/>
    <mergeCell ref="F37:F41"/>
    <mergeCell ref="G37:G41"/>
    <mergeCell ref="I37:I41"/>
    <mergeCell ref="J37:J41"/>
    <mergeCell ref="K37:K41"/>
    <mergeCell ref="L37:L41"/>
    <mergeCell ref="M37:M41"/>
    <mergeCell ref="Z37:Z41"/>
    <mergeCell ref="AM27:AM36"/>
    <mergeCell ref="AN27:AN36"/>
    <mergeCell ref="AO27:AO36"/>
    <mergeCell ref="AP27:AP36"/>
    <mergeCell ref="AQ27:AQ36"/>
    <mergeCell ref="J30:J31"/>
    <mergeCell ref="K30:K31"/>
    <mergeCell ref="L30:L31"/>
    <mergeCell ref="M30:M31"/>
    <mergeCell ref="Q30:Q31"/>
    <mergeCell ref="AG27:AG36"/>
    <mergeCell ref="AH27:AH36"/>
    <mergeCell ref="AI27:AI36"/>
    <mergeCell ref="AJ27:AJ36"/>
    <mergeCell ref="AK27:AK36"/>
    <mergeCell ref="AL27:AL36"/>
    <mergeCell ref="AA27:AA36"/>
    <mergeCell ref="AB27:AB36"/>
    <mergeCell ref="AC27:AC36"/>
    <mergeCell ref="AD27:AD36"/>
    <mergeCell ref="AE27:AE36"/>
    <mergeCell ref="AF27:AF36"/>
    <mergeCell ref="R27:R36"/>
    <mergeCell ref="S27:S36"/>
    <mergeCell ref="T27:T36"/>
    <mergeCell ref="U27:U28"/>
    <mergeCell ref="Y27:Y36"/>
    <mergeCell ref="Z27:Z36"/>
    <mergeCell ref="U33:U34"/>
    <mergeCell ref="J27:J28"/>
    <mergeCell ref="K27:K28"/>
    <mergeCell ref="N27:N36"/>
    <mergeCell ref="O27:O36"/>
    <mergeCell ref="P27:P36"/>
    <mergeCell ref="Q27:Q28"/>
    <mergeCell ref="J33:J34"/>
    <mergeCell ref="K33:K34"/>
    <mergeCell ref="Q33:Q34"/>
    <mergeCell ref="J35:J36"/>
    <mergeCell ref="K35:K36"/>
    <mergeCell ref="Q35:Q36"/>
    <mergeCell ref="J22:J25"/>
    <mergeCell ref="K22:K25"/>
    <mergeCell ref="L22:L25"/>
    <mergeCell ref="M22:M25"/>
    <mergeCell ref="Q22:Q25"/>
    <mergeCell ref="T22:T25"/>
    <mergeCell ref="AP11:AP25"/>
    <mergeCell ref="AQ11:AQ25"/>
    <mergeCell ref="J16:J21"/>
    <mergeCell ref="K16:K21"/>
    <mergeCell ref="L16:L21"/>
    <mergeCell ref="M16:M21"/>
    <mergeCell ref="Q16:Q21"/>
    <mergeCell ref="T16:T21"/>
    <mergeCell ref="U16:U19"/>
    <mergeCell ref="U20:U21"/>
    <mergeCell ref="AJ11:AJ25"/>
    <mergeCell ref="AK11:AK25"/>
    <mergeCell ref="AL11:AL25"/>
    <mergeCell ref="AM11:AM25"/>
    <mergeCell ref="AN11:AN25"/>
    <mergeCell ref="AO11:AO25"/>
    <mergeCell ref="AD11:AD25"/>
    <mergeCell ref="AE11:AE25"/>
    <mergeCell ref="U11:U15"/>
    <mergeCell ref="V11:V12"/>
    <mergeCell ref="W11:W12"/>
    <mergeCell ref="U22:U25"/>
    <mergeCell ref="AP6:AP7"/>
    <mergeCell ref="AQ6:AQ7"/>
    <mergeCell ref="AA6:AD6"/>
    <mergeCell ref="AE6:AJ6"/>
    <mergeCell ref="AK6:AM6"/>
    <mergeCell ref="AN6:AN7"/>
    <mergeCell ref="AO6:AO7"/>
    <mergeCell ref="AF11:AF25"/>
    <mergeCell ref="AG11:AG25"/>
    <mergeCell ref="AH11:AH25"/>
    <mergeCell ref="AI11:AI25"/>
    <mergeCell ref="X11:X12"/>
    <mergeCell ref="Y11:Y25"/>
    <mergeCell ref="Z11:Z25"/>
    <mergeCell ref="AA11:AA25"/>
    <mergeCell ref="AB11:AB25"/>
    <mergeCell ref="AC11:AC25"/>
    <mergeCell ref="J11:J15"/>
    <mergeCell ref="K11:K15"/>
    <mergeCell ref="L11:L15"/>
    <mergeCell ref="M11:M15"/>
    <mergeCell ref="N11:N25"/>
    <mergeCell ref="O11:O25"/>
    <mergeCell ref="P11:P25"/>
    <mergeCell ref="Q11:Q15"/>
    <mergeCell ref="Y6:Z6"/>
    <mergeCell ref="Q6:Q7"/>
    <mergeCell ref="R6:R7"/>
    <mergeCell ref="S6:S7"/>
    <mergeCell ref="T6:T7"/>
    <mergeCell ref="U6:U7"/>
    <mergeCell ref="X6:X7"/>
    <mergeCell ref="K6:K7"/>
    <mergeCell ref="L6:L7"/>
    <mergeCell ref="M6:M7"/>
    <mergeCell ref="N6:N7"/>
    <mergeCell ref="O6:O7"/>
    <mergeCell ref="P6:P7"/>
    <mergeCell ref="R11:R25"/>
    <mergeCell ref="S11:S25"/>
    <mergeCell ref="T11:T15"/>
    <mergeCell ref="A1:AP4"/>
    <mergeCell ref="A5:M5"/>
    <mergeCell ref="P5:AQ5"/>
    <mergeCell ref="A6:A7"/>
    <mergeCell ref="B6:C7"/>
    <mergeCell ref="D6:D7"/>
    <mergeCell ref="E6:F7"/>
    <mergeCell ref="G6:G7"/>
    <mergeCell ref="H6:I7"/>
    <mergeCell ref="J6:J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59"/>
  <sheetViews>
    <sheetView showGridLines="0" zoomScale="60" zoomScaleNormal="60" workbookViewId="0">
      <selection sqref="A1:AL4"/>
    </sheetView>
  </sheetViews>
  <sheetFormatPr baseColWidth="10" defaultColWidth="11.42578125" defaultRowHeight="14.25" x14ac:dyDescent="0.2"/>
  <cols>
    <col min="1" max="1" width="12.7109375" style="638" customWidth="1"/>
    <col min="2" max="2" width="19.28515625" style="638" customWidth="1"/>
    <col min="3" max="3" width="12.5703125" style="638" customWidth="1"/>
    <col min="4" max="4" width="19.28515625" style="638" customWidth="1"/>
    <col min="5" max="5" width="14" style="638" customWidth="1"/>
    <col min="6" max="6" width="30.42578125" style="2172" customWidth="1"/>
    <col min="7" max="7" width="19.42578125" style="638" customWidth="1"/>
    <col min="8" max="8" width="34.7109375" style="2171" customWidth="1"/>
    <col min="9" max="9" width="26.28515625" style="2171" customWidth="1"/>
    <col min="10" max="10" width="23.42578125" style="638" customWidth="1"/>
    <col min="11" max="11" width="37.85546875" style="638" customWidth="1"/>
    <col min="12" max="12" width="19.7109375" style="638" customWidth="1"/>
    <col min="13" max="13" width="29.5703125" style="2171" customWidth="1"/>
    <col min="14" max="14" width="12.5703125" style="638" customWidth="1"/>
    <col min="15" max="15" width="21.28515625" style="748" customWidth="1"/>
    <col min="16" max="16" width="24.85546875" style="2171" customWidth="1"/>
    <col min="17" max="17" width="36.7109375" style="2171" customWidth="1"/>
    <col min="18" max="18" width="45.28515625" style="711" customWidth="1"/>
    <col min="19" max="19" width="30.140625" style="748" customWidth="1"/>
    <col min="20" max="20" width="12.42578125" style="2172" customWidth="1"/>
    <col min="21" max="21" width="24" style="2171" customWidth="1"/>
    <col min="22" max="22" width="10" style="638" customWidth="1"/>
    <col min="23" max="23" width="8.5703125" style="638" customWidth="1"/>
    <col min="24" max="25" width="9.42578125" style="638" customWidth="1"/>
    <col min="26" max="26" width="13.28515625" style="638" customWidth="1"/>
    <col min="27" max="27" width="11.42578125" style="638" customWidth="1"/>
    <col min="28" max="28" width="9.42578125" style="638" customWidth="1"/>
    <col min="29" max="29" width="9.5703125" style="638" customWidth="1"/>
    <col min="30" max="30" width="6.42578125" style="638" customWidth="1"/>
    <col min="31" max="31" width="6.28515625" style="638" customWidth="1"/>
    <col min="32" max="32" width="6.140625" style="638" customWidth="1"/>
    <col min="33" max="33" width="6.7109375" style="638" customWidth="1"/>
    <col min="34" max="34" width="7" style="638" customWidth="1"/>
    <col min="35" max="35" width="7.5703125" style="638" customWidth="1"/>
    <col min="36" max="36" width="6.42578125" style="638" customWidth="1"/>
    <col min="37" max="37" width="9.85546875" style="638" customWidth="1"/>
    <col min="38" max="38" width="18" style="638" customWidth="1"/>
    <col min="39" max="39" width="21.42578125" style="638" customWidth="1"/>
    <col min="40" max="40" width="27.85546875" style="2171" customWidth="1"/>
    <col min="41" max="43" width="11.42578125" style="711"/>
    <col min="44" max="254" width="11.42578125" style="638"/>
    <col min="255" max="255" width="13.5703125" style="638" customWidth="1"/>
    <col min="256" max="256" width="19" style="638" customWidth="1"/>
    <col min="257" max="257" width="13.5703125" style="638" customWidth="1"/>
    <col min="258" max="258" width="19.7109375" style="638" customWidth="1"/>
    <col min="259" max="259" width="13.5703125" style="638" customWidth="1"/>
    <col min="260" max="261" width="14.7109375" style="638" customWidth="1"/>
    <col min="262" max="262" width="36.140625" style="638" customWidth="1"/>
    <col min="263" max="263" width="29.42578125" style="638" customWidth="1"/>
    <col min="264" max="264" width="16" style="638" customWidth="1"/>
    <col min="265" max="265" width="38.28515625" style="638" customWidth="1"/>
    <col min="266" max="266" width="12" style="638" customWidth="1"/>
    <col min="267" max="267" width="38.140625" style="638" customWidth="1"/>
    <col min="268" max="268" width="17.85546875" style="638" bestFit="1" customWidth="1"/>
    <col min="269" max="269" width="24.7109375" style="638" customWidth="1"/>
    <col min="270" max="270" width="36.42578125" style="638" customWidth="1"/>
    <col min="271" max="271" width="46.7109375" style="638" customWidth="1"/>
    <col min="272" max="272" width="43.7109375" style="638" customWidth="1"/>
    <col min="273" max="273" width="25.42578125" style="638" customWidth="1"/>
    <col min="274" max="274" width="12.42578125" style="638" customWidth="1"/>
    <col min="275" max="275" width="16.42578125" style="638" customWidth="1"/>
    <col min="276" max="276" width="13.42578125" style="638" customWidth="1"/>
    <col min="277" max="277" width="8.5703125" style="638" customWidth="1"/>
    <col min="278" max="281" width="11.42578125" style="638" customWidth="1"/>
    <col min="282" max="282" width="12.7109375" style="638" customWidth="1"/>
    <col min="283" max="283" width="11.85546875" style="638" customWidth="1"/>
    <col min="284" max="284" width="7.85546875" style="638" customWidth="1"/>
    <col min="285" max="285" width="7.5703125" style="638" customWidth="1"/>
    <col min="286" max="286" width="8.85546875" style="638" customWidth="1"/>
    <col min="287" max="287" width="8.140625" style="638" customWidth="1"/>
    <col min="288" max="288" width="7.85546875" style="638" customWidth="1"/>
    <col min="289" max="289" width="8.5703125" style="638" customWidth="1"/>
    <col min="290" max="290" width="8.28515625" style="638" customWidth="1"/>
    <col min="291" max="291" width="11.42578125" style="638" customWidth="1"/>
    <col min="292" max="292" width="18" style="638" customWidth="1"/>
    <col min="293" max="293" width="21.42578125" style="638" customWidth="1"/>
    <col min="294" max="294" width="27.85546875" style="638" customWidth="1"/>
    <col min="295" max="510" width="11.42578125" style="638"/>
    <col min="511" max="511" width="13.5703125" style="638" customWidth="1"/>
    <col min="512" max="512" width="19" style="638" customWidth="1"/>
    <col min="513" max="513" width="13.5703125" style="638" customWidth="1"/>
    <col min="514" max="514" width="19.7109375" style="638" customWidth="1"/>
    <col min="515" max="515" width="13.5703125" style="638" customWidth="1"/>
    <col min="516" max="517" width="14.7109375" style="638" customWidth="1"/>
    <col min="518" max="518" width="36.140625" style="638" customWidth="1"/>
    <col min="519" max="519" width="29.42578125" style="638" customWidth="1"/>
    <col min="520" max="520" width="16" style="638" customWidth="1"/>
    <col min="521" max="521" width="38.28515625" style="638" customWidth="1"/>
    <col min="522" max="522" width="12" style="638" customWidth="1"/>
    <col min="523" max="523" width="38.140625" style="638" customWidth="1"/>
    <col min="524" max="524" width="17.85546875" style="638" bestFit="1" customWidth="1"/>
    <col min="525" max="525" width="24.7109375" style="638" customWidth="1"/>
    <col min="526" max="526" width="36.42578125" style="638" customWidth="1"/>
    <col min="527" max="527" width="46.7109375" style="638" customWidth="1"/>
    <col min="528" max="528" width="43.7109375" style="638" customWidth="1"/>
    <col min="529" max="529" width="25.42578125" style="638" customWidth="1"/>
    <col min="530" max="530" width="12.42578125" style="638" customWidth="1"/>
    <col min="531" max="531" width="16.42578125" style="638" customWidth="1"/>
    <col min="532" max="532" width="13.42578125" style="638" customWidth="1"/>
    <col min="533" max="533" width="8.5703125" style="638" customWidth="1"/>
    <col min="534" max="537" width="11.42578125" style="638" customWidth="1"/>
    <col min="538" max="538" width="12.7109375" style="638" customWidth="1"/>
    <col min="539" max="539" width="11.85546875" style="638" customWidth="1"/>
    <col min="540" max="540" width="7.85546875" style="638" customWidth="1"/>
    <col min="541" max="541" width="7.5703125" style="638" customWidth="1"/>
    <col min="542" max="542" width="8.85546875" style="638" customWidth="1"/>
    <col min="543" max="543" width="8.140625" style="638" customWidth="1"/>
    <col min="544" max="544" width="7.85546875" style="638" customWidth="1"/>
    <col min="545" max="545" width="8.5703125" style="638" customWidth="1"/>
    <col min="546" max="546" width="8.28515625" style="638" customWidth="1"/>
    <col min="547" max="547" width="11.42578125" style="638" customWidth="1"/>
    <col min="548" max="548" width="18" style="638" customWidth="1"/>
    <col min="549" max="549" width="21.42578125" style="638" customWidth="1"/>
    <col min="550" max="550" width="27.85546875" style="638" customWidth="1"/>
    <col min="551" max="766" width="11.42578125" style="638"/>
    <col min="767" max="767" width="13.5703125" style="638" customWidth="1"/>
    <col min="768" max="768" width="19" style="638" customWidth="1"/>
    <col min="769" max="769" width="13.5703125" style="638" customWidth="1"/>
    <col min="770" max="770" width="19.7109375" style="638" customWidth="1"/>
    <col min="771" max="771" width="13.5703125" style="638" customWidth="1"/>
    <col min="772" max="773" width="14.7109375" style="638" customWidth="1"/>
    <col min="774" max="774" width="36.140625" style="638" customWidth="1"/>
    <col min="775" max="775" width="29.42578125" style="638" customWidth="1"/>
    <col min="776" max="776" width="16" style="638" customWidth="1"/>
    <col min="777" max="777" width="38.28515625" style="638" customWidth="1"/>
    <col min="778" max="778" width="12" style="638" customWidth="1"/>
    <col min="779" max="779" width="38.140625" style="638" customWidth="1"/>
    <col min="780" max="780" width="17.85546875" style="638" bestFit="1" customWidth="1"/>
    <col min="781" max="781" width="24.7109375" style="638" customWidth="1"/>
    <col min="782" max="782" width="36.42578125" style="638" customWidth="1"/>
    <col min="783" max="783" width="46.7109375" style="638" customWidth="1"/>
    <col min="784" max="784" width="43.7109375" style="638" customWidth="1"/>
    <col min="785" max="785" width="25.42578125" style="638" customWidth="1"/>
    <col min="786" max="786" width="12.42578125" style="638" customWidth="1"/>
    <col min="787" max="787" width="16.42578125" style="638" customWidth="1"/>
    <col min="788" max="788" width="13.42578125" style="638" customWidth="1"/>
    <col min="789" max="789" width="8.5703125" style="638" customWidth="1"/>
    <col min="790" max="793" width="11.42578125" style="638" customWidth="1"/>
    <col min="794" max="794" width="12.7109375" style="638" customWidth="1"/>
    <col min="795" max="795" width="11.85546875" style="638" customWidth="1"/>
    <col min="796" max="796" width="7.85546875" style="638" customWidth="1"/>
    <col min="797" max="797" width="7.5703125" style="638" customWidth="1"/>
    <col min="798" max="798" width="8.85546875" style="638" customWidth="1"/>
    <col min="799" max="799" width="8.140625" style="638" customWidth="1"/>
    <col min="800" max="800" width="7.85546875" style="638" customWidth="1"/>
    <col min="801" max="801" width="8.5703125" style="638" customWidth="1"/>
    <col min="802" max="802" width="8.28515625" style="638" customWidth="1"/>
    <col min="803" max="803" width="11.42578125" style="638" customWidth="1"/>
    <col min="804" max="804" width="18" style="638" customWidth="1"/>
    <col min="805" max="805" width="21.42578125" style="638" customWidth="1"/>
    <col min="806" max="806" width="27.85546875" style="638" customWidth="1"/>
    <col min="807" max="1022" width="11.42578125" style="638"/>
    <col min="1023" max="1023" width="13.5703125" style="638" customWidth="1"/>
    <col min="1024" max="1024" width="19" style="638" customWidth="1"/>
    <col min="1025" max="1025" width="13.5703125" style="638" customWidth="1"/>
    <col min="1026" max="1026" width="19.7109375" style="638" customWidth="1"/>
    <col min="1027" max="1027" width="13.5703125" style="638" customWidth="1"/>
    <col min="1028" max="1029" width="14.7109375" style="638" customWidth="1"/>
    <col min="1030" max="1030" width="36.140625" style="638" customWidth="1"/>
    <col min="1031" max="1031" width="29.42578125" style="638" customWidth="1"/>
    <col min="1032" max="1032" width="16" style="638" customWidth="1"/>
    <col min="1033" max="1033" width="38.28515625" style="638" customWidth="1"/>
    <col min="1034" max="1034" width="12" style="638" customWidth="1"/>
    <col min="1035" max="1035" width="38.140625" style="638" customWidth="1"/>
    <col min="1036" max="1036" width="17.85546875" style="638" bestFit="1" customWidth="1"/>
    <col min="1037" max="1037" width="24.7109375" style="638" customWidth="1"/>
    <col min="1038" max="1038" width="36.42578125" style="638" customWidth="1"/>
    <col min="1039" max="1039" width="46.7109375" style="638" customWidth="1"/>
    <col min="1040" max="1040" width="43.7109375" style="638" customWidth="1"/>
    <col min="1041" max="1041" width="25.42578125" style="638" customWidth="1"/>
    <col min="1042" max="1042" width="12.42578125" style="638" customWidth="1"/>
    <col min="1043" max="1043" width="16.42578125" style="638" customWidth="1"/>
    <col min="1044" max="1044" width="13.42578125" style="638" customWidth="1"/>
    <col min="1045" max="1045" width="8.5703125" style="638" customWidth="1"/>
    <col min="1046" max="1049" width="11.42578125" style="638" customWidth="1"/>
    <col min="1050" max="1050" width="12.7109375" style="638" customWidth="1"/>
    <col min="1051" max="1051" width="11.85546875" style="638" customWidth="1"/>
    <col min="1052" max="1052" width="7.85546875" style="638" customWidth="1"/>
    <col min="1053" max="1053" width="7.5703125" style="638" customWidth="1"/>
    <col min="1054" max="1054" width="8.85546875" style="638" customWidth="1"/>
    <col min="1055" max="1055" width="8.140625" style="638" customWidth="1"/>
    <col min="1056" max="1056" width="7.85546875" style="638" customWidth="1"/>
    <col min="1057" max="1057" width="8.5703125" style="638" customWidth="1"/>
    <col min="1058" max="1058" width="8.28515625" style="638" customWidth="1"/>
    <col min="1059" max="1059" width="11.42578125" style="638" customWidth="1"/>
    <col min="1060" max="1060" width="18" style="638" customWidth="1"/>
    <col min="1061" max="1061" width="21.42578125" style="638" customWidth="1"/>
    <col min="1062" max="1062" width="27.85546875" style="638" customWidth="1"/>
    <col min="1063" max="1278" width="11.42578125" style="638"/>
    <col min="1279" max="1279" width="13.5703125" style="638" customWidth="1"/>
    <col min="1280" max="1280" width="19" style="638" customWidth="1"/>
    <col min="1281" max="1281" width="13.5703125" style="638" customWidth="1"/>
    <col min="1282" max="1282" width="19.7109375" style="638" customWidth="1"/>
    <col min="1283" max="1283" width="13.5703125" style="638" customWidth="1"/>
    <col min="1284" max="1285" width="14.7109375" style="638" customWidth="1"/>
    <col min="1286" max="1286" width="36.140625" style="638" customWidth="1"/>
    <col min="1287" max="1287" width="29.42578125" style="638" customWidth="1"/>
    <col min="1288" max="1288" width="16" style="638" customWidth="1"/>
    <col min="1289" max="1289" width="38.28515625" style="638" customWidth="1"/>
    <col min="1290" max="1290" width="12" style="638" customWidth="1"/>
    <col min="1291" max="1291" width="38.140625" style="638" customWidth="1"/>
    <col min="1292" max="1292" width="17.85546875" style="638" bestFit="1" customWidth="1"/>
    <col min="1293" max="1293" width="24.7109375" style="638" customWidth="1"/>
    <col min="1294" max="1294" width="36.42578125" style="638" customWidth="1"/>
    <col min="1295" max="1295" width="46.7109375" style="638" customWidth="1"/>
    <col min="1296" max="1296" width="43.7109375" style="638" customWidth="1"/>
    <col min="1297" max="1297" width="25.42578125" style="638" customWidth="1"/>
    <col min="1298" max="1298" width="12.42578125" style="638" customWidth="1"/>
    <col min="1299" max="1299" width="16.42578125" style="638" customWidth="1"/>
    <col min="1300" max="1300" width="13.42578125" style="638" customWidth="1"/>
    <col min="1301" max="1301" width="8.5703125" style="638" customWidth="1"/>
    <col min="1302" max="1305" width="11.42578125" style="638" customWidth="1"/>
    <col min="1306" max="1306" width="12.7109375" style="638" customWidth="1"/>
    <col min="1307" max="1307" width="11.85546875" style="638" customWidth="1"/>
    <col min="1308" max="1308" width="7.85546875" style="638" customWidth="1"/>
    <col min="1309" max="1309" width="7.5703125" style="638" customWidth="1"/>
    <col min="1310" max="1310" width="8.85546875" style="638" customWidth="1"/>
    <col min="1311" max="1311" width="8.140625" style="638" customWidth="1"/>
    <col min="1312" max="1312" width="7.85546875" style="638" customWidth="1"/>
    <col min="1313" max="1313" width="8.5703125" style="638" customWidth="1"/>
    <col min="1314" max="1314" width="8.28515625" style="638" customWidth="1"/>
    <col min="1315" max="1315" width="11.42578125" style="638" customWidth="1"/>
    <col min="1316" max="1316" width="18" style="638" customWidth="1"/>
    <col min="1317" max="1317" width="21.42578125" style="638" customWidth="1"/>
    <col min="1318" max="1318" width="27.85546875" style="638" customWidth="1"/>
    <col min="1319" max="1534" width="11.42578125" style="638"/>
    <col min="1535" max="1535" width="13.5703125" style="638" customWidth="1"/>
    <col min="1536" max="1536" width="19" style="638" customWidth="1"/>
    <col min="1537" max="1537" width="13.5703125" style="638" customWidth="1"/>
    <col min="1538" max="1538" width="19.7109375" style="638" customWidth="1"/>
    <col min="1539" max="1539" width="13.5703125" style="638" customWidth="1"/>
    <col min="1540" max="1541" width="14.7109375" style="638" customWidth="1"/>
    <col min="1542" max="1542" width="36.140625" style="638" customWidth="1"/>
    <col min="1543" max="1543" width="29.42578125" style="638" customWidth="1"/>
    <col min="1544" max="1544" width="16" style="638" customWidth="1"/>
    <col min="1545" max="1545" width="38.28515625" style="638" customWidth="1"/>
    <col min="1546" max="1546" width="12" style="638" customWidth="1"/>
    <col min="1547" max="1547" width="38.140625" style="638" customWidth="1"/>
    <col min="1548" max="1548" width="17.85546875" style="638" bestFit="1" customWidth="1"/>
    <col min="1549" max="1549" width="24.7109375" style="638" customWidth="1"/>
    <col min="1550" max="1550" width="36.42578125" style="638" customWidth="1"/>
    <col min="1551" max="1551" width="46.7109375" style="638" customWidth="1"/>
    <col min="1552" max="1552" width="43.7109375" style="638" customWidth="1"/>
    <col min="1553" max="1553" width="25.42578125" style="638" customWidth="1"/>
    <col min="1554" max="1554" width="12.42578125" style="638" customWidth="1"/>
    <col min="1555" max="1555" width="16.42578125" style="638" customWidth="1"/>
    <col min="1556" max="1556" width="13.42578125" style="638" customWidth="1"/>
    <col min="1557" max="1557" width="8.5703125" style="638" customWidth="1"/>
    <col min="1558" max="1561" width="11.42578125" style="638" customWidth="1"/>
    <col min="1562" max="1562" width="12.7109375" style="638" customWidth="1"/>
    <col min="1563" max="1563" width="11.85546875" style="638" customWidth="1"/>
    <col min="1564" max="1564" width="7.85546875" style="638" customWidth="1"/>
    <col min="1565" max="1565" width="7.5703125" style="638" customWidth="1"/>
    <col min="1566" max="1566" width="8.85546875" style="638" customWidth="1"/>
    <col min="1567" max="1567" width="8.140625" style="638" customWidth="1"/>
    <col min="1568" max="1568" width="7.85546875" style="638" customWidth="1"/>
    <col min="1569" max="1569" width="8.5703125" style="638" customWidth="1"/>
    <col min="1570" max="1570" width="8.28515625" style="638" customWidth="1"/>
    <col min="1571" max="1571" width="11.42578125" style="638" customWidth="1"/>
    <col min="1572" max="1572" width="18" style="638" customWidth="1"/>
    <col min="1573" max="1573" width="21.42578125" style="638" customWidth="1"/>
    <col min="1574" max="1574" width="27.85546875" style="638" customWidth="1"/>
    <col min="1575" max="1790" width="11.42578125" style="638"/>
    <col min="1791" max="1791" width="13.5703125" style="638" customWidth="1"/>
    <col min="1792" max="1792" width="19" style="638" customWidth="1"/>
    <col min="1793" max="1793" width="13.5703125" style="638" customWidth="1"/>
    <col min="1794" max="1794" width="19.7109375" style="638" customWidth="1"/>
    <col min="1795" max="1795" width="13.5703125" style="638" customWidth="1"/>
    <col min="1796" max="1797" width="14.7109375" style="638" customWidth="1"/>
    <col min="1798" max="1798" width="36.140625" style="638" customWidth="1"/>
    <col min="1799" max="1799" width="29.42578125" style="638" customWidth="1"/>
    <col min="1800" max="1800" width="16" style="638" customWidth="1"/>
    <col min="1801" max="1801" width="38.28515625" style="638" customWidth="1"/>
    <col min="1802" max="1802" width="12" style="638" customWidth="1"/>
    <col min="1803" max="1803" width="38.140625" style="638" customWidth="1"/>
    <col min="1804" max="1804" width="17.85546875" style="638" bestFit="1" customWidth="1"/>
    <col min="1805" max="1805" width="24.7109375" style="638" customWidth="1"/>
    <col min="1806" max="1806" width="36.42578125" style="638" customWidth="1"/>
    <col min="1807" max="1807" width="46.7109375" style="638" customWidth="1"/>
    <col min="1808" max="1808" width="43.7109375" style="638" customWidth="1"/>
    <col min="1809" max="1809" width="25.42578125" style="638" customWidth="1"/>
    <col min="1810" max="1810" width="12.42578125" style="638" customWidth="1"/>
    <col min="1811" max="1811" width="16.42578125" style="638" customWidth="1"/>
    <col min="1812" max="1812" width="13.42578125" style="638" customWidth="1"/>
    <col min="1813" max="1813" width="8.5703125" style="638" customWidth="1"/>
    <col min="1814" max="1817" width="11.42578125" style="638" customWidth="1"/>
    <col min="1818" max="1818" width="12.7109375" style="638" customWidth="1"/>
    <col min="1819" max="1819" width="11.85546875" style="638" customWidth="1"/>
    <col min="1820" max="1820" width="7.85546875" style="638" customWidth="1"/>
    <col min="1821" max="1821" width="7.5703125" style="638" customWidth="1"/>
    <col min="1822" max="1822" width="8.85546875" style="638" customWidth="1"/>
    <col min="1823" max="1823" width="8.140625" style="638" customWidth="1"/>
    <col min="1824" max="1824" width="7.85546875" style="638" customWidth="1"/>
    <col min="1825" max="1825" width="8.5703125" style="638" customWidth="1"/>
    <col min="1826" max="1826" width="8.28515625" style="638" customWidth="1"/>
    <col min="1827" max="1827" width="11.42578125" style="638" customWidth="1"/>
    <col min="1828" max="1828" width="18" style="638" customWidth="1"/>
    <col min="1829" max="1829" width="21.42578125" style="638" customWidth="1"/>
    <col min="1830" max="1830" width="27.85546875" style="638" customWidth="1"/>
    <col min="1831" max="2046" width="11.42578125" style="638"/>
    <col min="2047" max="2047" width="13.5703125" style="638" customWidth="1"/>
    <col min="2048" max="2048" width="19" style="638" customWidth="1"/>
    <col min="2049" max="2049" width="13.5703125" style="638" customWidth="1"/>
    <col min="2050" max="2050" width="19.7109375" style="638" customWidth="1"/>
    <col min="2051" max="2051" width="13.5703125" style="638" customWidth="1"/>
    <col min="2052" max="2053" width="14.7109375" style="638" customWidth="1"/>
    <col min="2054" max="2054" width="36.140625" style="638" customWidth="1"/>
    <col min="2055" max="2055" width="29.42578125" style="638" customWidth="1"/>
    <col min="2056" max="2056" width="16" style="638" customWidth="1"/>
    <col min="2057" max="2057" width="38.28515625" style="638" customWidth="1"/>
    <col min="2058" max="2058" width="12" style="638" customWidth="1"/>
    <col min="2059" max="2059" width="38.140625" style="638" customWidth="1"/>
    <col min="2060" max="2060" width="17.85546875" style="638" bestFit="1" customWidth="1"/>
    <col min="2061" max="2061" width="24.7109375" style="638" customWidth="1"/>
    <col min="2062" max="2062" width="36.42578125" style="638" customWidth="1"/>
    <col min="2063" max="2063" width="46.7109375" style="638" customWidth="1"/>
    <col min="2064" max="2064" width="43.7109375" style="638" customWidth="1"/>
    <col min="2065" max="2065" width="25.42578125" style="638" customWidth="1"/>
    <col min="2066" max="2066" width="12.42578125" style="638" customWidth="1"/>
    <col min="2067" max="2067" width="16.42578125" style="638" customWidth="1"/>
    <col min="2068" max="2068" width="13.42578125" style="638" customWidth="1"/>
    <col min="2069" max="2069" width="8.5703125" style="638" customWidth="1"/>
    <col min="2070" max="2073" width="11.42578125" style="638" customWidth="1"/>
    <col min="2074" max="2074" width="12.7109375" style="638" customWidth="1"/>
    <col min="2075" max="2075" width="11.85546875" style="638" customWidth="1"/>
    <col min="2076" max="2076" width="7.85546875" style="638" customWidth="1"/>
    <col min="2077" max="2077" width="7.5703125" style="638" customWidth="1"/>
    <col min="2078" max="2078" width="8.85546875" style="638" customWidth="1"/>
    <col min="2079" max="2079" width="8.140625" style="638" customWidth="1"/>
    <col min="2080" max="2080" width="7.85546875" style="638" customWidth="1"/>
    <col min="2081" max="2081" width="8.5703125" style="638" customWidth="1"/>
    <col min="2082" max="2082" width="8.28515625" style="638" customWidth="1"/>
    <col min="2083" max="2083" width="11.42578125" style="638" customWidth="1"/>
    <col min="2084" max="2084" width="18" style="638" customWidth="1"/>
    <col min="2085" max="2085" width="21.42578125" style="638" customWidth="1"/>
    <col min="2086" max="2086" width="27.85546875" style="638" customWidth="1"/>
    <col min="2087" max="2302" width="11.42578125" style="638"/>
    <col min="2303" max="2303" width="13.5703125" style="638" customWidth="1"/>
    <col min="2304" max="2304" width="19" style="638" customWidth="1"/>
    <col min="2305" max="2305" width="13.5703125" style="638" customWidth="1"/>
    <col min="2306" max="2306" width="19.7109375" style="638" customWidth="1"/>
    <col min="2307" max="2307" width="13.5703125" style="638" customWidth="1"/>
    <col min="2308" max="2309" width="14.7109375" style="638" customWidth="1"/>
    <col min="2310" max="2310" width="36.140625" style="638" customWidth="1"/>
    <col min="2311" max="2311" width="29.42578125" style="638" customWidth="1"/>
    <col min="2312" max="2312" width="16" style="638" customWidth="1"/>
    <col min="2313" max="2313" width="38.28515625" style="638" customWidth="1"/>
    <col min="2314" max="2314" width="12" style="638" customWidth="1"/>
    <col min="2315" max="2315" width="38.140625" style="638" customWidth="1"/>
    <col min="2316" max="2316" width="17.85546875" style="638" bestFit="1" customWidth="1"/>
    <col min="2317" max="2317" width="24.7109375" style="638" customWidth="1"/>
    <col min="2318" max="2318" width="36.42578125" style="638" customWidth="1"/>
    <col min="2319" max="2319" width="46.7109375" style="638" customWidth="1"/>
    <col min="2320" max="2320" width="43.7109375" style="638" customWidth="1"/>
    <col min="2321" max="2321" width="25.42578125" style="638" customWidth="1"/>
    <col min="2322" max="2322" width="12.42578125" style="638" customWidth="1"/>
    <col min="2323" max="2323" width="16.42578125" style="638" customWidth="1"/>
    <col min="2324" max="2324" width="13.42578125" style="638" customWidth="1"/>
    <col min="2325" max="2325" width="8.5703125" style="638" customWidth="1"/>
    <col min="2326" max="2329" width="11.42578125" style="638" customWidth="1"/>
    <col min="2330" max="2330" width="12.7109375" style="638" customWidth="1"/>
    <col min="2331" max="2331" width="11.85546875" style="638" customWidth="1"/>
    <col min="2332" max="2332" width="7.85546875" style="638" customWidth="1"/>
    <col min="2333" max="2333" width="7.5703125" style="638" customWidth="1"/>
    <col min="2334" max="2334" width="8.85546875" style="638" customWidth="1"/>
    <col min="2335" max="2335" width="8.140625" style="638" customWidth="1"/>
    <col min="2336" max="2336" width="7.85546875" style="638" customWidth="1"/>
    <col min="2337" max="2337" width="8.5703125" style="638" customWidth="1"/>
    <col min="2338" max="2338" width="8.28515625" style="638" customWidth="1"/>
    <col min="2339" max="2339" width="11.42578125" style="638" customWidth="1"/>
    <col min="2340" max="2340" width="18" style="638" customWidth="1"/>
    <col min="2341" max="2341" width="21.42578125" style="638" customWidth="1"/>
    <col min="2342" max="2342" width="27.85546875" style="638" customWidth="1"/>
    <col min="2343" max="2558" width="11.42578125" style="638"/>
    <col min="2559" max="2559" width="13.5703125" style="638" customWidth="1"/>
    <col min="2560" max="2560" width="19" style="638" customWidth="1"/>
    <col min="2561" max="2561" width="13.5703125" style="638" customWidth="1"/>
    <col min="2562" max="2562" width="19.7109375" style="638" customWidth="1"/>
    <col min="2563" max="2563" width="13.5703125" style="638" customWidth="1"/>
    <col min="2564" max="2565" width="14.7109375" style="638" customWidth="1"/>
    <col min="2566" max="2566" width="36.140625" style="638" customWidth="1"/>
    <col min="2567" max="2567" width="29.42578125" style="638" customWidth="1"/>
    <col min="2568" max="2568" width="16" style="638" customWidth="1"/>
    <col min="2569" max="2569" width="38.28515625" style="638" customWidth="1"/>
    <col min="2570" max="2570" width="12" style="638" customWidth="1"/>
    <col min="2571" max="2571" width="38.140625" style="638" customWidth="1"/>
    <col min="2572" max="2572" width="17.85546875" style="638" bestFit="1" customWidth="1"/>
    <col min="2573" max="2573" width="24.7109375" style="638" customWidth="1"/>
    <col min="2574" max="2574" width="36.42578125" style="638" customWidth="1"/>
    <col min="2575" max="2575" width="46.7109375" style="638" customWidth="1"/>
    <col min="2576" max="2576" width="43.7109375" style="638" customWidth="1"/>
    <col min="2577" max="2577" width="25.42578125" style="638" customWidth="1"/>
    <col min="2578" max="2578" width="12.42578125" style="638" customWidth="1"/>
    <col min="2579" max="2579" width="16.42578125" style="638" customWidth="1"/>
    <col min="2580" max="2580" width="13.42578125" style="638" customWidth="1"/>
    <col min="2581" max="2581" width="8.5703125" style="638" customWidth="1"/>
    <col min="2582" max="2585" width="11.42578125" style="638" customWidth="1"/>
    <col min="2586" max="2586" width="12.7109375" style="638" customWidth="1"/>
    <col min="2587" max="2587" width="11.85546875" style="638" customWidth="1"/>
    <col min="2588" max="2588" width="7.85546875" style="638" customWidth="1"/>
    <col min="2589" max="2589" width="7.5703125" style="638" customWidth="1"/>
    <col min="2590" max="2590" width="8.85546875" style="638" customWidth="1"/>
    <col min="2591" max="2591" width="8.140625" style="638" customWidth="1"/>
    <col min="2592" max="2592" width="7.85546875" style="638" customWidth="1"/>
    <col min="2593" max="2593" width="8.5703125" style="638" customWidth="1"/>
    <col min="2594" max="2594" width="8.28515625" style="638" customWidth="1"/>
    <col min="2595" max="2595" width="11.42578125" style="638" customWidth="1"/>
    <col min="2596" max="2596" width="18" style="638" customWidth="1"/>
    <col min="2597" max="2597" width="21.42578125" style="638" customWidth="1"/>
    <col min="2598" max="2598" width="27.85546875" style="638" customWidth="1"/>
    <col min="2599" max="2814" width="11.42578125" style="638"/>
    <col min="2815" max="2815" width="13.5703125" style="638" customWidth="1"/>
    <col min="2816" max="2816" width="19" style="638" customWidth="1"/>
    <col min="2817" max="2817" width="13.5703125" style="638" customWidth="1"/>
    <col min="2818" max="2818" width="19.7109375" style="638" customWidth="1"/>
    <col min="2819" max="2819" width="13.5703125" style="638" customWidth="1"/>
    <col min="2820" max="2821" width="14.7109375" style="638" customWidth="1"/>
    <col min="2822" max="2822" width="36.140625" style="638" customWidth="1"/>
    <col min="2823" max="2823" width="29.42578125" style="638" customWidth="1"/>
    <col min="2824" max="2824" width="16" style="638" customWidth="1"/>
    <col min="2825" max="2825" width="38.28515625" style="638" customWidth="1"/>
    <col min="2826" max="2826" width="12" style="638" customWidth="1"/>
    <col min="2827" max="2827" width="38.140625" style="638" customWidth="1"/>
    <col min="2828" max="2828" width="17.85546875" style="638" bestFit="1" customWidth="1"/>
    <col min="2829" max="2829" width="24.7109375" style="638" customWidth="1"/>
    <col min="2830" max="2830" width="36.42578125" style="638" customWidth="1"/>
    <col min="2831" max="2831" width="46.7109375" style="638" customWidth="1"/>
    <col min="2832" max="2832" width="43.7109375" style="638" customWidth="1"/>
    <col min="2833" max="2833" width="25.42578125" style="638" customWidth="1"/>
    <col min="2834" max="2834" width="12.42578125" style="638" customWidth="1"/>
    <col min="2835" max="2835" width="16.42578125" style="638" customWidth="1"/>
    <col min="2836" max="2836" width="13.42578125" style="638" customWidth="1"/>
    <col min="2837" max="2837" width="8.5703125" style="638" customWidth="1"/>
    <col min="2838" max="2841" width="11.42578125" style="638" customWidth="1"/>
    <col min="2842" max="2842" width="12.7109375" style="638" customWidth="1"/>
    <col min="2843" max="2843" width="11.85546875" style="638" customWidth="1"/>
    <col min="2844" max="2844" width="7.85546875" style="638" customWidth="1"/>
    <col min="2845" max="2845" width="7.5703125" style="638" customWidth="1"/>
    <col min="2846" max="2846" width="8.85546875" style="638" customWidth="1"/>
    <col min="2847" max="2847" width="8.140625" style="638" customWidth="1"/>
    <col min="2848" max="2848" width="7.85546875" style="638" customWidth="1"/>
    <col min="2849" max="2849" width="8.5703125" style="638" customWidth="1"/>
    <col min="2850" max="2850" width="8.28515625" style="638" customWidth="1"/>
    <col min="2851" max="2851" width="11.42578125" style="638" customWidth="1"/>
    <col min="2852" max="2852" width="18" style="638" customWidth="1"/>
    <col min="2853" max="2853" width="21.42578125" style="638" customWidth="1"/>
    <col min="2854" max="2854" width="27.85546875" style="638" customWidth="1"/>
    <col min="2855" max="3070" width="11.42578125" style="638"/>
    <col min="3071" max="3071" width="13.5703125" style="638" customWidth="1"/>
    <col min="3072" max="3072" width="19" style="638" customWidth="1"/>
    <col min="3073" max="3073" width="13.5703125" style="638" customWidth="1"/>
    <col min="3074" max="3074" width="19.7109375" style="638" customWidth="1"/>
    <col min="3075" max="3075" width="13.5703125" style="638" customWidth="1"/>
    <col min="3076" max="3077" width="14.7109375" style="638" customWidth="1"/>
    <col min="3078" max="3078" width="36.140625" style="638" customWidth="1"/>
    <col min="3079" max="3079" width="29.42578125" style="638" customWidth="1"/>
    <col min="3080" max="3080" width="16" style="638" customWidth="1"/>
    <col min="3081" max="3081" width="38.28515625" style="638" customWidth="1"/>
    <col min="3082" max="3082" width="12" style="638" customWidth="1"/>
    <col min="3083" max="3083" width="38.140625" style="638" customWidth="1"/>
    <col min="3084" max="3084" width="17.85546875" style="638" bestFit="1" customWidth="1"/>
    <col min="3085" max="3085" width="24.7109375" style="638" customWidth="1"/>
    <col min="3086" max="3086" width="36.42578125" style="638" customWidth="1"/>
    <col min="3087" max="3087" width="46.7109375" style="638" customWidth="1"/>
    <col min="3088" max="3088" width="43.7109375" style="638" customWidth="1"/>
    <col min="3089" max="3089" width="25.42578125" style="638" customWidth="1"/>
    <col min="3090" max="3090" width="12.42578125" style="638" customWidth="1"/>
    <col min="3091" max="3091" width="16.42578125" style="638" customWidth="1"/>
    <col min="3092" max="3092" width="13.42578125" style="638" customWidth="1"/>
    <col min="3093" max="3093" width="8.5703125" style="638" customWidth="1"/>
    <col min="3094" max="3097" width="11.42578125" style="638" customWidth="1"/>
    <col min="3098" max="3098" width="12.7109375" style="638" customWidth="1"/>
    <col min="3099" max="3099" width="11.85546875" style="638" customWidth="1"/>
    <col min="3100" max="3100" width="7.85546875" style="638" customWidth="1"/>
    <col min="3101" max="3101" width="7.5703125" style="638" customWidth="1"/>
    <col min="3102" max="3102" width="8.85546875" style="638" customWidth="1"/>
    <col min="3103" max="3103" width="8.140625" style="638" customWidth="1"/>
    <col min="3104" max="3104" width="7.85546875" style="638" customWidth="1"/>
    <col min="3105" max="3105" width="8.5703125" style="638" customWidth="1"/>
    <col min="3106" max="3106" width="8.28515625" style="638" customWidth="1"/>
    <col min="3107" max="3107" width="11.42578125" style="638" customWidth="1"/>
    <col min="3108" max="3108" width="18" style="638" customWidth="1"/>
    <col min="3109" max="3109" width="21.42578125" style="638" customWidth="1"/>
    <col min="3110" max="3110" width="27.85546875" style="638" customWidth="1"/>
    <col min="3111" max="3326" width="11.42578125" style="638"/>
    <col min="3327" max="3327" width="13.5703125" style="638" customWidth="1"/>
    <col min="3328" max="3328" width="19" style="638" customWidth="1"/>
    <col min="3329" max="3329" width="13.5703125" style="638" customWidth="1"/>
    <col min="3330" max="3330" width="19.7109375" style="638" customWidth="1"/>
    <col min="3331" max="3331" width="13.5703125" style="638" customWidth="1"/>
    <col min="3332" max="3333" width="14.7109375" style="638" customWidth="1"/>
    <col min="3334" max="3334" width="36.140625" style="638" customWidth="1"/>
    <col min="3335" max="3335" width="29.42578125" style="638" customWidth="1"/>
    <col min="3336" max="3336" width="16" style="638" customWidth="1"/>
    <col min="3337" max="3337" width="38.28515625" style="638" customWidth="1"/>
    <col min="3338" max="3338" width="12" style="638" customWidth="1"/>
    <col min="3339" max="3339" width="38.140625" style="638" customWidth="1"/>
    <col min="3340" max="3340" width="17.85546875" style="638" bestFit="1" customWidth="1"/>
    <col min="3341" max="3341" width="24.7109375" style="638" customWidth="1"/>
    <col min="3342" max="3342" width="36.42578125" style="638" customWidth="1"/>
    <col min="3343" max="3343" width="46.7109375" style="638" customWidth="1"/>
    <col min="3344" max="3344" width="43.7109375" style="638" customWidth="1"/>
    <col min="3345" max="3345" width="25.42578125" style="638" customWidth="1"/>
    <col min="3346" max="3346" width="12.42578125" style="638" customWidth="1"/>
    <col min="3347" max="3347" width="16.42578125" style="638" customWidth="1"/>
    <col min="3348" max="3348" width="13.42578125" style="638" customWidth="1"/>
    <col min="3349" max="3349" width="8.5703125" style="638" customWidth="1"/>
    <col min="3350" max="3353" width="11.42578125" style="638" customWidth="1"/>
    <col min="3354" max="3354" width="12.7109375" style="638" customWidth="1"/>
    <col min="3355" max="3355" width="11.85546875" style="638" customWidth="1"/>
    <col min="3356" max="3356" width="7.85546875" style="638" customWidth="1"/>
    <col min="3357" max="3357" width="7.5703125" style="638" customWidth="1"/>
    <col min="3358" max="3358" width="8.85546875" style="638" customWidth="1"/>
    <col min="3359" max="3359" width="8.140625" style="638" customWidth="1"/>
    <col min="3360" max="3360" width="7.85546875" style="638" customWidth="1"/>
    <col min="3361" max="3361" width="8.5703125" style="638" customWidth="1"/>
    <col min="3362" max="3362" width="8.28515625" style="638" customWidth="1"/>
    <col min="3363" max="3363" width="11.42578125" style="638" customWidth="1"/>
    <col min="3364" max="3364" width="18" style="638" customWidth="1"/>
    <col min="3365" max="3365" width="21.42578125" style="638" customWidth="1"/>
    <col min="3366" max="3366" width="27.85546875" style="638" customWidth="1"/>
    <col min="3367" max="3582" width="11.42578125" style="638"/>
    <col min="3583" max="3583" width="13.5703125" style="638" customWidth="1"/>
    <col min="3584" max="3584" width="19" style="638" customWidth="1"/>
    <col min="3585" max="3585" width="13.5703125" style="638" customWidth="1"/>
    <col min="3586" max="3586" width="19.7109375" style="638" customWidth="1"/>
    <col min="3587" max="3587" width="13.5703125" style="638" customWidth="1"/>
    <col min="3588" max="3589" width="14.7109375" style="638" customWidth="1"/>
    <col min="3590" max="3590" width="36.140625" style="638" customWidth="1"/>
    <col min="3591" max="3591" width="29.42578125" style="638" customWidth="1"/>
    <col min="3592" max="3592" width="16" style="638" customWidth="1"/>
    <col min="3593" max="3593" width="38.28515625" style="638" customWidth="1"/>
    <col min="3594" max="3594" width="12" style="638" customWidth="1"/>
    <col min="3595" max="3595" width="38.140625" style="638" customWidth="1"/>
    <col min="3596" max="3596" width="17.85546875" style="638" bestFit="1" customWidth="1"/>
    <col min="3597" max="3597" width="24.7109375" style="638" customWidth="1"/>
    <col min="3598" max="3598" width="36.42578125" style="638" customWidth="1"/>
    <col min="3599" max="3599" width="46.7109375" style="638" customWidth="1"/>
    <col min="3600" max="3600" width="43.7109375" style="638" customWidth="1"/>
    <col min="3601" max="3601" width="25.42578125" style="638" customWidth="1"/>
    <col min="3602" max="3602" width="12.42578125" style="638" customWidth="1"/>
    <col min="3603" max="3603" width="16.42578125" style="638" customWidth="1"/>
    <col min="3604" max="3604" width="13.42578125" style="638" customWidth="1"/>
    <col min="3605" max="3605" width="8.5703125" style="638" customWidth="1"/>
    <col min="3606" max="3609" width="11.42578125" style="638" customWidth="1"/>
    <col min="3610" max="3610" width="12.7109375" style="638" customWidth="1"/>
    <col min="3611" max="3611" width="11.85546875" style="638" customWidth="1"/>
    <col min="3612" max="3612" width="7.85546875" style="638" customWidth="1"/>
    <col min="3613" max="3613" width="7.5703125" style="638" customWidth="1"/>
    <col min="3614" max="3614" width="8.85546875" style="638" customWidth="1"/>
    <col min="3615" max="3615" width="8.140625" style="638" customWidth="1"/>
    <col min="3616" max="3616" width="7.85546875" style="638" customWidth="1"/>
    <col min="3617" max="3617" width="8.5703125" style="638" customWidth="1"/>
    <col min="3618" max="3618" width="8.28515625" style="638" customWidth="1"/>
    <col min="3619" max="3619" width="11.42578125" style="638" customWidth="1"/>
    <col min="3620" max="3620" width="18" style="638" customWidth="1"/>
    <col min="3621" max="3621" width="21.42578125" style="638" customWidth="1"/>
    <col min="3622" max="3622" width="27.85546875" style="638" customWidth="1"/>
    <col min="3623" max="3838" width="11.42578125" style="638"/>
    <col min="3839" max="3839" width="13.5703125" style="638" customWidth="1"/>
    <col min="3840" max="3840" width="19" style="638" customWidth="1"/>
    <col min="3841" max="3841" width="13.5703125" style="638" customWidth="1"/>
    <col min="3842" max="3842" width="19.7109375" style="638" customWidth="1"/>
    <col min="3843" max="3843" width="13.5703125" style="638" customWidth="1"/>
    <col min="3844" max="3845" width="14.7109375" style="638" customWidth="1"/>
    <col min="3846" max="3846" width="36.140625" style="638" customWidth="1"/>
    <col min="3847" max="3847" width="29.42578125" style="638" customWidth="1"/>
    <col min="3848" max="3848" width="16" style="638" customWidth="1"/>
    <col min="3849" max="3849" width="38.28515625" style="638" customWidth="1"/>
    <col min="3850" max="3850" width="12" style="638" customWidth="1"/>
    <col min="3851" max="3851" width="38.140625" style="638" customWidth="1"/>
    <col min="3852" max="3852" width="17.85546875" style="638" bestFit="1" customWidth="1"/>
    <col min="3853" max="3853" width="24.7109375" style="638" customWidth="1"/>
    <col min="3854" max="3854" width="36.42578125" style="638" customWidth="1"/>
    <col min="3855" max="3855" width="46.7109375" style="638" customWidth="1"/>
    <col min="3856" max="3856" width="43.7109375" style="638" customWidth="1"/>
    <col min="3857" max="3857" width="25.42578125" style="638" customWidth="1"/>
    <col min="3858" max="3858" width="12.42578125" style="638" customWidth="1"/>
    <col min="3859" max="3859" width="16.42578125" style="638" customWidth="1"/>
    <col min="3860" max="3860" width="13.42578125" style="638" customWidth="1"/>
    <col min="3861" max="3861" width="8.5703125" style="638" customWidth="1"/>
    <col min="3862" max="3865" width="11.42578125" style="638" customWidth="1"/>
    <col min="3866" max="3866" width="12.7109375" style="638" customWidth="1"/>
    <col min="3867" max="3867" width="11.85546875" style="638" customWidth="1"/>
    <col min="3868" max="3868" width="7.85546875" style="638" customWidth="1"/>
    <col min="3869" max="3869" width="7.5703125" style="638" customWidth="1"/>
    <col min="3870" max="3870" width="8.85546875" style="638" customWidth="1"/>
    <col min="3871" max="3871" width="8.140625" style="638" customWidth="1"/>
    <col min="3872" max="3872" width="7.85546875" style="638" customWidth="1"/>
    <col min="3873" max="3873" width="8.5703125" style="638" customWidth="1"/>
    <col min="3874" max="3874" width="8.28515625" style="638" customWidth="1"/>
    <col min="3875" max="3875" width="11.42578125" style="638" customWidth="1"/>
    <col min="3876" max="3876" width="18" style="638" customWidth="1"/>
    <col min="3877" max="3877" width="21.42578125" style="638" customWidth="1"/>
    <col min="3878" max="3878" width="27.85546875" style="638" customWidth="1"/>
    <col min="3879" max="4094" width="11.42578125" style="638"/>
    <col min="4095" max="4095" width="13.5703125" style="638" customWidth="1"/>
    <col min="4096" max="4096" width="19" style="638" customWidth="1"/>
    <col min="4097" max="4097" width="13.5703125" style="638" customWidth="1"/>
    <col min="4098" max="4098" width="19.7109375" style="638" customWidth="1"/>
    <col min="4099" max="4099" width="13.5703125" style="638" customWidth="1"/>
    <col min="4100" max="4101" width="14.7109375" style="638" customWidth="1"/>
    <col min="4102" max="4102" width="36.140625" style="638" customWidth="1"/>
    <col min="4103" max="4103" width="29.42578125" style="638" customWidth="1"/>
    <col min="4104" max="4104" width="16" style="638" customWidth="1"/>
    <col min="4105" max="4105" width="38.28515625" style="638" customWidth="1"/>
    <col min="4106" max="4106" width="12" style="638" customWidth="1"/>
    <col min="4107" max="4107" width="38.140625" style="638" customWidth="1"/>
    <col min="4108" max="4108" width="17.85546875" style="638" bestFit="1" customWidth="1"/>
    <col min="4109" max="4109" width="24.7109375" style="638" customWidth="1"/>
    <col min="4110" max="4110" width="36.42578125" style="638" customWidth="1"/>
    <col min="4111" max="4111" width="46.7109375" style="638" customWidth="1"/>
    <col min="4112" max="4112" width="43.7109375" style="638" customWidth="1"/>
    <col min="4113" max="4113" width="25.42578125" style="638" customWidth="1"/>
    <col min="4114" max="4114" width="12.42578125" style="638" customWidth="1"/>
    <col min="4115" max="4115" width="16.42578125" style="638" customWidth="1"/>
    <col min="4116" max="4116" width="13.42578125" style="638" customWidth="1"/>
    <col min="4117" max="4117" width="8.5703125" style="638" customWidth="1"/>
    <col min="4118" max="4121" width="11.42578125" style="638" customWidth="1"/>
    <col min="4122" max="4122" width="12.7109375" style="638" customWidth="1"/>
    <col min="4123" max="4123" width="11.85546875" style="638" customWidth="1"/>
    <col min="4124" max="4124" width="7.85546875" style="638" customWidth="1"/>
    <col min="4125" max="4125" width="7.5703125" style="638" customWidth="1"/>
    <col min="4126" max="4126" width="8.85546875" style="638" customWidth="1"/>
    <col min="4127" max="4127" width="8.140625" style="638" customWidth="1"/>
    <col min="4128" max="4128" width="7.85546875" style="638" customWidth="1"/>
    <col min="4129" max="4129" width="8.5703125" style="638" customWidth="1"/>
    <col min="4130" max="4130" width="8.28515625" style="638" customWidth="1"/>
    <col min="4131" max="4131" width="11.42578125" style="638" customWidth="1"/>
    <col min="4132" max="4132" width="18" style="638" customWidth="1"/>
    <col min="4133" max="4133" width="21.42578125" style="638" customWidth="1"/>
    <col min="4134" max="4134" width="27.85546875" style="638" customWidth="1"/>
    <col min="4135" max="4350" width="11.42578125" style="638"/>
    <col min="4351" max="4351" width="13.5703125" style="638" customWidth="1"/>
    <col min="4352" max="4352" width="19" style="638" customWidth="1"/>
    <col min="4353" max="4353" width="13.5703125" style="638" customWidth="1"/>
    <col min="4354" max="4354" width="19.7109375" style="638" customWidth="1"/>
    <col min="4355" max="4355" width="13.5703125" style="638" customWidth="1"/>
    <col min="4356" max="4357" width="14.7109375" style="638" customWidth="1"/>
    <col min="4358" max="4358" width="36.140625" style="638" customWidth="1"/>
    <col min="4359" max="4359" width="29.42578125" style="638" customWidth="1"/>
    <col min="4360" max="4360" width="16" style="638" customWidth="1"/>
    <col min="4361" max="4361" width="38.28515625" style="638" customWidth="1"/>
    <col min="4362" max="4362" width="12" style="638" customWidth="1"/>
    <col min="4363" max="4363" width="38.140625" style="638" customWidth="1"/>
    <col min="4364" max="4364" width="17.85546875" style="638" bestFit="1" customWidth="1"/>
    <col min="4365" max="4365" width="24.7109375" style="638" customWidth="1"/>
    <col min="4366" max="4366" width="36.42578125" style="638" customWidth="1"/>
    <col min="4367" max="4367" width="46.7109375" style="638" customWidth="1"/>
    <col min="4368" max="4368" width="43.7109375" style="638" customWidth="1"/>
    <col min="4369" max="4369" width="25.42578125" style="638" customWidth="1"/>
    <col min="4370" max="4370" width="12.42578125" style="638" customWidth="1"/>
    <col min="4371" max="4371" width="16.42578125" style="638" customWidth="1"/>
    <col min="4372" max="4372" width="13.42578125" style="638" customWidth="1"/>
    <col min="4373" max="4373" width="8.5703125" style="638" customWidth="1"/>
    <col min="4374" max="4377" width="11.42578125" style="638" customWidth="1"/>
    <col min="4378" max="4378" width="12.7109375" style="638" customWidth="1"/>
    <col min="4379" max="4379" width="11.85546875" style="638" customWidth="1"/>
    <col min="4380" max="4380" width="7.85546875" style="638" customWidth="1"/>
    <col min="4381" max="4381" width="7.5703125" style="638" customWidth="1"/>
    <col min="4382" max="4382" width="8.85546875" style="638" customWidth="1"/>
    <col min="4383" max="4383" width="8.140625" style="638" customWidth="1"/>
    <col min="4384" max="4384" width="7.85546875" style="638" customWidth="1"/>
    <col min="4385" max="4385" width="8.5703125" style="638" customWidth="1"/>
    <col min="4386" max="4386" width="8.28515625" style="638" customWidth="1"/>
    <col min="4387" max="4387" width="11.42578125" style="638" customWidth="1"/>
    <col min="4388" max="4388" width="18" style="638" customWidth="1"/>
    <col min="4389" max="4389" width="21.42578125" style="638" customWidth="1"/>
    <col min="4390" max="4390" width="27.85546875" style="638" customWidth="1"/>
    <col min="4391" max="4606" width="11.42578125" style="638"/>
    <col min="4607" max="4607" width="13.5703125" style="638" customWidth="1"/>
    <col min="4608" max="4608" width="19" style="638" customWidth="1"/>
    <col min="4609" max="4609" width="13.5703125" style="638" customWidth="1"/>
    <col min="4610" max="4610" width="19.7109375" style="638" customWidth="1"/>
    <col min="4611" max="4611" width="13.5703125" style="638" customWidth="1"/>
    <col min="4612" max="4613" width="14.7109375" style="638" customWidth="1"/>
    <col min="4614" max="4614" width="36.140625" style="638" customWidth="1"/>
    <col min="4615" max="4615" width="29.42578125" style="638" customWidth="1"/>
    <col min="4616" max="4616" width="16" style="638" customWidth="1"/>
    <col min="4617" max="4617" width="38.28515625" style="638" customWidth="1"/>
    <col min="4618" max="4618" width="12" style="638" customWidth="1"/>
    <col min="4619" max="4619" width="38.140625" style="638" customWidth="1"/>
    <col min="4620" max="4620" width="17.85546875" style="638" bestFit="1" customWidth="1"/>
    <col min="4621" max="4621" width="24.7109375" style="638" customWidth="1"/>
    <col min="4622" max="4622" width="36.42578125" style="638" customWidth="1"/>
    <col min="4623" max="4623" width="46.7109375" style="638" customWidth="1"/>
    <col min="4624" max="4624" width="43.7109375" style="638" customWidth="1"/>
    <col min="4625" max="4625" width="25.42578125" style="638" customWidth="1"/>
    <col min="4626" max="4626" width="12.42578125" style="638" customWidth="1"/>
    <col min="4627" max="4627" width="16.42578125" style="638" customWidth="1"/>
    <col min="4628" max="4628" width="13.42578125" style="638" customWidth="1"/>
    <col min="4629" max="4629" width="8.5703125" style="638" customWidth="1"/>
    <col min="4630" max="4633" width="11.42578125" style="638" customWidth="1"/>
    <col min="4634" max="4634" width="12.7109375" style="638" customWidth="1"/>
    <col min="4635" max="4635" width="11.85546875" style="638" customWidth="1"/>
    <col min="4636" max="4636" width="7.85546875" style="638" customWidth="1"/>
    <col min="4637" max="4637" width="7.5703125" style="638" customWidth="1"/>
    <col min="4638" max="4638" width="8.85546875" style="638" customWidth="1"/>
    <col min="4639" max="4639" width="8.140625" style="638" customWidth="1"/>
    <col min="4640" max="4640" width="7.85546875" style="638" customWidth="1"/>
    <col min="4641" max="4641" width="8.5703125" style="638" customWidth="1"/>
    <col min="4642" max="4642" width="8.28515625" style="638" customWidth="1"/>
    <col min="4643" max="4643" width="11.42578125" style="638" customWidth="1"/>
    <col min="4644" max="4644" width="18" style="638" customWidth="1"/>
    <col min="4645" max="4645" width="21.42578125" style="638" customWidth="1"/>
    <col min="4646" max="4646" width="27.85546875" style="638" customWidth="1"/>
    <col min="4647" max="4862" width="11.42578125" style="638"/>
    <col min="4863" max="4863" width="13.5703125" style="638" customWidth="1"/>
    <col min="4864" max="4864" width="19" style="638" customWidth="1"/>
    <col min="4865" max="4865" width="13.5703125" style="638" customWidth="1"/>
    <col min="4866" max="4866" width="19.7109375" style="638" customWidth="1"/>
    <col min="4867" max="4867" width="13.5703125" style="638" customWidth="1"/>
    <col min="4868" max="4869" width="14.7109375" style="638" customWidth="1"/>
    <col min="4870" max="4870" width="36.140625" style="638" customWidth="1"/>
    <col min="4871" max="4871" width="29.42578125" style="638" customWidth="1"/>
    <col min="4872" max="4872" width="16" style="638" customWidth="1"/>
    <col min="4873" max="4873" width="38.28515625" style="638" customWidth="1"/>
    <col min="4874" max="4874" width="12" style="638" customWidth="1"/>
    <col min="4875" max="4875" width="38.140625" style="638" customWidth="1"/>
    <col min="4876" max="4876" width="17.85546875" style="638" bestFit="1" customWidth="1"/>
    <col min="4877" max="4877" width="24.7109375" style="638" customWidth="1"/>
    <col min="4878" max="4878" width="36.42578125" style="638" customWidth="1"/>
    <col min="4879" max="4879" width="46.7109375" style="638" customWidth="1"/>
    <col min="4880" max="4880" width="43.7109375" style="638" customWidth="1"/>
    <col min="4881" max="4881" width="25.42578125" style="638" customWidth="1"/>
    <col min="4882" max="4882" width="12.42578125" style="638" customWidth="1"/>
    <col min="4883" max="4883" width="16.42578125" style="638" customWidth="1"/>
    <col min="4884" max="4884" width="13.42578125" style="638" customWidth="1"/>
    <col min="4885" max="4885" width="8.5703125" style="638" customWidth="1"/>
    <col min="4886" max="4889" width="11.42578125" style="638" customWidth="1"/>
    <col min="4890" max="4890" width="12.7109375" style="638" customWidth="1"/>
    <col min="4891" max="4891" width="11.85546875" style="638" customWidth="1"/>
    <col min="4892" max="4892" width="7.85546875" style="638" customWidth="1"/>
    <col min="4893" max="4893" width="7.5703125" style="638" customWidth="1"/>
    <col min="4894" max="4894" width="8.85546875" style="638" customWidth="1"/>
    <col min="4895" max="4895" width="8.140625" style="638" customWidth="1"/>
    <col min="4896" max="4896" width="7.85546875" style="638" customWidth="1"/>
    <col min="4897" max="4897" width="8.5703125" style="638" customWidth="1"/>
    <col min="4898" max="4898" width="8.28515625" style="638" customWidth="1"/>
    <col min="4899" max="4899" width="11.42578125" style="638" customWidth="1"/>
    <col min="4900" max="4900" width="18" style="638" customWidth="1"/>
    <col min="4901" max="4901" width="21.42578125" style="638" customWidth="1"/>
    <col min="4902" max="4902" width="27.85546875" style="638" customWidth="1"/>
    <col min="4903" max="5118" width="11.42578125" style="638"/>
    <col min="5119" max="5119" width="13.5703125" style="638" customWidth="1"/>
    <col min="5120" max="5120" width="19" style="638" customWidth="1"/>
    <col min="5121" max="5121" width="13.5703125" style="638" customWidth="1"/>
    <col min="5122" max="5122" width="19.7109375" style="638" customWidth="1"/>
    <col min="5123" max="5123" width="13.5703125" style="638" customWidth="1"/>
    <col min="5124" max="5125" width="14.7109375" style="638" customWidth="1"/>
    <col min="5126" max="5126" width="36.140625" style="638" customWidth="1"/>
    <col min="5127" max="5127" width="29.42578125" style="638" customWidth="1"/>
    <col min="5128" max="5128" width="16" style="638" customWidth="1"/>
    <col min="5129" max="5129" width="38.28515625" style="638" customWidth="1"/>
    <col min="5130" max="5130" width="12" style="638" customWidth="1"/>
    <col min="5131" max="5131" width="38.140625" style="638" customWidth="1"/>
    <col min="5132" max="5132" width="17.85546875" style="638" bestFit="1" customWidth="1"/>
    <col min="5133" max="5133" width="24.7109375" style="638" customWidth="1"/>
    <col min="5134" max="5134" width="36.42578125" style="638" customWidth="1"/>
    <col min="5135" max="5135" width="46.7109375" style="638" customWidth="1"/>
    <col min="5136" max="5136" width="43.7109375" style="638" customWidth="1"/>
    <col min="5137" max="5137" width="25.42578125" style="638" customWidth="1"/>
    <col min="5138" max="5138" width="12.42578125" style="638" customWidth="1"/>
    <col min="5139" max="5139" width="16.42578125" style="638" customWidth="1"/>
    <col min="5140" max="5140" width="13.42578125" style="638" customWidth="1"/>
    <col min="5141" max="5141" width="8.5703125" style="638" customWidth="1"/>
    <col min="5142" max="5145" width="11.42578125" style="638" customWidth="1"/>
    <col min="5146" max="5146" width="12.7109375" style="638" customWidth="1"/>
    <col min="5147" max="5147" width="11.85546875" style="638" customWidth="1"/>
    <col min="5148" max="5148" width="7.85546875" style="638" customWidth="1"/>
    <col min="5149" max="5149" width="7.5703125" style="638" customWidth="1"/>
    <col min="5150" max="5150" width="8.85546875" style="638" customWidth="1"/>
    <col min="5151" max="5151" width="8.140625" style="638" customWidth="1"/>
    <col min="5152" max="5152" width="7.85546875" style="638" customWidth="1"/>
    <col min="5153" max="5153" width="8.5703125" style="638" customWidth="1"/>
    <col min="5154" max="5154" width="8.28515625" style="638" customWidth="1"/>
    <col min="5155" max="5155" width="11.42578125" style="638" customWidth="1"/>
    <col min="5156" max="5156" width="18" style="638" customWidth="1"/>
    <col min="5157" max="5157" width="21.42578125" style="638" customWidth="1"/>
    <col min="5158" max="5158" width="27.85546875" style="638" customWidth="1"/>
    <col min="5159" max="5374" width="11.42578125" style="638"/>
    <col min="5375" max="5375" width="13.5703125" style="638" customWidth="1"/>
    <col min="5376" max="5376" width="19" style="638" customWidth="1"/>
    <col min="5377" max="5377" width="13.5703125" style="638" customWidth="1"/>
    <col min="5378" max="5378" width="19.7109375" style="638" customWidth="1"/>
    <col min="5379" max="5379" width="13.5703125" style="638" customWidth="1"/>
    <col min="5380" max="5381" width="14.7109375" style="638" customWidth="1"/>
    <col min="5382" max="5382" width="36.140625" style="638" customWidth="1"/>
    <col min="5383" max="5383" width="29.42578125" style="638" customWidth="1"/>
    <col min="5384" max="5384" width="16" style="638" customWidth="1"/>
    <col min="5385" max="5385" width="38.28515625" style="638" customWidth="1"/>
    <col min="5386" max="5386" width="12" style="638" customWidth="1"/>
    <col min="5387" max="5387" width="38.140625" style="638" customWidth="1"/>
    <col min="5388" max="5388" width="17.85546875" style="638" bestFit="1" customWidth="1"/>
    <col min="5389" max="5389" width="24.7109375" style="638" customWidth="1"/>
    <col min="5390" max="5390" width="36.42578125" style="638" customWidth="1"/>
    <col min="5391" max="5391" width="46.7109375" style="638" customWidth="1"/>
    <col min="5392" max="5392" width="43.7109375" style="638" customWidth="1"/>
    <col min="5393" max="5393" width="25.42578125" style="638" customWidth="1"/>
    <col min="5394" max="5394" width="12.42578125" style="638" customWidth="1"/>
    <col min="5395" max="5395" width="16.42578125" style="638" customWidth="1"/>
    <col min="5396" max="5396" width="13.42578125" style="638" customWidth="1"/>
    <col min="5397" max="5397" width="8.5703125" style="638" customWidth="1"/>
    <col min="5398" max="5401" width="11.42578125" style="638" customWidth="1"/>
    <col min="5402" max="5402" width="12.7109375" style="638" customWidth="1"/>
    <col min="5403" max="5403" width="11.85546875" style="638" customWidth="1"/>
    <col min="5404" max="5404" width="7.85546875" style="638" customWidth="1"/>
    <col min="5405" max="5405" width="7.5703125" style="638" customWidth="1"/>
    <col min="5406" max="5406" width="8.85546875" style="638" customWidth="1"/>
    <col min="5407" max="5407" width="8.140625" style="638" customWidth="1"/>
    <col min="5408" max="5408" width="7.85546875" style="638" customWidth="1"/>
    <col min="5409" max="5409" width="8.5703125" style="638" customWidth="1"/>
    <col min="5410" max="5410" width="8.28515625" style="638" customWidth="1"/>
    <col min="5411" max="5411" width="11.42578125" style="638" customWidth="1"/>
    <col min="5412" max="5412" width="18" style="638" customWidth="1"/>
    <col min="5413" max="5413" width="21.42578125" style="638" customWidth="1"/>
    <col min="5414" max="5414" width="27.85546875" style="638" customWidth="1"/>
    <col min="5415" max="5630" width="11.42578125" style="638"/>
    <col min="5631" max="5631" width="13.5703125" style="638" customWidth="1"/>
    <col min="5632" max="5632" width="19" style="638" customWidth="1"/>
    <col min="5633" max="5633" width="13.5703125" style="638" customWidth="1"/>
    <col min="5634" max="5634" width="19.7109375" style="638" customWidth="1"/>
    <col min="5635" max="5635" width="13.5703125" style="638" customWidth="1"/>
    <col min="5636" max="5637" width="14.7109375" style="638" customWidth="1"/>
    <col min="5638" max="5638" width="36.140625" style="638" customWidth="1"/>
    <col min="5639" max="5639" width="29.42578125" style="638" customWidth="1"/>
    <col min="5640" max="5640" width="16" style="638" customWidth="1"/>
    <col min="5641" max="5641" width="38.28515625" style="638" customWidth="1"/>
    <col min="5642" max="5642" width="12" style="638" customWidth="1"/>
    <col min="5643" max="5643" width="38.140625" style="638" customWidth="1"/>
    <col min="5644" max="5644" width="17.85546875" style="638" bestFit="1" customWidth="1"/>
    <col min="5645" max="5645" width="24.7109375" style="638" customWidth="1"/>
    <col min="5646" max="5646" width="36.42578125" style="638" customWidth="1"/>
    <col min="5647" max="5647" width="46.7109375" style="638" customWidth="1"/>
    <col min="5648" max="5648" width="43.7109375" style="638" customWidth="1"/>
    <col min="5649" max="5649" width="25.42578125" style="638" customWidth="1"/>
    <col min="5650" max="5650" width="12.42578125" style="638" customWidth="1"/>
    <col min="5651" max="5651" width="16.42578125" style="638" customWidth="1"/>
    <col min="5652" max="5652" width="13.42578125" style="638" customWidth="1"/>
    <col min="5653" max="5653" width="8.5703125" style="638" customWidth="1"/>
    <col min="5654" max="5657" width="11.42578125" style="638" customWidth="1"/>
    <col min="5658" max="5658" width="12.7109375" style="638" customWidth="1"/>
    <col min="5659" max="5659" width="11.85546875" style="638" customWidth="1"/>
    <col min="5660" max="5660" width="7.85546875" style="638" customWidth="1"/>
    <col min="5661" max="5661" width="7.5703125" style="638" customWidth="1"/>
    <col min="5662" max="5662" width="8.85546875" style="638" customWidth="1"/>
    <col min="5663" max="5663" width="8.140625" style="638" customWidth="1"/>
    <col min="5664" max="5664" width="7.85546875" style="638" customWidth="1"/>
    <col min="5665" max="5665" width="8.5703125" style="638" customWidth="1"/>
    <col min="5666" max="5666" width="8.28515625" style="638" customWidth="1"/>
    <col min="5667" max="5667" width="11.42578125" style="638" customWidth="1"/>
    <col min="5668" max="5668" width="18" style="638" customWidth="1"/>
    <col min="5669" max="5669" width="21.42578125" style="638" customWidth="1"/>
    <col min="5670" max="5670" width="27.85546875" style="638" customWidth="1"/>
    <col min="5671" max="5886" width="11.42578125" style="638"/>
    <col min="5887" max="5887" width="13.5703125" style="638" customWidth="1"/>
    <col min="5888" max="5888" width="19" style="638" customWidth="1"/>
    <col min="5889" max="5889" width="13.5703125" style="638" customWidth="1"/>
    <col min="5890" max="5890" width="19.7109375" style="638" customWidth="1"/>
    <col min="5891" max="5891" width="13.5703125" style="638" customWidth="1"/>
    <col min="5892" max="5893" width="14.7109375" style="638" customWidth="1"/>
    <col min="5894" max="5894" width="36.140625" style="638" customWidth="1"/>
    <col min="5895" max="5895" width="29.42578125" style="638" customWidth="1"/>
    <col min="5896" max="5896" width="16" style="638" customWidth="1"/>
    <col min="5897" max="5897" width="38.28515625" style="638" customWidth="1"/>
    <col min="5898" max="5898" width="12" style="638" customWidth="1"/>
    <col min="5899" max="5899" width="38.140625" style="638" customWidth="1"/>
    <col min="5900" max="5900" width="17.85546875" style="638" bestFit="1" customWidth="1"/>
    <col min="5901" max="5901" width="24.7109375" style="638" customWidth="1"/>
    <col min="5902" max="5902" width="36.42578125" style="638" customWidth="1"/>
    <col min="5903" max="5903" width="46.7109375" style="638" customWidth="1"/>
    <col min="5904" max="5904" width="43.7109375" style="638" customWidth="1"/>
    <col min="5905" max="5905" width="25.42578125" style="638" customWidth="1"/>
    <col min="5906" max="5906" width="12.42578125" style="638" customWidth="1"/>
    <col min="5907" max="5907" width="16.42578125" style="638" customWidth="1"/>
    <col min="5908" max="5908" width="13.42578125" style="638" customWidth="1"/>
    <col min="5909" max="5909" width="8.5703125" style="638" customWidth="1"/>
    <col min="5910" max="5913" width="11.42578125" style="638" customWidth="1"/>
    <col min="5914" max="5914" width="12.7109375" style="638" customWidth="1"/>
    <col min="5915" max="5915" width="11.85546875" style="638" customWidth="1"/>
    <col min="5916" max="5916" width="7.85546875" style="638" customWidth="1"/>
    <col min="5917" max="5917" width="7.5703125" style="638" customWidth="1"/>
    <col min="5918" max="5918" width="8.85546875" style="638" customWidth="1"/>
    <col min="5919" max="5919" width="8.140625" style="638" customWidth="1"/>
    <col min="5920" max="5920" width="7.85546875" style="638" customWidth="1"/>
    <col min="5921" max="5921" width="8.5703125" style="638" customWidth="1"/>
    <col min="5922" max="5922" width="8.28515625" style="638" customWidth="1"/>
    <col min="5923" max="5923" width="11.42578125" style="638" customWidth="1"/>
    <col min="5924" max="5924" width="18" style="638" customWidth="1"/>
    <col min="5925" max="5925" width="21.42578125" style="638" customWidth="1"/>
    <col min="5926" max="5926" width="27.85546875" style="638" customWidth="1"/>
    <col min="5927" max="6142" width="11.42578125" style="638"/>
    <col min="6143" max="6143" width="13.5703125" style="638" customWidth="1"/>
    <col min="6144" max="6144" width="19" style="638" customWidth="1"/>
    <col min="6145" max="6145" width="13.5703125" style="638" customWidth="1"/>
    <col min="6146" max="6146" width="19.7109375" style="638" customWidth="1"/>
    <col min="6147" max="6147" width="13.5703125" style="638" customWidth="1"/>
    <col min="6148" max="6149" width="14.7109375" style="638" customWidth="1"/>
    <col min="6150" max="6150" width="36.140625" style="638" customWidth="1"/>
    <col min="6151" max="6151" width="29.42578125" style="638" customWidth="1"/>
    <col min="6152" max="6152" width="16" style="638" customWidth="1"/>
    <col min="6153" max="6153" width="38.28515625" style="638" customWidth="1"/>
    <col min="6154" max="6154" width="12" style="638" customWidth="1"/>
    <col min="6155" max="6155" width="38.140625" style="638" customWidth="1"/>
    <col min="6156" max="6156" width="17.85546875" style="638" bestFit="1" customWidth="1"/>
    <col min="6157" max="6157" width="24.7109375" style="638" customWidth="1"/>
    <col min="6158" max="6158" width="36.42578125" style="638" customWidth="1"/>
    <col min="6159" max="6159" width="46.7109375" style="638" customWidth="1"/>
    <col min="6160" max="6160" width="43.7109375" style="638" customWidth="1"/>
    <col min="6161" max="6161" width="25.42578125" style="638" customWidth="1"/>
    <col min="6162" max="6162" width="12.42578125" style="638" customWidth="1"/>
    <col min="6163" max="6163" width="16.42578125" style="638" customWidth="1"/>
    <col min="6164" max="6164" width="13.42578125" style="638" customWidth="1"/>
    <col min="6165" max="6165" width="8.5703125" style="638" customWidth="1"/>
    <col min="6166" max="6169" width="11.42578125" style="638" customWidth="1"/>
    <col min="6170" max="6170" width="12.7109375" style="638" customWidth="1"/>
    <col min="6171" max="6171" width="11.85546875" style="638" customWidth="1"/>
    <col min="6172" max="6172" width="7.85546875" style="638" customWidth="1"/>
    <col min="6173" max="6173" width="7.5703125" style="638" customWidth="1"/>
    <col min="6174" max="6174" width="8.85546875" style="638" customWidth="1"/>
    <col min="6175" max="6175" width="8.140625" style="638" customWidth="1"/>
    <col min="6176" max="6176" width="7.85546875" style="638" customWidth="1"/>
    <col min="6177" max="6177" width="8.5703125" style="638" customWidth="1"/>
    <col min="6178" max="6178" width="8.28515625" style="638" customWidth="1"/>
    <col min="6179" max="6179" width="11.42578125" style="638" customWidth="1"/>
    <col min="6180" max="6180" width="18" style="638" customWidth="1"/>
    <col min="6181" max="6181" width="21.42578125" style="638" customWidth="1"/>
    <col min="6182" max="6182" width="27.85546875" style="638" customWidth="1"/>
    <col min="6183" max="6398" width="11.42578125" style="638"/>
    <col min="6399" max="6399" width="13.5703125" style="638" customWidth="1"/>
    <col min="6400" max="6400" width="19" style="638" customWidth="1"/>
    <col min="6401" max="6401" width="13.5703125" style="638" customWidth="1"/>
    <col min="6402" max="6402" width="19.7109375" style="638" customWidth="1"/>
    <col min="6403" max="6403" width="13.5703125" style="638" customWidth="1"/>
    <col min="6404" max="6405" width="14.7109375" style="638" customWidth="1"/>
    <col min="6406" max="6406" width="36.140625" style="638" customWidth="1"/>
    <col min="6407" max="6407" width="29.42578125" style="638" customWidth="1"/>
    <col min="6408" max="6408" width="16" style="638" customWidth="1"/>
    <col min="6409" max="6409" width="38.28515625" style="638" customWidth="1"/>
    <col min="6410" max="6410" width="12" style="638" customWidth="1"/>
    <col min="6411" max="6411" width="38.140625" style="638" customWidth="1"/>
    <col min="6412" max="6412" width="17.85546875" style="638" bestFit="1" customWidth="1"/>
    <col min="6413" max="6413" width="24.7109375" style="638" customWidth="1"/>
    <col min="6414" max="6414" width="36.42578125" style="638" customWidth="1"/>
    <col min="6415" max="6415" width="46.7109375" style="638" customWidth="1"/>
    <col min="6416" max="6416" width="43.7109375" style="638" customWidth="1"/>
    <col min="6417" max="6417" width="25.42578125" style="638" customWidth="1"/>
    <col min="6418" max="6418" width="12.42578125" style="638" customWidth="1"/>
    <col min="6419" max="6419" width="16.42578125" style="638" customWidth="1"/>
    <col min="6420" max="6420" width="13.42578125" style="638" customWidth="1"/>
    <col min="6421" max="6421" width="8.5703125" style="638" customWidth="1"/>
    <col min="6422" max="6425" width="11.42578125" style="638" customWidth="1"/>
    <col min="6426" max="6426" width="12.7109375" style="638" customWidth="1"/>
    <col min="6427" max="6427" width="11.85546875" style="638" customWidth="1"/>
    <col min="6428" max="6428" width="7.85546875" style="638" customWidth="1"/>
    <col min="6429" max="6429" width="7.5703125" style="638" customWidth="1"/>
    <col min="6430" max="6430" width="8.85546875" style="638" customWidth="1"/>
    <col min="6431" max="6431" width="8.140625" style="638" customWidth="1"/>
    <col min="6432" max="6432" width="7.85546875" style="638" customWidth="1"/>
    <col min="6433" max="6433" width="8.5703125" style="638" customWidth="1"/>
    <col min="6434" max="6434" width="8.28515625" style="638" customWidth="1"/>
    <col min="6435" max="6435" width="11.42578125" style="638" customWidth="1"/>
    <col min="6436" max="6436" width="18" style="638" customWidth="1"/>
    <col min="6437" max="6437" width="21.42578125" style="638" customWidth="1"/>
    <col min="6438" max="6438" width="27.85546875" style="638" customWidth="1"/>
    <col min="6439" max="6654" width="11.42578125" style="638"/>
    <col min="6655" max="6655" width="13.5703125" style="638" customWidth="1"/>
    <col min="6656" max="6656" width="19" style="638" customWidth="1"/>
    <col min="6657" max="6657" width="13.5703125" style="638" customWidth="1"/>
    <col min="6658" max="6658" width="19.7109375" style="638" customWidth="1"/>
    <col min="6659" max="6659" width="13.5703125" style="638" customWidth="1"/>
    <col min="6660" max="6661" width="14.7109375" style="638" customWidth="1"/>
    <col min="6662" max="6662" width="36.140625" style="638" customWidth="1"/>
    <col min="6663" max="6663" width="29.42578125" style="638" customWidth="1"/>
    <col min="6664" max="6664" width="16" style="638" customWidth="1"/>
    <col min="6665" max="6665" width="38.28515625" style="638" customWidth="1"/>
    <col min="6666" max="6666" width="12" style="638" customWidth="1"/>
    <col min="6667" max="6667" width="38.140625" style="638" customWidth="1"/>
    <col min="6668" max="6668" width="17.85546875" style="638" bestFit="1" customWidth="1"/>
    <col min="6669" max="6669" width="24.7109375" style="638" customWidth="1"/>
    <col min="6670" max="6670" width="36.42578125" style="638" customWidth="1"/>
    <col min="6671" max="6671" width="46.7109375" style="638" customWidth="1"/>
    <col min="6672" max="6672" width="43.7109375" style="638" customWidth="1"/>
    <col min="6673" max="6673" width="25.42578125" style="638" customWidth="1"/>
    <col min="6674" max="6674" width="12.42578125" style="638" customWidth="1"/>
    <col min="6675" max="6675" width="16.42578125" style="638" customWidth="1"/>
    <col min="6676" max="6676" width="13.42578125" style="638" customWidth="1"/>
    <col min="6677" max="6677" width="8.5703125" style="638" customWidth="1"/>
    <col min="6678" max="6681" width="11.42578125" style="638" customWidth="1"/>
    <col min="6682" max="6682" width="12.7109375" style="638" customWidth="1"/>
    <col min="6683" max="6683" width="11.85546875" style="638" customWidth="1"/>
    <col min="6684" max="6684" width="7.85546875" style="638" customWidth="1"/>
    <col min="6685" max="6685" width="7.5703125" style="638" customWidth="1"/>
    <col min="6686" max="6686" width="8.85546875" style="638" customWidth="1"/>
    <col min="6687" max="6687" width="8.140625" style="638" customWidth="1"/>
    <col min="6688" max="6688" width="7.85546875" style="638" customWidth="1"/>
    <col min="6689" max="6689" width="8.5703125" style="638" customWidth="1"/>
    <col min="6690" max="6690" width="8.28515625" style="638" customWidth="1"/>
    <col min="6691" max="6691" width="11.42578125" style="638" customWidth="1"/>
    <col min="6692" max="6692" width="18" style="638" customWidth="1"/>
    <col min="6693" max="6693" width="21.42578125" style="638" customWidth="1"/>
    <col min="6694" max="6694" width="27.85546875" style="638" customWidth="1"/>
    <col min="6695" max="6910" width="11.42578125" style="638"/>
    <col min="6911" max="6911" width="13.5703125" style="638" customWidth="1"/>
    <col min="6912" max="6912" width="19" style="638" customWidth="1"/>
    <col min="6913" max="6913" width="13.5703125" style="638" customWidth="1"/>
    <col min="6914" max="6914" width="19.7109375" style="638" customWidth="1"/>
    <col min="6915" max="6915" width="13.5703125" style="638" customWidth="1"/>
    <col min="6916" max="6917" width="14.7109375" style="638" customWidth="1"/>
    <col min="6918" max="6918" width="36.140625" style="638" customWidth="1"/>
    <col min="6919" max="6919" width="29.42578125" style="638" customWidth="1"/>
    <col min="6920" max="6920" width="16" style="638" customWidth="1"/>
    <col min="6921" max="6921" width="38.28515625" style="638" customWidth="1"/>
    <col min="6922" max="6922" width="12" style="638" customWidth="1"/>
    <col min="6923" max="6923" width="38.140625" style="638" customWidth="1"/>
    <col min="6924" max="6924" width="17.85546875" style="638" bestFit="1" customWidth="1"/>
    <col min="6925" max="6925" width="24.7109375" style="638" customWidth="1"/>
    <col min="6926" max="6926" width="36.42578125" style="638" customWidth="1"/>
    <col min="6927" max="6927" width="46.7109375" style="638" customWidth="1"/>
    <col min="6928" max="6928" width="43.7109375" style="638" customWidth="1"/>
    <col min="6929" max="6929" width="25.42578125" style="638" customWidth="1"/>
    <col min="6930" max="6930" width="12.42578125" style="638" customWidth="1"/>
    <col min="6931" max="6931" width="16.42578125" style="638" customWidth="1"/>
    <col min="6932" max="6932" width="13.42578125" style="638" customWidth="1"/>
    <col min="6933" max="6933" width="8.5703125" style="638" customWidth="1"/>
    <col min="6934" max="6937" width="11.42578125" style="638" customWidth="1"/>
    <col min="6938" max="6938" width="12.7109375" style="638" customWidth="1"/>
    <col min="6939" max="6939" width="11.85546875" style="638" customWidth="1"/>
    <col min="6940" max="6940" width="7.85546875" style="638" customWidth="1"/>
    <col min="6941" max="6941" width="7.5703125" style="638" customWidth="1"/>
    <col min="6942" max="6942" width="8.85546875" style="638" customWidth="1"/>
    <col min="6943" max="6943" width="8.140625" style="638" customWidth="1"/>
    <col min="6944" max="6944" width="7.85546875" style="638" customWidth="1"/>
    <col min="6945" max="6945" width="8.5703125" style="638" customWidth="1"/>
    <col min="6946" max="6946" width="8.28515625" style="638" customWidth="1"/>
    <col min="6947" max="6947" width="11.42578125" style="638" customWidth="1"/>
    <col min="6948" max="6948" width="18" style="638" customWidth="1"/>
    <col min="6949" max="6949" width="21.42578125" style="638" customWidth="1"/>
    <col min="6950" max="6950" width="27.85546875" style="638" customWidth="1"/>
    <col min="6951" max="7166" width="11.42578125" style="638"/>
    <col min="7167" max="7167" width="13.5703125" style="638" customWidth="1"/>
    <col min="7168" max="7168" width="19" style="638" customWidth="1"/>
    <col min="7169" max="7169" width="13.5703125" style="638" customWidth="1"/>
    <col min="7170" max="7170" width="19.7109375" style="638" customWidth="1"/>
    <col min="7171" max="7171" width="13.5703125" style="638" customWidth="1"/>
    <col min="7172" max="7173" width="14.7109375" style="638" customWidth="1"/>
    <col min="7174" max="7174" width="36.140625" style="638" customWidth="1"/>
    <col min="7175" max="7175" width="29.42578125" style="638" customWidth="1"/>
    <col min="7176" max="7176" width="16" style="638" customWidth="1"/>
    <col min="7177" max="7177" width="38.28515625" style="638" customWidth="1"/>
    <col min="7178" max="7178" width="12" style="638" customWidth="1"/>
    <col min="7179" max="7179" width="38.140625" style="638" customWidth="1"/>
    <col min="7180" max="7180" width="17.85546875" style="638" bestFit="1" customWidth="1"/>
    <col min="7181" max="7181" width="24.7109375" style="638" customWidth="1"/>
    <col min="7182" max="7182" width="36.42578125" style="638" customWidth="1"/>
    <col min="7183" max="7183" width="46.7109375" style="638" customWidth="1"/>
    <col min="7184" max="7184" width="43.7109375" style="638" customWidth="1"/>
    <col min="7185" max="7185" width="25.42578125" style="638" customWidth="1"/>
    <col min="7186" max="7186" width="12.42578125" style="638" customWidth="1"/>
    <col min="7187" max="7187" width="16.42578125" style="638" customWidth="1"/>
    <col min="7188" max="7188" width="13.42578125" style="638" customWidth="1"/>
    <col min="7189" max="7189" width="8.5703125" style="638" customWidth="1"/>
    <col min="7190" max="7193" width="11.42578125" style="638" customWidth="1"/>
    <col min="7194" max="7194" width="12.7109375" style="638" customWidth="1"/>
    <col min="7195" max="7195" width="11.85546875" style="638" customWidth="1"/>
    <col min="7196" max="7196" width="7.85546875" style="638" customWidth="1"/>
    <col min="7197" max="7197" width="7.5703125" style="638" customWidth="1"/>
    <col min="7198" max="7198" width="8.85546875" style="638" customWidth="1"/>
    <col min="7199" max="7199" width="8.140625" style="638" customWidth="1"/>
    <col min="7200" max="7200" width="7.85546875" style="638" customWidth="1"/>
    <col min="7201" max="7201" width="8.5703125" style="638" customWidth="1"/>
    <col min="7202" max="7202" width="8.28515625" style="638" customWidth="1"/>
    <col min="7203" max="7203" width="11.42578125" style="638" customWidth="1"/>
    <col min="7204" max="7204" width="18" style="638" customWidth="1"/>
    <col min="7205" max="7205" width="21.42578125" style="638" customWidth="1"/>
    <col min="7206" max="7206" width="27.85546875" style="638" customWidth="1"/>
    <col min="7207" max="7422" width="11.42578125" style="638"/>
    <col min="7423" max="7423" width="13.5703125" style="638" customWidth="1"/>
    <col min="7424" max="7424" width="19" style="638" customWidth="1"/>
    <col min="7425" max="7425" width="13.5703125" style="638" customWidth="1"/>
    <col min="7426" max="7426" width="19.7109375" style="638" customWidth="1"/>
    <col min="7427" max="7427" width="13.5703125" style="638" customWidth="1"/>
    <col min="7428" max="7429" width="14.7109375" style="638" customWidth="1"/>
    <col min="7430" max="7430" width="36.140625" style="638" customWidth="1"/>
    <col min="7431" max="7431" width="29.42578125" style="638" customWidth="1"/>
    <col min="7432" max="7432" width="16" style="638" customWidth="1"/>
    <col min="7433" max="7433" width="38.28515625" style="638" customWidth="1"/>
    <col min="7434" max="7434" width="12" style="638" customWidth="1"/>
    <col min="7435" max="7435" width="38.140625" style="638" customWidth="1"/>
    <col min="7436" max="7436" width="17.85546875" style="638" bestFit="1" customWidth="1"/>
    <col min="7437" max="7437" width="24.7109375" style="638" customWidth="1"/>
    <col min="7438" max="7438" width="36.42578125" style="638" customWidth="1"/>
    <col min="7439" max="7439" width="46.7109375" style="638" customWidth="1"/>
    <col min="7440" max="7440" width="43.7109375" style="638" customWidth="1"/>
    <col min="7441" max="7441" width="25.42578125" style="638" customWidth="1"/>
    <col min="7442" max="7442" width="12.42578125" style="638" customWidth="1"/>
    <col min="7443" max="7443" width="16.42578125" style="638" customWidth="1"/>
    <col min="7444" max="7444" width="13.42578125" style="638" customWidth="1"/>
    <col min="7445" max="7445" width="8.5703125" style="638" customWidth="1"/>
    <col min="7446" max="7449" width="11.42578125" style="638" customWidth="1"/>
    <col min="7450" max="7450" width="12.7109375" style="638" customWidth="1"/>
    <col min="7451" max="7451" width="11.85546875" style="638" customWidth="1"/>
    <col min="7452" max="7452" width="7.85546875" style="638" customWidth="1"/>
    <col min="7453" max="7453" width="7.5703125" style="638" customWidth="1"/>
    <col min="7454" max="7454" width="8.85546875" style="638" customWidth="1"/>
    <col min="7455" max="7455" width="8.140625" style="638" customWidth="1"/>
    <col min="7456" max="7456" width="7.85546875" style="638" customWidth="1"/>
    <col min="7457" max="7457" width="8.5703125" style="638" customWidth="1"/>
    <col min="7458" max="7458" width="8.28515625" style="638" customWidth="1"/>
    <col min="7459" max="7459" width="11.42578125" style="638" customWidth="1"/>
    <col min="7460" max="7460" width="18" style="638" customWidth="1"/>
    <col min="7461" max="7461" width="21.42578125" style="638" customWidth="1"/>
    <col min="7462" max="7462" width="27.85546875" style="638" customWidth="1"/>
    <col min="7463" max="7678" width="11.42578125" style="638"/>
    <col min="7679" max="7679" width="13.5703125" style="638" customWidth="1"/>
    <col min="7680" max="7680" width="19" style="638" customWidth="1"/>
    <col min="7681" max="7681" width="13.5703125" style="638" customWidth="1"/>
    <col min="7682" max="7682" width="19.7109375" style="638" customWidth="1"/>
    <col min="7683" max="7683" width="13.5703125" style="638" customWidth="1"/>
    <col min="7684" max="7685" width="14.7109375" style="638" customWidth="1"/>
    <col min="7686" max="7686" width="36.140625" style="638" customWidth="1"/>
    <col min="7687" max="7687" width="29.42578125" style="638" customWidth="1"/>
    <col min="7688" max="7688" width="16" style="638" customWidth="1"/>
    <col min="7689" max="7689" width="38.28515625" style="638" customWidth="1"/>
    <col min="7690" max="7690" width="12" style="638" customWidth="1"/>
    <col min="7691" max="7691" width="38.140625" style="638" customWidth="1"/>
    <col min="7692" max="7692" width="17.85546875" style="638" bestFit="1" customWidth="1"/>
    <col min="7693" max="7693" width="24.7109375" style="638" customWidth="1"/>
    <col min="7694" max="7694" width="36.42578125" style="638" customWidth="1"/>
    <col min="7695" max="7695" width="46.7109375" style="638" customWidth="1"/>
    <col min="7696" max="7696" width="43.7109375" style="638" customWidth="1"/>
    <col min="7697" max="7697" width="25.42578125" style="638" customWidth="1"/>
    <col min="7698" max="7698" width="12.42578125" style="638" customWidth="1"/>
    <col min="7699" max="7699" width="16.42578125" style="638" customWidth="1"/>
    <col min="7700" max="7700" width="13.42578125" style="638" customWidth="1"/>
    <col min="7701" max="7701" width="8.5703125" style="638" customWidth="1"/>
    <col min="7702" max="7705" width="11.42578125" style="638" customWidth="1"/>
    <col min="7706" max="7706" width="12.7109375" style="638" customWidth="1"/>
    <col min="7707" max="7707" width="11.85546875" style="638" customWidth="1"/>
    <col min="7708" max="7708" width="7.85546875" style="638" customWidth="1"/>
    <col min="7709" max="7709" width="7.5703125" style="638" customWidth="1"/>
    <col min="7710" max="7710" width="8.85546875" style="638" customWidth="1"/>
    <col min="7711" max="7711" width="8.140625" style="638" customWidth="1"/>
    <col min="7712" max="7712" width="7.85546875" style="638" customWidth="1"/>
    <col min="7713" max="7713" width="8.5703125" style="638" customWidth="1"/>
    <col min="7714" max="7714" width="8.28515625" style="638" customWidth="1"/>
    <col min="7715" max="7715" width="11.42578125" style="638" customWidth="1"/>
    <col min="7716" max="7716" width="18" style="638" customWidth="1"/>
    <col min="7717" max="7717" width="21.42578125" style="638" customWidth="1"/>
    <col min="7718" max="7718" width="27.85546875" style="638" customWidth="1"/>
    <col min="7719" max="7934" width="11.42578125" style="638"/>
    <col min="7935" max="7935" width="13.5703125" style="638" customWidth="1"/>
    <col min="7936" max="7936" width="19" style="638" customWidth="1"/>
    <col min="7937" max="7937" width="13.5703125" style="638" customWidth="1"/>
    <col min="7938" max="7938" width="19.7109375" style="638" customWidth="1"/>
    <col min="7939" max="7939" width="13.5703125" style="638" customWidth="1"/>
    <col min="7940" max="7941" width="14.7109375" style="638" customWidth="1"/>
    <col min="7942" max="7942" width="36.140625" style="638" customWidth="1"/>
    <col min="7943" max="7943" width="29.42578125" style="638" customWidth="1"/>
    <col min="7944" max="7944" width="16" style="638" customWidth="1"/>
    <col min="7945" max="7945" width="38.28515625" style="638" customWidth="1"/>
    <col min="7946" max="7946" width="12" style="638" customWidth="1"/>
    <col min="7947" max="7947" width="38.140625" style="638" customWidth="1"/>
    <col min="7948" max="7948" width="17.85546875" style="638" bestFit="1" customWidth="1"/>
    <col min="7949" max="7949" width="24.7109375" style="638" customWidth="1"/>
    <col min="7950" max="7950" width="36.42578125" style="638" customWidth="1"/>
    <col min="7951" max="7951" width="46.7109375" style="638" customWidth="1"/>
    <col min="7952" max="7952" width="43.7109375" style="638" customWidth="1"/>
    <col min="7953" max="7953" width="25.42578125" style="638" customWidth="1"/>
    <col min="7954" max="7954" width="12.42578125" style="638" customWidth="1"/>
    <col min="7955" max="7955" width="16.42578125" style="638" customWidth="1"/>
    <col min="7956" max="7956" width="13.42578125" style="638" customWidth="1"/>
    <col min="7957" max="7957" width="8.5703125" style="638" customWidth="1"/>
    <col min="7958" max="7961" width="11.42578125" style="638" customWidth="1"/>
    <col min="7962" max="7962" width="12.7109375" style="638" customWidth="1"/>
    <col min="7963" max="7963" width="11.85546875" style="638" customWidth="1"/>
    <col min="7964" max="7964" width="7.85546875" style="638" customWidth="1"/>
    <col min="7965" max="7965" width="7.5703125" style="638" customWidth="1"/>
    <col min="7966" max="7966" width="8.85546875" style="638" customWidth="1"/>
    <col min="7967" max="7967" width="8.140625" style="638" customWidth="1"/>
    <col min="7968" max="7968" width="7.85546875" style="638" customWidth="1"/>
    <col min="7969" max="7969" width="8.5703125" style="638" customWidth="1"/>
    <col min="7970" max="7970" width="8.28515625" style="638" customWidth="1"/>
    <col min="7971" max="7971" width="11.42578125" style="638" customWidth="1"/>
    <col min="7972" max="7972" width="18" style="638" customWidth="1"/>
    <col min="7973" max="7973" width="21.42578125" style="638" customWidth="1"/>
    <col min="7974" max="7974" width="27.85546875" style="638" customWidth="1"/>
    <col min="7975" max="8190" width="11.42578125" style="638"/>
    <col min="8191" max="8191" width="13.5703125" style="638" customWidth="1"/>
    <col min="8192" max="8192" width="19" style="638" customWidth="1"/>
    <col min="8193" max="8193" width="13.5703125" style="638" customWidth="1"/>
    <col min="8194" max="8194" width="19.7109375" style="638" customWidth="1"/>
    <col min="8195" max="8195" width="13.5703125" style="638" customWidth="1"/>
    <col min="8196" max="8197" width="14.7109375" style="638" customWidth="1"/>
    <col min="8198" max="8198" width="36.140625" style="638" customWidth="1"/>
    <col min="8199" max="8199" width="29.42578125" style="638" customWidth="1"/>
    <col min="8200" max="8200" width="16" style="638" customWidth="1"/>
    <col min="8201" max="8201" width="38.28515625" style="638" customWidth="1"/>
    <col min="8202" max="8202" width="12" style="638" customWidth="1"/>
    <col min="8203" max="8203" width="38.140625" style="638" customWidth="1"/>
    <col min="8204" max="8204" width="17.85546875" style="638" bestFit="1" customWidth="1"/>
    <col min="8205" max="8205" width="24.7109375" style="638" customWidth="1"/>
    <col min="8206" max="8206" width="36.42578125" style="638" customWidth="1"/>
    <col min="8207" max="8207" width="46.7109375" style="638" customWidth="1"/>
    <col min="8208" max="8208" width="43.7109375" style="638" customWidth="1"/>
    <col min="8209" max="8209" width="25.42578125" style="638" customWidth="1"/>
    <col min="8210" max="8210" width="12.42578125" style="638" customWidth="1"/>
    <col min="8211" max="8211" width="16.42578125" style="638" customWidth="1"/>
    <col min="8212" max="8212" width="13.42578125" style="638" customWidth="1"/>
    <col min="8213" max="8213" width="8.5703125" style="638" customWidth="1"/>
    <col min="8214" max="8217" width="11.42578125" style="638" customWidth="1"/>
    <col min="8218" max="8218" width="12.7109375" style="638" customWidth="1"/>
    <col min="8219" max="8219" width="11.85546875" style="638" customWidth="1"/>
    <col min="8220" max="8220" width="7.85546875" style="638" customWidth="1"/>
    <col min="8221" max="8221" width="7.5703125" style="638" customWidth="1"/>
    <col min="8222" max="8222" width="8.85546875" style="638" customWidth="1"/>
    <col min="8223" max="8223" width="8.140625" style="638" customWidth="1"/>
    <col min="8224" max="8224" width="7.85546875" style="638" customWidth="1"/>
    <col min="8225" max="8225" width="8.5703125" style="638" customWidth="1"/>
    <col min="8226" max="8226" width="8.28515625" style="638" customWidth="1"/>
    <col min="8227" max="8227" width="11.42578125" style="638" customWidth="1"/>
    <col min="8228" max="8228" width="18" style="638" customWidth="1"/>
    <col min="8229" max="8229" width="21.42578125" style="638" customWidth="1"/>
    <col min="8230" max="8230" width="27.85546875" style="638" customWidth="1"/>
    <col min="8231" max="8446" width="11.42578125" style="638"/>
    <col min="8447" max="8447" width="13.5703125" style="638" customWidth="1"/>
    <col min="8448" max="8448" width="19" style="638" customWidth="1"/>
    <col min="8449" max="8449" width="13.5703125" style="638" customWidth="1"/>
    <col min="8450" max="8450" width="19.7109375" style="638" customWidth="1"/>
    <col min="8451" max="8451" width="13.5703125" style="638" customWidth="1"/>
    <col min="8452" max="8453" width="14.7109375" style="638" customWidth="1"/>
    <col min="8454" max="8454" width="36.140625" style="638" customWidth="1"/>
    <col min="8455" max="8455" width="29.42578125" style="638" customWidth="1"/>
    <col min="8456" max="8456" width="16" style="638" customWidth="1"/>
    <col min="8457" max="8457" width="38.28515625" style="638" customWidth="1"/>
    <col min="8458" max="8458" width="12" style="638" customWidth="1"/>
    <col min="8459" max="8459" width="38.140625" style="638" customWidth="1"/>
    <col min="8460" max="8460" width="17.85546875" style="638" bestFit="1" customWidth="1"/>
    <col min="8461" max="8461" width="24.7109375" style="638" customWidth="1"/>
    <col min="8462" max="8462" width="36.42578125" style="638" customWidth="1"/>
    <col min="8463" max="8463" width="46.7109375" style="638" customWidth="1"/>
    <col min="8464" max="8464" width="43.7109375" style="638" customWidth="1"/>
    <col min="8465" max="8465" width="25.42578125" style="638" customWidth="1"/>
    <col min="8466" max="8466" width="12.42578125" style="638" customWidth="1"/>
    <col min="8467" max="8467" width="16.42578125" style="638" customWidth="1"/>
    <col min="8468" max="8468" width="13.42578125" style="638" customWidth="1"/>
    <col min="8469" max="8469" width="8.5703125" style="638" customWidth="1"/>
    <col min="8470" max="8473" width="11.42578125" style="638" customWidth="1"/>
    <col min="8474" max="8474" width="12.7109375" style="638" customWidth="1"/>
    <col min="8475" max="8475" width="11.85546875" style="638" customWidth="1"/>
    <col min="8476" max="8476" width="7.85546875" style="638" customWidth="1"/>
    <col min="8477" max="8477" width="7.5703125" style="638" customWidth="1"/>
    <col min="8478" max="8478" width="8.85546875" style="638" customWidth="1"/>
    <col min="8479" max="8479" width="8.140625" style="638" customWidth="1"/>
    <col min="8480" max="8480" width="7.85546875" style="638" customWidth="1"/>
    <col min="8481" max="8481" width="8.5703125" style="638" customWidth="1"/>
    <col min="8482" max="8482" width="8.28515625" style="638" customWidth="1"/>
    <col min="8483" max="8483" width="11.42578125" style="638" customWidth="1"/>
    <col min="8484" max="8484" width="18" style="638" customWidth="1"/>
    <col min="8485" max="8485" width="21.42578125" style="638" customWidth="1"/>
    <col min="8486" max="8486" width="27.85546875" style="638" customWidth="1"/>
    <col min="8487" max="8702" width="11.42578125" style="638"/>
    <col min="8703" max="8703" width="13.5703125" style="638" customWidth="1"/>
    <col min="8704" max="8704" width="19" style="638" customWidth="1"/>
    <col min="8705" max="8705" width="13.5703125" style="638" customWidth="1"/>
    <col min="8706" max="8706" width="19.7109375" style="638" customWidth="1"/>
    <col min="8707" max="8707" width="13.5703125" style="638" customWidth="1"/>
    <col min="8708" max="8709" width="14.7109375" style="638" customWidth="1"/>
    <col min="8710" max="8710" width="36.140625" style="638" customWidth="1"/>
    <col min="8711" max="8711" width="29.42578125" style="638" customWidth="1"/>
    <col min="8712" max="8712" width="16" style="638" customWidth="1"/>
    <col min="8713" max="8713" width="38.28515625" style="638" customWidth="1"/>
    <col min="8714" max="8714" width="12" style="638" customWidth="1"/>
    <col min="8715" max="8715" width="38.140625" style="638" customWidth="1"/>
    <col min="8716" max="8716" width="17.85546875" style="638" bestFit="1" customWidth="1"/>
    <col min="8717" max="8717" width="24.7109375" style="638" customWidth="1"/>
    <col min="8718" max="8718" width="36.42578125" style="638" customWidth="1"/>
    <col min="8719" max="8719" width="46.7109375" style="638" customWidth="1"/>
    <col min="8720" max="8720" width="43.7109375" style="638" customWidth="1"/>
    <col min="8721" max="8721" width="25.42578125" style="638" customWidth="1"/>
    <col min="8722" max="8722" width="12.42578125" style="638" customWidth="1"/>
    <col min="8723" max="8723" width="16.42578125" style="638" customWidth="1"/>
    <col min="8724" max="8724" width="13.42578125" style="638" customWidth="1"/>
    <col min="8725" max="8725" width="8.5703125" style="638" customWidth="1"/>
    <col min="8726" max="8729" width="11.42578125" style="638" customWidth="1"/>
    <col min="8730" max="8730" width="12.7109375" style="638" customWidth="1"/>
    <col min="8731" max="8731" width="11.85546875" style="638" customWidth="1"/>
    <col min="8732" max="8732" width="7.85546875" style="638" customWidth="1"/>
    <col min="8733" max="8733" width="7.5703125" style="638" customWidth="1"/>
    <col min="8734" max="8734" width="8.85546875" style="638" customWidth="1"/>
    <col min="8735" max="8735" width="8.140625" style="638" customWidth="1"/>
    <col min="8736" max="8736" width="7.85546875" style="638" customWidth="1"/>
    <col min="8737" max="8737" width="8.5703125" style="638" customWidth="1"/>
    <col min="8738" max="8738" width="8.28515625" style="638" customWidth="1"/>
    <col min="8739" max="8739" width="11.42578125" style="638" customWidth="1"/>
    <col min="8740" max="8740" width="18" style="638" customWidth="1"/>
    <col min="8741" max="8741" width="21.42578125" style="638" customWidth="1"/>
    <col min="8742" max="8742" width="27.85546875" style="638" customWidth="1"/>
    <col min="8743" max="8958" width="11.42578125" style="638"/>
    <col min="8959" max="8959" width="13.5703125" style="638" customWidth="1"/>
    <col min="8960" max="8960" width="19" style="638" customWidth="1"/>
    <col min="8961" max="8961" width="13.5703125" style="638" customWidth="1"/>
    <col min="8962" max="8962" width="19.7109375" style="638" customWidth="1"/>
    <col min="8963" max="8963" width="13.5703125" style="638" customWidth="1"/>
    <col min="8964" max="8965" width="14.7109375" style="638" customWidth="1"/>
    <col min="8966" max="8966" width="36.140625" style="638" customWidth="1"/>
    <col min="8967" max="8967" width="29.42578125" style="638" customWidth="1"/>
    <col min="8968" max="8968" width="16" style="638" customWidth="1"/>
    <col min="8969" max="8969" width="38.28515625" style="638" customWidth="1"/>
    <col min="8970" max="8970" width="12" style="638" customWidth="1"/>
    <col min="8971" max="8971" width="38.140625" style="638" customWidth="1"/>
    <col min="8972" max="8972" width="17.85546875" style="638" bestFit="1" customWidth="1"/>
    <col min="8973" max="8973" width="24.7109375" style="638" customWidth="1"/>
    <col min="8974" max="8974" width="36.42578125" style="638" customWidth="1"/>
    <col min="8975" max="8975" width="46.7109375" style="638" customWidth="1"/>
    <col min="8976" max="8976" width="43.7109375" style="638" customWidth="1"/>
    <col min="8977" max="8977" width="25.42578125" style="638" customWidth="1"/>
    <col min="8978" max="8978" width="12.42578125" style="638" customWidth="1"/>
    <col min="8979" max="8979" width="16.42578125" style="638" customWidth="1"/>
    <col min="8980" max="8980" width="13.42578125" style="638" customWidth="1"/>
    <col min="8981" max="8981" width="8.5703125" style="638" customWidth="1"/>
    <col min="8982" max="8985" width="11.42578125" style="638" customWidth="1"/>
    <col min="8986" max="8986" width="12.7109375" style="638" customWidth="1"/>
    <col min="8987" max="8987" width="11.85546875" style="638" customWidth="1"/>
    <col min="8988" max="8988" width="7.85546875" style="638" customWidth="1"/>
    <col min="8989" max="8989" width="7.5703125" style="638" customWidth="1"/>
    <col min="8990" max="8990" width="8.85546875" style="638" customWidth="1"/>
    <col min="8991" max="8991" width="8.140625" style="638" customWidth="1"/>
    <col min="8992" max="8992" width="7.85546875" style="638" customWidth="1"/>
    <col min="8993" max="8993" width="8.5703125" style="638" customWidth="1"/>
    <col min="8994" max="8994" width="8.28515625" style="638" customWidth="1"/>
    <col min="8995" max="8995" width="11.42578125" style="638" customWidth="1"/>
    <col min="8996" max="8996" width="18" style="638" customWidth="1"/>
    <col min="8997" max="8997" width="21.42578125" style="638" customWidth="1"/>
    <col min="8998" max="8998" width="27.85546875" style="638" customWidth="1"/>
    <col min="8999" max="9214" width="11.42578125" style="638"/>
    <col min="9215" max="9215" width="13.5703125" style="638" customWidth="1"/>
    <col min="9216" max="9216" width="19" style="638" customWidth="1"/>
    <col min="9217" max="9217" width="13.5703125" style="638" customWidth="1"/>
    <col min="9218" max="9218" width="19.7109375" style="638" customWidth="1"/>
    <col min="9219" max="9219" width="13.5703125" style="638" customWidth="1"/>
    <col min="9220" max="9221" width="14.7109375" style="638" customWidth="1"/>
    <col min="9222" max="9222" width="36.140625" style="638" customWidth="1"/>
    <col min="9223" max="9223" width="29.42578125" style="638" customWidth="1"/>
    <col min="9224" max="9224" width="16" style="638" customWidth="1"/>
    <col min="9225" max="9225" width="38.28515625" style="638" customWidth="1"/>
    <col min="9226" max="9226" width="12" style="638" customWidth="1"/>
    <col min="9227" max="9227" width="38.140625" style="638" customWidth="1"/>
    <col min="9228" max="9228" width="17.85546875" style="638" bestFit="1" customWidth="1"/>
    <col min="9229" max="9229" width="24.7109375" style="638" customWidth="1"/>
    <col min="9230" max="9230" width="36.42578125" style="638" customWidth="1"/>
    <col min="9231" max="9231" width="46.7109375" style="638" customWidth="1"/>
    <col min="9232" max="9232" width="43.7109375" style="638" customWidth="1"/>
    <col min="9233" max="9233" width="25.42578125" style="638" customWidth="1"/>
    <col min="9234" max="9234" width="12.42578125" style="638" customWidth="1"/>
    <col min="9235" max="9235" width="16.42578125" style="638" customWidth="1"/>
    <col min="9236" max="9236" width="13.42578125" style="638" customWidth="1"/>
    <col min="9237" max="9237" width="8.5703125" style="638" customWidth="1"/>
    <col min="9238" max="9241" width="11.42578125" style="638" customWidth="1"/>
    <col min="9242" max="9242" width="12.7109375" style="638" customWidth="1"/>
    <col min="9243" max="9243" width="11.85546875" style="638" customWidth="1"/>
    <col min="9244" max="9244" width="7.85546875" style="638" customWidth="1"/>
    <col min="9245" max="9245" width="7.5703125" style="638" customWidth="1"/>
    <col min="9246" max="9246" width="8.85546875" style="638" customWidth="1"/>
    <col min="9247" max="9247" width="8.140625" style="638" customWidth="1"/>
    <col min="9248" max="9248" width="7.85546875" style="638" customWidth="1"/>
    <col min="9249" max="9249" width="8.5703125" style="638" customWidth="1"/>
    <col min="9250" max="9250" width="8.28515625" style="638" customWidth="1"/>
    <col min="9251" max="9251" width="11.42578125" style="638" customWidth="1"/>
    <col min="9252" max="9252" width="18" style="638" customWidth="1"/>
    <col min="9253" max="9253" width="21.42578125" style="638" customWidth="1"/>
    <col min="9254" max="9254" width="27.85546875" style="638" customWidth="1"/>
    <col min="9255" max="9470" width="11.42578125" style="638"/>
    <col min="9471" max="9471" width="13.5703125" style="638" customWidth="1"/>
    <col min="9472" max="9472" width="19" style="638" customWidth="1"/>
    <col min="9473" max="9473" width="13.5703125" style="638" customWidth="1"/>
    <col min="9474" max="9474" width="19.7109375" style="638" customWidth="1"/>
    <col min="9475" max="9475" width="13.5703125" style="638" customWidth="1"/>
    <col min="9476" max="9477" width="14.7109375" style="638" customWidth="1"/>
    <col min="9478" max="9478" width="36.140625" style="638" customWidth="1"/>
    <col min="9479" max="9479" width="29.42578125" style="638" customWidth="1"/>
    <col min="9480" max="9480" width="16" style="638" customWidth="1"/>
    <col min="9481" max="9481" width="38.28515625" style="638" customWidth="1"/>
    <col min="9482" max="9482" width="12" style="638" customWidth="1"/>
    <col min="9483" max="9483" width="38.140625" style="638" customWidth="1"/>
    <col min="9484" max="9484" width="17.85546875" style="638" bestFit="1" customWidth="1"/>
    <col min="9485" max="9485" width="24.7109375" style="638" customWidth="1"/>
    <col min="9486" max="9486" width="36.42578125" style="638" customWidth="1"/>
    <col min="9487" max="9487" width="46.7109375" style="638" customWidth="1"/>
    <col min="9488" max="9488" width="43.7109375" style="638" customWidth="1"/>
    <col min="9489" max="9489" width="25.42578125" style="638" customWidth="1"/>
    <col min="9490" max="9490" width="12.42578125" style="638" customWidth="1"/>
    <col min="9491" max="9491" width="16.42578125" style="638" customWidth="1"/>
    <col min="9492" max="9492" width="13.42578125" style="638" customWidth="1"/>
    <col min="9493" max="9493" width="8.5703125" style="638" customWidth="1"/>
    <col min="9494" max="9497" width="11.42578125" style="638" customWidth="1"/>
    <col min="9498" max="9498" width="12.7109375" style="638" customWidth="1"/>
    <col min="9499" max="9499" width="11.85546875" style="638" customWidth="1"/>
    <col min="9500" max="9500" width="7.85546875" style="638" customWidth="1"/>
    <col min="9501" max="9501" width="7.5703125" style="638" customWidth="1"/>
    <col min="9502" max="9502" width="8.85546875" style="638" customWidth="1"/>
    <col min="9503" max="9503" width="8.140625" style="638" customWidth="1"/>
    <col min="9504" max="9504" width="7.85546875" style="638" customWidth="1"/>
    <col min="9505" max="9505" width="8.5703125" style="638" customWidth="1"/>
    <col min="9506" max="9506" width="8.28515625" style="638" customWidth="1"/>
    <col min="9507" max="9507" width="11.42578125" style="638" customWidth="1"/>
    <col min="9508" max="9508" width="18" style="638" customWidth="1"/>
    <col min="9509" max="9509" width="21.42578125" style="638" customWidth="1"/>
    <col min="9510" max="9510" width="27.85546875" style="638" customWidth="1"/>
    <col min="9511" max="9726" width="11.42578125" style="638"/>
    <col min="9727" max="9727" width="13.5703125" style="638" customWidth="1"/>
    <col min="9728" max="9728" width="19" style="638" customWidth="1"/>
    <col min="9729" max="9729" width="13.5703125" style="638" customWidth="1"/>
    <col min="9730" max="9730" width="19.7109375" style="638" customWidth="1"/>
    <col min="9731" max="9731" width="13.5703125" style="638" customWidth="1"/>
    <col min="9732" max="9733" width="14.7109375" style="638" customWidth="1"/>
    <col min="9734" max="9734" width="36.140625" style="638" customWidth="1"/>
    <col min="9735" max="9735" width="29.42578125" style="638" customWidth="1"/>
    <col min="9736" max="9736" width="16" style="638" customWidth="1"/>
    <col min="9737" max="9737" width="38.28515625" style="638" customWidth="1"/>
    <col min="9738" max="9738" width="12" style="638" customWidth="1"/>
    <col min="9739" max="9739" width="38.140625" style="638" customWidth="1"/>
    <col min="9740" max="9740" width="17.85546875" style="638" bestFit="1" customWidth="1"/>
    <col min="9741" max="9741" width="24.7109375" style="638" customWidth="1"/>
    <col min="9742" max="9742" width="36.42578125" style="638" customWidth="1"/>
    <col min="9743" max="9743" width="46.7109375" style="638" customWidth="1"/>
    <col min="9744" max="9744" width="43.7109375" style="638" customWidth="1"/>
    <col min="9745" max="9745" width="25.42578125" style="638" customWidth="1"/>
    <col min="9746" max="9746" width="12.42578125" style="638" customWidth="1"/>
    <col min="9747" max="9747" width="16.42578125" style="638" customWidth="1"/>
    <col min="9748" max="9748" width="13.42578125" style="638" customWidth="1"/>
    <col min="9749" max="9749" width="8.5703125" style="638" customWidth="1"/>
    <col min="9750" max="9753" width="11.42578125" style="638" customWidth="1"/>
    <col min="9754" max="9754" width="12.7109375" style="638" customWidth="1"/>
    <col min="9755" max="9755" width="11.85546875" style="638" customWidth="1"/>
    <col min="9756" max="9756" width="7.85546875" style="638" customWidth="1"/>
    <col min="9757" max="9757" width="7.5703125" style="638" customWidth="1"/>
    <col min="9758" max="9758" width="8.85546875" style="638" customWidth="1"/>
    <col min="9759" max="9759" width="8.140625" style="638" customWidth="1"/>
    <col min="9760" max="9760" width="7.85546875" style="638" customWidth="1"/>
    <col min="9761" max="9761" width="8.5703125" style="638" customWidth="1"/>
    <col min="9762" max="9762" width="8.28515625" style="638" customWidth="1"/>
    <col min="9763" max="9763" width="11.42578125" style="638" customWidth="1"/>
    <col min="9764" max="9764" width="18" style="638" customWidth="1"/>
    <col min="9765" max="9765" width="21.42578125" style="638" customWidth="1"/>
    <col min="9766" max="9766" width="27.85546875" style="638" customWidth="1"/>
    <col min="9767" max="9982" width="11.42578125" style="638"/>
    <col min="9983" max="9983" width="13.5703125" style="638" customWidth="1"/>
    <col min="9984" max="9984" width="19" style="638" customWidth="1"/>
    <col min="9985" max="9985" width="13.5703125" style="638" customWidth="1"/>
    <col min="9986" max="9986" width="19.7109375" style="638" customWidth="1"/>
    <col min="9987" max="9987" width="13.5703125" style="638" customWidth="1"/>
    <col min="9988" max="9989" width="14.7109375" style="638" customWidth="1"/>
    <col min="9990" max="9990" width="36.140625" style="638" customWidth="1"/>
    <col min="9991" max="9991" width="29.42578125" style="638" customWidth="1"/>
    <col min="9992" max="9992" width="16" style="638" customWidth="1"/>
    <col min="9993" max="9993" width="38.28515625" style="638" customWidth="1"/>
    <col min="9994" max="9994" width="12" style="638" customWidth="1"/>
    <col min="9995" max="9995" width="38.140625" style="638" customWidth="1"/>
    <col min="9996" max="9996" width="17.85546875" style="638" bestFit="1" customWidth="1"/>
    <col min="9997" max="9997" width="24.7109375" style="638" customWidth="1"/>
    <col min="9998" max="9998" width="36.42578125" style="638" customWidth="1"/>
    <col min="9999" max="9999" width="46.7109375" style="638" customWidth="1"/>
    <col min="10000" max="10000" width="43.7109375" style="638" customWidth="1"/>
    <col min="10001" max="10001" width="25.42578125" style="638" customWidth="1"/>
    <col min="10002" max="10002" width="12.42578125" style="638" customWidth="1"/>
    <col min="10003" max="10003" width="16.42578125" style="638" customWidth="1"/>
    <col min="10004" max="10004" width="13.42578125" style="638" customWidth="1"/>
    <col min="10005" max="10005" width="8.5703125" style="638" customWidth="1"/>
    <col min="10006" max="10009" width="11.42578125" style="638" customWidth="1"/>
    <col min="10010" max="10010" width="12.7109375" style="638" customWidth="1"/>
    <col min="10011" max="10011" width="11.85546875" style="638" customWidth="1"/>
    <col min="10012" max="10012" width="7.85546875" style="638" customWidth="1"/>
    <col min="10013" max="10013" width="7.5703125" style="638" customWidth="1"/>
    <col min="10014" max="10014" width="8.85546875" style="638" customWidth="1"/>
    <col min="10015" max="10015" width="8.140625" style="638" customWidth="1"/>
    <col min="10016" max="10016" width="7.85546875" style="638" customWidth="1"/>
    <col min="10017" max="10017" width="8.5703125" style="638" customWidth="1"/>
    <col min="10018" max="10018" width="8.28515625" style="638" customWidth="1"/>
    <col min="10019" max="10019" width="11.42578125" style="638" customWidth="1"/>
    <col min="10020" max="10020" width="18" style="638" customWidth="1"/>
    <col min="10021" max="10021" width="21.42578125" style="638" customWidth="1"/>
    <col min="10022" max="10022" width="27.85546875" style="638" customWidth="1"/>
    <col min="10023" max="10238" width="11.42578125" style="638"/>
    <col min="10239" max="10239" width="13.5703125" style="638" customWidth="1"/>
    <col min="10240" max="10240" width="19" style="638" customWidth="1"/>
    <col min="10241" max="10241" width="13.5703125" style="638" customWidth="1"/>
    <col min="10242" max="10242" width="19.7109375" style="638" customWidth="1"/>
    <col min="10243" max="10243" width="13.5703125" style="638" customWidth="1"/>
    <col min="10244" max="10245" width="14.7109375" style="638" customWidth="1"/>
    <col min="10246" max="10246" width="36.140625" style="638" customWidth="1"/>
    <col min="10247" max="10247" width="29.42578125" style="638" customWidth="1"/>
    <col min="10248" max="10248" width="16" style="638" customWidth="1"/>
    <col min="10249" max="10249" width="38.28515625" style="638" customWidth="1"/>
    <col min="10250" max="10250" width="12" style="638" customWidth="1"/>
    <col min="10251" max="10251" width="38.140625" style="638" customWidth="1"/>
    <col min="10252" max="10252" width="17.85546875" style="638" bestFit="1" customWidth="1"/>
    <col min="10253" max="10253" width="24.7109375" style="638" customWidth="1"/>
    <col min="10254" max="10254" width="36.42578125" style="638" customWidth="1"/>
    <col min="10255" max="10255" width="46.7109375" style="638" customWidth="1"/>
    <col min="10256" max="10256" width="43.7109375" style="638" customWidth="1"/>
    <col min="10257" max="10257" width="25.42578125" style="638" customWidth="1"/>
    <col min="10258" max="10258" width="12.42578125" style="638" customWidth="1"/>
    <col min="10259" max="10259" width="16.42578125" style="638" customWidth="1"/>
    <col min="10260" max="10260" width="13.42578125" style="638" customWidth="1"/>
    <col min="10261" max="10261" width="8.5703125" style="638" customWidth="1"/>
    <col min="10262" max="10265" width="11.42578125" style="638" customWidth="1"/>
    <col min="10266" max="10266" width="12.7109375" style="638" customWidth="1"/>
    <col min="10267" max="10267" width="11.85546875" style="638" customWidth="1"/>
    <col min="10268" max="10268" width="7.85546875" style="638" customWidth="1"/>
    <col min="10269" max="10269" width="7.5703125" style="638" customWidth="1"/>
    <col min="10270" max="10270" width="8.85546875" style="638" customWidth="1"/>
    <col min="10271" max="10271" width="8.140625" style="638" customWidth="1"/>
    <col min="10272" max="10272" width="7.85546875" style="638" customWidth="1"/>
    <col min="10273" max="10273" width="8.5703125" style="638" customWidth="1"/>
    <col min="10274" max="10274" width="8.28515625" style="638" customWidth="1"/>
    <col min="10275" max="10275" width="11.42578125" style="638" customWidth="1"/>
    <col min="10276" max="10276" width="18" style="638" customWidth="1"/>
    <col min="10277" max="10277" width="21.42578125" style="638" customWidth="1"/>
    <col min="10278" max="10278" width="27.85546875" style="638" customWidth="1"/>
    <col min="10279" max="10494" width="11.42578125" style="638"/>
    <col min="10495" max="10495" width="13.5703125" style="638" customWidth="1"/>
    <col min="10496" max="10496" width="19" style="638" customWidth="1"/>
    <col min="10497" max="10497" width="13.5703125" style="638" customWidth="1"/>
    <col min="10498" max="10498" width="19.7109375" style="638" customWidth="1"/>
    <col min="10499" max="10499" width="13.5703125" style="638" customWidth="1"/>
    <col min="10500" max="10501" width="14.7109375" style="638" customWidth="1"/>
    <col min="10502" max="10502" width="36.140625" style="638" customWidth="1"/>
    <col min="10503" max="10503" width="29.42578125" style="638" customWidth="1"/>
    <col min="10504" max="10504" width="16" style="638" customWidth="1"/>
    <col min="10505" max="10505" width="38.28515625" style="638" customWidth="1"/>
    <col min="10506" max="10506" width="12" style="638" customWidth="1"/>
    <col min="10507" max="10507" width="38.140625" style="638" customWidth="1"/>
    <col min="10508" max="10508" width="17.85546875" style="638" bestFit="1" customWidth="1"/>
    <col min="10509" max="10509" width="24.7109375" style="638" customWidth="1"/>
    <col min="10510" max="10510" width="36.42578125" style="638" customWidth="1"/>
    <col min="10511" max="10511" width="46.7109375" style="638" customWidth="1"/>
    <col min="10512" max="10512" width="43.7109375" style="638" customWidth="1"/>
    <col min="10513" max="10513" width="25.42578125" style="638" customWidth="1"/>
    <col min="10514" max="10514" width="12.42578125" style="638" customWidth="1"/>
    <col min="10515" max="10515" width="16.42578125" style="638" customWidth="1"/>
    <col min="10516" max="10516" width="13.42578125" style="638" customWidth="1"/>
    <col min="10517" max="10517" width="8.5703125" style="638" customWidth="1"/>
    <col min="10518" max="10521" width="11.42578125" style="638" customWidth="1"/>
    <col min="10522" max="10522" width="12.7109375" style="638" customWidth="1"/>
    <col min="10523" max="10523" width="11.85546875" style="638" customWidth="1"/>
    <col min="10524" max="10524" width="7.85546875" style="638" customWidth="1"/>
    <col min="10525" max="10525" width="7.5703125" style="638" customWidth="1"/>
    <col min="10526" max="10526" width="8.85546875" style="638" customWidth="1"/>
    <col min="10527" max="10527" width="8.140625" style="638" customWidth="1"/>
    <col min="10528" max="10528" width="7.85546875" style="638" customWidth="1"/>
    <col min="10529" max="10529" width="8.5703125" style="638" customWidth="1"/>
    <col min="10530" max="10530" width="8.28515625" style="638" customWidth="1"/>
    <col min="10531" max="10531" width="11.42578125" style="638" customWidth="1"/>
    <col min="10532" max="10532" width="18" style="638" customWidth="1"/>
    <col min="10533" max="10533" width="21.42578125" style="638" customWidth="1"/>
    <col min="10534" max="10534" width="27.85546875" style="638" customWidth="1"/>
    <col min="10535" max="10750" width="11.42578125" style="638"/>
    <col min="10751" max="10751" width="13.5703125" style="638" customWidth="1"/>
    <col min="10752" max="10752" width="19" style="638" customWidth="1"/>
    <col min="10753" max="10753" width="13.5703125" style="638" customWidth="1"/>
    <col min="10754" max="10754" width="19.7109375" style="638" customWidth="1"/>
    <col min="10755" max="10755" width="13.5703125" style="638" customWidth="1"/>
    <col min="10756" max="10757" width="14.7109375" style="638" customWidth="1"/>
    <col min="10758" max="10758" width="36.140625" style="638" customWidth="1"/>
    <col min="10759" max="10759" width="29.42578125" style="638" customWidth="1"/>
    <col min="10760" max="10760" width="16" style="638" customWidth="1"/>
    <col min="10761" max="10761" width="38.28515625" style="638" customWidth="1"/>
    <col min="10762" max="10762" width="12" style="638" customWidth="1"/>
    <col min="10763" max="10763" width="38.140625" style="638" customWidth="1"/>
    <col min="10764" max="10764" width="17.85546875" style="638" bestFit="1" customWidth="1"/>
    <col min="10765" max="10765" width="24.7109375" style="638" customWidth="1"/>
    <col min="10766" max="10766" width="36.42578125" style="638" customWidth="1"/>
    <col min="10767" max="10767" width="46.7109375" style="638" customWidth="1"/>
    <col min="10768" max="10768" width="43.7109375" style="638" customWidth="1"/>
    <col min="10769" max="10769" width="25.42578125" style="638" customWidth="1"/>
    <col min="10770" max="10770" width="12.42578125" style="638" customWidth="1"/>
    <col min="10771" max="10771" width="16.42578125" style="638" customWidth="1"/>
    <col min="10772" max="10772" width="13.42578125" style="638" customWidth="1"/>
    <col min="10773" max="10773" width="8.5703125" style="638" customWidth="1"/>
    <col min="10774" max="10777" width="11.42578125" style="638" customWidth="1"/>
    <col min="10778" max="10778" width="12.7109375" style="638" customWidth="1"/>
    <col min="10779" max="10779" width="11.85546875" style="638" customWidth="1"/>
    <col min="10780" max="10780" width="7.85546875" style="638" customWidth="1"/>
    <col min="10781" max="10781" width="7.5703125" style="638" customWidth="1"/>
    <col min="10782" max="10782" width="8.85546875" style="638" customWidth="1"/>
    <col min="10783" max="10783" width="8.140625" style="638" customWidth="1"/>
    <col min="10784" max="10784" width="7.85546875" style="638" customWidth="1"/>
    <col min="10785" max="10785" width="8.5703125" style="638" customWidth="1"/>
    <col min="10786" max="10786" width="8.28515625" style="638" customWidth="1"/>
    <col min="10787" max="10787" width="11.42578125" style="638" customWidth="1"/>
    <col min="10788" max="10788" width="18" style="638" customWidth="1"/>
    <col min="10789" max="10789" width="21.42578125" style="638" customWidth="1"/>
    <col min="10790" max="10790" width="27.85546875" style="638" customWidth="1"/>
    <col min="10791" max="11006" width="11.42578125" style="638"/>
    <col min="11007" max="11007" width="13.5703125" style="638" customWidth="1"/>
    <col min="11008" max="11008" width="19" style="638" customWidth="1"/>
    <col min="11009" max="11009" width="13.5703125" style="638" customWidth="1"/>
    <col min="11010" max="11010" width="19.7109375" style="638" customWidth="1"/>
    <col min="11011" max="11011" width="13.5703125" style="638" customWidth="1"/>
    <col min="11012" max="11013" width="14.7109375" style="638" customWidth="1"/>
    <col min="11014" max="11014" width="36.140625" style="638" customWidth="1"/>
    <col min="11015" max="11015" width="29.42578125" style="638" customWidth="1"/>
    <col min="11016" max="11016" width="16" style="638" customWidth="1"/>
    <col min="11017" max="11017" width="38.28515625" style="638" customWidth="1"/>
    <col min="11018" max="11018" width="12" style="638" customWidth="1"/>
    <col min="11019" max="11019" width="38.140625" style="638" customWidth="1"/>
    <col min="11020" max="11020" width="17.85546875" style="638" bestFit="1" customWidth="1"/>
    <col min="11021" max="11021" width="24.7109375" style="638" customWidth="1"/>
    <col min="11022" max="11022" width="36.42578125" style="638" customWidth="1"/>
    <col min="11023" max="11023" width="46.7109375" style="638" customWidth="1"/>
    <col min="11024" max="11024" width="43.7109375" style="638" customWidth="1"/>
    <col min="11025" max="11025" width="25.42578125" style="638" customWidth="1"/>
    <col min="11026" max="11026" width="12.42578125" style="638" customWidth="1"/>
    <col min="11027" max="11027" width="16.42578125" style="638" customWidth="1"/>
    <col min="11028" max="11028" width="13.42578125" style="638" customWidth="1"/>
    <col min="11029" max="11029" width="8.5703125" style="638" customWidth="1"/>
    <col min="11030" max="11033" width="11.42578125" style="638" customWidth="1"/>
    <col min="11034" max="11034" width="12.7109375" style="638" customWidth="1"/>
    <col min="11035" max="11035" width="11.85546875" style="638" customWidth="1"/>
    <col min="11036" max="11036" width="7.85546875" style="638" customWidth="1"/>
    <col min="11037" max="11037" width="7.5703125" style="638" customWidth="1"/>
    <col min="11038" max="11038" width="8.85546875" style="638" customWidth="1"/>
    <col min="11039" max="11039" width="8.140625" style="638" customWidth="1"/>
    <col min="11040" max="11040" width="7.85546875" style="638" customWidth="1"/>
    <col min="11041" max="11041" width="8.5703125" style="638" customWidth="1"/>
    <col min="11042" max="11042" width="8.28515625" style="638" customWidth="1"/>
    <col min="11043" max="11043" width="11.42578125" style="638" customWidth="1"/>
    <col min="11044" max="11044" width="18" style="638" customWidth="1"/>
    <col min="11045" max="11045" width="21.42578125" style="638" customWidth="1"/>
    <col min="11046" max="11046" width="27.85546875" style="638" customWidth="1"/>
    <col min="11047" max="11262" width="11.42578125" style="638"/>
    <col min="11263" max="11263" width="13.5703125" style="638" customWidth="1"/>
    <col min="11264" max="11264" width="19" style="638" customWidth="1"/>
    <col min="11265" max="11265" width="13.5703125" style="638" customWidth="1"/>
    <col min="11266" max="11266" width="19.7109375" style="638" customWidth="1"/>
    <col min="11267" max="11267" width="13.5703125" style="638" customWidth="1"/>
    <col min="11268" max="11269" width="14.7109375" style="638" customWidth="1"/>
    <col min="11270" max="11270" width="36.140625" style="638" customWidth="1"/>
    <col min="11271" max="11271" width="29.42578125" style="638" customWidth="1"/>
    <col min="11272" max="11272" width="16" style="638" customWidth="1"/>
    <col min="11273" max="11273" width="38.28515625" style="638" customWidth="1"/>
    <col min="11274" max="11274" width="12" style="638" customWidth="1"/>
    <col min="11275" max="11275" width="38.140625" style="638" customWidth="1"/>
    <col min="11276" max="11276" width="17.85546875" style="638" bestFit="1" customWidth="1"/>
    <col min="11277" max="11277" width="24.7109375" style="638" customWidth="1"/>
    <col min="11278" max="11278" width="36.42578125" style="638" customWidth="1"/>
    <col min="11279" max="11279" width="46.7109375" style="638" customWidth="1"/>
    <col min="11280" max="11280" width="43.7109375" style="638" customWidth="1"/>
    <col min="11281" max="11281" width="25.42578125" style="638" customWidth="1"/>
    <col min="11282" max="11282" width="12.42578125" style="638" customWidth="1"/>
    <col min="11283" max="11283" width="16.42578125" style="638" customWidth="1"/>
    <col min="11284" max="11284" width="13.42578125" style="638" customWidth="1"/>
    <col min="11285" max="11285" width="8.5703125" style="638" customWidth="1"/>
    <col min="11286" max="11289" width="11.42578125" style="638" customWidth="1"/>
    <col min="11290" max="11290" width="12.7109375" style="638" customWidth="1"/>
    <col min="11291" max="11291" width="11.85546875" style="638" customWidth="1"/>
    <col min="11292" max="11292" width="7.85546875" style="638" customWidth="1"/>
    <col min="11293" max="11293" width="7.5703125" style="638" customWidth="1"/>
    <col min="11294" max="11294" width="8.85546875" style="638" customWidth="1"/>
    <col min="11295" max="11295" width="8.140625" style="638" customWidth="1"/>
    <col min="11296" max="11296" width="7.85546875" style="638" customWidth="1"/>
    <col min="11297" max="11297" width="8.5703125" style="638" customWidth="1"/>
    <col min="11298" max="11298" width="8.28515625" style="638" customWidth="1"/>
    <col min="11299" max="11299" width="11.42578125" style="638" customWidth="1"/>
    <col min="11300" max="11300" width="18" style="638" customWidth="1"/>
    <col min="11301" max="11301" width="21.42578125" style="638" customWidth="1"/>
    <col min="11302" max="11302" width="27.85546875" style="638" customWidth="1"/>
    <col min="11303" max="11518" width="11.42578125" style="638"/>
    <col min="11519" max="11519" width="13.5703125" style="638" customWidth="1"/>
    <col min="11520" max="11520" width="19" style="638" customWidth="1"/>
    <col min="11521" max="11521" width="13.5703125" style="638" customWidth="1"/>
    <col min="11522" max="11522" width="19.7109375" style="638" customWidth="1"/>
    <col min="11523" max="11523" width="13.5703125" style="638" customWidth="1"/>
    <col min="11524" max="11525" width="14.7109375" style="638" customWidth="1"/>
    <col min="11526" max="11526" width="36.140625" style="638" customWidth="1"/>
    <col min="11527" max="11527" width="29.42578125" style="638" customWidth="1"/>
    <col min="11528" max="11528" width="16" style="638" customWidth="1"/>
    <col min="11529" max="11529" width="38.28515625" style="638" customWidth="1"/>
    <col min="11530" max="11530" width="12" style="638" customWidth="1"/>
    <col min="11531" max="11531" width="38.140625" style="638" customWidth="1"/>
    <col min="11532" max="11532" width="17.85546875" style="638" bestFit="1" customWidth="1"/>
    <col min="11533" max="11533" width="24.7109375" style="638" customWidth="1"/>
    <col min="11534" max="11534" width="36.42578125" style="638" customWidth="1"/>
    <col min="11535" max="11535" width="46.7109375" style="638" customWidth="1"/>
    <col min="11536" max="11536" width="43.7109375" style="638" customWidth="1"/>
    <col min="11537" max="11537" width="25.42578125" style="638" customWidth="1"/>
    <col min="11538" max="11538" width="12.42578125" style="638" customWidth="1"/>
    <col min="11539" max="11539" width="16.42578125" style="638" customWidth="1"/>
    <col min="11540" max="11540" width="13.42578125" style="638" customWidth="1"/>
    <col min="11541" max="11541" width="8.5703125" style="638" customWidth="1"/>
    <col min="11542" max="11545" width="11.42578125" style="638" customWidth="1"/>
    <col min="11546" max="11546" width="12.7109375" style="638" customWidth="1"/>
    <col min="11547" max="11547" width="11.85546875" style="638" customWidth="1"/>
    <col min="11548" max="11548" width="7.85546875" style="638" customWidth="1"/>
    <col min="11549" max="11549" width="7.5703125" style="638" customWidth="1"/>
    <col min="11550" max="11550" width="8.85546875" style="638" customWidth="1"/>
    <col min="11551" max="11551" width="8.140625" style="638" customWidth="1"/>
    <col min="11552" max="11552" width="7.85546875" style="638" customWidth="1"/>
    <col min="11553" max="11553" width="8.5703125" style="638" customWidth="1"/>
    <col min="11554" max="11554" width="8.28515625" style="638" customWidth="1"/>
    <col min="11555" max="11555" width="11.42578125" style="638" customWidth="1"/>
    <col min="11556" max="11556" width="18" style="638" customWidth="1"/>
    <col min="11557" max="11557" width="21.42578125" style="638" customWidth="1"/>
    <col min="11558" max="11558" width="27.85546875" style="638" customWidth="1"/>
    <col min="11559" max="11774" width="11.42578125" style="638"/>
    <col min="11775" max="11775" width="13.5703125" style="638" customWidth="1"/>
    <col min="11776" max="11776" width="19" style="638" customWidth="1"/>
    <col min="11777" max="11777" width="13.5703125" style="638" customWidth="1"/>
    <col min="11778" max="11778" width="19.7109375" style="638" customWidth="1"/>
    <col min="11779" max="11779" width="13.5703125" style="638" customWidth="1"/>
    <col min="11780" max="11781" width="14.7109375" style="638" customWidth="1"/>
    <col min="11782" max="11782" width="36.140625" style="638" customWidth="1"/>
    <col min="11783" max="11783" width="29.42578125" style="638" customWidth="1"/>
    <col min="11784" max="11784" width="16" style="638" customWidth="1"/>
    <col min="11785" max="11785" width="38.28515625" style="638" customWidth="1"/>
    <col min="11786" max="11786" width="12" style="638" customWidth="1"/>
    <col min="11787" max="11787" width="38.140625" style="638" customWidth="1"/>
    <col min="11788" max="11788" width="17.85546875" style="638" bestFit="1" customWidth="1"/>
    <col min="11789" max="11789" width="24.7109375" style="638" customWidth="1"/>
    <col min="11790" max="11790" width="36.42578125" style="638" customWidth="1"/>
    <col min="11791" max="11791" width="46.7109375" style="638" customWidth="1"/>
    <col min="11792" max="11792" width="43.7109375" style="638" customWidth="1"/>
    <col min="11793" max="11793" width="25.42578125" style="638" customWidth="1"/>
    <col min="11794" max="11794" width="12.42578125" style="638" customWidth="1"/>
    <col min="11795" max="11795" width="16.42578125" style="638" customWidth="1"/>
    <col min="11796" max="11796" width="13.42578125" style="638" customWidth="1"/>
    <col min="11797" max="11797" width="8.5703125" style="638" customWidth="1"/>
    <col min="11798" max="11801" width="11.42578125" style="638" customWidth="1"/>
    <col min="11802" max="11802" width="12.7109375" style="638" customWidth="1"/>
    <col min="11803" max="11803" width="11.85546875" style="638" customWidth="1"/>
    <col min="11804" max="11804" width="7.85546875" style="638" customWidth="1"/>
    <col min="11805" max="11805" width="7.5703125" style="638" customWidth="1"/>
    <col min="11806" max="11806" width="8.85546875" style="638" customWidth="1"/>
    <col min="11807" max="11807" width="8.140625" style="638" customWidth="1"/>
    <col min="11808" max="11808" width="7.85546875" style="638" customWidth="1"/>
    <col min="11809" max="11809" width="8.5703125" style="638" customWidth="1"/>
    <col min="11810" max="11810" width="8.28515625" style="638" customWidth="1"/>
    <col min="11811" max="11811" width="11.42578125" style="638" customWidth="1"/>
    <col min="11812" max="11812" width="18" style="638" customWidth="1"/>
    <col min="11813" max="11813" width="21.42578125" style="638" customWidth="1"/>
    <col min="11814" max="11814" width="27.85546875" style="638" customWidth="1"/>
    <col min="11815" max="12030" width="11.42578125" style="638"/>
    <col min="12031" max="12031" width="13.5703125" style="638" customWidth="1"/>
    <col min="12032" max="12032" width="19" style="638" customWidth="1"/>
    <col min="12033" max="12033" width="13.5703125" style="638" customWidth="1"/>
    <col min="12034" max="12034" width="19.7109375" style="638" customWidth="1"/>
    <col min="12035" max="12035" width="13.5703125" style="638" customWidth="1"/>
    <col min="12036" max="12037" width="14.7109375" style="638" customWidth="1"/>
    <col min="12038" max="12038" width="36.140625" style="638" customWidth="1"/>
    <col min="12039" max="12039" width="29.42578125" style="638" customWidth="1"/>
    <col min="12040" max="12040" width="16" style="638" customWidth="1"/>
    <col min="12041" max="12041" width="38.28515625" style="638" customWidth="1"/>
    <col min="12042" max="12042" width="12" style="638" customWidth="1"/>
    <col min="12043" max="12043" width="38.140625" style="638" customWidth="1"/>
    <col min="12044" max="12044" width="17.85546875" style="638" bestFit="1" customWidth="1"/>
    <col min="12045" max="12045" width="24.7109375" style="638" customWidth="1"/>
    <col min="12046" max="12046" width="36.42578125" style="638" customWidth="1"/>
    <col min="12047" max="12047" width="46.7109375" style="638" customWidth="1"/>
    <col min="12048" max="12048" width="43.7109375" style="638" customWidth="1"/>
    <col min="12049" max="12049" width="25.42578125" style="638" customWidth="1"/>
    <col min="12050" max="12050" width="12.42578125" style="638" customWidth="1"/>
    <col min="12051" max="12051" width="16.42578125" style="638" customWidth="1"/>
    <col min="12052" max="12052" width="13.42578125" style="638" customWidth="1"/>
    <col min="12053" max="12053" width="8.5703125" style="638" customWidth="1"/>
    <col min="12054" max="12057" width="11.42578125" style="638" customWidth="1"/>
    <col min="12058" max="12058" width="12.7109375" style="638" customWidth="1"/>
    <col min="12059" max="12059" width="11.85546875" style="638" customWidth="1"/>
    <col min="12060" max="12060" width="7.85546875" style="638" customWidth="1"/>
    <col min="12061" max="12061" width="7.5703125" style="638" customWidth="1"/>
    <col min="12062" max="12062" width="8.85546875" style="638" customWidth="1"/>
    <col min="12063" max="12063" width="8.140625" style="638" customWidth="1"/>
    <col min="12064" max="12064" width="7.85546875" style="638" customWidth="1"/>
    <col min="12065" max="12065" width="8.5703125" style="638" customWidth="1"/>
    <col min="12066" max="12066" width="8.28515625" style="638" customWidth="1"/>
    <col min="12067" max="12067" width="11.42578125" style="638" customWidth="1"/>
    <col min="12068" max="12068" width="18" style="638" customWidth="1"/>
    <col min="12069" max="12069" width="21.42578125" style="638" customWidth="1"/>
    <col min="12070" max="12070" width="27.85546875" style="638" customWidth="1"/>
    <col min="12071" max="12286" width="11.42578125" style="638"/>
    <col min="12287" max="12287" width="13.5703125" style="638" customWidth="1"/>
    <col min="12288" max="12288" width="19" style="638" customWidth="1"/>
    <col min="12289" max="12289" width="13.5703125" style="638" customWidth="1"/>
    <col min="12290" max="12290" width="19.7109375" style="638" customWidth="1"/>
    <col min="12291" max="12291" width="13.5703125" style="638" customWidth="1"/>
    <col min="12292" max="12293" width="14.7109375" style="638" customWidth="1"/>
    <col min="12294" max="12294" width="36.140625" style="638" customWidth="1"/>
    <col min="12295" max="12295" width="29.42578125" style="638" customWidth="1"/>
    <col min="12296" max="12296" width="16" style="638" customWidth="1"/>
    <col min="12297" max="12297" width="38.28515625" style="638" customWidth="1"/>
    <col min="12298" max="12298" width="12" style="638" customWidth="1"/>
    <col min="12299" max="12299" width="38.140625" style="638" customWidth="1"/>
    <col min="12300" max="12300" width="17.85546875" style="638" bestFit="1" customWidth="1"/>
    <col min="12301" max="12301" width="24.7109375" style="638" customWidth="1"/>
    <col min="12302" max="12302" width="36.42578125" style="638" customWidth="1"/>
    <col min="12303" max="12303" width="46.7109375" style="638" customWidth="1"/>
    <col min="12304" max="12304" width="43.7109375" style="638" customWidth="1"/>
    <col min="12305" max="12305" width="25.42578125" style="638" customWidth="1"/>
    <col min="12306" max="12306" width="12.42578125" style="638" customWidth="1"/>
    <col min="12307" max="12307" width="16.42578125" style="638" customWidth="1"/>
    <col min="12308" max="12308" width="13.42578125" style="638" customWidth="1"/>
    <col min="12309" max="12309" width="8.5703125" style="638" customWidth="1"/>
    <col min="12310" max="12313" width="11.42578125" style="638" customWidth="1"/>
    <col min="12314" max="12314" width="12.7109375" style="638" customWidth="1"/>
    <col min="12315" max="12315" width="11.85546875" style="638" customWidth="1"/>
    <col min="12316" max="12316" width="7.85546875" style="638" customWidth="1"/>
    <col min="12317" max="12317" width="7.5703125" style="638" customWidth="1"/>
    <col min="12318" max="12318" width="8.85546875" style="638" customWidth="1"/>
    <col min="12319" max="12319" width="8.140625" style="638" customWidth="1"/>
    <col min="12320" max="12320" width="7.85546875" style="638" customWidth="1"/>
    <col min="12321" max="12321" width="8.5703125" style="638" customWidth="1"/>
    <col min="12322" max="12322" width="8.28515625" style="638" customWidth="1"/>
    <col min="12323" max="12323" width="11.42578125" style="638" customWidth="1"/>
    <col min="12324" max="12324" width="18" style="638" customWidth="1"/>
    <col min="12325" max="12325" width="21.42578125" style="638" customWidth="1"/>
    <col min="12326" max="12326" width="27.85546875" style="638" customWidth="1"/>
    <col min="12327" max="12542" width="11.42578125" style="638"/>
    <col min="12543" max="12543" width="13.5703125" style="638" customWidth="1"/>
    <col min="12544" max="12544" width="19" style="638" customWidth="1"/>
    <col min="12545" max="12545" width="13.5703125" style="638" customWidth="1"/>
    <col min="12546" max="12546" width="19.7109375" style="638" customWidth="1"/>
    <col min="12547" max="12547" width="13.5703125" style="638" customWidth="1"/>
    <col min="12548" max="12549" width="14.7109375" style="638" customWidth="1"/>
    <col min="12550" max="12550" width="36.140625" style="638" customWidth="1"/>
    <col min="12551" max="12551" width="29.42578125" style="638" customWidth="1"/>
    <col min="12552" max="12552" width="16" style="638" customWidth="1"/>
    <col min="12553" max="12553" width="38.28515625" style="638" customWidth="1"/>
    <col min="12554" max="12554" width="12" style="638" customWidth="1"/>
    <col min="12555" max="12555" width="38.140625" style="638" customWidth="1"/>
    <col min="12556" max="12556" width="17.85546875" style="638" bestFit="1" customWidth="1"/>
    <col min="12557" max="12557" width="24.7109375" style="638" customWidth="1"/>
    <col min="12558" max="12558" width="36.42578125" style="638" customWidth="1"/>
    <col min="12559" max="12559" width="46.7109375" style="638" customWidth="1"/>
    <col min="12560" max="12560" width="43.7109375" style="638" customWidth="1"/>
    <col min="12561" max="12561" width="25.42578125" style="638" customWidth="1"/>
    <col min="12562" max="12562" width="12.42578125" style="638" customWidth="1"/>
    <col min="12563" max="12563" width="16.42578125" style="638" customWidth="1"/>
    <col min="12564" max="12564" width="13.42578125" style="638" customWidth="1"/>
    <col min="12565" max="12565" width="8.5703125" style="638" customWidth="1"/>
    <col min="12566" max="12569" width="11.42578125" style="638" customWidth="1"/>
    <col min="12570" max="12570" width="12.7109375" style="638" customWidth="1"/>
    <col min="12571" max="12571" width="11.85546875" style="638" customWidth="1"/>
    <col min="12572" max="12572" width="7.85546875" style="638" customWidth="1"/>
    <col min="12573" max="12573" width="7.5703125" style="638" customWidth="1"/>
    <col min="12574" max="12574" width="8.85546875" style="638" customWidth="1"/>
    <col min="12575" max="12575" width="8.140625" style="638" customWidth="1"/>
    <col min="12576" max="12576" width="7.85546875" style="638" customWidth="1"/>
    <col min="12577" max="12577" width="8.5703125" style="638" customWidth="1"/>
    <col min="12578" max="12578" width="8.28515625" style="638" customWidth="1"/>
    <col min="12579" max="12579" width="11.42578125" style="638" customWidth="1"/>
    <col min="12580" max="12580" width="18" style="638" customWidth="1"/>
    <col min="12581" max="12581" width="21.42578125" style="638" customWidth="1"/>
    <col min="12582" max="12582" width="27.85546875" style="638" customWidth="1"/>
    <col min="12583" max="12798" width="11.42578125" style="638"/>
    <col min="12799" max="12799" width="13.5703125" style="638" customWidth="1"/>
    <col min="12800" max="12800" width="19" style="638" customWidth="1"/>
    <col min="12801" max="12801" width="13.5703125" style="638" customWidth="1"/>
    <col min="12802" max="12802" width="19.7109375" style="638" customWidth="1"/>
    <col min="12803" max="12803" width="13.5703125" style="638" customWidth="1"/>
    <col min="12804" max="12805" width="14.7109375" style="638" customWidth="1"/>
    <col min="12806" max="12806" width="36.140625" style="638" customWidth="1"/>
    <col min="12807" max="12807" width="29.42578125" style="638" customWidth="1"/>
    <col min="12808" max="12808" width="16" style="638" customWidth="1"/>
    <col min="12809" max="12809" width="38.28515625" style="638" customWidth="1"/>
    <col min="12810" max="12810" width="12" style="638" customWidth="1"/>
    <col min="12811" max="12811" width="38.140625" style="638" customWidth="1"/>
    <col min="12812" max="12812" width="17.85546875" style="638" bestFit="1" customWidth="1"/>
    <col min="12813" max="12813" width="24.7109375" style="638" customWidth="1"/>
    <col min="12814" max="12814" width="36.42578125" style="638" customWidth="1"/>
    <col min="12815" max="12815" width="46.7109375" style="638" customWidth="1"/>
    <col min="12816" max="12816" width="43.7109375" style="638" customWidth="1"/>
    <col min="12817" max="12817" width="25.42578125" style="638" customWidth="1"/>
    <col min="12818" max="12818" width="12.42578125" style="638" customWidth="1"/>
    <col min="12819" max="12819" width="16.42578125" style="638" customWidth="1"/>
    <col min="12820" max="12820" width="13.42578125" style="638" customWidth="1"/>
    <col min="12821" max="12821" width="8.5703125" style="638" customWidth="1"/>
    <col min="12822" max="12825" width="11.42578125" style="638" customWidth="1"/>
    <col min="12826" max="12826" width="12.7109375" style="638" customWidth="1"/>
    <col min="12827" max="12827" width="11.85546875" style="638" customWidth="1"/>
    <col min="12828" max="12828" width="7.85546875" style="638" customWidth="1"/>
    <col min="12829" max="12829" width="7.5703125" style="638" customWidth="1"/>
    <col min="12830" max="12830" width="8.85546875" style="638" customWidth="1"/>
    <col min="12831" max="12831" width="8.140625" style="638" customWidth="1"/>
    <col min="12832" max="12832" width="7.85546875" style="638" customWidth="1"/>
    <col min="12833" max="12833" width="8.5703125" style="638" customWidth="1"/>
    <col min="12834" max="12834" width="8.28515625" style="638" customWidth="1"/>
    <col min="12835" max="12835" width="11.42578125" style="638" customWidth="1"/>
    <col min="12836" max="12836" width="18" style="638" customWidth="1"/>
    <col min="12837" max="12837" width="21.42578125" style="638" customWidth="1"/>
    <col min="12838" max="12838" width="27.85546875" style="638" customWidth="1"/>
    <col min="12839" max="13054" width="11.42578125" style="638"/>
    <col min="13055" max="13055" width="13.5703125" style="638" customWidth="1"/>
    <col min="13056" max="13056" width="19" style="638" customWidth="1"/>
    <col min="13057" max="13057" width="13.5703125" style="638" customWidth="1"/>
    <col min="13058" max="13058" width="19.7109375" style="638" customWidth="1"/>
    <col min="13059" max="13059" width="13.5703125" style="638" customWidth="1"/>
    <col min="13060" max="13061" width="14.7109375" style="638" customWidth="1"/>
    <col min="13062" max="13062" width="36.140625" style="638" customWidth="1"/>
    <col min="13063" max="13063" width="29.42578125" style="638" customWidth="1"/>
    <col min="13064" max="13064" width="16" style="638" customWidth="1"/>
    <col min="13065" max="13065" width="38.28515625" style="638" customWidth="1"/>
    <col min="13066" max="13066" width="12" style="638" customWidth="1"/>
    <col min="13067" max="13067" width="38.140625" style="638" customWidth="1"/>
    <col min="13068" max="13068" width="17.85546875" style="638" bestFit="1" customWidth="1"/>
    <col min="13069" max="13069" width="24.7109375" style="638" customWidth="1"/>
    <col min="13070" max="13070" width="36.42578125" style="638" customWidth="1"/>
    <col min="13071" max="13071" width="46.7109375" style="638" customWidth="1"/>
    <col min="13072" max="13072" width="43.7109375" style="638" customWidth="1"/>
    <col min="13073" max="13073" width="25.42578125" style="638" customWidth="1"/>
    <col min="13074" max="13074" width="12.42578125" style="638" customWidth="1"/>
    <col min="13075" max="13075" width="16.42578125" style="638" customWidth="1"/>
    <col min="13076" max="13076" width="13.42578125" style="638" customWidth="1"/>
    <col min="13077" max="13077" width="8.5703125" style="638" customWidth="1"/>
    <col min="13078" max="13081" width="11.42578125" style="638" customWidth="1"/>
    <col min="13082" max="13082" width="12.7109375" style="638" customWidth="1"/>
    <col min="13083" max="13083" width="11.85546875" style="638" customWidth="1"/>
    <col min="13084" max="13084" width="7.85546875" style="638" customWidth="1"/>
    <col min="13085" max="13085" width="7.5703125" style="638" customWidth="1"/>
    <col min="13086" max="13086" width="8.85546875" style="638" customWidth="1"/>
    <col min="13087" max="13087" width="8.140625" style="638" customWidth="1"/>
    <col min="13088" max="13088" width="7.85546875" style="638" customWidth="1"/>
    <col min="13089" max="13089" width="8.5703125" style="638" customWidth="1"/>
    <col min="13090" max="13090" width="8.28515625" style="638" customWidth="1"/>
    <col min="13091" max="13091" width="11.42578125" style="638" customWidth="1"/>
    <col min="13092" max="13092" width="18" style="638" customWidth="1"/>
    <col min="13093" max="13093" width="21.42578125" style="638" customWidth="1"/>
    <col min="13094" max="13094" width="27.85546875" style="638" customWidth="1"/>
    <col min="13095" max="13310" width="11.42578125" style="638"/>
    <col min="13311" max="13311" width="13.5703125" style="638" customWidth="1"/>
    <col min="13312" max="13312" width="19" style="638" customWidth="1"/>
    <col min="13313" max="13313" width="13.5703125" style="638" customWidth="1"/>
    <col min="13314" max="13314" width="19.7109375" style="638" customWidth="1"/>
    <col min="13315" max="13315" width="13.5703125" style="638" customWidth="1"/>
    <col min="13316" max="13317" width="14.7109375" style="638" customWidth="1"/>
    <col min="13318" max="13318" width="36.140625" style="638" customWidth="1"/>
    <col min="13319" max="13319" width="29.42578125" style="638" customWidth="1"/>
    <col min="13320" max="13320" width="16" style="638" customWidth="1"/>
    <col min="13321" max="13321" width="38.28515625" style="638" customWidth="1"/>
    <col min="13322" max="13322" width="12" style="638" customWidth="1"/>
    <col min="13323" max="13323" width="38.140625" style="638" customWidth="1"/>
    <col min="13324" max="13324" width="17.85546875" style="638" bestFit="1" customWidth="1"/>
    <col min="13325" max="13325" width="24.7109375" style="638" customWidth="1"/>
    <col min="13326" max="13326" width="36.42578125" style="638" customWidth="1"/>
    <col min="13327" max="13327" width="46.7109375" style="638" customWidth="1"/>
    <col min="13328" max="13328" width="43.7109375" style="638" customWidth="1"/>
    <col min="13329" max="13329" width="25.42578125" style="638" customWidth="1"/>
    <col min="13330" max="13330" width="12.42578125" style="638" customWidth="1"/>
    <col min="13331" max="13331" width="16.42578125" style="638" customWidth="1"/>
    <col min="13332" max="13332" width="13.42578125" style="638" customWidth="1"/>
    <col min="13333" max="13333" width="8.5703125" style="638" customWidth="1"/>
    <col min="13334" max="13337" width="11.42578125" style="638" customWidth="1"/>
    <col min="13338" max="13338" width="12.7109375" style="638" customWidth="1"/>
    <col min="13339" max="13339" width="11.85546875" style="638" customWidth="1"/>
    <col min="13340" max="13340" width="7.85546875" style="638" customWidth="1"/>
    <col min="13341" max="13341" width="7.5703125" style="638" customWidth="1"/>
    <col min="13342" max="13342" width="8.85546875" style="638" customWidth="1"/>
    <col min="13343" max="13343" width="8.140625" style="638" customWidth="1"/>
    <col min="13344" max="13344" width="7.85546875" style="638" customWidth="1"/>
    <col min="13345" max="13345" width="8.5703125" style="638" customWidth="1"/>
    <col min="13346" max="13346" width="8.28515625" style="638" customWidth="1"/>
    <col min="13347" max="13347" width="11.42578125" style="638" customWidth="1"/>
    <col min="13348" max="13348" width="18" style="638" customWidth="1"/>
    <col min="13349" max="13349" width="21.42578125" style="638" customWidth="1"/>
    <col min="13350" max="13350" width="27.85546875" style="638" customWidth="1"/>
    <col min="13351" max="13566" width="11.42578125" style="638"/>
    <col min="13567" max="13567" width="13.5703125" style="638" customWidth="1"/>
    <col min="13568" max="13568" width="19" style="638" customWidth="1"/>
    <col min="13569" max="13569" width="13.5703125" style="638" customWidth="1"/>
    <col min="13570" max="13570" width="19.7109375" style="638" customWidth="1"/>
    <col min="13571" max="13571" width="13.5703125" style="638" customWidth="1"/>
    <col min="13572" max="13573" width="14.7109375" style="638" customWidth="1"/>
    <col min="13574" max="13574" width="36.140625" style="638" customWidth="1"/>
    <col min="13575" max="13575" width="29.42578125" style="638" customWidth="1"/>
    <col min="13576" max="13576" width="16" style="638" customWidth="1"/>
    <col min="13577" max="13577" width="38.28515625" style="638" customWidth="1"/>
    <col min="13578" max="13578" width="12" style="638" customWidth="1"/>
    <col min="13579" max="13579" width="38.140625" style="638" customWidth="1"/>
    <col min="13580" max="13580" width="17.85546875" style="638" bestFit="1" customWidth="1"/>
    <col min="13581" max="13581" width="24.7109375" style="638" customWidth="1"/>
    <col min="13582" max="13582" width="36.42578125" style="638" customWidth="1"/>
    <col min="13583" max="13583" width="46.7109375" style="638" customWidth="1"/>
    <col min="13584" max="13584" width="43.7109375" style="638" customWidth="1"/>
    <col min="13585" max="13585" width="25.42578125" style="638" customWidth="1"/>
    <col min="13586" max="13586" width="12.42578125" style="638" customWidth="1"/>
    <col min="13587" max="13587" width="16.42578125" style="638" customWidth="1"/>
    <col min="13588" max="13588" width="13.42578125" style="638" customWidth="1"/>
    <col min="13589" max="13589" width="8.5703125" style="638" customWidth="1"/>
    <col min="13590" max="13593" width="11.42578125" style="638" customWidth="1"/>
    <col min="13594" max="13594" width="12.7109375" style="638" customWidth="1"/>
    <col min="13595" max="13595" width="11.85546875" style="638" customWidth="1"/>
    <col min="13596" max="13596" width="7.85546875" style="638" customWidth="1"/>
    <col min="13597" max="13597" width="7.5703125" style="638" customWidth="1"/>
    <col min="13598" max="13598" width="8.85546875" style="638" customWidth="1"/>
    <col min="13599" max="13599" width="8.140625" style="638" customWidth="1"/>
    <col min="13600" max="13600" width="7.85546875" style="638" customWidth="1"/>
    <col min="13601" max="13601" width="8.5703125" style="638" customWidth="1"/>
    <col min="13602" max="13602" width="8.28515625" style="638" customWidth="1"/>
    <col min="13603" max="13603" width="11.42578125" style="638" customWidth="1"/>
    <col min="13604" max="13604" width="18" style="638" customWidth="1"/>
    <col min="13605" max="13605" width="21.42578125" style="638" customWidth="1"/>
    <col min="13606" max="13606" width="27.85546875" style="638" customWidth="1"/>
    <col min="13607" max="13822" width="11.42578125" style="638"/>
    <col min="13823" max="13823" width="13.5703125" style="638" customWidth="1"/>
    <col min="13824" max="13824" width="19" style="638" customWidth="1"/>
    <col min="13825" max="13825" width="13.5703125" style="638" customWidth="1"/>
    <col min="13826" max="13826" width="19.7109375" style="638" customWidth="1"/>
    <col min="13827" max="13827" width="13.5703125" style="638" customWidth="1"/>
    <col min="13828" max="13829" width="14.7109375" style="638" customWidth="1"/>
    <col min="13830" max="13830" width="36.140625" style="638" customWidth="1"/>
    <col min="13831" max="13831" width="29.42578125" style="638" customWidth="1"/>
    <col min="13832" max="13832" width="16" style="638" customWidth="1"/>
    <col min="13833" max="13833" width="38.28515625" style="638" customWidth="1"/>
    <col min="13834" max="13834" width="12" style="638" customWidth="1"/>
    <col min="13835" max="13835" width="38.140625" style="638" customWidth="1"/>
    <col min="13836" max="13836" width="17.85546875" style="638" bestFit="1" customWidth="1"/>
    <col min="13837" max="13837" width="24.7109375" style="638" customWidth="1"/>
    <col min="13838" max="13838" width="36.42578125" style="638" customWidth="1"/>
    <col min="13839" max="13839" width="46.7109375" style="638" customWidth="1"/>
    <col min="13840" max="13840" width="43.7109375" style="638" customWidth="1"/>
    <col min="13841" max="13841" width="25.42578125" style="638" customWidth="1"/>
    <col min="13842" max="13842" width="12.42578125" style="638" customWidth="1"/>
    <col min="13843" max="13843" width="16.42578125" style="638" customWidth="1"/>
    <col min="13844" max="13844" width="13.42578125" style="638" customWidth="1"/>
    <col min="13845" max="13845" width="8.5703125" style="638" customWidth="1"/>
    <col min="13846" max="13849" width="11.42578125" style="638" customWidth="1"/>
    <col min="13850" max="13850" width="12.7109375" style="638" customWidth="1"/>
    <col min="13851" max="13851" width="11.85546875" style="638" customWidth="1"/>
    <col min="13852" max="13852" width="7.85546875" style="638" customWidth="1"/>
    <col min="13853" max="13853" width="7.5703125" style="638" customWidth="1"/>
    <col min="13854" max="13854" width="8.85546875" style="638" customWidth="1"/>
    <col min="13855" max="13855" width="8.140625" style="638" customWidth="1"/>
    <col min="13856" max="13856" width="7.85546875" style="638" customWidth="1"/>
    <col min="13857" max="13857" width="8.5703125" style="638" customWidth="1"/>
    <col min="13858" max="13858" width="8.28515625" style="638" customWidth="1"/>
    <col min="13859" max="13859" width="11.42578125" style="638" customWidth="1"/>
    <col min="13860" max="13860" width="18" style="638" customWidth="1"/>
    <col min="13861" max="13861" width="21.42578125" style="638" customWidth="1"/>
    <col min="13862" max="13862" width="27.85546875" style="638" customWidth="1"/>
    <col min="13863" max="14078" width="11.42578125" style="638"/>
    <col min="14079" max="14079" width="13.5703125" style="638" customWidth="1"/>
    <col min="14080" max="14080" width="19" style="638" customWidth="1"/>
    <col min="14081" max="14081" width="13.5703125" style="638" customWidth="1"/>
    <col min="14082" max="14082" width="19.7109375" style="638" customWidth="1"/>
    <col min="14083" max="14083" width="13.5703125" style="638" customWidth="1"/>
    <col min="14084" max="14085" width="14.7109375" style="638" customWidth="1"/>
    <col min="14086" max="14086" width="36.140625" style="638" customWidth="1"/>
    <col min="14087" max="14087" width="29.42578125" style="638" customWidth="1"/>
    <col min="14088" max="14088" width="16" style="638" customWidth="1"/>
    <col min="14089" max="14089" width="38.28515625" style="638" customWidth="1"/>
    <col min="14090" max="14090" width="12" style="638" customWidth="1"/>
    <col min="14091" max="14091" width="38.140625" style="638" customWidth="1"/>
    <col min="14092" max="14092" width="17.85546875" style="638" bestFit="1" customWidth="1"/>
    <col min="14093" max="14093" width="24.7109375" style="638" customWidth="1"/>
    <col min="14094" max="14094" width="36.42578125" style="638" customWidth="1"/>
    <col min="14095" max="14095" width="46.7109375" style="638" customWidth="1"/>
    <col min="14096" max="14096" width="43.7109375" style="638" customWidth="1"/>
    <col min="14097" max="14097" width="25.42578125" style="638" customWidth="1"/>
    <col min="14098" max="14098" width="12.42578125" style="638" customWidth="1"/>
    <col min="14099" max="14099" width="16.42578125" style="638" customWidth="1"/>
    <col min="14100" max="14100" width="13.42578125" style="638" customWidth="1"/>
    <col min="14101" max="14101" width="8.5703125" style="638" customWidth="1"/>
    <col min="14102" max="14105" width="11.42578125" style="638" customWidth="1"/>
    <col min="14106" max="14106" width="12.7109375" style="638" customWidth="1"/>
    <col min="14107" max="14107" width="11.85546875" style="638" customWidth="1"/>
    <col min="14108" max="14108" width="7.85546875" style="638" customWidth="1"/>
    <col min="14109" max="14109" width="7.5703125" style="638" customWidth="1"/>
    <col min="14110" max="14110" width="8.85546875" style="638" customWidth="1"/>
    <col min="14111" max="14111" width="8.140625" style="638" customWidth="1"/>
    <col min="14112" max="14112" width="7.85546875" style="638" customWidth="1"/>
    <col min="14113" max="14113" width="8.5703125" style="638" customWidth="1"/>
    <col min="14114" max="14114" width="8.28515625" style="638" customWidth="1"/>
    <col min="14115" max="14115" width="11.42578125" style="638" customWidth="1"/>
    <col min="14116" max="14116" width="18" style="638" customWidth="1"/>
    <col min="14117" max="14117" width="21.42578125" style="638" customWidth="1"/>
    <col min="14118" max="14118" width="27.85546875" style="638" customWidth="1"/>
    <col min="14119" max="14334" width="11.42578125" style="638"/>
    <col min="14335" max="14335" width="13.5703125" style="638" customWidth="1"/>
    <col min="14336" max="14336" width="19" style="638" customWidth="1"/>
    <col min="14337" max="14337" width="13.5703125" style="638" customWidth="1"/>
    <col min="14338" max="14338" width="19.7109375" style="638" customWidth="1"/>
    <col min="14339" max="14339" width="13.5703125" style="638" customWidth="1"/>
    <col min="14340" max="14341" width="14.7109375" style="638" customWidth="1"/>
    <col min="14342" max="14342" width="36.140625" style="638" customWidth="1"/>
    <col min="14343" max="14343" width="29.42578125" style="638" customWidth="1"/>
    <col min="14344" max="14344" width="16" style="638" customWidth="1"/>
    <col min="14345" max="14345" width="38.28515625" style="638" customWidth="1"/>
    <col min="14346" max="14346" width="12" style="638" customWidth="1"/>
    <col min="14347" max="14347" width="38.140625" style="638" customWidth="1"/>
    <col min="14348" max="14348" width="17.85546875" style="638" bestFit="1" customWidth="1"/>
    <col min="14349" max="14349" width="24.7109375" style="638" customWidth="1"/>
    <col min="14350" max="14350" width="36.42578125" style="638" customWidth="1"/>
    <col min="14351" max="14351" width="46.7109375" style="638" customWidth="1"/>
    <col min="14352" max="14352" width="43.7109375" style="638" customWidth="1"/>
    <col min="14353" max="14353" width="25.42578125" style="638" customWidth="1"/>
    <col min="14354" max="14354" width="12.42578125" style="638" customWidth="1"/>
    <col min="14355" max="14355" width="16.42578125" style="638" customWidth="1"/>
    <col min="14356" max="14356" width="13.42578125" style="638" customWidth="1"/>
    <col min="14357" max="14357" width="8.5703125" style="638" customWidth="1"/>
    <col min="14358" max="14361" width="11.42578125" style="638" customWidth="1"/>
    <col min="14362" max="14362" width="12.7109375" style="638" customWidth="1"/>
    <col min="14363" max="14363" width="11.85546875" style="638" customWidth="1"/>
    <col min="14364" max="14364" width="7.85546875" style="638" customWidth="1"/>
    <col min="14365" max="14365" width="7.5703125" style="638" customWidth="1"/>
    <col min="14366" max="14366" width="8.85546875" style="638" customWidth="1"/>
    <col min="14367" max="14367" width="8.140625" style="638" customWidth="1"/>
    <col min="14368" max="14368" width="7.85546875" style="638" customWidth="1"/>
    <col min="14369" max="14369" width="8.5703125" style="638" customWidth="1"/>
    <col min="14370" max="14370" width="8.28515625" style="638" customWidth="1"/>
    <col min="14371" max="14371" width="11.42578125" style="638" customWidth="1"/>
    <col min="14372" max="14372" width="18" style="638" customWidth="1"/>
    <col min="14373" max="14373" width="21.42578125" style="638" customWidth="1"/>
    <col min="14374" max="14374" width="27.85546875" style="638" customWidth="1"/>
    <col min="14375" max="14590" width="11.42578125" style="638"/>
    <col min="14591" max="14591" width="13.5703125" style="638" customWidth="1"/>
    <col min="14592" max="14592" width="19" style="638" customWidth="1"/>
    <col min="14593" max="14593" width="13.5703125" style="638" customWidth="1"/>
    <col min="14594" max="14594" width="19.7109375" style="638" customWidth="1"/>
    <col min="14595" max="14595" width="13.5703125" style="638" customWidth="1"/>
    <col min="14596" max="14597" width="14.7109375" style="638" customWidth="1"/>
    <col min="14598" max="14598" width="36.140625" style="638" customWidth="1"/>
    <col min="14599" max="14599" width="29.42578125" style="638" customWidth="1"/>
    <col min="14600" max="14600" width="16" style="638" customWidth="1"/>
    <col min="14601" max="14601" width="38.28515625" style="638" customWidth="1"/>
    <col min="14602" max="14602" width="12" style="638" customWidth="1"/>
    <col min="14603" max="14603" width="38.140625" style="638" customWidth="1"/>
    <col min="14604" max="14604" width="17.85546875" style="638" bestFit="1" customWidth="1"/>
    <col min="14605" max="14605" width="24.7109375" style="638" customWidth="1"/>
    <col min="14606" max="14606" width="36.42578125" style="638" customWidth="1"/>
    <col min="14607" max="14607" width="46.7109375" style="638" customWidth="1"/>
    <col min="14608" max="14608" width="43.7109375" style="638" customWidth="1"/>
    <col min="14609" max="14609" width="25.42578125" style="638" customWidth="1"/>
    <col min="14610" max="14610" width="12.42578125" style="638" customWidth="1"/>
    <col min="14611" max="14611" width="16.42578125" style="638" customWidth="1"/>
    <col min="14612" max="14612" width="13.42578125" style="638" customWidth="1"/>
    <col min="14613" max="14613" width="8.5703125" style="638" customWidth="1"/>
    <col min="14614" max="14617" width="11.42578125" style="638" customWidth="1"/>
    <col min="14618" max="14618" width="12.7109375" style="638" customWidth="1"/>
    <col min="14619" max="14619" width="11.85546875" style="638" customWidth="1"/>
    <col min="14620" max="14620" width="7.85546875" style="638" customWidth="1"/>
    <col min="14621" max="14621" width="7.5703125" style="638" customWidth="1"/>
    <col min="14622" max="14622" width="8.85546875" style="638" customWidth="1"/>
    <col min="14623" max="14623" width="8.140625" style="638" customWidth="1"/>
    <col min="14624" max="14624" width="7.85546875" style="638" customWidth="1"/>
    <col min="14625" max="14625" width="8.5703125" style="638" customWidth="1"/>
    <col min="14626" max="14626" width="8.28515625" style="638" customWidth="1"/>
    <col min="14627" max="14627" width="11.42578125" style="638" customWidth="1"/>
    <col min="14628" max="14628" width="18" style="638" customWidth="1"/>
    <col min="14629" max="14629" width="21.42578125" style="638" customWidth="1"/>
    <col min="14630" max="14630" width="27.85546875" style="638" customWidth="1"/>
    <col min="14631" max="14846" width="11.42578125" style="638"/>
    <col min="14847" max="14847" width="13.5703125" style="638" customWidth="1"/>
    <col min="14848" max="14848" width="19" style="638" customWidth="1"/>
    <col min="14849" max="14849" width="13.5703125" style="638" customWidth="1"/>
    <col min="14850" max="14850" width="19.7109375" style="638" customWidth="1"/>
    <col min="14851" max="14851" width="13.5703125" style="638" customWidth="1"/>
    <col min="14852" max="14853" width="14.7109375" style="638" customWidth="1"/>
    <col min="14854" max="14854" width="36.140625" style="638" customWidth="1"/>
    <col min="14855" max="14855" width="29.42578125" style="638" customWidth="1"/>
    <col min="14856" max="14856" width="16" style="638" customWidth="1"/>
    <col min="14857" max="14857" width="38.28515625" style="638" customWidth="1"/>
    <col min="14858" max="14858" width="12" style="638" customWidth="1"/>
    <col min="14859" max="14859" width="38.140625" style="638" customWidth="1"/>
    <col min="14860" max="14860" width="17.85546875" style="638" bestFit="1" customWidth="1"/>
    <col min="14861" max="14861" width="24.7109375" style="638" customWidth="1"/>
    <col min="14862" max="14862" width="36.42578125" style="638" customWidth="1"/>
    <col min="14863" max="14863" width="46.7109375" style="638" customWidth="1"/>
    <col min="14864" max="14864" width="43.7109375" style="638" customWidth="1"/>
    <col min="14865" max="14865" width="25.42578125" style="638" customWidth="1"/>
    <col min="14866" max="14866" width="12.42578125" style="638" customWidth="1"/>
    <col min="14867" max="14867" width="16.42578125" style="638" customWidth="1"/>
    <col min="14868" max="14868" width="13.42578125" style="638" customWidth="1"/>
    <col min="14869" max="14869" width="8.5703125" style="638" customWidth="1"/>
    <col min="14870" max="14873" width="11.42578125" style="638" customWidth="1"/>
    <col min="14874" max="14874" width="12.7109375" style="638" customWidth="1"/>
    <col min="14875" max="14875" width="11.85546875" style="638" customWidth="1"/>
    <col min="14876" max="14876" width="7.85546875" style="638" customWidth="1"/>
    <col min="14877" max="14877" width="7.5703125" style="638" customWidth="1"/>
    <col min="14878" max="14878" width="8.85546875" style="638" customWidth="1"/>
    <col min="14879" max="14879" width="8.140625" style="638" customWidth="1"/>
    <col min="14880" max="14880" width="7.85546875" style="638" customWidth="1"/>
    <col min="14881" max="14881" width="8.5703125" style="638" customWidth="1"/>
    <col min="14882" max="14882" width="8.28515625" style="638" customWidth="1"/>
    <col min="14883" max="14883" width="11.42578125" style="638" customWidth="1"/>
    <col min="14884" max="14884" width="18" style="638" customWidth="1"/>
    <col min="14885" max="14885" width="21.42578125" style="638" customWidth="1"/>
    <col min="14886" max="14886" width="27.85546875" style="638" customWidth="1"/>
    <col min="14887" max="15102" width="11.42578125" style="638"/>
    <col min="15103" max="15103" width="13.5703125" style="638" customWidth="1"/>
    <col min="15104" max="15104" width="19" style="638" customWidth="1"/>
    <col min="15105" max="15105" width="13.5703125" style="638" customWidth="1"/>
    <col min="15106" max="15106" width="19.7109375" style="638" customWidth="1"/>
    <col min="15107" max="15107" width="13.5703125" style="638" customWidth="1"/>
    <col min="15108" max="15109" width="14.7109375" style="638" customWidth="1"/>
    <col min="15110" max="15110" width="36.140625" style="638" customWidth="1"/>
    <col min="15111" max="15111" width="29.42578125" style="638" customWidth="1"/>
    <col min="15112" max="15112" width="16" style="638" customWidth="1"/>
    <col min="15113" max="15113" width="38.28515625" style="638" customWidth="1"/>
    <col min="15114" max="15114" width="12" style="638" customWidth="1"/>
    <col min="15115" max="15115" width="38.140625" style="638" customWidth="1"/>
    <col min="15116" max="15116" width="17.85546875" style="638" bestFit="1" customWidth="1"/>
    <col min="15117" max="15117" width="24.7109375" style="638" customWidth="1"/>
    <col min="15118" max="15118" width="36.42578125" style="638" customWidth="1"/>
    <col min="15119" max="15119" width="46.7109375" style="638" customWidth="1"/>
    <col min="15120" max="15120" width="43.7109375" style="638" customWidth="1"/>
    <col min="15121" max="15121" width="25.42578125" style="638" customWidth="1"/>
    <col min="15122" max="15122" width="12.42578125" style="638" customWidth="1"/>
    <col min="15123" max="15123" width="16.42578125" style="638" customWidth="1"/>
    <col min="15124" max="15124" width="13.42578125" style="638" customWidth="1"/>
    <col min="15125" max="15125" width="8.5703125" style="638" customWidth="1"/>
    <col min="15126" max="15129" width="11.42578125" style="638" customWidth="1"/>
    <col min="15130" max="15130" width="12.7109375" style="638" customWidth="1"/>
    <col min="15131" max="15131" width="11.85546875" style="638" customWidth="1"/>
    <col min="15132" max="15132" width="7.85546875" style="638" customWidth="1"/>
    <col min="15133" max="15133" width="7.5703125" style="638" customWidth="1"/>
    <col min="15134" max="15134" width="8.85546875" style="638" customWidth="1"/>
    <col min="15135" max="15135" width="8.140625" style="638" customWidth="1"/>
    <col min="15136" max="15136" width="7.85546875" style="638" customWidth="1"/>
    <col min="15137" max="15137" width="8.5703125" style="638" customWidth="1"/>
    <col min="15138" max="15138" width="8.28515625" style="638" customWidth="1"/>
    <col min="15139" max="15139" width="11.42578125" style="638" customWidth="1"/>
    <col min="15140" max="15140" width="18" style="638" customWidth="1"/>
    <col min="15141" max="15141" width="21.42578125" style="638" customWidth="1"/>
    <col min="15142" max="15142" width="27.85546875" style="638" customWidth="1"/>
    <col min="15143" max="15358" width="11.42578125" style="638"/>
    <col min="15359" max="15359" width="13.5703125" style="638" customWidth="1"/>
    <col min="15360" max="15360" width="19" style="638" customWidth="1"/>
    <col min="15361" max="15361" width="13.5703125" style="638" customWidth="1"/>
    <col min="15362" max="15362" width="19.7109375" style="638" customWidth="1"/>
    <col min="15363" max="15363" width="13.5703125" style="638" customWidth="1"/>
    <col min="15364" max="15365" width="14.7109375" style="638" customWidth="1"/>
    <col min="15366" max="15366" width="36.140625" style="638" customWidth="1"/>
    <col min="15367" max="15367" width="29.42578125" style="638" customWidth="1"/>
    <col min="15368" max="15368" width="16" style="638" customWidth="1"/>
    <col min="15369" max="15369" width="38.28515625" style="638" customWidth="1"/>
    <col min="15370" max="15370" width="12" style="638" customWidth="1"/>
    <col min="15371" max="15371" width="38.140625" style="638" customWidth="1"/>
    <col min="15372" max="15372" width="17.85546875" style="638" bestFit="1" customWidth="1"/>
    <col min="15373" max="15373" width="24.7109375" style="638" customWidth="1"/>
    <col min="15374" max="15374" width="36.42578125" style="638" customWidth="1"/>
    <col min="15375" max="15375" width="46.7109375" style="638" customWidth="1"/>
    <col min="15376" max="15376" width="43.7109375" style="638" customWidth="1"/>
    <col min="15377" max="15377" width="25.42578125" style="638" customWidth="1"/>
    <col min="15378" max="15378" width="12.42578125" style="638" customWidth="1"/>
    <col min="15379" max="15379" width="16.42578125" style="638" customWidth="1"/>
    <col min="15380" max="15380" width="13.42578125" style="638" customWidth="1"/>
    <col min="15381" max="15381" width="8.5703125" style="638" customWidth="1"/>
    <col min="15382" max="15385" width="11.42578125" style="638" customWidth="1"/>
    <col min="15386" max="15386" width="12.7109375" style="638" customWidth="1"/>
    <col min="15387" max="15387" width="11.85546875" style="638" customWidth="1"/>
    <col min="15388" max="15388" width="7.85546875" style="638" customWidth="1"/>
    <col min="15389" max="15389" width="7.5703125" style="638" customWidth="1"/>
    <col min="15390" max="15390" width="8.85546875" style="638" customWidth="1"/>
    <col min="15391" max="15391" width="8.140625" style="638" customWidth="1"/>
    <col min="15392" max="15392" width="7.85546875" style="638" customWidth="1"/>
    <col min="15393" max="15393" width="8.5703125" style="638" customWidth="1"/>
    <col min="15394" max="15394" width="8.28515625" style="638" customWidth="1"/>
    <col min="15395" max="15395" width="11.42578125" style="638" customWidth="1"/>
    <col min="15396" max="15396" width="18" style="638" customWidth="1"/>
    <col min="15397" max="15397" width="21.42578125" style="638" customWidth="1"/>
    <col min="15398" max="15398" width="27.85546875" style="638" customWidth="1"/>
    <col min="15399" max="15614" width="11.42578125" style="638"/>
    <col min="15615" max="15615" width="13.5703125" style="638" customWidth="1"/>
    <col min="15616" max="15616" width="19" style="638" customWidth="1"/>
    <col min="15617" max="15617" width="13.5703125" style="638" customWidth="1"/>
    <col min="15618" max="15618" width="19.7109375" style="638" customWidth="1"/>
    <col min="15619" max="15619" width="13.5703125" style="638" customWidth="1"/>
    <col min="15620" max="15621" width="14.7109375" style="638" customWidth="1"/>
    <col min="15622" max="15622" width="36.140625" style="638" customWidth="1"/>
    <col min="15623" max="15623" width="29.42578125" style="638" customWidth="1"/>
    <col min="15624" max="15624" width="16" style="638" customWidth="1"/>
    <col min="15625" max="15625" width="38.28515625" style="638" customWidth="1"/>
    <col min="15626" max="15626" width="12" style="638" customWidth="1"/>
    <col min="15627" max="15627" width="38.140625" style="638" customWidth="1"/>
    <col min="15628" max="15628" width="17.85546875" style="638" bestFit="1" customWidth="1"/>
    <col min="15629" max="15629" width="24.7109375" style="638" customWidth="1"/>
    <col min="15630" max="15630" width="36.42578125" style="638" customWidth="1"/>
    <col min="15631" max="15631" width="46.7109375" style="638" customWidth="1"/>
    <col min="15632" max="15632" width="43.7109375" style="638" customWidth="1"/>
    <col min="15633" max="15633" width="25.42578125" style="638" customWidth="1"/>
    <col min="15634" max="15634" width="12.42578125" style="638" customWidth="1"/>
    <col min="15635" max="15635" width="16.42578125" style="638" customWidth="1"/>
    <col min="15636" max="15636" width="13.42578125" style="638" customWidth="1"/>
    <col min="15637" max="15637" width="8.5703125" style="638" customWidth="1"/>
    <col min="15638" max="15641" width="11.42578125" style="638" customWidth="1"/>
    <col min="15642" max="15642" width="12.7109375" style="638" customWidth="1"/>
    <col min="15643" max="15643" width="11.85546875" style="638" customWidth="1"/>
    <col min="15644" max="15644" width="7.85546875" style="638" customWidth="1"/>
    <col min="15645" max="15645" width="7.5703125" style="638" customWidth="1"/>
    <col min="15646" max="15646" width="8.85546875" style="638" customWidth="1"/>
    <col min="15647" max="15647" width="8.140625" style="638" customWidth="1"/>
    <col min="15648" max="15648" width="7.85546875" style="638" customWidth="1"/>
    <col min="15649" max="15649" width="8.5703125" style="638" customWidth="1"/>
    <col min="15650" max="15650" width="8.28515625" style="638" customWidth="1"/>
    <col min="15651" max="15651" width="11.42578125" style="638" customWidth="1"/>
    <col min="15652" max="15652" width="18" style="638" customWidth="1"/>
    <col min="15653" max="15653" width="21.42578125" style="638" customWidth="1"/>
    <col min="15654" max="15654" width="27.85546875" style="638" customWidth="1"/>
    <col min="15655" max="15870" width="11.42578125" style="638"/>
    <col min="15871" max="15871" width="13.5703125" style="638" customWidth="1"/>
    <col min="15872" max="15872" width="19" style="638" customWidth="1"/>
    <col min="15873" max="15873" width="13.5703125" style="638" customWidth="1"/>
    <col min="15874" max="15874" width="19.7109375" style="638" customWidth="1"/>
    <col min="15875" max="15875" width="13.5703125" style="638" customWidth="1"/>
    <col min="15876" max="15877" width="14.7109375" style="638" customWidth="1"/>
    <col min="15878" max="15878" width="36.140625" style="638" customWidth="1"/>
    <col min="15879" max="15879" width="29.42578125" style="638" customWidth="1"/>
    <col min="15880" max="15880" width="16" style="638" customWidth="1"/>
    <col min="15881" max="15881" width="38.28515625" style="638" customWidth="1"/>
    <col min="15882" max="15882" width="12" style="638" customWidth="1"/>
    <col min="15883" max="15883" width="38.140625" style="638" customWidth="1"/>
    <col min="15884" max="15884" width="17.85546875" style="638" bestFit="1" customWidth="1"/>
    <col min="15885" max="15885" width="24.7109375" style="638" customWidth="1"/>
    <col min="15886" max="15886" width="36.42578125" style="638" customWidth="1"/>
    <col min="15887" max="15887" width="46.7109375" style="638" customWidth="1"/>
    <col min="15888" max="15888" width="43.7109375" style="638" customWidth="1"/>
    <col min="15889" max="15889" width="25.42578125" style="638" customWidth="1"/>
    <col min="15890" max="15890" width="12.42578125" style="638" customWidth="1"/>
    <col min="15891" max="15891" width="16.42578125" style="638" customWidth="1"/>
    <col min="15892" max="15892" width="13.42578125" style="638" customWidth="1"/>
    <col min="15893" max="15893" width="8.5703125" style="638" customWidth="1"/>
    <col min="15894" max="15897" width="11.42578125" style="638" customWidth="1"/>
    <col min="15898" max="15898" width="12.7109375" style="638" customWidth="1"/>
    <col min="15899" max="15899" width="11.85546875" style="638" customWidth="1"/>
    <col min="15900" max="15900" width="7.85546875" style="638" customWidth="1"/>
    <col min="15901" max="15901" width="7.5703125" style="638" customWidth="1"/>
    <col min="15902" max="15902" width="8.85546875" style="638" customWidth="1"/>
    <col min="15903" max="15903" width="8.140625" style="638" customWidth="1"/>
    <col min="15904" max="15904" width="7.85546875" style="638" customWidth="1"/>
    <col min="15905" max="15905" width="8.5703125" style="638" customWidth="1"/>
    <col min="15906" max="15906" width="8.28515625" style="638" customWidth="1"/>
    <col min="15907" max="15907" width="11.42578125" style="638" customWidth="1"/>
    <col min="15908" max="15908" width="18" style="638" customWidth="1"/>
    <col min="15909" max="15909" width="21.42578125" style="638" customWidth="1"/>
    <col min="15910" max="15910" width="27.85546875" style="638" customWidth="1"/>
    <col min="15911" max="16126" width="11.42578125" style="638"/>
    <col min="16127" max="16127" width="13.5703125" style="638" customWidth="1"/>
    <col min="16128" max="16128" width="19" style="638" customWidth="1"/>
    <col min="16129" max="16129" width="13.5703125" style="638" customWidth="1"/>
    <col min="16130" max="16130" width="19.7109375" style="638" customWidth="1"/>
    <col min="16131" max="16131" width="13.5703125" style="638" customWidth="1"/>
    <col min="16132" max="16133" width="14.7109375" style="638" customWidth="1"/>
    <col min="16134" max="16134" width="36.140625" style="638" customWidth="1"/>
    <col min="16135" max="16135" width="29.42578125" style="638" customWidth="1"/>
    <col min="16136" max="16136" width="16" style="638" customWidth="1"/>
    <col min="16137" max="16137" width="38.28515625" style="638" customWidth="1"/>
    <col min="16138" max="16138" width="12" style="638" customWidth="1"/>
    <col min="16139" max="16139" width="38.140625" style="638" customWidth="1"/>
    <col min="16140" max="16140" width="17.85546875" style="638" bestFit="1" customWidth="1"/>
    <col min="16141" max="16141" width="24.7109375" style="638" customWidth="1"/>
    <col min="16142" max="16142" width="36.42578125" style="638" customWidth="1"/>
    <col min="16143" max="16143" width="46.7109375" style="638" customWidth="1"/>
    <col min="16144" max="16144" width="43.7109375" style="638" customWidth="1"/>
    <col min="16145" max="16145" width="25.42578125" style="638" customWidth="1"/>
    <col min="16146" max="16146" width="12.42578125" style="638" customWidth="1"/>
    <col min="16147" max="16147" width="16.42578125" style="638" customWidth="1"/>
    <col min="16148" max="16148" width="13.42578125" style="638" customWidth="1"/>
    <col min="16149" max="16149" width="8.5703125" style="638" customWidth="1"/>
    <col min="16150" max="16153" width="11.42578125" style="638" customWidth="1"/>
    <col min="16154" max="16154" width="12.7109375" style="638" customWidth="1"/>
    <col min="16155" max="16155" width="11.85546875" style="638" customWidth="1"/>
    <col min="16156" max="16156" width="7.85546875" style="638" customWidth="1"/>
    <col min="16157" max="16157" width="7.5703125" style="638" customWidth="1"/>
    <col min="16158" max="16158" width="8.85546875" style="638" customWidth="1"/>
    <col min="16159" max="16159" width="8.140625" style="638" customWidth="1"/>
    <col min="16160" max="16160" width="7.85546875" style="638" customWidth="1"/>
    <col min="16161" max="16161" width="8.5703125" style="638" customWidth="1"/>
    <col min="16162" max="16162" width="8.28515625" style="638" customWidth="1"/>
    <col min="16163" max="16163" width="11.42578125" style="638" customWidth="1"/>
    <col min="16164" max="16164" width="18" style="638" customWidth="1"/>
    <col min="16165" max="16165" width="21.42578125" style="638" customWidth="1"/>
    <col min="16166" max="16166" width="27.85546875" style="638" customWidth="1"/>
    <col min="16167" max="16384" width="11.42578125" style="638"/>
  </cols>
  <sheetData>
    <row r="1" spans="1:254" ht="24" customHeight="1" x14ac:dyDescent="0.2">
      <c r="A1" s="3885" t="s">
        <v>1979</v>
      </c>
      <c r="B1" s="3733"/>
      <c r="C1" s="3733"/>
      <c r="D1" s="3733"/>
      <c r="E1" s="3733"/>
      <c r="F1" s="3733"/>
      <c r="G1" s="3733"/>
      <c r="H1" s="3733"/>
      <c r="I1" s="3733"/>
      <c r="J1" s="3733"/>
      <c r="K1" s="3733"/>
      <c r="L1" s="3733"/>
      <c r="M1" s="3733"/>
      <c r="N1" s="3733"/>
      <c r="O1" s="3733"/>
      <c r="P1" s="3733"/>
      <c r="Q1" s="3733"/>
      <c r="R1" s="3733"/>
      <c r="S1" s="3733"/>
      <c r="T1" s="3733"/>
      <c r="U1" s="3733"/>
      <c r="V1" s="3733"/>
      <c r="W1" s="3733"/>
      <c r="X1" s="3733"/>
      <c r="Y1" s="3733"/>
      <c r="Z1" s="3733"/>
      <c r="AA1" s="3733"/>
      <c r="AB1" s="3733"/>
      <c r="AC1" s="3733"/>
      <c r="AD1" s="3733"/>
      <c r="AE1" s="3733"/>
      <c r="AF1" s="3733"/>
      <c r="AG1" s="3733"/>
      <c r="AH1" s="3733"/>
      <c r="AI1" s="3733"/>
      <c r="AJ1" s="3733"/>
      <c r="AK1" s="3733"/>
      <c r="AL1" s="3733"/>
      <c r="AM1" s="723" t="s">
        <v>0</v>
      </c>
      <c r="AN1" s="1280" t="s">
        <v>637</v>
      </c>
    </row>
    <row r="2" spans="1:254" ht="24.75" customHeight="1" x14ac:dyDescent="0.2">
      <c r="A2" s="3733"/>
      <c r="B2" s="3733"/>
      <c r="C2" s="3733"/>
      <c r="D2" s="3733"/>
      <c r="E2" s="3733"/>
      <c r="F2" s="3733"/>
      <c r="G2" s="3733"/>
      <c r="H2" s="3733"/>
      <c r="I2" s="3733"/>
      <c r="J2" s="3733"/>
      <c r="K2" s="3733"/>
      <c r="L2" s="3733"/>
      <c r="M2" s="3733"/>
      <c r="N2" s="3733"/>
      <c r="O2" s="3733"/>
      <c r="P2" s="3733"/>
      <c r="Q2" s="3733"/>
      <c r="R2" s="3733"/>
      <c r="S2" s="3733"/>
      <c r="T2" s="3733"/>
      <c r="U2" s="3733"/>
      <c r="V2" s="3733"/>
      <c r="W2" s="3733"/>
      <c r="X2" s="3733"/>
      <c r="Y2" s="3733"/>
      <c r="Z2" s="3733"/>
      <c r="AA2" s="3733"/>
      <c r="AB2" s="3733"/>
      <c r="AC2" s="3733"/>
      <c r="AD2" s="3733"/>
      <c r="AE2" s="3733"/>
      <c r="AF2" s="3733"/>
      <c r="AG2" s="3733"/>
      <c r="AH2" s="3733"/>
      <c r="AI2" s="3733"/>
      <c r="AJ2" s="3733"/>
      <c r="AK2" s="3733"/>
      <c r="AL2" s="3733"/>
      <c r="AM2" s="721" t="s">
        <v>2</v>
      </c>
      <c r="AN2" s="1280" t="s">
        <v>92</v>
      </c>
    </row>
    <row r="3" spans="1:254" ht="16.5" customHeight="1" x14ac:dyDescent="0.2">
      <c r="A3" s="3733"/>
      <c r="B3" s="3733"/>
      <c r="C3" s="3733"/>
      <c r="D3" s="3733"/>
      <c r="E3" s="3733"/>
      <c r="F3" s="3733"/>
      <c r="G3" s="3733"/>
      <c r="H3" s="3733"/>
      <c r="I3" s="3733"/>
      <c r="J3" s="3733"/>
      <c r="K3" s="3733"/>
      <c r="L3" s="3733"/>
      <c r="M3" s="3733"/>
      <c r="N3" s="3733"/>
      <c r="O3" s="3733"/>
      <c r="P3" s="3733"/>
      <c r="Q3" s="3733"/>
      <c r="R3" s="3733"/>
      <c r="S3" s="3733"/>
      <c r="T3" s="3733"/>
      <c r="U3" s="3733"/>
      <c r="V3" s="3733"/>
      <c r="W3" s="3733"/>
      <c r="X3" s="3733"/>
      <c r="Y3" s="3733"/>
      <c r="Z3" s="3733"/>
      <c r="AA3" s="3733"/>
      <c r="AB3" s="3733"/>
      <c r="AC3" s="3733"/>
      <c r="AD3" s="3733"/>
      <c r="AE3" s="3733"/>
      <c r="AF3" s="3733"/>
      <c r="AG3" s="3733"/>
      <c r="AH3" s="3733"/>
      <c r="AI3" s="3733"/>
      <c r="AJ3" s="3733"/>
      <c r="AK3" s="3733"/>
      <c r="AL3" s="3733"/>
      <c r="AM3" s="723" t="s">
        <v>3</v>
      </c>
      <c r="AN3" s="2049" t="s">
        <v>4</v>
      </c>
    </row>
    <row r="4" spans="1:254" ht="15" customHeight="1" x14ac:dyDescent="0.2">
      <c r="A4" s="2975"/>
      <c r="B4" s="2975"/>
      <c r="C4" s="2975"/>
      <c r="D4" s="2975"/>
      <c r="E4" s="2975"/>
      <c r="F4" s="2975"/>
      <c r="G4" s="2975"/>
      <c r="H4" s="2975"/>
      <c r="I4" s="2975"/>
      <c r="J4" s="2975"/>
      <c r="K4" s="2975"/>
      <c r="L4" s="2975"/>
      <c r="M4" s="2975"/>
      <c r="N4" s="2975"/>
      <c r="O4" s="2975"/>
      <c r="P4" s="2975"/>
      <c r="Q4" s="2975"/>
      <c r="R4" s="2975"/>
      <c r="S4" s="2975"/>
      <c r="T4" s="2975"/>
      <c r="U4" s="2975"/>
      <c r="V4" s="2975"/>
      <c r="W4" s="2975"/>
      <c r="X4" s="2975"/>
      <c r="Y4" s="2975"/>
      <c r="Z4" s="2975"/>
      <c r="AA4" s="2975"/>
      <c r="AB4" s="2975"/>
      <c r="AC4" s="2975"/>
      <c r="AD4" s="2975"/>
      <c r="AE4" s="2975"/>
      <c r="AF4" s="2975"/>
      <c r="AG4" s="2975"/>
      <c r="AH4" s="2975"/>
      <c r="AI4" s="2975"/>
      <c r="AJ4" s="2975"/>
      <c r="AK4" s="2975"/>
      <c r="AL4" s="2975"/>
      <c r="AM4" s="723" t="s">
        <v>5</v>
      </c>
      <c r="AN4" s="2050" t="s">
        <v>93</v>
      </c>
      <c r="AO4" s="2051"/>
      <c r="AP4" s="2051"/>
      <c r="AQ4" s="2051"/>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6"/>
      <c r="ED4" s="726"/>
      <c r="EE4" s="726"/>
      <c r="EF4" s="726"/>
      <c r="EG4" s="726"/>
      <c r="EH4" s="726"/>
      <c r="EI4" s="726"/>
      <c r="EJ4" s="726"/>
      <c r="EK4" s="726"/>
      <c r="EL4" s="726"/>
      <c r="EM4" s="726"/>
      <c r="EN4" s="726"/>
      <c r="EO4" s="726"/>
      <c r="EP4" s="726"/>
      <c r="EQ4" s="726"/>
      <c r="ER4" s="726"/>
      <c r="ES4" s="726"/>
      <c r="ET4" s="726"/>
      <c r="EU4" s="726"/>
      <c r="EV4" s="726"/>
      <c r="EW4" s="726"/>
      <c r="EX4" s="726"/>
      <c r="EY4" s="726"/>
      <c r="EZ4" s="726"/>
      <c r="FA4" s="726"/>
      <c r="FB4" s="726"/>
      <c r="FC4" s="726"/>
      <c r="FD4" s="726"/>
      <c r="FE4" s="726"/>
      <c r="FF4" s="726"/>
      <c r="FG4" s="726"/>
      <c r="FH4" s="726"/>
      <c r="FI4" s="726"/>
      <c r="FJ4" s="726"/>
      <c r="FK4" s="726"/>
      <c r="FL4" s="726"/>
      <c r="FM4" s="726"/>
      <c r="FN4" s="726"/>
      <c r="FO4" s="726"/>
      <c r="FP4" s="726"/>
      <c r="FQ4" s="726"/>
      <c r="FR4" s="726"/>
      <c r="FS4" s="726"/>
      <c r="FT4" s="726"/>
      <c r="FU4" s="726"/>
      <c r="FV4" s="726"/>
      <c r="FW4" s="726"/>
      <c r="FX4" s="726"/>
      <c r="FY4" s="726"/>
      <c r="FZ4" s="726"/>
      <c r="GA4" s="726"/>
      <c r="GB4" s="726"/>
      <c r="GC4" s="726"/>
      <c r="GD4" s="726"/>
      <c r="GE4" s="726"/>
      <c r="GF4" s="726"/>
      <c r="GG4" s="726"/>
      <c r="GH4" s="726"/>
      <c r="GI4" s="726"/>
      <c r="GJ4" s="726"/>
      <c r="GK4" s="726"/>
      <c r="GL4" s="726"/>
      <c r="GM4" s="726"/>
      <c r="GN4" s="726"/>
      <c r="GO4" s="726"/>
      <c r="GP4" s="726"/>
      <c r="GQ4" s="726"/>
      <c r="GR4" s="726"/>
      <c r="GS4" s="726"/>
      <c r="GT4" s="726"/>
      <c r="GU4" s="726"/>
      <c r="GV4" s="726"/>
      <c r="GW4" s="726"/>
      <c r="GX4" s="726"/>
      <c r="GY4" s="726"/>
      <c r="GZ4" s="726"/>
      <c r="HA4" s="726"/>
      <c r="HB4" s="726"/>
      <c r="HC4" s="726"/>
      <c r="HD4" s="726"/>
      <c r="HE4" s="726"/>
      <c r="HF4" s="726"/>
      <c r="HG4" s="726"/>
      <c r="HH4" s="726"/>
      <c r="HI4" s="726"/>
      <c r="HJ4" s="726"/>
      <c r="HK4" s="726"/>
      <c r="HL4" s="726"/>
      <c r="HM4" s="726"/>
      <c r="HN4" s="726"/>
      <c r="HO4" s="726"/>
      <c r="HP4" s="726"/>
      <c r="HQ4" s="726"/>
      <c r="HR4" s="726"/>
      <c r="HS4" s="726"/>
      <c r="HT4" s="726"/>
      <c r="HU4" s="726"/>
      <c r="HV4" s="726"/>
      <c r="HW4" s="726"/>
      <c r="HX4" s="726"/>
      <c r="HY4" s="726"/>
      <c r="HZ4" s="726"/>
      <c r="IA4" s="726"/>
      <c r="IB4" s="726"/>
      <c r="IC4" s="726"/>
      <c r="ID4" s="726"/>
      <c r="IE4" s="726"/>
      <c r="IF4" s="726"/>
      <c r="IG4" s="726"/>
      <c r="IH4" s="726"/>
      <c r="II4" s="726"/>
      <c r="IJ4" s="726"/>
      <c r="IK4" s="726"/>
      <c r="IL4" s="726"/>
      <c r="IM4" s="726"/>
      <c r="IN4" s="726"/>
      <c r="IO4" s="726"/>
      <c r="IP4" s="726"/>
      <c r="IQ4" s="726"/>
      <c r="IR4" s="726"/>
      <c r="IS4" s="726"/>
      <c r="IT4" s="726"/>
    </row>
    <row r="5" spans="1:254" ht="24" customHeight="1" x14ac:dyDescent="0.2">
      <c r="A5" s="2974" t="s">
        <v>1980</v>
      </c>
      <c r="B5" s="2974"/>
      <c r="C5" s="2974"/>
      <c r="D5" s="2974"/>
      <c r="E5" s="2974"/>
      <c r="F5" s="2974"/>
      <c r="G5" s="2974"/>
      <c r="H5" s="2974"/>
      <c r="I5" s="2974"/>
      <c r="J5" s="2974"/>
      <c r="K5" s="1783"/>
      <c r="L5" s="1783"/>
      <c r="M5" s="2976" t="s">
        <v>8</v>
      </c>
      <c r="N5" s="2976"/>
      <c r="O5" s="2976"/>
      <c r="P5" s="2976"/>
      <c r="Q5" s="2976"/>
      <c r="R5" s="2976"/>
      <c r="S5" s="2976"/>
      <c r="T5" s="2976"/>
      <c r="U5" s="2976"/>
      <c r="V5" s="2976"/>
      <c r="W5" s="2976"/>
      <c r="X5" s="2976"/>
      <c r="Y5" s="2976"/>
      <c r="Z5" s="2976"/>
      <c r="AA5" s="2976"/>
      <c r="AB5" s="2976"/>
      <c r="AC5" s="2976"/>
      <c r="AD5" s="2976"/>
      <c r="AE5" s="2976"/>
      <c r="AF5" s="2976"/>
      <c r="AG5" s="2976"/>
      <c r="AH5" s="2976"/>
      <c r="AI5" s="2976"/>
      <c r="AJ5" s="2976"/>
      <c r="AK5" s="2976"/>
      <c r="AL5" s="2976"/>
      <c r="AM5" s="2976"/>
      <c r="AN5" s="2976"/>
    </row>
    <row r="6" spans="1:254" ht="20.25" customHeight="1" x14ac:dyDescent="0.2">
      <c r="A6" s="2975"/>
      <c r="B6" s="2975"/>
      <c r="C6" s="2975"/>
      <c r="D6" s="2975"/>
      <c r="E6" s="2975"/>
      <c r="F6" s="2975"/>
      <c r="G6" s="2975"/>
      <c r="H6" s="2975"/>
      <c r="I6" s="2975"/>
      <c r="J6" s="2975"/>
      <c r="K6" s="1784"/>
      <c r="L6" s="1784"/>
      <c r="M6" s="2988"/>
      <c r="N6" s="2989"/>
      <c r="O6" s="2989"/>
      <c r="P6" s="2989"/>
      <c r="Q6" s="2989"/>
      <c r="R6" s="2989"/>
      <c r="S6" s="2989"/>
      <c r="T6" s="2989"/>
      <c r="U6" s="3523"/>
      <c r="V6" s="2988" t="s">
        <v>320</v>
      </c>
      <c r="W6" s="2989"/>
      <c r="X6" s="2989"/>
      <c r="Y6" s="2989"/>
      <c r="Z6" s="2989"/>
      <c r="AA6" s="2989"/>
      <c r="AB6" s="2989"/>
      <c r="AC6" s="2989"/>
      <c r="AD6" s="2989"/>
      <c r="AE6" s="2989"/>
      <c r="AF6" s="2989"/>
      <c r="AG6" s="2989"/>
      <c r="AH6" s="2989"/>
      <c r="AI6" s="2989"/>
      <c r="AJ6" s="2989"/>
      <c r="AK6" s="2989"/>
      <c r="AL6" s="2988"/>
      <c r="AM6" s="2989"/>
      <c r="AN6" s="3523"/>
    </row>
    <row r="7" spans="1:254" ht="14.25" customHeight="1" x14ac:dyDescent="0.2">
      <c r="A7" s="3886" t="s">
        <v>9</v>
      </c>
      <c r="B7" s="3878" t="s">
        <v>10</v>
      </c>
      <c r="C7" s="3878" t="s">
        <v>9</v>
      </c>
      <c r="D7" s="3878" t="s">
        <v>11</v>
      </c>
      <c r="E7" s="3878" t="s">
        <v>9</v>
      </c>
      <c r="F7" s="3878" t="s">
        <v>12</v>
      </c>
      <c r="G7" s="3878" t="s">
        <v>9</v>
      </c>
      <c r="H7" s="3878" t="s">
        <v>13</v>
      </c>
      <c r="I7" s="3878" t="s">
        <v>14</v>
      </c>
      <c r="J7" s="3878" t="s">
        <v>15</v>
      </c>
      <c r="K7" s="3878" t="s">
        <v>16</v>
      </c>
      <c r="L7" s="3878" t="s">
        <v>17</v>
      </c>
      <c r="M7" s="3878" t="s">
        <v>8</v>
      </c>
      <c r="N7" s="3878" t="s">
        <v>18</v>
      </c>
      <c r="O7" s="3875" t="s">
        <v>19</v>
      </c>
      <c r="P7" s="3882" t="s">
        <v>20</v>
      </c>
      <c r="Q7" s="3882" t="s">
        <v>21</v>
      </c>
      <c r="R7" s="3878" t="s">
        <v>22</v>
      </c>
      <c r="S7" s="3875" t="s">
        <v>19</v>
      </c>
      <c r="T7" s="3878" t="s">
        <v>9</v>
      </c>
      <c r="U7" s="3878" t="s">
        <v>23</v>
      </c>
      <c r="V7" s="3881" t="s">
        <v>24</v>
      </c>
      <c r="W7" s="3881"/>
      <c r="X7" s="3881" t="s">
        <v>25</v>
      </c>
      <c r="Y7" s="3881"/>
      <c r="Z7" s="3881"/>
      <c r="AA7" s="3881"/>
      <c r="AB7" s="3881" t="s">
        <v>26</v>
      </c>
      <c r="AC7" s="3881"/>
      <c r="AD7" s="3881"/>
      <c r="AE7" s="3881"/>
      <c r="AF7" s="3881"/>
      <c r="AG7" s="3881"/>
      <c r="AH7" s="3881" t="s">
        <v>27</v>
      </c>
      <c r="AI7" s="3881"/>
      <c r="AJ7" s="3881"/>
      <c r="AK7" s="3889" t="s">
        <v>28</v>
      </c>
      <c r="AL7" s="3892" t="s">
        <v>29</v>
      </c>
      <c r="AM7" s="3892" t="s">
        <v>30</v>
      </c>
      <c r="AN7" s="3895" t="s">
        <v>31</v>
      </c>
    </row>
    <row r="8" spans="1:254" ht="14.25" customHeight="1" x14ac:dyDescent="0.2">
      <c r="A8" s="3887"/>
      <c r="B8" s="3879"/>
      <c r="C8" s="3879"/>
      <c r="D8" s="3879"/>
      <c r="E8" s="3879"/>
      <c r="F8" s="3879"/>
      <c r="G8" s="3879"/>
      <c r="H8" s="3879"/>
      <c r="I8" s="3879"/>
      <c r="J8" s="3879"/>
      <c r="K8" s="3879"/>
      <c r="L8" s="3879"/>
      <c r="M8" s="3879"/>
      <c r="N8" s="3879"/>
      <c r="O8" s="3876"/>
      <c r="P8" s="3883"/>
      <c r="Q8" s="3883"/>
      <c r="R8" s="3879"/>
      <c r="S8" s="3876"/>
      <c r="T8" s="3879"/>
      <c r="U8" s="3879"/>
      <c r="V8" s="3881"/>
      <c r="W8" s="3881"/>
      <c r="X8" s="3881"/>
      <c r="Y8" s="3881"/>
      <c r="Z8" s="3881"/>
      <c r="AA8" s="3881"/>
      <c r="AB8" s="3881"/>
      <c r="AC8" s="3881"/>
      <c r="AD8" s="3881"/>
      <c r="AE8" s="3881"/>
      <c r="AF8" s="3881"/>
      <c r="AG8" s="3881"/>
      <c r="AH8" s="3881"/>
      <c r="AI8" s="3881"/>
      <c r="AJ8" s="3881"/>
      <c r="AK8" s="3890"/>
      <c r="AL8" s="3893"/>
      <c r="AM8" s="3893"/>
      <c r="AN8" s="3896"/>
    </row>
    <row r="9" spans="1:254" ht="133.5" customHeight="1" x14ac:dyDescent="0.2">
      <c r="A9" s="3888"/>
      <c r="B9" s="3880"/>
      <c r="C9" s="3880"/>
      <c r="D9" s="3880"/>
      <c r="E9" s="3880"/>
      <c r="F9" s="3880"/>
      <c r="G9" s="3880"/>
      <c r="H9" s="3880"/>
      <c r="I9" s="3880"/>
      <c r="J9" s="3880"/>
      <c r="K9" s="3880"/>
      <c r="L9" s="3880"/>
      <c r="M9" s="3880"/>
      <c r="N9" s="3880"/>
      <c r="O9" s="3877"/>
      <c r="P9" s="3884"/>
      <c r="Q9" s="3884"/>
      <c r="R9" s="3880"/>
      <c r="S9" s="3877"/>
      <c r="T9" s="3880"/>
      <c r="U9" s="3880"/>
      <c r="V9" s="2052" t="s">
        <v>32</v>
      </c>
      <c r="W9" s="2053" t="s">
        <v>33</v>
      </c>
      <c r="X9" s="2052" t="s">
        <v>34</v>
      </c>
      <c r="Y9" s="2052" t="s">
        <v>35</v>
      </c>
      <c r="Z9" s="2052" t="s">
        <v>1981</v>
      </c>
      <c r="AA9" s="2052" t="s">
        <v>37</v>
      </c>
      <c r="AB9" s="2052" t="s">
        <v>38</v>
      </c>
      <c r="AC9" s="2052" t="s">
        <v>39</v>
      </c>
      <c r="AD9" s="2052" t="s">
        <v>40</v>
      </c>
      <c r="AE9" s="2052" t="s">
        <v>41</v>
      </c>
      <c r="AF9" s="2052" t="s">
        <v>42</v>
      </c>
      <c r="AG9" s="2052" t="s">
        <v>43</v>
      </c>
      <c r="AH9" s="2052" t="s">
        <v>44</v>
      </c>
      <c r="AI9" s="2052" t="s">
        <v>45</v>
      </c>
      <c r="AJ9" s="2052" t="s">
        <v>46</v>
      </c>
      <c r="AK9" s="3891"/>
      <c r="AL9" s="3894"/>
      <c r="AM9" s="3894"/>
      <c r="AN9" s="3897"/>
    </row>
    <row r="10" spans="1:254" ht="15" x14ac:dyDescent="0.2">
      <c r="A10" s="2054">
        <v>3</v>
      </c>
      <c r="B10" s="2055" t="s">
        <v>999</v>
      </c>
      <c r="C10" s="2056"/>
      <c r="D10" s="2056"/>
      <c r="E10" s="2056"/>
      <c r="F10" s="2056"/>
      <c r="G10" s="2056"/>
      <c r="H10" s="2057"/>
      <c r="I10" s="2057"/>
      <c r="J10" s="2056"/>
      <c r="K10" s="2056"/>
      <c r="L10" s="2056"/>
      <c r="M10" s="2057"/>
      <c r="N10" s="2056"/>
      <c r="O10" s="2056"/>
      <c r="P10" s="2057"/>
      <c r="Q10" s="2057"/>
      <c r="R10" s="2057"/>
      <c r="S10" s="2056"/>
      <c r="T10" s="2058"/>
      <c r="U10" s="2057"/>
      <c r="V10" s="2056"/>
      <c r="W10" s="2056"/>
      <c r="X10" s="2056"/>
      <c r="Y10" s="2056"/>
      <c r="Z10" s="2056"/>
      <c r="AA10" s="2056"/>
      <c r="AB10" s="2056"/>
      <c r="AC10" s="2056"/>
      <c r="AD10" s="2056"/>
      <c r="AE10" s="2056"/>
      <c r="AF10" s="2056"/>
      <c r="AG10" s="2056"/>
      <c r="AH10" s="2056"/>
      <c r="AI10" s="2056"/>
      <c r="AJ10" s="2056"/>
      <c r="AK10" s="2056"/>
      <c r="AL10" s="2056"/>
      <c r="AM10" s="2056"/>
      <c r="AN10" s="2059"/>
    </row>
    <row r="11" spans="1:254" ht="15" x14ac:dyDescent="0.2">
      <c r="A11" s="2060"/>
      <c r="B11" s="2061"/>
      <c r="C11" s="2062">
        <v>16</v>
      </c>
      <c r="D11" s="2063" t="s">
        <v>1466</v>
      </c>
      <c r="E11" s="2064"/>
      <c r="F11" s="2064"/>
      <c r="G11" s="2064"/>
      <c r="H11" s="2065"/>
      <c r="I11" s="2065"/>
      <c r="J11" s="2064"/>
      <c r="K11" s="2064"/>
      <c r="L11" s="2064"/>
      <c r="M11" s="2065"/>
      <c r="N11" s="2064"/>
      <c r="O11" s="2064"/>
      <c r="P11" s="2065"/>
      <c r="Q11" s="2065"/>
      <c r="R11" s="2065"/>
      <c r="S11" s="2064"/>
      <c r="T11" s="2066"/>
      <c r="U11" s="2065"/>
      <c r="V11" s="2064"/>
      <c r="W11" s="2064"/>
      <c r="X11" s="2064"/>
      <c r="Y11" s="2064"/>
      <c r="Z11" s="2064"/>
      <c r="AA11" s="2064"/>
      <c r="AB11" s="2064"/>
      <c r="AC11" s="2064"/>
      <c r="AD11" s="2064"/>
      <c r="AE11" s="2064"/>
      <c r="AF11" s="2064"/>
      <c r="AG11" s="2064"/>
      <c r="AH11" s="2064"/>
      <c r="AI11" s="2064"/>
      <c r="AJ11" s="2064"/>
      <c r="AK11" s="2064"/>
      <c r="AL11" s="2064"/>
      <c r="AM11" s="2064"/>
      <c r="AN11" s="2067"/>
    </row>
    <row r="12" spans="1:254" ht="15" x14ac:dyDescent="0.2">
      <c r="A12" s="2060"/>
      <c r="B12" s="2061"/>
      <c r="C12" s="2068"/>
      <c r="D12" s="2061"/>
      <c r="E12" s="640">
        <v>56</v>
      </c>
      <c r="F12" s="2069" t="s">
        <v>1982</v>
      </c>
      <c r="G12" s="2070"/>
      <c r="H12" s="2071"/>
      <c r="I12" s="2071"/>
      <c r="J12" s="2070"/>
      <c r="K12" s="2070"/>
      <c r="L12" s="2070"/>
      <c r="M12" s="2071"/>
      <c r="N12" s="2070"/>
      <c r="O12" s="2070"/>
      <c r="P12" s="2071"/>
      <c r="Q12" s="2071"/>
      <c r="R12" s="2071"/>
      <c r="S12" s="2070"/>
      <c r="T12" s="2072"/>
      <c r="U12" s="2071"/>
      <c r="V12" s="2070"/>
      <c r="W12" s="2070"/>
      <c r="X12" s="2070"/>
      <c r="Y12" s="2070"/>
      <c r="Z12" s="2070"/>
      <c r="AA12" s="2070"/>
      <c r="AB12" s="2070"/>
      <c r="AC12" s="2070"/>
      <c r="AD12" s="2070"/>
      <c r="AE12" s="2070"/>
      <c r="AF12" s="2070"/>
      <c r="AG12" s="2070"/>
      <c r="AH12" s="2070"/>
      <c r="AI12" s="2070"/>
      <c r="AJ12" s="2070"/>
      <c r="AK12" s="2070"/>
      <c r="AL12" s="2070"/>
      <c r="AM12" s="2070"/>
      <c r="AN12" s="2073"/>
    </row>
    <row r="13" spans="1:254" ht="48.75" customHeight="1" x14ac:dyDescent="0.2">
      <c r="A13" s="2060"/>
      <c r="B13" s="2061"/>
      <c r="C13" s="2068"/>
      <c r="D13" s="2061"/>
      <c r="E13" s="3873"/>
      <c r="F13" s="3874"/>
      <c r="G13" s="3736">
        <v>180</v>
      </c>
      <c r="H13" s="3771" t="s">
        <v>1983</v>
      </c>
      <c r="I13" s="3065" t="s">
        <v>1984</v>
      </c>
      <c r="J13" s="3232">
        <v>1</v>
      </c>
      <c r="K13" s="3795" t="s">
        <v>1985</v>
      </c>
      <c r="L13" s="3852" t="s">
        <v>1986</v>
      </c>
      <c r="M13" s="3772" t="s">
        <v>1987</v>
      </c>
      <c r="N13" s="3769">
        <f>SUM(S13:S16)/O13</f>
        <v>0.69789227166276346</v>
      </c>
      <c r="O13" s="3817">
        <f>SUM(S13:S20)</f>
        <v>64050000</v>
      </c>
      <c r="P13" s="3771" t="s">
        <v>1988</v>
      </c>
      <c r="Q13" s="3248" t="s">
        <v>1989</v>
      </c>
      <c r="R13" s="1176" t="s">
        <v>1990</v>
      </c>
      <c r="S13" s="1790">
        <v>28960000</v>
      </c>
      <c r="T13" s="2074" t="s">
        <v>58</v>
      </c>
      <c r="U13" s="2074" t="s">
        <v>667</v>
      </c>
      <c r="V13" s="3870">
        <v>1813</v>
      </c>
      <c r="W13" s="3870">
        <v>1887</v>
      </c>
      <c r="X13" s="3496">
        <v>2000</v>
      </c>
      <c r="Y13" s="3496">
        <v>700</v>
      </c>
      <c r="Z13" s="3496">
        <v>1000</v>
      </c>
      <c r="AA13" s="3496"/>
      <c r="AB13" s="3496"/>
      <c r="AC13" s="3496"/>
      <c r="AD13" s="3496"/>
      <c r="AE13" s="3496"/>
      <c r="AF13" s="3496"/>
      <c r="AG13" s="3496"/>
      <c r="AH13" s="3496"/>
      <c r="AI13" s="3496"/>
      <c r="AJ13" s="3496"/>
      <c r="AK13" s="3496">
        <f>SUM(X13:AA20)</f>
        <v>3700</v>
      </c>
      <c r="AL13" s="3027">
        <v>43467</v>
      </c>
      <c r="AM13" s="3027">
        <v>43830</v>
      </c>
      <c r="AN13" s="3248" t="s">
        <v>1991</v>
      </c>
    </row>
    <row r="14" spans="1:254" ht="51.75" customHeight="1" x14ac:dyDescent="0.2">
      <c r="A14" s="2060"/>
      <c r="B14" s="2061"/>
      <c r="C14" s="2068"/>
      <c r="D14" s="2061"/>
      <c r="E14" s="3759"/>
      <c r="F14" s="3760"/>
      <c r="G14" s="3763"/>
      <c r="H14" s="3772"/>
      <c r="I14" s="3244"/>
      <c r="J14" s="3233"/>
      <c r="K14" s="3796"/>
      <c r="L14" s="3853"/>
      <c r="M14" s="3772"/>
      <c r="N14" s="3193"/>
      <c r="O14" s="3817"/>
      <c r="P14" s="3772"/>
      <c r="Q14" s="3249"/>
      <c r="R14" s="2075" t="s">
        <v>1992</v>
      </c>
      <c r="S14" s="1790">
        <v>3500000</v>
      </c>
      <c r="T14" s="2074" t="s">
        <v>58</v>
      </c>
      <c r="U14" s="2074" t="s">
        <v>667</v>
      </c>
      <c r="V14" s="3871"/>
      <c r="W14" s="3871"/>
      <c r="X14" s="3497"/>
      <c r="Y14" s="3497"/>
      <c r="Z14" s="3497"/>
      <c r="AA14" s="3497"/>
      <c r="AB14" s="3497"/>
      <c r="AC14" s="3497"/>
      <c r="AD14" s="3497"/>
      <c r="AE14" s="3497"/>
      <c r="AF14" s="3497"/>
      <c r="AG14" s="3497"/>
      <c r="AH14" s="3497"/>
      <c r="AI14" s="3497"/>
      <c r="AJ14" s="3497"/>
      <c r="AK14" s="3497"/>
      <c r="AL14" s="3027"/>
      <c r="AM14" s="3027"/>
      <c r="AN14" s="3249"/>
    </row>
    <row r="15" spans="1:254" ht="63.75" customHeight="1" x14ac:dyDescent="0.2">
      <c r="A15" s="2060"/>
      <c r="B15" s="2061"/>
      <c r="C15" s="2068"/>
      <c r="D15" s="2061"/>
      <c r="E15" s="3759"/>
      <c r="F15" s="3760"/>
      <c r="G15" s="3763"/>
      <c r="H15" s="3772"/>
      <c r="I15" s="3244"/>
      <c r="J15" s="3233"/>
      <c r="K15" s="3796"/>
      <c r="L15" s="3853"/>
      <c r="M15" s="3772"/>
      <c r="N15" s="3193"/>
      <c r="O15" s="3817"/>
      <c r="P15" s="3772"/>
      <c r="Q15" s="3249"/>
      <c r="R15" s="1788" t="s">
        <v>1993</v>
      </c>
      <c r="S15" s="1790">
        <v>4280000</v>
      </c>
      <c r="T15" s="2074" t="s">
        <v>58</v>
      </c>
      <c r="U15" s="2074" t="s">
        <v>667</v>
      </c>
      <c r="V15" s="3871"/>
      <c r="W15" s="3871"/>
      <c r="X15" s="3497"/>
      <c r="Y15" s="3497"/>
      <c r="Z15" s="3497"/>
      <c r="AA15" s="3497"/>
      <c r="AB15" s="3497"/>
      <c r="AC15" s="3497"/>
      <c r="AD15" s="3497"/>
      <c r="AE15" s="3497"/>
      <c r="AF15" s="3497"/>
      <c r="AG15" s="3497"/>
      <c r="AH15" s="3497"/>
      <c r="AI15" s="3497"/>
      <c r="AJ15" s="3497"/>
      <c r="AK15" s="3497"/>
      <c r="AL15" s="3027"/>
      <c r="AM15" s="3027"/>
      <c r="AN15" s="3249"/>
    </row>
    <row r="16" spans="1:254" ht="66" customHeight="1" x14ac:dyDescent="0.2">
      <c r="A16" s="2060"/>
      <c r="B16" s="2061"/>
      <c r="C16" s="2068"/>
      <c r="D16" s="2061"/>
      <c r="E16" s="3759"/>
      <c r="F16" s="3760"/>
      <c r="G16" s="3737"/>
      <c r="H16" s="3773"/>
      <c r="I16" s="3066"/>
      <c r="J16" s="3234"/>
      <c r="K16" s="3796"/>
      <c r="L16" s="3853"/>
      <c r="M16" s="3772"/>
      <c r="N16" s="3194"/>
      <c r="O16" s="3817"/>
      <c r="P16" s="3772"/>
      <c r="Q16" s="3250"/>
      <c r="R16" s="1788" t="s">
        <v>1994</v>
      </c>
      <c r="S16" s="1790">
        <v>7960000</v>
      </c>
      <c r="T16" s="2074" t="s">
        <v>58</v>
      </c>
      <c r="U16" s="2074" t="s">
        <v>667</v>
      </c>
      <c r="V16" s="3871"/>
      <c r="W16" s="3871"/>
      <c r="X16" s="3497"/>
      <c r="Y16" s="3497"/>
      <c r="Z16" s="3497"/>
      <c r="AA16" s="3497"/>
      <c r="AB16" s="3497"/>
      <c r="AC16" s="3497"/>
      <c r="AD16" s="3497"/>
      <c r="AE16" s="3497"/>
      <c r="AF16" s="3497"/>
      <c r="AG16" s="3497"/>
      <c r="AH16" s="3497"/>
      <c r="AI16" s="3497"/>
      <c r="AJ16" s="3497"/>
      <c r="AK16" s="3497"/>
      <c r="AL16" s="3027"/>
      <c r="AM16" s="3027"/>
      <c r="AN16" s="3249"/>
    </row>
    <row r="17" spans="1:40" ht="66" customHeight="1" x14ac:dyDescent="0.2">
      <c r="A17" s="2060"/>
      <c r="B17" s="2061"/>
      <c r="C17" s="2068"/>
      <c r="D17" s="2061"/>
      <c r="E17" s="3759"/>
      <c r="F17" s="3760"/>
      <c r="G17" s="3736">
        <v>181</v>
      </c>
      <c r="H17" s="3771" t="s">
        <v>1995</v>
      </c>
      <c r="I17" s="3065" t="s">
        <v>1996</v>
      </c>
      <c r="J17" s="3232">
        <v>6</v>
      </c>
      <c r="K17" s="3796"/>
      <c r="L17" s="3853"/>
      <c r="M17" s="3772"/>
      <c r="N17" s="3769">
        <f>SUM(S17:S20)/O13</f>
        <v>0.30210772833723654</v>
      </c>
      <c r="O17" s="3817"/>
      <c r="P17" s="3772"/>
      <c r="Q17" s="3248" t="s">
        <v>1997</v>
      </c>
      <c r="R17" s="1176" t="s">
        <v>1998</v>
      </c>
      <c r="S17" s="1790">
        <v>4750000</v>
      </c>
      <c r="T17" s="2074" t="s">
        <v>58</v>
      </c>
      <c r="U17" s="2074" t="s">
        <v>667</v>
      </c>
      <c r="V17" s="3871"/>
      <c r="W17" s="3871"/>
      <c r="X17" s="3497"/>
      <c r="Y17" s="3497"/>
      <c r="Z17" s="3497"/>
      <c r="AA17" s="3497"/>
      <c r="AB17" s="3497"/>
      <c r="AC17" s="3497"/>
      <c r="AD17" s="3497"/>
      <c r="AE17" s="3497"/>
      <c r="AF17" s="3497"/>
      <c r="AG17" s="3497"/>
      <c r="AH17" s="3497"/>
      <c r="AI17" s="3497"/>
      <c r="AJ17" s="3497"/>
      <c r="AK17" s="3497"/>
      <c r="AL17" s="3027"/>
      <c r="AM17" s="3027"/>
      <c r="AN17" s="3249"/>
    </row>
    <row r="18" spans="1:40" ht="72" customHeight="1" x14ac:dyDescent="0.2">
      <c r="A18" s="2060"/>
      <c r="B18" s="2061"/>
      <c r="C18" s="2068"/>
      <c r="D18" s="2061"/>
      <c r="E18" s="3759"/>
      <c r="F18" s="3760"/>
      <c r="G18" s="3763"/>
      <c r="H18" s="3772"/>
      <c r="I18" s="3244"/>
      <c r="J18" s="3233"/>
      <c r="K18" s="3796"/>
      <c r="L18" s="3853"/>
      <c r="M18" s="3772"/>
      <c r="N18" s="3193"/>
      <c r="O18" s="3817"/>
      <c r="P18" s="3772"/>
      <c r="Q18" s="3249"/>
      <c r="R18" s="1176" t="s">
        <v>1999</v>
      </c>
      <c r="S18" s="1790">
        <v>5750000</v>
      </c>
      <c r="T18" s="2074" t="s">
        <v>58</v>
      </c>
      <c r="U18" s="2074" t="s">
        <v>667</v>
      </c>
      <c r="V18" s="3871"/>
      <c r="W18" s="3871"/>
      <c r="X18" s="3497"/>
      <c r="Y18" s="3497"/>
      <c r="Z18" s="3497"/>
      <c r="AA18" s="3497"/>
      <c r="AB18" s="3497"/>
      <c r="AC18" s="3497"/>
      <c r="AD18" s="3497"/>
      <c r="AE18" s="3497"/>
      <c r="AF18" s="3497"/>
      <c r="AG18" s="3497"/>
      <c r="AH18" s="3497"/>
      <c r="AI18" s="3497"/>
      <c r="AJ18" s="3497"/>
      <c r="AK18" s="3497"/>
      <c r="AL18" s="3027"/>
      <c r="AM18" s="3027"/>
      <c r="AN18" s="3249"/>
    </row>
    <row r="19" spans="1:40" ht="66" customHeight="1" x14ac:dyDescent="0.2">
      <c r="A19" s="2060"/>
      <c r="B19" s="2061"/>
      <c r="C19" s="2068"/>
      <c r="D19" s="2061"/>
      <c r="E19" s="3759"/>
      <c r="F19" s="3760"/>
      <c r="G19" s="3763"/>
      <c r="H19" s="3772"/>
      <c r="I19" s="3244"/>
      <c r="J19" s="3233"/>
      <c r="K19" s="3796"/>
      <c r="L19" s="3853"/>
      <c r="M19" s="3772"/>
      <c r="N19" s="3193"/>
      <c r="O19" s="3817"/>
      <c r="P19" s="3772"/>
      <c r="Q19" s="3249"/>
      <c r="R19" s="1176" t="s">
        <v>2000</v>
      </c>
      <c r="S19" s="1790">
        <v>4750000</v>
      </c>
      <c r="T19" s="2074" t="s">
        <v>58</v>
      </c>
      <c r="U19" s="2074" t="s">
        <v>667</v>
      </c>
      <c r="V19" s="3871"/>
      <c r="W19" s="3871"/>
      <c r="X19" s="3497"/>
      <c r="Y19" s="3497"/>
      <c r="Z19" s="3497"/>
      <c r="AA19" s="3497"/>
      <c r="AB19" s="3497"/>
      <c r="AC19" s="3497"/>
      <c r="AD19" s="3497"/>
      <c r="AE19" s="3497"/>
      <c r="AF19" s="3497"/>
      <c r="AG19" s="3497"/>
      <c r="AH19" s="3497"/>
      <c r="AI19" s="3497"/>
      <c r="AJ19" s="3497"/>
      <c r="AK19" s="3497"/>
      <c r="AL19" s="3027"/>
      <c r="AM19" s="3027"/>
      <c r="AN19" s="3249"/>
    </row>
    <row r="20" spans="1:40" ht="57.75" customHeight="1" x14ac:dyDescent="0.2">
      <c r="A20" s="2060"/>
      <c r="B20" s="2061"/>
      <c r="C20" s="2076"/>
      <c r="D20" s="2077"/>
      <c r="E20" s="3761"/>
      <c r="F20" s="3762"/>
      <c r="G20" s="3737"/>
      <c r="H20" s="3773"/>
      <c r="I20" s="3066"/>
      <c r="J20" s="3234"/>
      <c r="K20" s="3797"/>
      <c r="L20" s="3854"/>
      <c r="M20" s="3773"/>
      <c r="N20" s="3194"/>
      <c r="O20" s="3770"/>
      <c r="P20" s="3773"/>
      <c r="Q20" s="3250"/>
      <c r="R20" s="2075" t="s">
        <v>2001</v>
      </c>
      <c r="S20" s="1789">
        <v>4100000</v>
      </c>
      <c r="T20" s="2074" t="s">
        <v>58</v>
      </c>
      <c r="U20" s="2074" t="s">
        <v>667</v>
      </c>
      <c r="V20" s="3872"/>
      <c r="W20" s="3872"/>
      <c r="X20" s="3498"/>
      <c r="Y20" s="3498"/>
      <c r="Z20" s="3498"/>
      <c r="AA20" s="3498"/>
      <c r="AB20" s="3498"/>
      <c r="AC20" s="3498"/>
      <c r="AD20" s="3498"/>
      <c r="AE20" s="3498"/>
      <c r="AF20" s="3498"/>
      <c r="AG20" s="3498"/>
      <c r="AH20" s="3498"/>
      <c r="AI20" s="3498"/>
      <c r="AJ20" s="3498"/>
      <c r="AK20" s="3498"/>
      <c r="AL20" s="3748"/>
      <c r="AM20" s="3748"/>
      <c r="AN20" s="3250"/>
    </row>
    <row r="21" spans="1:40" ht="15" x14ac:dyDescent="0.2">
      <c r="A21" s="2060"/>
      <c r="B21" s="2061"/>
      <c r="C21" s="2062">
        <v>17</v>
      </c>
      <c r="D21" s="2078" t="s">
        <v>2002</v>
      </c>
      <c r="E21" s="2079"/>
      <c r="F21" s="2079"/>
      <c r="G21" s="2079"/>
      <c r="H21" s="2080"/>
      <c r="I21" s="2080"/>
      <c r="J21" s="2079"/>
      <c r="K21" s="2079"/>
      <c r="L21" s="2079"/>
      <c r="M21" s="1486"/>
      <c r="N21" s="2079"/>
      <c r="O21" s="2079"/>
      <c r="P21" s="2080"/>
      <c r="Q21" s="2080"/>
      <c r="R21" s="2080"/>
      <c r="S21" s="2081"/>
      <c r="T21" s="1782"/>
      <c r="U21" s="1486"/>
      <c r="V21" s="2079"/>
      <c r="W21" s="2079"/>
      <c r="X21" s="2079"/>
      <c r="Y21" s="2079"/>
      <c r="Z21" s="2079"/>
      <c r="AA21" s="2079"/>
      <c r="AB21" s="2079"/>
      <c r="AC21" s="2079"/>
      <c r="AD21" s="2079"/>
      <c r="AE21" s="2079"/>
      <c r="AF21" s="2079"/>
      <c r="AG21" s="2079"/>
      <c r="AH21" s="2079"/>
      <c r="AI21" s="2079"/>
      <c r="AJ21" s="2079"/>
      <c r="AK21" s="2079"/>
      <c r="AL21" s="2079"/>
      <c r="AM21" s="2079"/>
      <c r="AN21" s="1207"/>
    </row>
    <row r="22" spans="1:40" ht="15" x14ac:dyDescent="0.2">
      <c r="A22" s="2060"/>
      <c r="B22" s="2061"/>
      <c r="C22" s="2082"/>
      <c r="D22" s="649"/>
      <c r="E22" s="640">
        <v>58</v>
      </c>
      <c r="F22" s="2069" t="s">
        <v>2003</v>
      </c>
      <c r="G22" s="2070"/>
      <c r="H22" s="2083"/>
      <c r="I22" s="2083"/>
      <c r="J22" s="2070"/>
      <c r="K22" s="2070"/>
      <c r="L22" s="2070"/>
      <c r="M22" s="2071"/>
      <c r="N22" s="2070"/>
      <c r="O22" s="2070"/>
      <c r="P22" s="2083"/>
      <c r="Q22" s="2083"/>
      <c r="R22" s="2084"/>
      <c r="S22" s="2085"/>
      <c r="T22" s="2086"/>
      <c r="U22" s="2087"/>
      <c r="V22" s="2070"/>
      <c r="W22" s="2070"/>
      <c r="X22" s="2070"/>
      <c r="Y22" s="2070"/>
      <c r="Z22" s="2070"/>
      <c r="AA22" s="2070"/>
      <c r="AB22" s="2070"/>
      <c r="AC22" s="2070"/>
      <c r="AD22" s="2070"/>
      <c r="AE22" s="2070"/>
      <c r="AF22" s="2070"/>
      <c r="AG22" s="2070"/>
      <c r="AH22" s="2070"/>
      <c r="AI22" s="2070"/>
      <c r="AJ22" s="2070"/>
      <c r="AK22" s="2070"/>
      <c r="AL22" s="2070"/>
      <c r="AM22" s="2070"/>
      <c r="AN22" s="2073"/>
    </row>
    <row r="23" spans="1:40" ht="51.75" customHeight="1" x14ac:dyDescent="0.2">
      <c r="A23" s="2060"/>
      <c r="B23" s="2061"/>
      <c r="C23" s="2082"/>
      <c r="D23" s="649"/>
      <c r="E23" s="680"/>
      <c r="F23" s="2088"/>
      <c r="G23" s="3867">
        <v>183</v>
      </c>
      <c r="H23" s="3753" t="s">
        <v>2004</v>
      </c>
      <c r="I23" s="3753" t="s">
        <v>2005</v>
      </c>
      <c r="J23" s="3868">
        <v>1</v>
      </c>
      <c r="K23" s="3795" t="s">
        <v>2006</v>
      </c>
      <c r="L23" s="3853" t="s">
        <v>2007</v>
      </c>
      <c r="M23" s="3772" t="s">
        <v>2008</v>
      </c>
      <c r="N23" s="3193">
        <f>SUM(S23:S29)/O23</f>
        <v>1</v>
      </c>
      <c r="O23" s="3817">
        <f>SUM(S23:S29)</f>
        <v>178850000</v>
      </c>
      <c r="P23" s="3772" t="s">
        <v>2009</v>
      </c>
      <c r="Q23" s="3274" t="s">
        <v>2010</v>
      </c>
      <c r="R23" s="1176" t="s">
        <v>2011</v>
      </c>
      <c r="S23" s="2089">
        <v>18590000</v>
      </c>
      <c r="T23" s="2090">
        <v>20</v>
      </c>
      <c r="U23" s="2091" t="s">
        <v>72</v>
      </c>
      <c r="V23" s="3866">
        <v>3625</v>
      </c>
      <c r="W23" s="3863">
        <v>3875</v>
      </c>
      <c r="X23" s="3863">
        <v>2000</v>
      </c>
      <c r="Y23" s="3863">
        <v>4000</v>
      </c>
      <c r="Z23" s="3863">
        <v>1000</v>
      </c>
      <c r="AA23" s="3863">
        <v>500</v>
      </c>
      <c r="AB23" s="3863"/>
      <c r="AC23" s="3863"/>
      <c r="AD23" s="3863"/>
      <c r="AE23" s="3863"/>
      <c r="AF23" s="3863"/>
      <c r="AG23" s="3863"/>
      <c r="AH23" s="3863"/>
      <c r="AI23" s="3863"/>
      <c r="AJ23" s="3863"/>
      <c r="AK23" s="3864">
        <f>SUM(X23:AI29)</f>
        <v>7500</v>
      </c>
      <c r="AL23" s="3025">
        <v>43467</v>
      </c>
      <c r="AM23" s="3027">
        <v>43830</v>
      </c>
      <c r="AN23" s="3249" t="s">
        <v>1991</v>
      </c>
    </row>
    <row r="24" spans="1:40" ht="86.25" customHeight="1" x14ac:dyDescent="0.2">
      <c r="A24" s="2060"/>
      <c r="B24" s="2061"/>
      <c r="C24" s="2082"/>
      <c r="D24" s="649"/>
      <c r="E24" s="2082"/>
      <c r="F24" s="649"/>
      <c r="G24" s="3867"/>
      <c r="H24" s="3753"/>
      <c r="I24" s="3753"/>
      <c r="J24" s="3868"/>
      <c r="K24" s="3796"/>
      <c r="L24" s="3853"/>
      <c r="M24" s="3772"/>
      <c r="N24" s="3193"/>
      <c r="O24" s="3817"/>
      <c r="P24" s="3772"/>
      <c r="Q24" s="3865"/>
      <c r="R24" s="1176" t="s">
        <v>2012</v>
      </c>
      <c r="S24" s="2092">
        <f>40770000+14981000</f>
        <v>55751000</v>
      </c>
      <c r="T24" s="2090">
        <v>20</v>
      </c>
      <c r="U24" s="2091" t="s">
        <v>72</v>
      </c>
      <c r="V24" s="3866"/>
      <c r="W24" s="3863"/>
      <c r="X24" s="3863"/>
      <c r="Y24" s="3863"/>
      <c r="Z24" s="3863"/>
      <c r="AA24" s="3863"/>
      <c r="AB24" s="3863"/>
      <c r="AC24" s="3863"/>
      <c r="AD24" s="3863"/>
      <c r="AE24" s="3863"/>
      <c r="AF24" s="3863"/>
      <c r="AG24" s="3863"/>
      <c r="AH24" s="3863"/>
      <c r="AI24" s="3863"/>
      <c r="AJ24" s="3863"/>
      <c r="AK24" s="3863"/>
      <c r="AL24" s="3026"/>
      <c r="AM24" s="3027"/>
      <c r="AN24" s="3249"/>
    </row>
    <row r="25" spans="1:40" ht="55.5" customHeight="1" x14ac:dyDescent="0.2">
      <c r="A25" s="2060"/>
      <c r="B25" s="2061"/>
      <c r="C25" s="2082"/>
      <c r="D25" s="649"/>
      <c r="E25" s="2082"/>
      <c r="F25" s="649"/>
      <c r="G25" s="3867"/>
      <c r="H25" s="3753"/>
      <c r="I25" s="3753"/>
      <c r="J25" s="3868"/>
      <c r="K25" s="3796"/>
      <c r="L25" s="3853"/>
      <c r="M25" s="3772"/>
      <c r="N25" s="3193"/>
      <c r="O25" s="3817"/>
      <c r="P25" s="3772"/>
      <c r="Q25" s="3865"/>
      <c r="R25" s="1176" t="s">
        <v>2013</v>
      </c>
      <c r="S25" s="2092">
        <f>37180000-7180000</f>
        <v>30000000</v>
      </c>
      <c r="T25" s="2090">
        <v>20</v>
      </c>
      <c r="U25" s="2091" t="s">
        <v>72</v>
      </c>
      <c r="V25" s="3866"/>
      <c r="W25" s="3863"/>
      <c r="X25" s="3863"/>
      <c r="Y25" s="3863"/>
      <c r="Z25" s="3863"/>
      <c r="AA25" s="3863"/>
      <c r="AB25" s="3863"/>
      <c r="AC25" s="3863"/>
      <c r="AD25" s="3863"/>
      <c r="AE25" s="3863"/>
      <c r="AF25" s="3863"/>
      <c r="AG25" s="3863"/>
      <c r="AH25" s="3863"/>
      <c r="AI25" s="3863"/>
      <c r="AJ25" s="3863"/>
      <c r="AK25" s="3863"/>
      <c r="AL25" s="3026"/>
      <c r="AM25" s="3027"/>
      <c r="AN25" s="3249"/>
    </row>
    <row r="26" spans="1:40" ht="51.75" customHeight="1" x14ac:dyDescent="0.2">
      <c r="A26" s="2060"/>
      <c r="B26" s="2061"/>
      <c r="C26" s="2082"/>
      <c r="D26" s="649"/>
      <c r="E26" s="2082"/>
      <c r="F26" s="649"/>
      <c r="G26" s="3867"/>
      <c r="H26" s="3753"/>
      <c r="I26" s="3753"/>
      <c r="J26" s="3868"/>
      <c r="K26" s="3796"/>
      <c r="L26" s="3853"/>
      <c r="M26" s="3772"/>
      <c r="N26" s="3193"/>
      <c r="O26" s="3817"/>
      <c r="P26" s="3772"/>
      <c r="Q26" s="3865"/>
      <c r="R26" s="1176" t="s">
        <v>2014</v>
      </c>
      <c r="S26" s="2092">
        <f>37180000-7801000</f>
        <v>29379000</v>
      </c>
      <c r="T26" s="2090">
        <v>20</v>
      </c>
      <c r="U26" s="2091" t="s">
        <v>72</v>
      </c>
      <c r="V26" s="3866"/>
      <c r="W26" s="3863"/>
      <c r="X26" s="3863"/>
      <c r="Y26" s="3863"/>
      <c r="Z26" s="3863"/>
      <c r="AA26" s="3863"/>
      <c r="AB26" s="3863"/>
      <c r="AC26" s="3863"/>
      <c r="AD26" s="3863"/>
      <c r="AE26" s="3863"/>
      <c r="AF26" s="3863"/>
      <c r="AG26" s="3863"/>
      <c r="AH26" s="3863"/>
      <c r="AI26" s="3863"/>
      <c r="AJ26" s="3863"/>
      <c r="AK26" s="3863"/>
      <c r="AL26" s="3026"/>
      <c r="AM26" s="3027"/>
      <c r="AN26" s="3249"/>
    </row>
    <row r="27" spans="1:40" ht="45.75" customHeight="1" x14ac:dyDescent="0.2">
      <c r="A27" s="2060"/>
      <c r="B27" s="2061"/>
      <c r="C27" s="2082"/>
      <c r="D27" s="649"/>
      <c r="E27" s="2082"/>
      <c r="F27" s="649"/>
      <c r="G27" s="3867"/>
      <c r="H27" s="3753"/>
      <c r="I27" s="3753"/>
      <c r="J27" s="3868"/>
      <c r="K27" s="3796"/>
      <c r="L27" s="3853"/>
      <c r="M27" s="3772"/>
      <c r="N27" s="3193"/>
      <c r="O27" s="3817"/>
      <c r="P27" s="3772"/>
      <c r="Q27" s="3865"/>
      <c r="R27" s="1176" t="s">
        <v>2015</v>
      </c>
      <c r="S27" s="2089">
        <v>31130000</v>
      </c>
      <c r="T27" s="2090">
        <v>20</v>
      </c>
      <c r="U27" s="2091" t="s">
        <v>72</v>
      </c>
      <c r="V27" s="3866"/>
      <c r="W27" s="3863"/>
      <c r="X27" s="3863"/>
      <c r="Y27" s="3863"/>
      <c r="Z27" s="3863"/>
      <c r="AA27" s="3863"/>
      <c r="AB27" s="3863"/>
      <c r="AC27" s="3863"/>
      <c r="AD27" s="3863"/>
      <c r="AE27" s="3863"/>
      <c r="AF27" s="3863"/>
      <c r="AG27" s="3863"/>
      <c r="AH27" s="3863"/>
      <c r="AI27" s="3863"/>
      <c r="AJ27" s="3863"/>
      <c r="AK27" s="3863"/>
      <c r="AL27" s="3026"/>
      <c r="AM27" s="3027"/>
      <c r="AN27" s="3249"/>
    </row>
    <row r="28" spans="1:40" ht="33.75" customHeight="1" x14ac:dyDescent="0.2">
      <c r="A28" s="2060"/>
      <c r="B28" s="2061"/>
      <c r="C28" s="2082"/>
      <c r="D28" s="649"/>
      <c r="E28" s="2082"/>
      <c r="F28" s="649"/>
      <c r="G28" s="3867"/>
      <c r="H28" s="3753"/>
      <c r="I28" s="3753"/>
      <c r="J28" s="3868"/>
      <c r="K28" s="3796"/>
      <c r="L28" s="3853"/>
      <c r="M28" s="3772"/>
      <c r="N28" s="3193"/>
      <c r="O28" s="3817"/>
      <c r="P28" s="3772"/>
      <c r="Q28" s="3248" t="s">
        <v>2016</v>
      </c>
      <c r="R28" s="2075" t="s">
        <v>2017</v>
      </c>
      <c r="S28" s="2093">
        <v>6000000</v>
      </c>
      <c r="T28" s="2090">
        <v>20</v>
      </c>
      <c r="U28" s="2091" t="s">
        <v>72</v>
      </c>
      <c r="V28" s="3866"/>
      <c r="W28" s="3863"/>
      <c r="X28" s="3863"/>
      <c r="Y28" s="3863"/>
      <c r="Z28" s="3863"/>
      <c r="AA28" s="3863"/>
      <c r="AB28" s="3863"/>
      <c r="AC28" s="3863"/>
      <c r="AD28" s="3863"/>
      <c r="AE28" s="3863"/>
      <c r="AF28" s="3863"/>
      <c r="AG28" s="3863"/>
      <c r="AH28" s="3863"/>
      <c r="AI28" s="3863"/>
      <c r="AJ28" s="3863"/>
      <c r="AK28" s="3863"/>
      <c r="AL28" s="3026"/>
      <c r="AM28" s="3027"/>
      <c r="AN28" s="3249"/>
    </row>
    <row r="29" spans="1:40" ht="31.5" customHeight="1" x14ac:dyDescent="0.2">
      <c r="A29" s="2060"/>
      <c r="B29" s="2061"/>
      <c r="C29" s="2082"/>
      <c r="D29" s="649"/>
      <c r="E29" s="2082"/>
      <c r="F29" s="649"/>
      <c r="G29" s="3867"/>
      <c r="H29" s="3753"/>
      <c r="I29" s="3753"/>
      <c r="J29" s="3869"/>
      <c r="K29" s="3796"/>
      <c r="L29" s="3853"/>
      <c r="M29" s="3772"/>
      <c r="N29" s="3193"/>
      <c r="O29" s="3828"/>
      <c r="P29" s="3772"/>
      <c r="Q29" s="3249"/>
      <c r="R29" s="2075" t="s">
        <v>2018</v>
      </c>
      <c r="S29" s="2094">
        <v>8000000</v>
      </c>
      <c r="T29" s="2090">
        <v>20</v>
      </c>
      <c r="U29" s="2091" t="s">
        <v>72</v>
      </c>
      <c r="V29" s="3866"/>
      <c r="W29" s="3863"/>
      <c r="X29" s="3863"/>
      <c r="Y29" s="3863"/>
      <c r="Z29" s="3863"/>
      <c r="AA29" s="3863"/>
      <c r="AB29" s="3863"/>
      <c r="AC29" s="3863"/>
      <c r="AD29" s="3863"/>
      <c r="AE29" s="3863"/>
      <c r="AF29" s="3863"/>
      <c r="AG29" s="3863"/>
      <c r="AH29" s="3863"/>
      <c r="AI29" s="3863"/>
      <c r="AJ29" s="3863"/>
      <c r="AK29" s="3467"/>
      <c r="AL29" s="3026"/>
      <c r="AM29" s="3025"/>
      <c r="AN29" s="3249"/>
    </row>
    <row r="30" spans="1:40" ht="28.5" customHeight="1" x14ac:dyDescent="0.2">
      <c r="A30" s="2060"/>
      <c r="B30" s="2061"/>
      <c r="C30" s="2082"/>
      <c r="D30" s="649"/>
      <c r="E30" s="640">
        <v>59</v>
      </c>
      <c r="F30" s="2069" t="s">
        <v>2019</v>
      </c>
      <c r="G30" s="2095"/>
      <c r="H30" s="2083"/>
      <c r="I30" s="2083"/>
      <c r="J30" s="2070"/>
      <c r="K30" s="2070"/>
      <c r="L30" s="2070"/>
      <c r="M30" s="2071"/>
      <c r="N30" s="2070"/>
      <c r="O30" s="2070"/>
      <c r="P30" s="2083"/>
      <c r="Q30" s="2084"/>
      <c r="R30" s="2083" t="s">
        <v>1056</v>
      </c>
      <c r="S30" s="2085"/>
      <c r="T30" s="2096"/>
      <c r="U30" s="2097"/>
      <c r="V30" s="2070"/>
      <c r="W30" s="2070"/>
      <c r="X30" s="2070"/>
      <c r="Y30" s="2070"/>
      <c r="Z30" s="2070"/>
      <c r="AA30" s="2070"/>
      <c r="AB30" s="2070"/>
      <c r="AC30" s="2070"/>
      <c r="AD30" s="2070"/>
      <c r="AE30" s="2070"/>
      <c r="AF30" s="2070"/>
      <c r="AG30" s="2070"/>
      <c r="AH30" s="2070"/>
      <c r="AI30" s="2070"/>
      <c r="AJ30" s="2070"/>
      <c r="AK30" s="2070"/>
      <c r="AL30" s="2070"/>
      <c r="AM30" s="2070"/>
      <c r="AN30" s="2073"/>
    </row>
    <row r="31" spans="1:40" ht="52.5" customHeight="1" x14ac:dyDescent="0.2">
      <c r="A31" s="2060"/>
      <c r="B31" s="2061"/>
      <c r="C31" s="2082"/>
      <c r="D31" s="649"/>
      <c r="E31" s="2082"/>
      <c r="F31" s="2098"/>
      <c r="G31" s="3845">
        <v>184</v>
      </c>
      <c r="H31" s="3849" t="s">
        <v>2020</v>
      </c>
      <c r="I31" s="3065" t="s">
        <v>2021</v>
      </c>
      <c r="J31" s="3496">
        <v>1</v>
      </c>
      <c r="K31" s="3851" t="s">
        <v>2022</v>
      </c>
      <c r="L31" s="3852" t="s">
        <v>2023</v>
      </c>
      <c r="M31" s="3858" t="s">
        <v>2024</v>
      </c>
      <c r="N31" s="3769">
        <f>SUM(S31:S37)/O31</f>
        <v>0.84597612629957641</v>
      </c>
      <c r="O31" s="3770">
        <f>SUM(S31:S43)</f>
        <v>519400000</v>
      </c>
      <c r="P31" s="3861" t="s">
        <v>2025</v>
      </c>
      <c r="Q31" s="2769" t="s">
        <v>2026</v>
      </c>
      <c r="R31" s="1176" t="s">
        <v>2027</v>
      </c>
      <c r="S31" s="2094">
        <f>12600000-6100000</f>
        <v>6500000</v>
      </c>
      <c r="T31" s="2090">
        <v>20</v>
      </c>
      <c r="U31" s="2099" t="s">
        <v>667</v>
      </c>
      <c r="V31" s="3856">
        <v>8575</v>
      </c>
      <c r="W31" s="3856">
        <v>8925</v>
      </c>
      <c r="X31" s="3837">
        <v>12000</v>
      </c>
      <c r="Y31" s="3857">
        <v>4000</v>
      </c>
      <c r="Z31" s="3857">
        <v>1500</v>
      </c>
      <c r="AA31" s="3837"/>
      <c r="AB31" s="3837"/>
      <c r="AC31" s="3837"/>
      <c r="AD31" s="3837"/>
      <c r="AE31" s="3837"/>
      <c r="AF31" s="3837"/>
      <c r="AG31" s="3837"/>
      <c r="AH31" s="3837"/>
      <c r="AI31" s="3837"/>
      <c r="AJ31" s="3837"/>
      <c r="AK31" s="3862">
        <f>SUM(V31:W41)</f>
        <v>17500</v>
      </c>
      <c r="AL31" s="3748">
        <v>43467</v>
      </c>
      <c r="AM31" s="3748">
        <v>43830</v>
      </c>
      <c r="AN31" s="2769" t="s">
        <v>1991</v>
      </c>
    </row>
    <row r="32" spans="1:40" ht="54.75" customHeight="1" x14ac:dyDescent="0.2">
      <c r="A32" s="2060"/>
      <c r="B32" s="2061"/>
      <c r="C32" s="2082"/>
      <c r="D32" s="649"/>
      <c r="E32" s="2082"/>
      <c r="F32" s="2098"/>
      <c r="G32" s="3845"/>
      <c r="H32" s="3850"/>
      <c r="I32" s="3244"/>
      <c r="J32" s="3497"/>
      <c r="K32" s="3851"/>
      <c r="L32" s="3853"/>
      <c r="M32" s="3859"/>
      <c r="N32" s="3193"/>
      <c r="O32" s="3770"/>
      <c r="P32" s="3861"/>
      <c r="Q32" s="2769"/>
      <c r="R32" s="1788" t="s">
        <v>2028</v>
      </c>
      <c r="S32" s="2100">
        <f>12100000-5600000</f>
        <v>6500000</v>
      </c>
      <c r="T32" s="2090">
        <v>20</v>
      </c>
      <c r="U32" s="2099" t="s">
        <v>667</v>
      </c>
      <c r="V32" s="3856"/>
      <c r="W32" s="3856"/>
      <c r="X32" s="3837"/>
      <c r="Y32" s="3857"/>
      <c r="Z32" s="3857"/>
      <c r="AA32" s="3837"/>
      <c r="AB32" s="3837"/>
      <c r="AC32" s="3837"/>
      <c r="AD32" s="3837"/>
      <c r="AE32" s="3837"/>
      <c r="AF32" s="3837"/>
      <c r="AG32" s="3837"/>
      <c r="AH32" s="3837"/>
      <c r="AI32" s="3837"/>
      <c r="AJ32" s="3837"/>
      <c r="AK32" s="3862"/>
      <c r="AL32" s="3748"/>
      <c r="AM32" s="3748"/>
      <c r="AN32" s="2769"/>
    </row>
    <row r="33" spans="1:40" ht="60.75" customHeight="1" x14ac:dyDescent="0.2">
      <c r="A33" s="2060"/>
      <c r="B33" s="2061"/>
      <c r="C33" s="2082"/>
      <c r="D33" s="649"/>
      <c r="E33" s="2082"/>
      <c r="F33" s="2098"/>
      <c r="G33" s="3845"/>
      <c r="H33" s="3850"/>
      <c r="I33" s="3244"/>
      <c r="J33" s="3497"/>
      <c r="K33" s="3851"/>
      <c r="L33" s="3853"/>
      <c r="M33" s="3859"/>
      <c r="N33" s="3193"/>
      <c r="O33" s="3770"/>
      <c r="P33" s="3861"/>
      <c r="Q33" s="2769"/>
      <c r="R33" s="1788" t="s">
        <v>2029</v>
      </c>
      <c r="S33" s="2101">
        <f>20000000+10170000+7000000</f>
        <v>37170000</v>
      </c>
      <c r="T33" s="2090">
        <v>20</v>
      </c>
      <c r="U33" s="2099" t="s">
        <v>667</v>
      </c>
      <c r="V33" s="3856"/>
      <c r="W33" s="3856"/>
      <c r="X33" s="3837"/>
      <c r="Y33" s="3857"/>
      <c r="Z33" s="3857"/>
      <c r="AA33" s="3837"/>
      <c r="AB33" s="3837"/>
      <c r="AC33" s="3837"/>
      <c r="AD33" s="3837"/>
      <c r="AE33" s="3837"/>
      <c r="AF33" s="3837"/>
      <c r="AG33" s="3837"/>
      <c r="AH33" s="3837"/>
      <c r="AI33" s="3837"/>
      <c r="AJ33" s="3837"/>
      <c r="AK33" s="3862"/>
      <c r="AL33" s="3748"/>
      <c r="AM33" s="3748"/>
      <c r="AN33" s="2769"/>
    </row>
    <row r="34" spans="1:40" ht="69" customHeight="1" x14ac:dyDescent="0.2">
      <c r="A34" s="2060"/>
      <c r="B34" s="2061"/>
      <c r="C34" s="2082"/>
      <c r="D34" s="649"/>
      <c r="E34" s="2082"/>
      <c r="F34" s="2098"/>
      <c r="G34" s="3845"/>
      <c r="H34" s="3850"/>
      <c r="I34" s="3244"/>
      <c r="J34" s="3497"/>
      <c r="K34" s="3851"/>
      <c r="L34" s="3853"/>
      <c r="M34" s="3859"/>
      <c r="N34" s="3193"/>
      <c r="O34" s="3770"/>
      <c r="P34" s="3861"/>
      <c r="Q34" s="2769"/>
      <c r="R34" s="1788" t="s">
        <v>2030</v>
      </c>
      <c r="S34" s="2101">
        <v>29400000</v>
      </c>
      <c r="T34" s="2090">
        <v>20</v>
      </c>
      <c r="U34" s="2099" t="s">
        <v>667</v>
      </c>
      <c r="V34" s="3856"/>
      <c r="W34" s="3856"/>
      <c r="X34" s="3837"/>
      <c r="Y34" s="3857"/>
      <c r="Z34" s="3857"/>
      <c r="AA34" s="3837"/>
      <c r="AB34" s="3837"/>
      <c r="AC34" s="3837"/>
      <c r="AD34" s="3837"/>
      <c r="AE34" s="3837"/>
      <c r="AF34" s="3837"/>
      <c r="AG34" s="3837"/>
      <c r="AH34" s="3837"/>
      <c r="AI34" s="3837"/>
      <c r="AJ34" s="3837"/>
      <c r="AK34" s="3862"/>
      <c r="AL34" s="3748"/>
      <c r="AM34" s="3748"/>
      <c r="AN34" s="2769"/>
    </row>
    <row r="35" spans="1:40" ht="89.25" customHeight="1" x14ac:dyDescent="0.2">
      <c r="A35" s="2060"/>
      <c r="B35" s="2061"/>
      <c r="C35" s="2082"/>
      <c r="D35" s="649"/>
      <c r="E35" s="2082"/>
      <c r="F35" s="2098"/>
      <c r="G35" s="3845"/>
      <c r="H35" s="3850"/>
      <c r="I35" s="3244"/>
      <c r="J35" s="3497"/>
      <c r="K35" s="3851"/>
      <c r="L35" s="3853"/>
      <c r="M35" s="3859"/>
      <c r="N35" s="3193"/>
      <c r="O35" s="3770"/>
      <c r="P35" s="3861"/>
      <c r="Q35" s="2769"/>
      <c r="R35" s="1788" t="s">
        <v>2031</v>
      </c>
      <c r="S35" s="2101">
        <f>11300000-9470000</f>
        <v>1830000</v>
      </c>
      <c r="T35" s="2090">
        <v>20</v>
      </c>
      <c r="U35" s="2099" t="s">
        <v>667</v>
      </c>
      <c r="V35" s="3856"/>
      <c r="W35" s="3856"/>
      <c r="X35" s="3837"/>
      <c r="Y35" s="3857"/>
      <c r="Z35" s="3857"/>
      <c r="AA35" s="3837"/>
      <c r="AB35" s="3837"/>
      <c r="AC35" s="3837"/>
      <c r="AD35" s="3837"/>
      <c r="AE35" s="3837"/>
      <c r="AF35" s="3837"/>
      <c r="AG35" s="3837"/>
      <c r="AH35" s="3837"/>
      <c r="AI35" s="3837"/>
      <c r="AJ35" s="3837"/>
      <c r="AK35" s="3862"/>
      <c r="AL35" s="3748"/>
      <c r="AM35" s="3748"/>
      <c r="AN35" s="2769"/>
    </row>
    <row r="36" spans="1:40" ht="65.25" customHeight="1" x14ac:dyDescent="0.2">
      <c r="A36" s="2060"/>
      <c r="B36" s="2061"/>
      <c r="C36" s="2082"/>
      <c r="D36" s="649"/>
      <c r="E36" s="2082"/>
      <c r="F36" s="2098"/>
      <c r="G36" s="3845"/>
      <c r="H36" s="3850"/>
      <c r="I36" s="3244"/>
      <c r="J36" s="3497"/>
      <c r="K36" s="3851"/>
      <c r="L36" s="3853"/>
      <c r="M36" s="3859"/>
      <c r="N36" s="3193"/>
      <c r="O36" s="3770"/>
      <c r="P36" s="3861"/>
      <c r="Q36" s="2769"/>
      <c r="R36" s="1176" t="s">
        <v>2032</v>
      </c>
      <c r="S36" s="2101">
        <f>0+350000000</f>
        <v>350000000</v>
      </c>
      <c r="T36" s="2090">
        <v>20</v>
      </c>
      <c r="U36" s="2099" t="s">
        <v>667</v>
      </c>
      <c r="V36" s="3856"/>
      <c r="W36" s="3856"/>
      <c r="X36" s="3837"/>
      <c r="Y36" s="3857"/>
      <c r="Z36" s="3857"/>
      <c r="AA36" s="3837"/>
      <c r="AB36" s="3837"/>
      <c r="AC36" s="3837"/>
      <c r="AD36" s="3837"/>
      <c r="AE36" s="3837"/>
      <c r="AF36" s="3837"/>
      <c r="AG36" s="3837"/>
      <c r="AH36" s="3837"/>
      <c r="AI36" s="3837"/>
      <c r="AJ36" s="3837"/>
      <c r="AK36" s="3862"/>
      <c r="AL36" s="3748"/>
      <c r="AM36" s="3748"/>
      <c r="AN36" s="2769"/>
    </row>
    <row r="37" spans="1:40" ht="27.75" customHeight="1" x14ac:dyDescent="0.2">
      <c r="A37" s="2060"/>
      <c r="B37" s="2061"/>
      <c r="C37" s="2082"/>
      <c r="D37" s="649"/>
      <c r="E37" s="2082"/>
      <c r="F37" s="2098"/>
      <c r="G37" s="3845"/>
      <c r="H37" s="3850"/>
      <c r="I37" s="3244"/>
      <c r="J37" s="3497"/>
      <c r="K37" s="3851"/>
      <c r="L37" s="3853"/>
      <c r="M37" s="3859"/>
      <c r="N37" s="3193"/>
      <c r="O37" s="3770"/>
      <c r="P37" s="3861"/>
      <c r="Q37" s="2769"/>
      <c r="R37" s="1176" t="s">
        <v>2033</v>
      </c>
      <c r="S37" s="2101">
        <f>4000000+11000000-7000000</f>
        <v>8000000</v>
      </c>
      <c r="T37" s="2090">
        <v>20</v>
      </c>
      <c r="U37" s="2099" t="s">
        <v>667</v>
      </c>
      <c r="V37" s="3856"/>
      <c r="W37" s="3856"/>
      <c r="X37" s="3837"/>
      <c r="Y37" s="3857"/>
      <c r="Z37" s="3857"/>
      <c r="AA37" s="3837"/>
      <c r="AB37" s="3837"/>
      <c r="AC37" s="3837"/>
      <c r="AD37" s="3837"/>
      <c r="AE37" s="3837"/>
      <c r="AF37" s="3837"/>
      <c r="AG37" s="3837"/>
      <c r="AH37" s="3837"/>
      <c r="AI37" s="3837"/>
      <c r="AJ37" s="3837"/>
      <c r="AK37" s="3862"/>
      <c r="AL37" s="3748"/>
      <c r="AM37" s="3748"/>
      <c r="AN37" s="2769"/>
    </row>
    <row r="38" spans="1:40" ht="49.5" customHeight="1" x14ac:dyDescent="0.2">
      <c r="A38" s="2060"/>
      <c r="B38" s="2061"/>
      <c r="C38" s="2082"/>
      <c r="D38" s="649"/>
      <c r="E38" s="2082"/>
      <c r="F38" s="649"/>
      <c r="G38" s="2552">
        <v>185</v>
      </c>
      <c r="H38" s="3764" t="s">
        <v>2034</v>
      </c>
      <c r="I38" s="3065" t="s">
        <v>2035</v>
      </c>
      <c r="J38" s="3496">
        <v>1</v>
      </c>
      <c r="K38" s="3851"/>
      <c r="L38" s="3853"/>
      <c r="M38" s="3859"/>
      <c r="N38" s="3769">
        <f>SUM(S38:S40)/O31</f>
        <v>7.7011936850211779E-2</v>
      </c>
      <c r="O38" s="3770"/>
      <c r="P38" s="3818"/>
      <c r="Q38" s="3847" t="s">
        <v>2036</v>
      </c>
      <c r="R38" s="1176" t="s">
        <v>2037</v>
      </c>
      <c r="S38" s="2100">
        <v>19000000</v>
      </c>
      <c r="T38" s="2090">
        <v>20</v>
      </c>
      <c r="U38" s="2099" t="s">
        <v>667</v>
      </c>
      <c r="V38" s="3856"/>
      <c r="W38" s="3856"/>
      <c r="X38" s="3837"/>
      <c r="Y38" s="3857"/>
      <c r="Z38" s="3857"/>
      <c r="AA38" s="3837"/>
      <c r="AB38" s="3837"/>
      <c r="AC38" s="3837"/>
      <c r="AD38" s="3837"/>
      <c r="AE38" s="3837"/>
      <c r="AF38" s="3837"/>
      <c r="AG38" s="3837"/>
      <c r="AH38" s="3837"/>
      <c r="AI38" s="3837"/>
      <c r="AJ38" s="3837"/>
      <c r="AK38" s="3862"/>
      <c r="AL38" s="3748"/>
      <c r="AM38" s="3748"/>
      <c r="AN38" s="2769"/>
    </row>
    <row r="39" spans="1:40" ht="46.5" customHeight="1" x14ac:dyDescent="0.2">
      <c r="A39" s="2060"/>
      <c r="B39" s="2061"/>
      <c r="C39" s="2082"/>
      <c r="D39" s="649"/>
      <c r="E39" s="2082"/>
      <c r="F39" s="649"/>
      <c r="G39" s="2552"/>
      <c r="H39" s="3753"/>
      <c r="I39" s="3244"/>
      <c r="J39" s="3497"/>
      <c r="K39" s="3851"/>
      <c r="L39" s="3853"/>
      <c r="M39" s="3859"/>
      <c r="N39" s="3193"/>
      <c r="O39" s="3770"/>
      <c r="P39" s="3818"/>
      <c r="Q39" s="3847"/>
      <c r="R39" s="1176" t="s">
        <v>2038</v>
      </c>
      <c r="S39" s="2100">
        <v>18600000</v>
      </c>
      <c r="T39" s="2090">
        <v>20</v>
      </c>
      <c r="U39" s="2099" t="s">
        <v>667</v>
      </c>
      <c r="V39" s="3856"/>
      <c r="W39" s="3856"/>
      <c r="X39" s="3837"/>
      <c r="Y39" s="3857"/>
      <c r="Z39" s="3857"/>
      <c r="AA39" s="3837"/>
      <c r="AB39" s="3837"/>
      <c r="AC39" s="3837"/>
      <c r="AD39" s="3837"/>
      <c r="AE39" s="3837"/>
      <c r="AF39" s="3837"/>
      <c r="AG39" s="3837"/>
      <c r="AH39" s="3837"/>
      <c r="AI39" s="3837"/>
      <c r="AJ39" s="3837"/>
      <c r="AK39" s="3862"/>
      <c r="AL39" s="3748"/>
      <c r="AM39" s="3748"/>
      <c r="AN39" s="2769"/>
    </row>
    <row r="40" spans="1:40" ht="66" customHeight="1" x14ac:dyDescent="0.2">
      <c r="A40" s="2060"/>
      <c r="B40" s="2061"/>
      <c r="C40" s="2082"/>
      <c r="D40" s="649"/>
      <c r="E40" s="2082"/>
      <c r="F40" s="649"/>
      <c r="G40" s="2553"/>
      <c r="H40" s="3754"/>
      <c r="I40" s="3066"/>
      <c r="J40" s="3498"/>
      <c r="K40" s="3851"/>
      <c r="L40" s="3853"/>
      <c r="M40" s="3859"/>
      <c r="N40" s="3194"/>
      <c r="O40" s="3770"/>
      <c r="P40" s="3818"/>
      <c r="Q40" s="3848"/>
      <c r="R40" s="1176" t="s">
        <v>2039</v>
      </c>
      <c r="S40" s="2100">
        <v>2400000</v>
      </c>
      <c r="T40" s="2090">
        <v>20</v>
      </c>
      <c r="U40" s="2099" t="s">
        <v>667</v>
      </c>
      <c r="V40" s="3856"/>
      <c r="W40" s="3856"/>
      <c r="X40" s="3837"/>
      <c r="Y40" s="3857"/>
      <c r="Z40" s="3857"/>
      <c r="AA40" s="3837"/>
      <c r="AB40" s="3837"/>
      <c r="AC40" s="3837"/>
      <c r="AD40" s="3837"/>
      <c r="AE40" s="3837"/>
      <c r="AF40" s="3837"/>
      <c r="AG40" s="3837"/>
      <c r="AH40" s="3837"/>
      <c r="AI40" s="3837"/>
      <c r="AJ40" s="3837"/>
      <c r="AK40" s="3862"/>
      <c r="AL40" s="3748"/>
      <c r="AM40" s="3748"/>
      <c r="AN40" s="2769"/>
    </row>
    <row r="41" spans="1:40" ht="67.5" customHeight="1" x14ac:dyDescent="0.2">
      <c r="A41" s="2060"/>
      <c r="B41" s="2061"/>
      <c r="C41" s="2082"/>
      <c r="D41" s="649"/>
      <c r="E41" s="2082"/>
      <c r="F41" s="2098"/>
      <c r="G41" s="3845">
        <v>186</v>
      </c>
      <c r="H41" s="3855" t="s">
        <v>2040</v>
      </c>
      <c r="I41" s="3251" t="s">
        <v>2041</v>
      </c>
      <c r="J41" s="3837">
        <v>1</v>
      </c>
      <c r="K41" s="3851"/>
      <c r="L41" s="3853"/>
      <c r="M41" s="3859"/>
      <c r="N41" s="3189">
        <f>SUM(S41:S43)/O31</f>
        <v>7.7011936850211779E-2</v>
      </c>
      <c r="O41" s="3770"/>
      <c r="P41" s="3818"/>
      <c r="Q41" s="3846" t="s">
        <v>2042</v>
      </c>
      <c r="R41" s="2102" t="s">
        <v>2043</v>
      </c>
      <c r="S41" s="2100">
        <f>25000000+1451000</f>
        <v>26451000</v>
      </c>
      <c r="T41" s="2090">
        <v>20</v>
      </c>
      <c r="U41" s="2099" t="s">
        <v>667</v>
      </c>
      <c r="V41" s="3856"/>
      <c r="W41" s="3856"/>
      <c r="X41" s="3837"/>
      <c r="Y41" s="3857"/>
      <c r="Z41" s="3857"/>
      <c r="AA41" s="3837"/>
      <c r="AB41" s="3837"/>
      <c r="AC41" s="3837"/>
      <c r="AD41" s="3837"/>
      <c r="AE41" s="3837"/>
      <c r="AF41" s="3837"/>
      <c r="AG41" s="3837"/>
      <c r="AH41" s="3837"/>
      <c r="AI41" s="3837"/>
      <c r="AJ41" s="3837"/>
      <c r="AK41" s="3862"/>
      <c r="AL41" s="3748"/>
      <c r="AM41" s="3748"/>
      <c r="AN41" s="2769"/>
    </row>
    <row r="42" spans="1:40" ht="64.5" customHeight="1" x14ac:dyDescent="0.2">
      <c r="A42" s="2060"/>
      <c r="B42" s="2061"/>
      <c r="C42" s="2082"/>
      <c r="D42" s="649"/>
      <c r="E42" s="2082"/>
      <c r="F42" s="2098"/>
      <c r="G42" s="3845"/>
      <c r="H42" s="3855"/>
      <c r="I42" s="3251"/>
      <c r="J42" s="3837"/>
      <c r="K42" s="3851"/>
      <c r="L42" s="3853"/>
      <c r="M42" s="3859"/>
      <c r="N42" s="3189"/>
      <c r="O42" s="3770"/>
      <c r="P42" s="3818"/>
      <c r="Q42" s="3847"/>
      <c r="R42" s="2102" t="s">
        <v>2044</v>
      </c>
      <c r="S42" s="2100">
        <f>8500000-1451000</f>
        <v>7049000</v>
      </c>
      <c r="T42" s="2090">
        <v>20</v>
      </c>
      <c r="U42" s="2099" t="s">
        <v>667</v>
      </c>
      <c r="V42" s="3856"/>
      <c r="W42" s="3856"/>
      <c r="X42" s="3837"/>
      <c r="Y42" s="3857"/>
      <c r="Z42" s="3857"/>
      <c r="AA42" s="3837"/>
      <c r="AB42" s="3837"/>
      <c r="AC42" s="3837"/>
      <c r="AD42" s="3837"/>
      <c r="AE42" s="3837"/>
      <c r="AF42" s="3837"/>
      <c r="AG42" s="3837"/>
      <c r="AH42" s="3837"/>
      <c r="AI42" s="3837"/>
      <c r="AJ42" s="3837"/>
      <c r="AK42" s="3862"/>
      <c r="AL42" s="3748"/>
      <c r="AM42" s="3748"/>
      <c r="AN42" s="2769"/>
    </row>
    <row r="43" spans="1:40" ht="71.25" x14ac:dyDescent="0.2">
      <c r="A43" s="2060"/>
      <c r="B43" s="2061"/>
      <c r="C43" s="2082"/>
      <c r="D43" s="649"/>
      <c r="E43" s="2082"/>
      <c r="F43" s="2098"/>
      <c r="G43" s="3845"/>
      <c r="H43" s="3855"/>
      <c r="I43" s="3251"/>
      <c r="J43" s="3837"/>
      <c r="K43" s="3851"/>
      <c r="L43" s="3854"/>
      <c r="M43" s="3860"/>
      <c r="N43" s="3189"/>
      <c r="O43" s="3770"/>
      <c r="P43" s="3818"/>
      <c r="Q43" s="3848"/>
      <c r="R43" s="677" t="s">
        <v>2045</v>
      </c>
      <c r="S43" s="2100">
        <v>6500000</v>
      </c>
      <c r="T43" s="2090">
        <v>20</v>
      </c>
      <c r="U43" s="2099" t="s">
        <v>667</v>
      </c>
      <c r="V43" s="3856"/>
      <c r="W43" s="3856"/>
      <c r="X43" s="3837"/>
      <c r="Y43" s="3857"/>
      <c r="Z43" s="3857"/>
      <c r="AA43" s="3837"/>
      <c r="AB43" s="3837"/>
      <c r="AC43" s="3837"/>
      <c r="AD43" s="3837"/>
      <c r="AE43" s="3837"/>
      <c r="AF43" s="3837"/>
      <c r="AG43" s="3837"/>
      <c r="AH43" s="3837"/>
      <c r="AI43" s="3837"/>
      <c r="AJ43" s="3837"/>
      <c r="AK43" s="3862"/>
      <c r="AL43" s="3748"/>
      <c r="AM43" s="3748"/>
      <c r="AN43" s="2769"/>
    </row>
    <row r="44" spans="1:40" ht="15" x14ac:dyDescent="0.2">
      <c r="A44" s="2060"/>
      <c r="B44" s="2061"/>
      <c r="C44" s="2082"/>
      <c r="D44" s="649"/>
      <c r="E44" s="2103">
        <v>60</v>
      </c>
      <c r="F44" s="2069" t="s">
        <v>2046</v>
      </c>
      <c r="G44" s="2070"/>
      <c r="H44" s="2083"/>
      <c r="I44" s="2083"/>
      <c r="J44" s="2070"/>
      <c r="K44" s="2070"/>
      <c r="L44" s="2070"/>
      <c r="M44" s="2071"/>
      <c r="N44" s="2070"/>
      <c r="O44" s="2070"/>
      <c r="P44" s="2083"/>
      <c r="Q44" s="2083"/>
      <c r="R44" s="2083"/>
      <c r="S44" s="2104"/>
      <c r="T44" s="2105"/>
      <c r="U44" s="2071"/>
      <c r="V44" s="2070"/>
      <c r="W44" s="2070"/>
      <c r="X44" s="2070"/>
      <c r="Y44" s="2070"/>
      <c r="Z44" s="2070"/>
      <c r="AA44" s="2070"/>
      <c r="AB44" s="2070"/>
      <c r="AC44" s="2070"/>
      <c r="AD44" s="2070"/>
      <c r="AE44" s="2070"/>
      <c r="AF44" s="2070"/>
      <c r="AG44" s="2070"/>
      <c r="AH44" s="2070"/>
      <c r="AI44" s="2070"/>
      <c r="AJ44" s="2070"/>
      <c r="AK44" s="2070"/>
      <c r="AL44" s="2070"/>
      <c r="AM44" s="2070"/>
      <c r="AN44" s="2073"/>
    </row>
    <row r="45" spans="1:40" ht="52.5" customHeight="1" x14ac:dyDescent="0.2">
      <c r="A45" s="2060"/>
      <c r="B45" s="2061"/>
      <c r="C45" s="2082"/>
      <c r="D45" s="649"/>
      <c r="E45" s="680"/>
      <c r="F45" s="2088"/>
      <c r="G45" s="2563">
        <v>187</v>
      </c>
      <c r="H45" s="3764" t="s">
        <v>2047</v>
      </c>
      <c r="I45" s="3248" t="s">
        <v>2048</v>
      </c>
      <c r="J45" s="3466">
        <v>1</v>
      </c>
      <c r="K45" s="3795" t="s">
        <v>2049</v>
      </c>
      <c r="L45" s="3780" t="s">
        <v>2050</v>
      </c>
      <c r="M45" s="3772" t="s">
        <v>2051</v>
      </c>
      <c r="N45" s="3840">
        <f>SUM(S45:S50)/O45</f>
        <v>0.26666666666666666</v>
      </c>
      <c r="O45" s="3817">
        <f>SUM(S45:S56)</f>
        <v>120000000</v>
      </c>
      <c r="P45" s="3772" t="s">
        <v>2052</v>
      </c>
      <c r="Q45" s="3251" t="s">
        <v>2053</v>
      </c>
      <c r="R45" s="1176" t="s">
        <v>2054</v>
      </c>
      <c r="S45" s="1789">
        <v>10000000</v>
      </c>
      <c r="T45" s="2090">
        <v>20</v>
      </c>
      <c r="U45" s="2099" t="s">
        <v>667</v>
      </c>
      <c r="V45" s="3496">
        <v>3022</v>
      </c>
      <c r="W45" s="3514">
        <v>2010</v>
      </c>
      <c r="X45" s="3496"/>
      <c r="Y45" s="3496">
        <v>2912</v>
      </c>
      <c r="Z45" s="3496">
        <v>2120</v>
      </c>
      <c r="AA45" s="3496"/>
      <c r="AB45" s="3838"/>
      <c r="AC45" s="3496"/>
      <c r="AD45" s="3496"/>
      <c r="AE45" s="3496"/>
      <c r="AF45" s="3496"/>
      <c r="AG45" s="3496"/>
      <c r="AH45" s="3496"/>
      <c r="AI45" s="3496"/>
      <c r="AJ45" s="3496"/>
      <c r="AK45" s="3496">
        <f>SUM(V45:W56)</f>
        <v>5032</v>
      </c>
      <c r="AL45" s="3836">
        <v>43467</v>
      </c>
      <c r="AM45" s="3027">
        <v>43830</v>
      </c>
      <c r="AN45" s="3250" t="s">
        <v>1991</v>
      </c>
    </row>
    <row r="46" spans="1:40" ht="45" customHeight="1" x14ac:dyDescent="0.2">
      <c r="A46" s="2060"/>
      <c r="B46" s="2061"/>
      <c r="C46" s="2082"/>
      <c r="D46" s="649"/>
      <c r="E46" s="2082"/>
      <c r="F46" s="649"/>
      <c r="G46" s="2552"/>
      <c r="H46" s="3753"/>
      <c r="I46" s="3249"/>
      <c r="J46" s="3467"/>
      <c r="K46" s="3796"/>
      <c r="L46" s="3780"/>
      <c r="M46" s="3772"/>
      <c r="N46" s="3841"/>
      <c r="O46" s="3817"/>
      <c r="P46" s="3772"/>
      <c r="Q46" s="3251"/>
      <c r="R46" s="1176" t="s">
        <v>2055</v>
      </c>
      <c r="S46" s="2106">
        <f>8000000-8000000</f>
        <v>0</v>
      </c>
      <c r="T46" s="2090">
        <v>20</v>
      </c>
      <c r="U46" s="2099" t="s">
        <v>667</v>
      </c>
      <c r="V46" s="3497"/>
      <c r="W46" s="3515"/>
      <c r="X46" s="3497"/>
      <c r="Y46" s="3497"/>
      <c r="Z46" s="3497"/>
      <c r="AA46" s="3497"/>
      <c r="AB46" s="3839"/>
      <c r="AC46" s="3497"/>
      <c r="AD46" s="3497"/>
      <c r="AE46" s="3497"/>
      <c r="AF46" s="3497"/>
      <c r="AG46" s="3497"/>
      <c r="AH46" s="3497"/>
      <c r="AI46" s="3497"/>
      <c r="AJ46" s="3497"/>
      <c r="AK46" s="3497"/>
      <c r="AL46" s="3836"/>
      <c r="AM46" s="3027"/>
      <c r="AN46" s="3250"/>
    </row>
    <row r="47" spans="1:40" ht="51" customHeight="1" x14ac:dyDescent="0.2">
      <c r="A47" s="2060"/>
      <c r="B47" s="2061"/>
      <c r="C47" s="2082"/>
      <c r="D47" s="649"/>
      <c r="E47" s="2082"/>
      <c r="F47" s="649"/>
      <c r="G47" s="2552"/>
      <c r="H47" s="3753"/>
      <c r="I47" s="3249"/>
      <c r="J47" s="3467"/>
      <c r="K47" s="3796"/>
      <c r="L47" s="3780"/>
      <c r="M47" s="3772"/>
      <c r="N47" s="3841"/>
      <c r="O47" s="3817"/>
      <c r="P47" s="3772"/>
      <c r="Q47" s="3251"/>
      <c r="R47" s="1176" t="s">
        <v>2056</v>
      </c>
      <c r="S47" s="1789">
        <v>8000000</v>
      </c>
      <c r="T47" s="2090">
        <v>20</v>
      </c>
      <c r="U47" s="2099" t="s">
        <v>667</v>
      </c>
      <c r="V47" s="3497"/>
      <c r="W47" s="3515"/>
      <c r="X47" s="3497"/>
      <c r="Y47" s="3497"/>
      <c r="Z47" s="3497"/>
      <c r="AA47" s="3497"/>
      <c r="AB47" s="3839"/>
      <c r="AC47" s="3497"/>
      <c r="AD47" s="3497"/>
      <c r="AE47" s="3497"/>
      <c r="AF47" s="3497"/>
      <c r="AG47" s="3497"/>
      <c r="AH47" s="3497"/>
      <c r="AI47" s="3497"/>
      <c r="AJ47" s="3497"/>
      <c r="AK47" s="3497"/>
      <c r="AL47" s="3836"/>
      <c r="AM47" s="3027"/>
      <c r="AN47" s="3250"/>
    </row>
    <row r="48" spans="1:40" ht="63.75" customHeight="1" x14ac:dyDescent="0.2">
      <c r="A48" s="2060"/>
      <c r="B48" s="2061"/>
      <c r="C48" s="2082"/>
      <c r="D48" s="649"/>
      <c r="E48" s="2082"/>
      <c r="F48" s="649"/>
      <c r="G48" s="2552"/>
      <c r="H48" s="3753"/>
      <c r="I48" s="3249"/>
      <c r="J48" s="3467"/>
      <c r="K48" s="3796"/>
      <c r="L48" s="3780"/>
      <c r="M48" s="3772"/>
      <c r="N48" s="3841"/>
      <c r="O48" s="3817"/>
      <c r="P48" s="3772"/>
      <c r="Q48" s="3251"/>
      <c r="R48" s="1176" t="s">
        <v>2057</v>
      </c>
      <c r="S48" s="1789">
        <v>4000000</v>
      </c>
      <c r="T48" s="2090">
        <v>20</v>
      </c>
      <c r="U48" s="2099" t="s">
        <v>667</v>
      </c>
      <c r="V48" s="3497"/>
      <c r="W48" s="3515"/>
      <c r="X48" s="3497"/>
      <c r="Y48" s="3497"/>
      <c r="Z48" s="3497"/>
      <c r="AA48" s="3497"/>
      <c r="AB48" s="3839"/>
      <c r="AC48" s="3497"/>
      <c r="AD48" s="3497"/>
      <c r="AE48" s="3497"/>
      <c r="AF48" s="3497"/>
      <c r="AG48" s="3497"/>
      <c r="AH48" s="3497"/>
      <c r="AI48" s="3497"/>
      <c r="AJ48" s="3497"/>
      <c r="AK48" s="3497"/>
      <c r="AL48" s="3836"/>
      <c r="AM48" s="3027"/>
      <c r="AN48" s="3250"/>
    </row>
    <row r="49" spans="1:40" ht="46.5" customHeight="1" x14ac:dyDescent="0.2">
      <c r="A49" s="2060"/>
      <c r="B49" s="2061"/>
      <c r="C49" s="2082"/>
      <c r="D49" s="649"/>
      <c r="E49" s="2082"/>
      <c r="F49" s="649"/>
      <c r="G49" s="2552"/>
      <c r="H49" s="3753"/>
      <c r="I49" s="3249"/>
      <c r="J49" s="3467"/>
      <c r="K49" s="3796"/>
      <c r="L49" s="3780"/>
      <c r="M49" s="3772"/>
      <c r="N49" s="3841"/>
      <c r="O49" s="3817"/>
      <c r="P49" s="3772"/>
      <c r="Q49" s="3251"/>
      <c r="R49" s="1176" t="s">
        <v>2058</v>
      </c>
      <c r="S49" s="1789">
        <v>9000000</v>
      </c>
      <c r="T49" s="2090">
        <v>20</v>
      </c>
      <c r="U49" s="2099" t="s">
        <v>667</v>
      </c>
      <c r="V49" s="3497"/>
      <c r="W49" s="3515"/>
      <c r="X49" s="3497"/>
      <c r="Y49" s="3497"/>
      <c r="Z49" s="3497"/>
      <c r="AA49" s="3497"/>
      <c r="AB49" s="3839"/>
      <c r="AC49" s="3497"/>
      <c r="AD49" s="3497"/>
      <c r="AE49" s="3497"/>
      <c r="AF49" s="3497"/>
      <c r="AG49" s="3497"/>
      <c r="AH49" s="3497"/>
      <c r="AI49" s="3497"/>
      <c r="AJ49" s="3497"/>
      <c r="AK49" s="3497"/>
      <c r="AL49" s="3836"/>
      <c r="AM49" s="3027"/>
      <c r="AN49" s="3250"/>
    </row>
    <row r="50" spans="1:40" ht="35.25" customHeight="1" x14ac:dyDescent="0.2">
      <c r="A50" s="2060"/>
      <c r="B50" s="2061"/>
      <c r="C50" s="2082"/>
      <c r="D50" s="649"/>
      <c r="E50" s="2082"/>
      <c r="F50" s="649"/>
      <c r="G50" s="2553"/>
      <c r="H50" s="3754"/>
      <c r="I50" s="3250"/>
      <c r="J50" s="3468"/>
      <c r="K50" s="3796"/>
      <c r="L50" s="3780"/>
      <c r="M50" s="3772"/>
      <c r="N50" s="3842"/>
      <c r="O50" s="3817"/>
      <c r="P50" s="3772"/>
      <c r="Q50" s="3251"/>
      <c r="R50" s="1176" t="s">
        <v>2059</v>
      </c>
      <c r="S50" s="1789">
        <v>1000000</v>
      </c>
      <c r="T50" s="2090">
        <v>20</v>
      </c>
      <c r="U50" s="2099" t="s">
        <v>667</v>
      </c>
      <c r="V50" s="3497"/>
      <c r="W50" s="3515"/>
      <c r="X50" s="3497"/>
      <c r="Y50" s="3497"/>
      <c r="Z50" s="3497"/>
      <c r="AA50" s="3497"/>
      <c r="AB50" s="3839"/>
      <c r="AC50" s="3497"/>
      <c r="AD50" s="3497"/>
      <c r="AE50" s="3497"/>
      <c r="AF50" s="3497"/>
      <c r="AG50" s="3497"/>
      <c r="AH50" s="3497"/>
      <c r="AI50" s="3497"/>
      <c r="AJ50" s="3497"/>
      <c r="AK50" s="3497"/>
      <c r="AL50" s="3836"/>
      <c r="AM50" s="3027"/>
      <c r="AN50" s="3250"/>
    </row>
    <row r="51" spans="1:40" ht="89.25" customHeight="1" x14ac:dyDescent="0.2">
      <c r="A51" s="2060"/>
      <c r="B51" s="2061"/>
      <c r="C51" s="2082"/>
      <c r="D51" s="649"/>
      <c r="E51" s="2082"/>
      <c r="F51" s="649"/>
      <c r="G51" s="2563">
        <v>188</v>
      </c>
      <c r="H51" s="3764" t="s">
        <v>2060</v>
      </c>
      <c r="I51" s="3248" t="s">
        <v>2061</v>
      </c>
      <c r="J51" s="3466">
        <v>2</v>
      </c>
      <c r="K51" s="3796"/>
      <c r="L51" s="3780"/>
      <c r="M51" s="3772"/>
      <c r="N51" s="3840">
        <f>SUM(S51:S53)/O45</f>
        <v>0.4</v>
      </c>
      <c r="O51" s="3817"/>
      <c r="P51" s="3772"/>
      <c r="Q51" s="3248" t="s">
        <v>2060</v>
      </c>
      <c r="R51" s="1788" t="s">
        <v>2062</v>
      </c>
      <c r="S51" s="1789">
        <v>30000000</v>
      </c>
      <c r="T51" s="2090">
        <v>20</v>
      </c>
      <c r="U51" s="2099" t="s">
        <v>667</v>
      </c>
      <c r="V51" s="3497"/>
      <c r="W51" s="3515"/>
      <c r="X51" s="3497"/>
      <c r="Y51" s="3497"/>
      <c r="Z51" s="3497"/>
      <c r="AA51" s="3497"/>
      <c r="AB51" s="3839"/>
      <c r="AC51" s="3497"/>
      <c r="AD51" s="3497"/>
      <c r="AE51" s="3497"/>
      <c r="AF51" s="3497"/>
      <c r="AG51" s="3497"/>
      <c r="AH51" s="3497"/>
      <c r="AI51" s="3497"/>
      <c r="AJ51" s="3497"/>
      <c r="AK51" s="3497"/>
      <c r="AL51" s="3836"/>
      <c r="AM51" s="3027"/>
      <c r="AN51" s="3250"/>
    </row>
    <row r="52" spans="1:40" ht="52.5" customHeight="1" x14ac:dyDescent="0.2">
      <c r="A52" s="2060"/>
      <c r="B52" s="2061"/>
      <c r="C52" s="2082"/>
      <c r="D52" s="649"/>
      <c r="E52" s="2082"/>
      <c r="F52" s="649"/>
      <c r="G52" s="2552"/>
      <c r="H52" s="3753"/>
      <c r="I52" s="3249"/>
      <c r="J52" s="3467"/>
      <c r="K52" s="3796"/>
      <c r="L52" s="3780"/>
      <c r="M52" s="3772"/>
      <c r="N52" s="3841"/>
      <c r="O52" s="3817"/>
      <c r="P52" s="3772"/>
      <c r="Q52" s="3249"/>
      <c r="R52" s="1788" t="s">
        <v>2063</v>
      </c>
      <c r="S52" s="2106">
        <f>7000000+8000000</f>
        <v>15000000</v>
      </c>
      <c r="T52" s="2090">
        <v>20</v>
      </c>
      <c r="U52" s="2099" t="s">
        <v>667</v>
      </c>
      <c r="V52" s="3497"/>
      <c r="W52" s="3515"/>
      <c r="X52" s="3497"/>
      <c r="Y52" s="3497"/>
      <c r="Z52" s="3497"/>
      <c r="AA52" s="3497"/>
      <c r="AB52" s="3839"/>
      <c r="AC52" s="3497"/>
      <c r="AD52" s="3497"/>
      <c r="AE52" s="3497"/>
      <c r="AF52" s="3497"/>
      <c r="AG52" s="3497"/>
      <c r="AH52" s="3497"/>
      <c r="AI52" s="3497"/>
      <c r="AJ52" s="3497"/>
      <c r="AK52" s="3497"/>
      <c r="AL52" s="3836"/>
      <c r="AM52" s="3027"/>
      <c r="AN52" s="3250"/>
    </row>
    <row r="53" spans="1:40" ht="45" customHeight="1" x14ac:dyDescent="0.2">
      <c r="A53" s="2060"/>
      <c r="B53" s="2061"/>
      <c r="C53" s="2082"/>
      <c r="D53" s="649"/>
      <c r="E53" s="2082"/>
      <c r="F53" s="649"/>
      <c r="G53" s="2553"/>
      <c r="H53" s="3754"/>
      <c r="I53" s="3250"/>
      <c r="J53" s="3468"/>
      <c r="K53" s="3796"/>
      <c r="L53" s="3780"/>
      <c r="M53" s="3772"/>
      <c r="N53" s="3842"/>
      <c r="O53" s="3770"/>
      <c r="P53" s="3772"/>
      <c r="Q53" s="3250"/>
      <c r="R53" s="1788" t="s">
        <v>2064</v>
      </c>
      <c r="S53" s="1789">
        <v>3000000</v>
      </c>
      <c r="T53" s="2090">
        <v>20</v>
      </c>
      <c r="U53" s="2099" t="s">
        <v>667</v>
      </c>
      <c r="V53" s="3497"/>
      <c r="W53" s="3515"/>
      <c r="X53" s="3497"/>
      <c r="Y53" s="3497"/>
      <c r="Z53" s="3497"/>
      <c r="AA53" s="3497"/>
      <c r="AB53" s="3839"/>
      <c r="AC53" s="3497"/>
      <c r="AD53" s="3497"/>
      <c r="AE53" s="3497"/>
      <c r="AF53" s="3497"/>
      <c r="AG53" s="3497"/>
      <c r="AH53" s="3497"/>
      <c r="AI53" s="3497"/>
      <c r="AJ53" s="3497"/>
      <c r="AK53" s="3497"/>
      <c r="AL53" s="3837"/>
      <c r="AM53" s="3456"/>
      <c r="AN53" s="2769"/>
    </row>
    <row r="54" spans="1:40" ht="50.25" customHeight="1" x14ac:dyDescent="0.2">
      <c r="A54" s="2060"/>
      <c r="B54" s="2061"/>
      <c r="C54" s="2082"/>
      <c r="D54" s="649"/>
      <c r="E54" s="2082"/>
      <c r="F54" s="649"/>
      <c r="G54" s="2563">
        <v>189</v>
      </c>
      <c r="H54" s="3764" t="s">
        <v>2065</v>
      </c>
      <c r="I54" s="3065" t="s">
        <v>2066</v>
      </c>
      <c r="J54" s="3496">
        <v>1</v>
      </c>
      <c r="K54" s="3796"/>
      <c r="L54" s="3780"/>
      <c r="M54" s="3772"/>
      <c r="N54" s="3843">
        <f>SUM(S54:S56)/O45</f>
        <v>0.33333333333333331</v>
      </c>
      <c r="O54" s="3770"/>
      <c r="P54" s="3772"/>
      <c r="Q54" s="3065" t="s">
        <v>2067</v>
      </c>
      <c r="R54" s="1785" t="s">
        <v>2068</v>
      </c>
      <c r="S54" s="1789">
        <v>32000000</v>
      </c>
      <c r="T54" s="2090">
        <v>20</v>
      </c>
      <c r="U54" s="2099" t="s">
        <v>667</v>
      </c>
      <c r="V54" s="3497"/>
      <c r="W54" s="3515"/>
      <c r="X54" s="3497"/>
      <c r="Y54" s="3497"/>
      <c r="Z54" s="3497"/>
      <c r="AA54" s="3497"/>
      <c r="AB54" s="3839"/>
      <c r="AC54" s="3497"/>
      <c r="AD54" s="3497"/>
      <c r="AE54" s="3497"/>
      <c r="AF54" s="3497"/>
      <c r="AG54" s="3497"/>
      <c r="AH54" s="3497"/>
      <c r="AI54" s="3497"/>
      <c r="AJ54" s="3497"/>
      <c r="AK54" s="3497"/>
      <c r="AL54" s="3837"/>
      <c r="AM54" s="3456"/>
      <c r="AN54" s="2769"/>
    </row>
    <row r="55" spans="1:40" ht="54" customHeight="1" x14ac:dyDescent="0.2">
      <c r="A55" s="2060"/>
      <c r="B55" s="2061"/>
      <c r="C55" s="2082"/>
      <c r="D55" s="649"/>
      <c r="E55" s="2082"/>
      <c r="F55" s="649"/>
      <c r="G55" s="2552"/>
      <c r="H55" s="3753"/>
      <c r="I55" s="3244"/>
      <c r="J55" s="3497"/>
      <c r="K55" s="3796"/>
      <c r="L55" s="3780"/>
      <c r="M55" s="3772"/>
      <c r="N55" s="3844"/>
      <c r="O55" s="3770"/>
      <c r="P55" s="3772"/>
      <c r="Q55" s="3244"/>
      <c r="R55" s="1785" t="s">
        <v>2069</v>
      </c>
      <c r="S55" s="1789">
        <v>4000000</v>
      </c>
      <c r="T55" s="2090">
        <v>20</v>
      </c>
      <c r="U55" s="2099" t="s">
        <v>667</v>
      </c>
      <c r="V55" s="3497"/>
      <c r="W55" s="3515"/>
      <c r="X55" s="3497"/>
      <c r="Y55" s="3497"/>
      <c r="Z55" s="3497"/>
      <c r="AA55" s="3497"/>
      <c r="AB55" s="3839"/>
      <c r="AC55" s="3497"/>
      <c r="AD55" s="3497"/>
      <c r="AE55" s="3497"/>
      <c r="AF55" s="3497"/>
      <c r="AG55" s="3497"/>
      <c r="AH55" s="3497"/>
      <c r="AI55" s="3497"/>
      <c r="AJ55" s="3497"/>
      <c r="AK55" s="3497"/>
      <c r="AL55" s="3837"/>
      <c r="AM55" s="3456"/>
      <c r="AN55" s="2769"/>
    </row>
    <row r="56" spans="1:40" ht="48.75" customHeight="1" x14ac:dyDescent="0.2">
      <c r="A56" s="2060"/>
      <c r="B56" s="2061"/>
      <c r="C56" s="2082"/>
      <c r="D56" s="649"/>
      <c r="E56" s="2082"/>
      <c r="F56" s="649"/>
      <c r="G56" s="2552"/>
      <c r="H56" s="3753"/>
      <c r="I56" s="3244"/>
      <c r="J56" s="3497"/>
      <c r="K56" s="3796"/>
      <c r="L56" s="3780"/>
      <c r="M56" s="3772"/>
      <c r="N56" s="3844"/>
      <c r="O56" s="3770"/>
      <c r="P56" s="3772"/>
      <c r="Q56" s="3244"/>
      <c r="R56" s="1785" t="s">
        <v>2070</v>
      </c>
      <c r="S56" s="1789">
        <v>4000000</v>
      </c>
      <c r="T56" s="2090">
        <v>20</v>
      </c>
      <c r="U56" s="2099" t="s">
        <v>667</v>
      </c>
      <c r="V56" s="3498"/>
      <c r="W56" s="3515"/>
      <c r="X56" s="3497"/>
      <c r="Y56" s="3497"/>
      <c r="Z56" s="3497"/>
      <c r="AA56" s="3497"/>
      <c r="AB56" s="3839"/>
      <c r="AC56" s="3497"/>
      <c r="AD56" s="3497"/>
      <c r="AE56" s="3497"/>
      <c r="AF56" s="3497"/>
      <c r="AG56" s="3497"/>
      <c r="AH56" s="3497"/>
      <c r="AI56" s="3497"/>
      <c r="AJ56" s="3497"/>
      <c r="AK56" s="3497"/>
      <c r="AL56" s="3837"/>
      <c r="AM56" s="3456"/>
      <c r="AN56" s="2769"/>
    </row>
    <row r="57" spans="1:40" ht="15" x14ac:dyDescent="0.2">
      <c r="A57" s="2060"/>
      <c r="B57" s="2061"/>
      <c r="C57" s="2082"/>
      <c r="D57" s="649"/>
      <c r="E57" s="640">
        <v>61</v>
      </c>
      <c r="F57" s="2069" t="s">
        <v>2071</v>
      </c>
      <c r="G57" s="2070"/>
      <c r="H57" s="2083"/>
      <c r="I57" s="2083"/>
      <c r="J57" s="2070"/>
      <c r="K57" s="2070"/>
      <c r="L57" s="2070"/>
      <c r="M57" s="2071"/>
      <c r="N57" s="2070"/>
      <c r="O57" s="2070"/>
      <c r="P57" s="2083"/>
      <c r="Q57" s="2083"/>
      <c r="R57" s="2083"/>
      <c r="S57" s="2085"/>
      <c r="T57" s="2072"/>
      <c r="U57" s="2071"/>
      <c r="V57" s="2070"/>
      <c r="W57" s="2070"/>
      <c r="X57" s="2070"/>
      <c r="Y57" s="2070"/>
      <c r="Z57" s="2070"/>
      <c r="AA57" s="2070"/>
      <c r="AB57" s="2070"/>
      <c r="AC57" s="2070"/>
      <c r="AD57" s="2070"/>
      <c r="AE57" s="2070"/>
      <c r="AF57" s="2070"/>
      <c r="AG57" s="2070"/>
      <c r="AH57" s="2070"/>
      <c r="AI57" s="2070"/>
      <c r="AJ57" s="2070"/>
      <c r="AK57" s="2070"/>
      <c r="AL57" s="2070"/>
      <c r="AM57" s="2070"/>
      <c r="AN57" s="2073"/>
    </row>
    <row r="58" spans="1:40" ht="57" x14ac:dyDescent="0.2">
      <c r="A58" s="2060"/>
      <c r="B58" s="2061"/>
      <c r="C58" s="2082"/>
      <c r="D58" s="649"/>
      <c r="E58" s="680"/>
      <c r="F58" s="649"/>
      <c r="G58" s="2563">
        <v>190</v>
      </c>
      <c r="H58" s="3764" t="s">
        <v>2072</v>
      </c>
      <c r="I58" s="3764" t="s">
        <v>2073</v>
      </c>
      <c r="J58" s="3232">
        <v>1</v>
      </c>
      <c r="K58" s="3795" t="s">
        <v>2074</v>
      </c>
      <c r="L58" s="3798" t="s">
        <v>2075</v>
      </c>
      <c r="M58" s="3771" t="s">
        <v>2076</v>
      </c>
      <c r="N58" s="3769">
        <f>SUM(S58:S74)/O58</f>
        <v>1</v>
      </c>
      <c r="O58" s="3828">
        <f>SUM(S58:S74)</f>
        <v>190000000</v>
      </c>
      <c r="P58" s="3830" t="s">
        <v>2077</v>
      </c>
      <c r="Q58" s="2769" t="s">
        <v>2078</v>
      </c>
      <c r="R58" s="1219" t="s">
        <v>2079</v>
      </c>
      <c r="S58" s="2100">
        <v>5280000</v>
      </c>
      <c r="T58" s="2090">
        <v>20</v>
      </c>
      <c r="U58" s="2099" t="s">
        <v>667</v>
      </c>
      <c r="V58" s="3832">
        <v>1500</v>
      </c>
      <c r="W58" s="3832">
        <v>1500</v>
      </c>
      <c r="X58" s="3832">
        <v>480</v>
      </c>
      <c r="Y58" s="3832">
        <v>480</v>
      </c>
      <c r="Z58" s="3832">
        <v>1000</v>
      </c>
      <c r="AA58" s="3832">
        <v>1000</v>
      </c>
      <c r="AB58" s="3832">
        <v>20</v>
      </c>
      <c r="AC58" s="3832">
        <v>20</v>
      </c>
      <c r="AD58" s="3832"/>
      <c r="AE58" s="3832"/>
      <c r="AF58" s="3832"/>
      <c r="AG58" s="3832"/>
      <c r="AH58" s="3832">
        <v>3000</v>
      </c>
      <c r="AI58" s="3456"/>
      <c r="AJ58" s="3456"/>
      <c r="AK58" s="3456">
        <f>SUM(V58:W74)</f>
        <v>3000</v>
      </c>
      <c r="AL58" s="3748">
        <v>43467</v>
      </c>
      <c r="AM58" s="3834">
        <v>43830</v>
      </c>
      <c r="AN58" s="2769" t="s">
        <v>1991</v>
      </c>
    </row>
    <row r="59" spans="1:40" ht="42.75" x14ac:dyDescent="0.2">
      <c r="A59" s="2060"/>
      <c r="B59" s="2061"/>
      <c r="C59" s="2082"/>
      <c r="D59" s="649"/>
      <c r="E59" s="2082"/>
      <c r="F59" s="649"/>
      <c r="G59" s="2552"/>
      <c r="H59" s="3753"/>
      <c r="I59" s="3753"/>
      <c r="J59" s="3233"/>
      <c r="K59" s="3796"/>
      <c r="L59" s="3780"/>
      <c r="M59" s="3772"/>
      <c r="N59" s="3193"/>
      <c r="O59" s="3829"/>
      <c r="P59" s="3831"/>
      <c r="Q59" s="2769"/>
      <c r="R59" s="1219" t="s">
        <v>2080</v>
      </c>
      <c r="S59" s="2107">
        <f>13080000-13080000</f>
        <v>0</v>
      </c>
      <c r="T59" s="2090">
        <v>20</v>
      </c>
      <c r="U59" s="2099" t="s">
        <v>667</v>
      </c>
      <c r="V59" s="3832"/>
      <c r="W59" s="3832"/>
      <c r="X59" s="3832"/>
      <c r="Y59" s="3832"/>
      <c r="Z59" s="3832"/>
      <c r="AA59" s="3832"/>
      <c r="AB59" s="3832"/>
      <c r="AC59" s="3832"/>
      <c r="AD59" s="3832"/>
      <c r="AE59" s="3832"/>
      <c r="AF59" s="3832"/>
      <c r="AG59" s="3832"/>
      <c r="AH59" s="3832"/>
      <c r="AI59" s="3456"/>
      <c r="AJ59" s="3456"/>
      <c r="AK59" s="3456"/>
      <c r="AL59" s="3748"/>
      <c r="AM59" s="3835"/>
      <c r="AN59" s="2769"/>
    </row>
    <row r="60" spans="1:40" ht="42.75" x14ac:dyDescent="0.2">
      <c r="A60" s="2060"/>
      <c r="B60" s="2061"/>
      <c r="C60" s="2082"/>
      <c r="D60" s="649"/>
      <c r="E60" s="2082"/>
      <c r="F60" s="649"/>
      <c r="G60" s="2552"/>
      <c r="H60" s="3753"/>
      <c r="I60" s="3753"/>
      <c r="J60" s="3233"/>
      <c r="K60" s="3796"/>
      <c r="L60" s="3780"/>
      <c r="M60" s="3772"/>
      <c r="N60" s="3193"/>
      <c r="O60" s="3829"/>
      <c r="P60" s="3831"/>
      <c r="Q60" s="2769"/>
      <c r="R60" s="1219" t="s">
        <v>2081</v>
      </c>
      <c r="S60" s="2107">
        <v>5000000</v>
      </c>
      <c r="T60" s="2090">
        <v>20</v>
      </c>
      <c r="U60" s="2099" t="s">
        <v>667</v>
      </c>
      <c r="V60" s="3832"/>
      <c r="W60" s="3832"/>
      <c r="X60" s="3832"/>
      <c r="Y60" s="3832"/>
      <c r="Z60" s="3832"/>
      <c r="AA60" s="3832"/>
      <c r="AB60" s="3832"/>
      <c r="AC60" s="3832"/>
      <c r="AD60" s="3832"/>
      <c r="AE60" s="3832"/>
      <c r="AF60" s="3832"/>
      <c r="AG60" s="3832"/>
      <c r="AH60" s="3832"/>
      <c r="AI60" s="3456"/>
      <c r="AJ60" s="3456"/>
      <c r="AK60" s="3456"/>
      <c r="AL60" s="3748"/>
      <c r="AM60" s="3835"/>
      <c r="AN60" s="2769"/>
    </row>
    <row r="61" spans="1:40" ht="42.75" x14ac:dyDescent="0.2">
      <c r="A61" s="2060"/>
      <c r="B61" s="2061"/>
      <c r="C61" s="2082"/>
      <c r="D61" s="649"/>
      <c r="E61" s="2082"/>
      <c r="F61" s="649"/>
      <c r="G61" s="2552"/>
      <c r="H61" s="3753"/>
      <c r="I61" s="3753"/>
      <c r="J61" s="3233"/>
      <c r="K61" s="3796"/>
      <c r="L61" s="3780"/>
      <c r="M61" s="3772"/>
      <c r="N61" s="3193"/>
      <c r="O61" s="3829"/>
      <c r="P61" s="3831"/>
      <c r="Q61" s="2769"/>
      <c r="R61" s="1219" t="s">
        <v>2082</v>
      </c>
      <c r="S61" s="2107">
        <v>4000000</v>
      </c>
      <c r="T61" s="2090">
        <v>20</v>
      </c>
      <c r="U61" s="2099" t="s">
        <v>667</v>
      </c>
      <c r="V61" s="3832"/>
      <c r="W61" s="3832"/>
      <c r="X61" s="3832"/>
      <c r="Y61" s="3832"/>
      <c r="Z61" s="3832"/>
      <c r="AA61" s="3832"/>
      <c r="AB61" s="3832"/>
      <c r="AC61" s="3832"/>
      <c r="AD61" s="3832"/>
      <c r="AE61" s="3832"/>
      <c r="AF61" s="3832"/>
      <c r="AG61" s="3832"/>
      <c r="AH61" s="3832"/>
      <c r="AI61" s="3456"/>
      <c r="AJ61" s="3456"/>
      <c r="AK61" s="3456"/>
      <c r="AL61" s="3748"/>
      <c r="AM61" s="3835"/>
      <c r="AN61" s="2769"/>
    </row>
    <row r="62" spans="1:40" ht="110.25" customHeight="1" x14ac:dyDescent="0.2">
      <c r="A62" s="2060"/>
      <c r="B62" s="2061"/>
      <c r="C62" s="2082"/>
      <c r="D62" s="649"/>
      <c r="E62" s="2082"/>
      <c r="F62" s="649"/>
      <c r="G62" s="2552"/>
      <c r="H62" s="3753"/>
      <c r="I62" s="3753"/>
      <c r="J62" s="3233"/>
      <c r="K62" s="3796"/>
      <c r="L62" s="3780"/>
      <c r="M62" s="3772"/>
      <c r="N62" s="3193"/>
      <c r="O62" s="3829"/>
      <c r="P62" s="3831"/>
      <c r="Q62" s="2769" t="s">
        <v>2083</v>
      </c>
      <c r="R62" s="1219" t="s">
        <v>2084</v>
      </c>
      <c r="S62" s="2101">
        <f>22000000-2299000</f>
        <v>19701000</v>
      </c>
      <c r="T62" s="2090">
        <v>20</v>
      </c>
      <c r="U62" s="2099" t="s">
        <v>667</v>
      </c>
      <c r="V62" s="3832"/>
      <c r="W62" s="3832"/>
      <c r="X62" s="3832"/>
      <c r="Y62" s="3832"/>
      <c r="Z62" s="3832"/>
      <c r="AA62" s="3832"/>
      <c r="AB62" s="3832"/>
      <c r="AC62" s="3832"/>
      <c r="AD62" s="3832"/>
      <c r="AE62" s="3832"/>
      <c r="AF62" s="3832"/>
      <c r="AG62" s="3832"/>
      <c r="AH62" s="3832"/>
      <c r="AI62" s="3456"/>
      <c r="AJ62" s="3456"/>
      <c r="AK62" s="3456"/>
      <c r="AL62" s="3748"/>
      <c r="AM62" s="3835"/>
      <c r="AN62" s="2769"/>
    </row>
    <row r="63" spans="1:40" ht="55.5" customHeight="1" x14ac:dyDescent="0.2">
      <c r="A63" s="2060"/>
      <c r="B63" s="2061"/>
      <c r="C63" s="2082"/>
      <c r="D63" s="649"/>
      <c r="E63" s="2082"/>
      <c r="F63" s="649"/>
      <c r="G63" s="2552"/>
      <c r="H63" s="3753"/>
      <c r="I63" s="3753"/>
      <c r="J63" s="3233"/>
      <c r="K63" s="3796"/>
      <c r="L63" s="3780"/>
      <c r="M63" s="3772"/>
      <c r="N63" s="3193"/>
      <c r="O63" s="3829"/>
      <c r="P63" s="3831"/>
      <c r="Q63" s="2769"/>
      <c r="R63" s="1219" t="s">
        <v>2085</v>
      </c>
      <c r="S63" s="2101">
        <f>13010000-5000000</f>
        <v>8010000</v>
      </c>
      <c r="T63" s="2090">
        <v>20</v>
      </c>
      <c r="U63" s="2099" t="s">
        <v>667</v>
      </c>
      <c r="V63" s="3832"/>
      <c r="W63" s="3832"/>
      <c r="X63" s="3832"/>
      <c r="Y63" s="3832"/>
      <c r="Z63" s="3832"/>
      <c r="AA63" s="3832"/>
      <c r="AB63" s="3832"/>
      <c r="AC63" s="3832"/>
      <c r="AD63" s="3832"/>
      <c r="AE63" s="3832"/>
      <c r="AF63" s="3832"/>
      <c r="AG63" s="3832"/>
      <c r="AH63" s="3832"/>
      <c r="AI63" s="3456"/>
      <c r="AJ63" s="3456"/>
      <c r="AK63" s="3456"/>
      <c r="AL63" s="3748"/>
      <c r="AM63" s="3835"/>
      <c r="AN63" s="2769"/>
    </row>
    <row r="64" spans="1:40" ht="102.75" customHeight="1" x14ac:dyDescent="0.2">
      <c r="A64" s="2060"/>
      <c r="B64" s="2061"/>
      <c r="C64" s="2082"/>
      <c r="D64" s="649"/>
      <c r="E64" s="2082"/>
      <c r="F64" s="649"/>
      <c r="G64" s="2552"/>
      <c r="H64" s="3753"/>
      <c r="I64" s="3753"/>
      <c r="J64" s="3233"/>
      <c r="K64" s="3796"/>
      <c r="L64" s="3780"/>
      <c r="M64" s="3772"/>
      <c r="N64" s="3193"/>
      <c r="O64" s="3829"/>
      <c r="P64" s="3831"/>
      <c r="Q64" s="2769"/>
      <c r="R64" s="1219" t="s">
        <v>2086</v>
      </c>
      <c r="S64" s="2093">
        <v>6000000</v>
      </c>
      <c r="T64" s="2090">
        <v>20</v>
      </c>
      <c r="U64" s="2099" t="s">
        <v>667</v>
      </c>
      <c r="V64" s="3832"/>
      <c r="W64" s="3832"/>
      <c r="X64" s="3832"/>
      <c r="Y64" s="3832"/>
      <c r="Z64" s="3832"/>
      <c r="AA64" s="3832"/>
      <c r="AB64" s="3832"/>
      <c r="AC64" s="3832"/>
      <c r="AD64" s="3832"/>
      <c r="AE64" s="3832"/>
      <c r="AF64" s="3832"/>
      <c r="AG64" s="3832"/>
      <c r="AH64" s="3832"/>
      <c r="AI64" s="3456"/>
      <c r="AJ64" s="3456"/>
      <c r="AK64" s="3456"/>
      <c r="AL64" s="3748"/>
      <c r="AM64" s="3835"/>
      <c r="AN64" s="2769"/>
    </row>
    <row r="65" spans="1:254" ht="42.75" x14ac:dyDescent="0.2">
      <c r="A65" s="2060"/>
      <c r="B65" s="2061"/>
      <c r="C65" s="2082"/>
      <c r="D65" s="649"/>
      <c r="E65" s="2082"/>
      <c r="F65" s="649"/>
      <c r="G65" s="2552"/>
      <c r="H65" s="3753"/>
      <c r="I65" s="3753"/>
      <c r="J65" s="3233"/>
      <c r="K65" s="3796"/>
      <c r="L65" s="3780"/>
      <c r="M65" s="3772"/>
      <c r="N65" s="3193"/>
      <c r="O65" s="3829"/>
      <c r="P65" s="3831"/>
      <c r="Q65" s="2769"/>
      <c r="R65" s="1219" t="s">
        <v>2087</v>
      </c>
      <c r="S65" s="2101">
        <f>12580000-2580000</f>
        <v>10000000</v>
      </c>
      <c r="T65" s="2090">
        <v>20</v>
      </c>
      <c r="U65" s="2099" t="s">
        <v>667</v>
      </c>
      <c r="V65" s="3832"/>
      <c r="W65" s="3832"/>
      <c r="X65" s="3832"/>
      <c r="Y65" s="3832"/>
      <c r="Z65" s="3832"/>
      <c r="AA65" s="3832"/>
      <c r="AB65" s="3832"/>
      <c r="AC65" s="3832"/>
      <c r="AD65" s="3832"/>
      <c r="AE65" s="3832"/>
      <c r="AF65" s="3832"/>
      <c r="AG65" s="3832"/>
      <c r="AH65" s="3832"/>
      <c r="AI65" s="3456"/>
      <c r="AJ65" s="3456"/>
      <c r="AK65" s="3456"/>
      <c r="AL65" s="3748"/>
      <c r="AM65" s="3835"/>
      <c r="AN65" s="2769"/>
    </row>
    <row r="66" spans="1:254" ht="42.75" x14ac:dyDescent="0.2">
      <c r="A66" s="2060"/>
      <c r="B66" s="2061"/>
      <c r="C66" s="2082"/>
      <c r="D66" s="649"/>
      <c r="E66" s="2082"/>
      <c r="F66" s="649"/>
      <c r="G66" s="2552"/>
      <c r="H66" s="3753"/>
      <c r="I66" s="3753"/>
      <c r="J66" s="3233"/>
      <c r="K66" s="3796"/>
      <c r="L66" s="3780"/>
      <c r="M66" s="3772"/>
      <c r="N66" s="3193"/>
      <c r="O66" s="3829"/>
      <c r="P66" s="3831"/>
      <c r="Q66" s="2769"/>
      <c r="R66" s="1219" t="s">
        <v>2088</v>
      </c>
      <c r="S66" s="2101">
        <f>5000000+25959000</f>
        <v>30959000</v>
      </c>
      <c r="T66" s="2090">
        <v>20</v>
      </c>
      <c r="U66" s="2099" t="s">
        <v>667</v>
      </c>
      <c r="V66" s="3832"/>
      <c r="W66" s="3832"/>
      <c r="X66" s="3832"/>
      <c r="Y66" s="3832"/>
      <c r="Z66" s="3832"/>
      <c r="AA66" s="3832"/>
      <c r="AB66" s="3832"/>
      <c r="AC66" s="3832"/>
      <c r="AD66" s="3832"/>
      <c r="AE66" s="3832"/>
      <c r="AF66" s="3832"/>
      <c r="AG66" s="3832"/>
      <c r="AH66" s="3832"/>
      <c r="AI66" s="3456"/>
      <c r="AJ66" s="3456"/>
      <c r="AK66" s="3456"/>
      <c r="AL66" s="3748"/>
      <c r="AM66" s="3835"/>
      <c r="AN66" s="2769"/>
    </row>
    <row r="67" spans="1:254" ht="71.25" x14ac:dyDescent="0.2">
      <c r="A67" s="2060"/>
      <c r="B67" s="2061"/>
      <c r="C67" s="2082"/>
      <c r="D67" s="649"/>
      <c r="E67" s="2082"/>
      <c r="F67" s="649"/>
      <c r="G67" s="2552"/>
      <c r="H67" s="3753"/>
      <c r="I67" s="3753"/>
      <c r="J67" s="3233"/>
      <c r="K67" s="3796"/>
      <c r="L67" s="3780"/>
      <c r="M67" s="3772"/>
      <c r="N67" s="3193"/>
      <c r="O67" s="3829"/>
      <c r="P67" s="3831"/>
      <c r="Q67" s="2769"/>
      <c r="R67" s="1219" t="s">
        <v>2089</v>
      </c>
      <c r="S67" s="2093">
        <v>7920000</v>
      </c>
      <c r="T67" s="2090">
        <v>20</v>
      </c>
      <c r="U67" s="2099" t="s">
        <v>667</v>
      </c>
      <c r="V67" s="3832"/>
      <c r="W67" s="3832"/>
      <c r="X67" s="3832"/>
      <c r="Y67" s="3832"/>
      <c r="Z67" s="3832"/>
      <c r="AA67" s="3832"/>
      <c r="AB67" s="3832"/>
      <c r="AC67" s="3832"/>
      <c r="AD67" s="3832"/>
      <c r="AE67" s="3832"/>
      <c r="AF67" s="3832"/>
      <c r="AG67" s="3832"/>
      <c r="AH67" s="3832"/>
      <c r="AI67" s="3456"/>
      <c r="AJ67" s="3456"/>
      <c r="AK67" s="3456"/>
      <c r="AL67" s="3748"/>
      <c r="AM67" s="3835"/>
      <c r="AN67" s="2769"/>
    </row>
    <row r="68" spans="1:254" ht="57" x14ac:dyDescent="0.2">
      <c r="A68" s="2060"/>
      <c r="B68" s="2061"/>
      <c r="C68" s="2082"/>
      <c r="D68" s="649"/>
      <c r="E68" s="2082"/>
      <c r="F68" s="649"/>
      <c r="G68" s="2552"/>
      <c r="H68" s="3753"/>
      <c r="I68" s="3753"/>
      <c r="J68" s="3233"/>
      <c r="K68" s="3796"/>
      <c r="L68" s="3780"/>
      <c r="M68" s="3772"/>
      <c r="N68" s="3193"/>
      <c r="O68" s="3829"/>
      <c r="P68" s="3831"/>
      <c r="Q68" s="2769"/>
      <c r="R68" s="1219" t="s">
        <v>2090</v>
      </c>
      <c r="S68" s="2093">
        <v>8320000</v>
      </c>
      <c r="T68" s="2090">
        <v>20</v>
      </c>
      <c r="U68" s="2099" t="s">
        <v>667</v>
      </c>
      <c r="V68" s="3832"/>
      <c r="W68" s="3832"/>
      <c r="X68" s="3832"/>
      <c r="Y68" s="3832"/>
      <c r="Z68" s="3832"/>
      <c r="AA68" s="3832"/>
      <c r="AB68" s="3832"/>
      <c r="AC68" s="3832"/>
      <c r="AD68" s="3832"/>
      <c r="AE68" s="3832"/>
      <c r="AF68" s="3832"/>
      <c r="AG68" s="3832"/>
      <c r="AH68" s="3832"/>
      <c r="AI68" s="3456"/>
      <c r="AJ68" s="3456"/>
      <c r="AK68" s="3456"/>
      <c r="AL68" s="3748"/>
      <c r="AM68" s="3835"/>
      <c r="AN68" s="2769"/>
    </row>
    <row r="69" spans="1:254" ht="42.75" x14ac:dyDescent="0.2">
      <c r="A69" s="2060"/>
      <c r="B69" s="2061"/>
      <c r="C69" s="2082"/>
      <c r="D69" s="649"/>
      <c r="E69" s="2082"/>
      <c r="F69" s="649"/>
      <c r="G69" s="2552"/>
      <c r="H69" s="3753"/>
      <c r="I69" s="3753"/>
      <c r="J69" s="3233"/>
      <c r="K69" s="3796"/>
      <c r="L69" s="3780"/>
      <c r="M69" s="3772"/>
      <c r="N69" s="3193"/>
      <c r="O69" s="3829"/>
      <c r="P69" s="3831"/>
      <c r="Q69" s="2769"/>
      <c r="R69" s="1176" t="s">
        <v>2091</v>
      </c>
      <c r="S69" s="2093">
        <v>10280000</v>
      </c>
      <c r="T69" s="2090">
        <v>20</v>
      </c>
      <c r="U69" s="2099" t="s">
        <v>667</v>
      </c>
      <c r="V69" s="3832"/>
      <c r="W69" s="3832"/>
      <c r="X69" s="3832"/>
      <c r="Y69" s="3832"/>
      <c r="Z69" s="3832"/>
      <c r="AA69" s="3832"/>
      <c r="AB69" s="3832"/>
      <c r="AC69" s="3832"/>
      <c r="AD69" s="3832"/>
      <c r="AE69" s="3832"/>
      <c r="AF69" s="3832"/>
      <c r="AG69" s="3832"/>
      <c r="AH69" s="3832"/>
      <c r="AI69" s="3456"/>
      <c r="AJ69" s="3456"/>
      <c r="AK69" s="3456"/>
      <c r="AL69" s="3748"/>
      <c r="AM69" s="3835"/>
      <c r="AN69" s="2769"/>
    </row>
    <row r="70" spans="1:254" ht="42.75" x14ac:dyDescent="0.2">
      <c r="A70" s="2060"/>
      <c r="B70" s="2061"/>
      <c r="C70" s="2082"/>
      <c r="D70" s="649"/>
      <c r="E70" s="2082"/>
      <c r="F70" s="649"/>
      <c r="G70" s="2552"/>
      <c r="H70" s="3753"/>
      <c r="I70" s="3753"/>
      <c r="J70" s="3233"/>
      <c r="K70" s="3796"/>
      <c r="L70" s="3780"/>
      <c r="M70" s="3772"/>
      <c r="N70" s="3193"/>
      <c r="O70" s="3829"/>
      <c r="P70" s="3831"/>
      <c r="Q70" s="2769"/>
      <c r="R70" s="1176" t="s">
        <v>2092</v>
      </c>
      <c r="S70" s="2093">
        <v>2450000</v>
      </c>
      <c r="T70" s="2090">
        <v>20</v>
      </c>
      <c r="U70" s="2099" t="s">
        <v>667</v>
      </c>
      <c r="V70" s="3832"/>
      <c r="W70" s="3832"/>
      <c r="X70" s="3832"/>
      <c r="Y70" s="3832"/>
      <c r="Z70" s="3832"/>
      <c r="AA70" s="3832"/>
      <c r="AB70" s="3832"/>
      <c r="AC70" s="3832"/>
      <c r="AD70" s="3832"/>
      <c r="AE70" s="3832"/>
      <c r="AF70" s="3832"/>
      <c r="AG70" s="3832"/>
      <c r="AH70" s="3832"/>
      <c r="AI70" s="3456"/>
      <c r="AJ70" s="3456"/>
      <c r="AK70" s="3456"/>
      <c r="AL70" s="3748"/>
      <c r="AM70" s="3835"/>
      <c r="AN70" s="2769"/>
    </row>
    <row r="71" spans="1:254" ht="42.75" x14ac:dyDescent="0.2">
      <c r="A71" s="2060"/>
      <c r="B71" s="2061"/>
      <c r="C71" s="2082"/>
      <c r="D71" s="649"/>
      <c r="E71" s="2082"/>
      <c r="F71" s="649"/>
      <c r="G71" s="2552"/>
      <c r="H71" s="3753"/>
      <c r="I71" s="3753"/>
      <c r="J71" s="3233"/>
      <c r="K71" s="3796"/>
      <c r="L71" s="3780"/>
      <c r="M71" s="3772"/>
      <c r="N71" s="3193"/>
      <c r="O71" s="3829"/>
      <c r="P71" s="3831"/>
      <c r="Q71" s="2769"/>
      <c r="R71" s="1176" t="s">
        <v>2093</v>
      </c>
      <c r="S71" s="2093">
        <v>14800000</v>
      </c>
      <c r="T71" s="2090">
        <v>20</v>
      </c>
      <c r="U71" s="2099" t="s">
        <v>667</v>
      </c>
      <c r="V71" s="3832"/>
      <c r="W71" s="3832"/>
      <c r="X71" s="3832"/>
      <c r="Y71" s="3832"/>
      <c r="Z71" s="3832"/>
      <c r="AA71" s="3832"/>
      <c r="AB71" s="3832"/>
      <c r="AC71" s="3832"/>
      <c r="AD71" s="3832"/>
      <c r="AE71" s="3832"/>
      <c r="AF71" s="3832"/>
      <c r="AG71" s="3832"/>
      <c r="AH71" s="3832"/>
      <c r="AI71" s="3456"/>
      <c r="AJ71" s="3456"/>
      <c r="AK71" s="3456"/>
      <c r="AL71" s="3748"/>
      <c r="AM71" s="3835"/>
      <c r="AN71" s="2769"/>
    </row>
    <row r="72" spans="1:254" ht="42.75" x14ac:dyDescent="0.2">
      <c r="A72" s="2060"/>
      <c r="B72" s="2061"/>
      <c r="C72" s="2082"/>
      <c r="D72" s="649"/>
      <c r="E72" s="2082"/>
      <c r="F72" s="649"/>
      <c r="G72" s="2552"/>
      <c r="H72" s="3753"/>
      <c r="I72" s="3753"/>
      <c r="J72" s="3233"/>
      <c r="K72" s="3796"/>
      <c r="L72" s="3780"/>
      <c r="M72" s="3772"/>
      <c r="N72" s="3193"/>
      <c r="O72" s="3829"/>
      <c r="P72" s="3831"/>
      <c r="Q72" s="2769"/>
      <c r="R72" s="1219" t="s">
        <v>2094</v>
      </c>
      <c r="S72" s="2093">
        <v>5280000</v>
      </c>
      <c r="T72" s="2090">
        <v>20</v>
      </c>
      <c r="U72" s="2099" t="s">
        <v>667</v>
      </c>
      <c r="V72" s="3832"/>
      <c r="W72" s="3832"/>
      <c r="X72" s="3832"/>
      <c r="Y72" s="3832"/>
      <c r="Z72" s="3832"/>
      <c r="AA72" s="3832"/>
      <c r="AB72" s="3832"/>
      <c r="AC72" s="3832"/>
      <c r="AD72" s="3832"/>
      <c r="AE72" s="3832"/>
      <c r="AF72" s="3832"/>
      <c r="AG72" s="3832"/>
      <c r="AH72" s="3832"/>
      <c r="AI72" s="3456"/>
      <c r="AJ72" s="3456"/>
      <c r="AK72" s="3456"/>
      <c r="AL72" s="3748"/>
      <c r="AM72" s="3835"/>
      <c r="AN72" s="2769"/>
    </row>
    <row r="73" spans="1:254" ht="42.75" x14ac:dyDescent="0.2">
      <c r="A73" s="2060"/>
      <c r="B73" s="2061"/>
      <c r="C73" s="2082"/>
      <c r="D73" s="649"/>
      <c r="E73" s="2082"/>
      <c r="F73" s="649"/>
      <c r="G73" s="2552"/>
      <c r="H73" s="3753"/>
      <c r="I73" s="3753"/>
      <c r="J73" s="3233"/>
      <c r="K73" s="3796"/>
      <c r="L73" s="3780"/>
      <c r="M73" s="3772"/>
      <c r="N73" s="3193"/>
      <c r="O73" s="3829"/>
      <c r="P73" s="3831"/>
      <c r="Q73" s="2769"/>
      <c r="R73" s="1219" t="s">
        <v>2095</v>
      </c>
      <c r="S73" s="2100">
        <v>35000000</v>
      </c>
      <c r="T73" s="2090">
        <v>20</v>
      </c>
      <c r="U73" s="2099" t="s">
        <v>667</v>
      </c>
      <c r="V73" s="3832"/>
      <c r="W73" s="3832"/>
      <c r="X73" s="3832"/>
      <c r="Y73" s="3832"/>
      <c r="Z73" s="3832"/>
      <c r="AA73" s="3832"/>
      <c r="AB73" s="3832"/>
      <c r="AC73" s="3832"/>
      <c r="AD73" s="3832"/>
      <c r="AE73" s="3832"/>
      <c r="AF73" s="3832"/>
      <c r="AG73" s="3832"/>
      <c r="AH73" s="3832"/>
      <c r="AI73" s="3456"/>
      <c r="AJ73" s="3456"/>
      <c r="AK73" s="3456"/>
      <c r="AL73" s="3748"/>
      <c r="AM73" s="3835"/>
      <c r="AN73" s="2769"/>
    </row>
    <row r="74" spans="1:254" ht="42.75" x14ac:dyDescent="0.2">
      <c r="A74" s="2060"/>
      <c r="B74" s="2061"/>
      <c r="C74" s="2082"/>
      <c r="D74" s="649"/>
      <c r="E74" s="2082"/>
      <c r="F74" s="649"/>
      <c r="G74" s="2552"/>
      <c r="H74" s="3753"/>
      <c r="I74" s="3753"/>
      <c r="J74" s="3233"/>
      <c r="K74" s="3796"/>
      <c r="L74" s="3780"/>
      <c r="M74" s="3772"/>
      <c r="N74" s="3193"/>
      <c r="O74" s="3829"/>
      <c r="P74" s="3831"/>
      <c r="Q74" s="3248"/>
      <c r="R74" s="1219" t="s">
        <v>2096</v>
      </c>
      <c r="S74" s="2108">
        <f>20000000-3000000</f>
        <v>17000000</v>
      </c>
      <c r="T74" s="2090">
        <v>20</v>
      </c>
      <c r="U74" s="2099" t="s">
        <v>667</v>
      </c>
      <c r="V74" s="3833"/>
      <c r="W74" s="3833"/>
      <c r="X74" s="3833"/>
      <c r="Y74" s="3833"/>
      <c r="Z74" s="3833"/>
      <c r="AA74" s="3833"/>
      <c r="AB74" s="3833"/>
      <c r="AC74" s="3833"/>
      <c r="AD74" s="3833"/>
      <c r="AE74" s="3833"/>
      <c r="AF74" s="3833"/>
      <c r="AG74" s="3833"/>
      <c r="AH74" s="3833"/>
      <c r="AI74" s="3466"/>
      <c r="AJ74" s="3466"/>
      <c r="AK74" s="3466"/>
      <c r="AL74" s="3025"/>
      <c r="AM74" s="3835"/>
      <c r="AN74" s="3248"/>
    </row>
    <row r="75" spans="1:254" ht="15" x14ac:dyDescent="0.25">
      <c r="A75" s="2060"/>
      <c r="B75" s="2061"/>
      <c r="C75" s="2062">
        <v>18</v>
      </c>
      <c r="D75" s="2063" t="s">
        <v>2097</v>
      </c>
      <c r="E75" s="1485"/>
      <c r="F75" s="1485"/>
      <c r="G75" s="1485"/>
      <c r="H75" s="2080"/>
      <c r="I75" s="2080"/>
      <c r="J75" s="1485"/>
      <c r="K75" s="1485"/>
      <c r="L75" s="1485"/>
      <c r="M75" s="1486"/>
      <c r="N75" s="1485"/>
      <c r="O75" s="1485"/>
      <c r="P75" s="2080"/>
      <c r="Q75" s="2080"/>
      <c r="R75" s="2080"/>
      <c r="S75" s="2109"/>
      <c r="T75" s="1782"/>
      <c r="U75" s="1486"/>
      <c r="V75" s="1485"/>
      <c r="W75" s="1485"/>
      <c r="X75" s="1485"/>
      <c r="Y75" s="1485"/>
      <c r="Z75" s="1485"/>
      <c r="AA75" s="1485"/>
      <c r="AB75" s="1485"/>
      <c r="AC75" s="1485"/>
      <c r="AD75" s="1485"/>
      <c r="AE75" s="1485"/>
      <c r="AF75" s="1485"/>
      <c r="AG75" s="1485"/>
      <c r="AH75" s="1485"/>
      <c r="AI75" s="1485"/>
      <c r="AJ75" s="1485"/>
      <c r="AK75" s="1485"/>
      <c r="AL75" s="1485"/>
      <c r="AM75" s="1485"/>
      <c r="AN75" s="1207"/>
      <c r="AO75" s="2110"/>
      <c r="AP75" s="2110"/>
      <c r="AQ75" s="2110"/>
      <c r="AR75" s="1099"/>
      <c r="AS75" s="1099"/>
      <c r="AT75" s="1099"/>
      <c r="AU75" s="1099"/>
      <c r="AV75" s="1099"/>
      <c r="AW75" s="1099"/>
      <c r="AX75" s="1099"/>
      <c r="AY75" s="1099"/>
      <c r="AZ75" s="1099"/>
      <c r="BA75" s="1099"/>
      <c r="BB75" s="1099"/>
      <c r="BC75" s="1099"/>
      <c r="BD75" s="1099"/>
      <c r="BE75" s="1099"/>
      <c r="BF75" s="1099"/>
      <c r="BG75" s="1099"/>
      <c r="BH75" s="1099"/>
      <c r="BI75" s="1099"/>
      <c r="BJ75" s="1099"/>
      <c r="BK75" s="1099"/>
      <c r="BL75" s="1099"/>
      <c r="BM75" s="1099"/>
      <c r="BN75" s="1099"/>
      <c r="BO75" s="1099"/>
      <c r="BP75" s="1099"/>
      <c r="BQ75" s="1099"/>
      <c r="BR75" s="1099"/>
      <c r="BS75" s="1099"/>
      <c r="BT75" s="1099"/>
      <c r="BU75" s="1099"/>
      <c r="BV75" s="1099"/>
      <c r="BW75" s="1099"/>
      <c r="BX75" s="1099"/>
      <c r="BY75" s="1099"/>
      <c r="BZ75" s="1099"/>
      <c r="CA75" s="1099"/>
      <c r="CB75" s="1099"/>
      <c r="CC75" s="1099"/>
      <c r="CD75" s="1099"/>
      <c r="CE75" s="1099"/>
      <c r="CF75" s="1099"/>
      <c r="CG75" s="1099"/>
      <c r="CH75" s="1099"/>
      <c r="CI75" s="1099"/>
      <c r="CJ75" s="1099"/>
      <c r="CK75" s="1099"/>
      <c r="CL75" s="1099"/>
      <c r="CM75" s="1099"/>
      <c r="CN75" s="1099"/>
      <c r="CO75" s="1099"/>
      <c r="CP75" s="1099"/>
      <c r="CQ75" s="1099"/>
      <c r="CR75" s="1099"/>
      <c r="CS75" s="1099"/>
      <c r="CT75" s="1099"/>
      <c r="CU75" s="1099"/>
      <c r="CV75" s="1099"/>
      <c r="CW75" s="1099"/>
      <c r="CX75" s="1099"/>
      <c r="CY75" s="1099"/>
      <c r="CZ75" s="1099"/>
      <c r="DA75" s="1099"/>
      <c r="DB75" s="1099"/>
      <c r="DC75" s="1099"/>
      <c r="DD75" s="1099"/>
      <c r="DE75" s="1099"/>
      <c r="DF75" s="1099"/>
      <c r="DG75" s="1099"/>
      <c r="DH75" s="1099"/>
      <c r="DI75" s="1099"/>
      <c r="DJ75" s="1099"/>
      <c r="DK75" s="1099"/>
      <c r="DL75" s="1099"/>
      <c r="DM75" s="1099"/>
      <c r="DN75" s="1099"/>
      <c r="DO75" s="1099"/>
      <c r="DP75" s="1099"/>
      <c r="DQ75" s="1099"/>
      <c r="DR75" s="1099"/>
      <c r="DS75" s="1099"/>
      <c r="DT75" s="1099"/>
      <c r="DU75" s="1099"/>
      <c r="DV75" s="1099"/>
      <c r="DW75" s="1099"/>
      <c r="DX75" s="1099"/>
      <c r="DY75" s="1099"/>
      <c r="DZ75" s="1099"/>
      <c r="EA75" s="1099"/>
      <c r="EB75" s="1099"/>
      <c r="EC75" s="1099"/>
      <c r="ED75" s="1099"/>
      <c r="EE75" s="1099"/>
      <c r="EF75" s="1099"/>
      <c r="EG75" s="1099"/>
      <c r="EH75" s="1099"/>
      <c r="EI75" s="1099"/>
      <c r="EJ75" s="1099"/>
      <c r="EK75" s="1099"/>
      <c r="EL75" s="1099"/>
      <c r="EM75" s="1099"/>
      <c r="EN75" s="1099"/>
      <c r="EO75" s="1099"/>
      <c r="EP75" s="1099"/>
      <c r="EQ75" s="1099"/>
      <c r="ER75" s="1099"/>
      <c r="ES75" s="1099"/>
      <c r="ET75" s="1099"/>
      <c r="EU75" s="1099"/>
      <c r="EV75" s="1099"/>
      <c r="EW75" s="1099"/>
      <c r="EX75" s="1099"/>
      <c r="EY75" s="1099"/>
      <c r="EZ75" s="1099"/>
      <c r="FA75" s="1099"/>
      <c r="FB75" s="1099"/>
      <c r="FC75" s="1099"/>
      <c r="FD75" s="1099"/>
      <c r="FE75" s="1099"/>
      <c r="FF75" s="1099"/>
      <c r="FG75" s="1099"/>
      <c r="FH75" s="1099"/>
      <c r="FI75" s="1099"/>
      <c r="FJ75" s="1099"/>
      <c r="FK75" s="1099"/>
      <c r="FL75" s="1099"/>
      <c r="FM75" s="1099"/>
      <c r="FN75" s="1099"/>
      <c r="FO75" s="1099"/>
      <c r="FP75" s="1099"/>
      <c r="FQ75" s="1099"/>
      <c r="FR75" s="1099"/>
      <c r="FS75" s="1099"/>
      <c r="FT75" s="1099"/>
      <c r="FU75" s="1099"/>
      <c r="FV75" s="1099"/>
      <c r="FW75" s="1099"/>
      <c r="FX75" s="1099"/>
      <c r="FY75" s="1099"/>
      <c r="FZ75" s="1099"/>
      <c r="GA75" s="1099"/>
      <c r="GB75" s="1099"/>
      <c r="GC75" s="1099"/>
      <c r="GD75" s="1099"/>
      <c r="GE75" s="1099"/>
      <c r="GF75" s="1099"/>
      <c r="GG75" s="1099"/>
      <c r="GH75" s="1099"/>
      <c r="GI75" s="1099"/>
      <c r="GJ75" s="1099"/>
      <c r="GK75" s="1099"/>
      <c r="GL75" s="1099"/>
      <c r="GM75" s="1099"/>
      <c r="GN75" s="1099"/>
      <c r="GO75" s="1099"/>
      <c r="GP75" s="1099"/>
      <c r="GQ75" s="1099"/>
      <c r="GR75" s="1099"/>
      <c r="GS75" s="1099"/>
      <c r="GT75" s="1099"/>
      <c r="GU75" s="1099"/>
      <c r="GV75" s="1099"/>
      <c r="GW75" s="1099"/>
      <c r="GX75" s="1099"/>
      <c r="GY75" s="1099"/>
      <c r="GZ75" s="1099"/>
      <c r="HA75" s="1099"/>
      <c r="HB75" s="1099"/>
      <c r="HC75" s="1099"/>
      <c r="HD75" s="1099"/>
      <c r="HE75" s="1099"/>
      <c r="HF75" s="1099"/>
      <c r="HG75" s="1099"/>
      <c r="HH75" s="1099"/>
      <c r="HI75" s="1099"/>
      <c r="HJ75" s="1099"/>
      <c r="HK75" s="1099"/>
      <c r="HL75" s="1099"/>
      <c r="HM75" s="1099"/>
      <c r="HN75" s="1099"/>
      <c r="HO75" s="1099"/>
      <c r="HP75" s="1099"/>
      <c r="HQ75" s="1099"/>
      <c r="HR75" s="1099"/>
      <c r="HS75" s="1099"/>
      <c r="HT75" s="1099"/>
      <c r="HU75" s="1099"/>
      <c r="HV75" s="1099"/>
      <c r="HW75" s="1099"/>
      <c r="HX75" s="1099"/>
      <c r="HY75" s="1099"/>
      <c r="HZ75" s="1099"/>
      <c r="IA75" s="1099"/>
      <c r="IB75" s="1099"/>
      <c r="IC75" s="1099"/>
      <c r="ID75" s="1099"/>
      <c r="IE75" s="1099"/>
      <c r="IF75" s="1099"/>
      <c r="IG75" s="1099"/>
      <c r="IH75" s="1099"/>
      <c r="II75" s="1099"/>
      <c r="IJ75" s="1099"/>
      <c r="IK75" s="1099"/>
      <c r="IL75" s="1099"/>
      <c r="IM75" s="1099"/>
      <c r="IN75" s="1099"/>
      <c r="IO75" s="1099"/>
      <c r="IP75" s="1099"/>
      <c r="IQ75" s="1099"/>
      <c r="IR75" s="1099"/>
      <c r="IS75" s="1099"/>
      <c r="IT75" s="1099"/>
    </row>
    <row r="76" spans="1:254" ht="15" x14ac:dyDescent="0.2">
      <c r="A76" s="2060"/>
      <c r="B76" s="2061"/>
      <c r="C76" s="2082"/>
      <c r="D76" s="649"/>
      <c r="E76" s="640">
        <v>62</v>
      </c>
      <c r="F76" s="2069" t="s">
        <v>2098</v>
      </c>
      <c r="G76" s="2070"/>
      <c r="H76" s="2083"/>
      <c r="I76" s="2083"/>
      <c r="J76" s="2070"/>
      <c r="K76" s="2070"/>
      <c r="L76" s="2070"/>
      <c r="M76" s="2071"/>
      <c r="N76" s="2070"/>
      <c r="O76" s="2070"/>
      <c r="P76" s="2083"/>
      <c r="Q76" s="2083"/>
      <c r="R76" s="2083"/>
      <c r="S76" s="2085"/>
      <c r="T76" s="2086"/>
      <c r="U76" s="2087"/>
      <c r="V76" s="2095"/>
      <c r="W76" s="2095"/>
      <c r="X76" s="2070"/>
      <c r="Y76" s="2070"/>
      <c r="Z76" s="2070"/>
      <c r="AA76" s="2070"/>
      <c r="AB76" s="2070"/>
      <c r="AC76" s="2070"/>
      <c r="AD76" s="2070"/>
      <c r="AE76" s="2070"/>
      <c r="AF76" s="2070"/>
      <c r="AG76" s="2070"/>
      <c r="AH76" s="2070"/>
      <c r="AI76" s="2070"/>
      <c r="AJ76" s="2070"/>
      <c r="AK76" s="2070"/>
      <c r="AL76" s="2070"/>
      <c r="AM76" s="2070"/>
      <c r="AN76" s="2073"/>
    </row>
    <row r="77" spans="1:254" ht="42" customHeight="1" x14ac:dyDescent="0.2">
      <c r="A77" s="2060"/>
      <c r="B77" s="2061"/>
      <c r="C77" s="2082"/>
      <c r="D77" s="649"/>
      <c r="E77" s="680"/>
      <c r="F77" s="2088"/>
      <c r="G77" s="3822">
        <v>191</v>
      </c>
      <c r="H77" s="3818" t="s">
        <v>2099</v>
      </c>
      <c r="I77" s="3251" t="s">
        <v>2100</v>
      </c>
      <c r="J77" s="3807">
        <v>1</v>
      </c>
      <c r="K77" s="3795" t="s">
        <v>2101</v>
      </c>
      <c r="L77" s="3780" t="s">
        <v>2102</v>
      </c>
      <c r="M77" s="3773" t="s">
        <v>2103</v>
      </c>
      <c r="N77" s="3769">
        <v>1</v>
      </c>
      <c r="O77" s="3826">
        <f>SUM(S77:S93)</f>
        <v>1008600000</v>
      </c>
      <c r="P77" s="3772" t="s">
        <v>2104</v>
      </c>
      <c r="Q77" s="3248" t="s">
        <v>2105</v>
      </c>
      <c r="R77" s="2111" t="s">
        <v>2106</v>
      </c>
      <c r="S77" s="2112">
        <v>50000000</v>
      </c>
      <c r="T77" s="2090">
        <v>20</v>
      </c>
      <c r="U77" s="2099" t="s">
        <v>667</v>
      </c>
      <c r="V77" s="3516">
        <v>5000</v>
      </c>
      <c r="W77" s="3517"/>
      <c r="X77" s="3823"/>
      <c r="Y77" s="3749"/>
      <c r="Z77" s="3749"/>
      <c r="AA77" s="3749"/>
      <c r="AB77" s="3749"/>
      <c r="AC77" s="3749"/>
      <c r="AD77" s="3749"/>
      <c r="AE77" s="3749"/>
      <c r="AF77" s="3749"/>
      <c r="AG77" s="3749"/>
      <c r="AH77" s="3749"/>
      <c r="AI77" s="3749"/>
      <c r="AJ77" s="3749"/>
      <c r="AK77" s="3466">
        <f>SUM(V77:AJ93)</f>
        <v>5000</v>
      </c>
      <c r="AL77" s="3027">
        <v>43467</v>
      </c>
      <c r="AM77" s="3027">
        <v>43830</v>
      </c>
      <c r="AN77" s="3250" t="s">
        <v>2107</v>
      </c>
    </row>
    <row r="78" spans="1:254" ht="60" customHeight="1" x14ac:dyDescent="0.2">
      <c r="A78" s="2060"/>
      <c r="B78" s="2061"/>
      <c r="C78" s="2082"/>
      <c r="D78" s="649"/>
      <c r="E78" s="2082"/>
      <c r="F78" s="649"/>
      <c r="G78" s="3822"/>
      <c r="H78" s="3818"/>
      <c r="I78" s="3251"/>
      <c r="J78" s="3807"/>
      <c r="K78" s="3796"/>
      <c r="L78" s="3780"/>
      <c r="M78" s="3773"/>
      <c r="N78" s="3193"/>
      <c r="O78" s="3826"/>
      <c r="P78" s="3772"/>
      <c r="Q78" s="3249"/>
      <c r="R78" s="2111" t="s">
        <v>2108</v>
      </c>
      <c r="S78" s="2112">
        <v>20000000</v>
      </c>
      <c r="T78" s="2090">
        <v>20</v>
      </c>
      <c r="U78" s="2099" t="s">
        <v>667</v>
      </c>
      <c r="V78" s="3799"/>
      <c r="W78" s="3750"/>
      <c r="X78" s="3824"/>
      <c r="Y78" s="3746"/>
      <c r="Z78" s="3746"/>
      <c r="AA78" s="3746"/>
      <c r="AB78" s="3746"/>
      <c r="AC78" s="3746"/>
      <c r="AD78" s="3746"/>
      <c r="AE78" s="3746"/>
      <c r="AF78" s="3746"/>
      <c r="AG78" s="3746"/>
      <c r="AH78" s="3746"/>
      <c r="AI78" s="3746"/>
      <c r="AJ78" s="3746"/>
      <c r="AK78" s="3467"/>
      <c r="AL78" s="3027"/>
      <c r="AM78" s="3027"/>
      <c r="AN78" s="3250"/>
    </row>
    <row r="79" spans="1:254" ht="56.25" customHeight="1" x14ac:dyDescent="0.2">
      <c r="A79" s="2060"/>
      <c r="B79" s="2061"/>
      <c r="C79" s="2082"/>
      <c r="D79" s="649"/>
      <c r="E79" s="2082"/>
      <c r="F79" s="649"/>
      <c r="G79" s="3822"/>
      <c r="H79" s="3818"/>
      <c r="I79" s="3251"/>
      <c r="J79" s="3807"/>
      <c r="K79" s="3796"/>
      <c r="L79" s="3780"/>
      <c r="M79" s="3773"/>
      <c r="N79" s="3193"/>
      <c r="O79" s="3826"/>
      <c r="P79" s="3772"/>
      <c r="Q79" s="3249"/>
      <c r="R79" s="2111" t="s">
        <v>2109</v>
      </c>
      <c r="S79" s="2112">
        <v>50000000</v>
      </c>
      <c r="T79" s="2090">
        <v>20</v>
      </c>
      <c r="U79" s="2099" t="s">
        <v>667</v>
      </c>
      <c r="V79" s="3799"/>
      <c r="W79" s="3750"/>
      <c r="X79" s="3824"/>
      <c r="Y79" s="3746"/>
      <c r="Z79" s="3746"/>
      <c r="AA79" s="3746"/>
      <c r="AB79" s="3746"/>
      <c r="AC79" s="3746"/>
      <c r="AD79" s="3746"/>
      <c r="AE79" s="3746"/>
      <c r="AF79" s="3746"/>
      <c r="AG79" s="3746"/>
      <c r="AH79" s="3746"/>
      <c r="AI79" s="3746"/>
      <c r="AJ79" s="3746"/>
      <c r="AK79" s="3467"/>
      <c r="AL79" s="3027"/>
      <c r="AM79" s="3027"/>
      <c r="AN79" s="3250"/>
    </row>
    <row r="80" spans="1:254" ht="59.25" customHeight="1" x14ac:dyDescent="0.2">
      <c r="A80" s="2060"/>
      <c r="B80" s="2061"/>
      <c r="C80" s="2082"/>
      <c r="D80" s="649"/>
      <c r="E80" s="2082"/>
      <c r="F80" s="649"/>
      <c r="G80" s="3822"/>
      <c r="H80" s="3818"/>
      <c r="I80" s="3251"/>
      <c r="J80" s="3807"/>
      <c r="K80" s="3796"/>
      <c r="L80" s="3780"/>
      <c r="M80" s="3773"/>
      <c r="N80" s="3193"/>
      <c r="O80" s="3826"/>
      <c r="P80" s="3772"/>
      <c r="Q80" s="3249"/>
      <c r="R80" s="2111" t="s">
        <v>2110</v>
      </c>
      <c r="S80" s="2112">
        <v>50000000</v>
      </c>
      <c r="T80" s="2090">
        <v>20</v>
      </c>
      <c r="U80" s="2099" t="s">
        <v>667</v>
      </c>
      <c r="V80" s="3799"/>
      <c r="W80" s="3750"/>
      <c r="X80" s="3824"/>
      <c r="Y80" s="3746"/>
      <c r="Z80" s="3746"/>
      <c r="AA80" s="3746"/>
      <c r="AB80" s="3746"/>
      <c r="AC80" s="3746"/>
      <c r="AD80" s="3746"/>
      <c r="AE80" s="3746"/>
      <c r="AF80" s="3746"/>
      <c r="AG80" s="3746"/>
      <c r="AH80" s="3746"/>
      <c r="AI80" s="3746"/>
      <c r="AJ80" s="3746"/>
      <c r="AK80" s="3467"/>
      <c r="AL80" s="3027"/>
      <c r="AM80" s="3027"/>
      <c r="AN80" s="3250"/>
    </row>
    <row r="81" spans="1:40" ht="105" customHeight="1" x14ac:dyDescent="0.2">
      <c r="A81" s="2060"/>
      <c r="B81" s="2061"/>
      <c r="C81" s="2082"/>
      <c r="D81" s="649"/>
      <c r="E81" s="2082"/>
      <c r="F81" s="649"/>
      <c r="G81" s="3822"/>
      <c r="H81" s="3818"/>
      <c r="I81" s="3251"/>
      <c r="J81" s="3807"/>
      <c r="K81" s="3796"/>
      <c r="L81" s="3780"/>
      <c r="M81" s="3773"/>
      <c r="N81" s="3193"/>
      <c r="O81" s="3826"/>
      <c r="P81" s="3772"/>
      <c r="Q81" s="3249"/>
      <c r="R81" s="2111" t="s">
        <v>2111</v>
      </c>
      <c r="S81" s="2113">
        <f>200000000+100000000-30000000</f>
        <v>270000000</v>
      </c>
      <c r="T81" s="2090">
        <v>20</v>
      </c>
      <c r="U81" s="2099" t="s">
        <v>667</v>
      </c>
      <c r="V81" s="3799"/>
      <c r="W81" s="3750"/>
      <c r="X81" s="3824"/>
      <c r="Y81" s="3746"/>
      <c r="Z81" s="3746"/>
      <c r="AA81" s="3746"/>
      <c r="AB81" s="3746"/>
      <c r="AC81" s="3746"/>
      <c r="AD81" s="3746"/>
      <c r="AE81" s="3746"/>
      <c r="AF81" s="3746"/>
      <c r="AG81" s="3746"/>
      <c r="AH81" s="3746"/>
      <c r="AI81" s="3746"/>
      <c r="AJ81" s="3746"/>
      <c r="AK81" s="3467"/>
      <c r="AL81" s="3027"/>
      <c r="AM81" s="3027"/>
      <c r="AN81" s="3250"/>
    </row>
    <row r="82" spans="1:40" ht="98.25" customHeight="1" x14ac:dyDescent="0.2">
      <c r="A82" s="2060"/>
      <c r="B82" s="2061"/>
      <c r="C82" s="2082"/>
      <c r="D82" s="649"/>
      <c r="E82" s="2082"/>
      <c r="F82" s="649"/>
      <c r="G82" s="3822"/>
      <c r="H82" s="3818"/>
      <c r="I82" s="3251"/>
      <c r="J82" s="3807"/>
      <c r="K82" s="3796"/>
      <c r="L82" s="3780"/>
      <c r="M82" s="3773"/>
      <c r="N82" s="3193"/>
      <c r="O82" s="3826"/>
      <c r="P82" s="3772"/>
      <c r="Q82" s="3249"/>
      <c r="R82" s="2111" t="s">
        <v>2112</v>
      </c>
      <c r="S82" s="2112">
        <v>29040000</v>
      </c>
      <c r="T82" s="2090">
        <v>20</v>
      </c>
      <c r="U82" s="2099" t="s">
        <v>667</v>
      </c>
      <c r="V82" s="3799"/>
      <c r="W82" s="3750"/>
      <c r="X82" s="3824"/>
      <c r="Y82" s="3746"/>
      <c r="Z82" s="3746"/>
      <c r="AA82" s="3746"/>
      <c r="AB82" s="3746"/>
      <c r="AC82" s="3746"/>
      <c r="AD82" s="3746"/>
      <c r="AE82" s="3746"/>
      <c r="AF82" s="3746"/>
      <c r="AG82" s="3746"/>
      <c r="AH82" s="3746"/>
      <c r="AI82" s="3746"/>
      <c r="AJ82" s="3746"/>
      <c r="AK82" s="3467"/>
      <c r="AL82" s="3027"/>
      <c r="AM82" s="3027"/>
      <c r="AN82" s="3250"/>
    </row>
    <row r="83" spans="1:40" ht="75" customHeight="1" x14ac:dyDescent="0.2">
      <c r="A83" s="2060"/>
      <c r="B83" s="2061"/>
      <c r="C83" s="2082"/>
      <c r="D83" s="649"/>
      <c r="E83" s="2082"/>
      <c r="F83" s="649"/>
      <c r="G83" s="3822"/>
      <c r="H83" s="3818"/>
      <c r="I83" s="3251"/>
      <c r="J83" s="3807"/>
      <c r="K83" s="3796"/>
      <c r="L83" s="3780"/>
      <c r="M83" s="3773"/>
      <c r="N83" s="3193"/>
      <c r="O83" s="3826"/>
      <c r="P83" s="3772"/>
      <c r="Q83" s="3249"/>
      <c r="R83" s="2111" t="s">
        <v>2113</v>
      </c>
      <c r="S83" s="2112">
        <v>24360000</v>
      </c>
      <c r="T83" s="2090">
        <v>20</v>
      </c>
      <c r="U83" s="2099" t="s">
        <v>667</v>
      </c>
      <c r="V83" s="3799"/>
      <c r="W83" s="3750"/>
      <c r="X83" s="3824"/>
      <c r="Y83" s="3746"/>
      <c r="Z83" s="3746"/>
      <c r="AA83" s="3746"/>
      <c r="AB83" s="3746"/>
      <c r="AC83" s="3746"/>
      <c r="AD83" s="3746"/>
      <c r="AE83" s="3746"/>
      <c r="AF83" s="3746"/>
      <c r="AG83" s="3746"/>
      <c r="AH83" s="3746"/>
      <c r="AI83" s="3746"/>
      <c r="AJ83" s="3746"/>
      <c r="AK83" s="3467"/>
      <c r="AL83" s="3027"/>
      <c r="AM83" s="3027"/>
      <c r="AN83" s="3250"/>
    </row>
    <row r="84" spans="1:40" ht="60.75" customHeight="1" x14ac:dyDescent="0.2">
      <c r="A84" s="2060"/>
      <c r="B84" s="2061"/>
      <c r="C84" s="2082"/>
      <c r="D84" s="649"/>
      <c r="E84" s="2082"/>
      <c r="F84" s="649"/>
      <c r="G84" s="3822"/>
      <c r="H84" s="3818"/>
      <c r="I84" s="3251"/>
      <c r="J84" s="3807"/>
      <c r="K84" s="3796"/>
      <c r="L84" s="3780"/>
      <c r="M84" s="3773"/>
      <c r="N84" s="3193"/>
      <c r="O84" s="3826"/>
      <c r="P84" s="3772"/>
      <c r="Q84" s="3249"/>
      <c r="R84" s="2111" t="s">
        <v>2114</v>
      </c>
      <c r="S84" s="2112">
        <v>21610000</v>
      </c>
      <c r="T84" s="2090">
        <v>20</v>
      </c>
      <c r="U84" s="2099" t="s">
        <v>667</v>
      </c>
      <c r="V84" s="3799"/>
      <c r="W84" s="3750"/>
      <c r="X84" s="3824"/>
      <c r="Y84" s="3746"/>
      <c r="Z84" s="3746"/>
      <c r="AA84" s="3746"/>
      <c r="AB84" s="3746"/>
      <c r="AC84" s="3746"/>
      <c r="AD84" s="3746"/>
      <c r="AE84" s="3746"/>
      <c r="AF84" s="3746"/>
      <c r="AG84" s="3746"/>
      <c r="AH84" s="3746"/>
      <c r="AI84" s="3746"/>
      <c r="AJ84" s="3746"/>
      <c r="AK84" s="3467"/>
      <c r="AL84" s="3027"/>
      <c r="AM84" s="3027"/>
      <c r="AN84" s="3250"/>
    </row>
    <row r="85" spans="1:40" ht="55.5" customHeight="1" x14ac:dyDescent="0.2">
      <c r="A85" s="2060"/>
      <c r="B85" s="2061"/>
      <c r="C85" s="2082"/>
      <c r="D85" s="649"/>
      <c r="E85" s="2082"/>
      <c r="F85" s="649"/>
      <c r="G85" s="3822"/>
      <c r="H85" s="3818"/>
      <c r="I85" s="3251"/>
      <c r="J85" s="3807"/>
      <c r="K85" s="3796"/>
      <c r="L85" s="3780"/>
      <c r="M85" s="3773"/>
      <c r="N85" s="3193"/>
      <c r="O85" s="3826"/>
      <c r="P85" s="3772"/>
      <c r="Q85" s="3249"/>
      <c r="R85" s="2111" t="s">
        <v>2115</v>
      </c>
      <c r="S85" s="2112">
        <v>18590000</v>
      </c>
      <c r="T85" s="2090">
        <v>20</v>
      </c>
      <c r="U85" s="2099" t="s">
        <v>667</v>
      </c>
      <c r="V85" s="3799"/>
      <c r="W85" s="3750"/>
      <c r="X85" s="3824"/>
      <c r="Y85" s="3746"/>
      <c r="Z85" s="3746"/>
      <c r="AA85" s="3746"/>
      <c r="AB85" s="3746"/>
      <c r="AC85" s="3746"/>
      <c r="AD85" s="3746"/>
      <c r="AE85" s="3746"/>
      <c r="AF85" s="3746"/>
      <c r="AG85" s="3746"/>
      <c r="AH85" s="3746"/>
      <c r="AI85" s="3746"/>
      <c r="AJ85" s="3746"/>
      <c r="AK85" s="3467"/>
      <c r="AL85" s="3027"/>
      <c r="AM85" s="3027"/>
      <c r="AN85" s="3250"/>
    </row>
    <row r="86" spans="1:40" ht="124.5" customHeight="1" x14ac:dyDescent="0.2">
      <c r="A86" s="2060"/>
      <c r="B86" s="2061"/>
      <c r="C86" s="2082"/>
      <c r="D86" s="649"/>
      <c r="E86" s="2082"/>
      <c r="F86" s="649"/>
      <c r="G86" s="3822"/>
      <c r="H86" s="3818"/>
      <c r="I86" s="3251"/>
      <c r="J86" s="3807"/>
      <c r="K86" s="3796"/>
      <c r="L86" s="3780"/>
      <c r="M86" s="3773"/>
      <c r="N86" s="3193"/>
      <c r="O86" s="3826"/>
      <c r="P86" s="3772"/>
      <c r="Q86" s="3249"/>
      <c r="R86" s="2111" t="s">
        <v>2116</v>
      </c>
      <c r="S86" s="2112">
        <v>30000000</v>
      </c>
      <c r="T86" s="2090">
        <v>20</v>
      </c>
      <c r="U86" s="2099" t="s">
        <v>667</v>
      </c>
      <c r="V86" s="3799"/>
      <c r="W86" s="3750"/>
      <c r="X86" s="3824"/>
      <c r="Y86" s="3746"/>
      <c r="Z86" s="3746"/>
      <c r="AA86" s="3746"/>
      <c r="AB86" s="3746"/>
      <c r="AC86" s="3746"/>
      <c r="AD86" s="3746"/>
      <c r="AE86" s="3746"/>
      <c r="AF86" s="3746"/>
      <c r="AG86" s="3746"/>
      <c r="AH86" s="3746"/>
      <c r="AI86" s="3746"/>
      <c r="AJ86" s="3746"/>
      <c r="AK86" s="3467"/>
      <c r="AL86" s="3027"/>
      <c r="AM86" s="3027"/>
      <c r="AN86" s="3250"/>
    </row>
    <row r="87" spans="1:40" ht="67.5" customHeight="1" x14ac:dyDescent="0.2">
      <c r="A87" s="2060"/>
      <c r="B87" s="2061"/>
      <c r="C87" s="2082"/>
      <c r="D87" s="649"/>
      <c r="E87" s="2082"/>
      <c r="F87" s="649"/>
      <c r="G87" s="3822"/>
      <c r="H87" s="3818"/>
      <c r="I87" s="3251"/>
      <c r="J87" s="3807"/>
      <c r="K87" s="3796"/>
      <c r="L87" s="3780"/>
      <c r="M87" s="3773"/>
      <c r="N87" s="3193"/>
      <c r="O87" s="3826"/>
      <c r="P87" s="3772"/>
      <c r="Q87" s="3250"/>
      <c r="R87" s="2111" t="s">
        <v>2117</v>
      </c>
      <c r="S87" s="2112">
        <v>15000000</v>
      </c>
      <c r="T87" s="2090">
        <v>20</v>
      </c>
      <c r="U87" s="2099" t="s">
        <v>667</v>
      </c>
      <c r="V87" s="3799"/>
      <c r="W87" s="3750"/>
      <c r="X87" s="3824"/>
      <c r="Y87" s="3746"/>
      <c r="Z87" s="3746"/>
      <c r="AA87" s="3746"/>
      <c r="AB87" s="3746"/>
      <c r="AC87" s="3746"/>
      <c r="AD87" s="3746"/>
      <c r="AE87" s="3746"/>
      <c r="AF87" s="3746"/>
      <c r="AG87" s="3746"/>
      <c r="AH87" s="3746"/>
      <c r="AI87" s="3746"/>
      <c r="AJ87" s="3746"/>
      <c r="AK87" s="3467"/>
      <c r="AL87" s="3027"/>
      <c r="AM87" s="3027"/>
      <c r="AN87" s="3250"/>
    </row>
    <row r="88" spans="1:40" ht="81.75" customHeight="1" x14ac:dyDescent="0.2">
      <c r="A88" s="2060"/>
      <c r="B88" s="2061"/>
      <c r="C88" s="2082"/>
      <c r="D88" s="649"/>
      <c r="E88" s="2082"/>
      <c r="F88" s="649"/>
      <c r="G88" s="3822"/>
      <c r="H88" s="3818"/>
      <c r="I88" s="3251"/>
      <c r="J88" s="3807"/>
      <c r="K88" s="3796"/>
      <c r="L88" s="3780"/>
      <c r="M88" s="3773"/>
      <c r="N88" s="3193"/>
      <c r="O88" s="3826"/>
      <c r="P88" s="3772"/>
      <c r="Q88" s="2769" t="s">
        <v>2118</v>
      </c>
      <c r="R88" s="2114" t="s">
        <v>2119</v>
      </c>
      <c r="S88" s="2113">
        <f>200000000-100000000+25000000</f>
        <v>125000000</v>
      </c>
      <c r="T88" s="2090">
        <v>20</v>
      </c>
      <c r="U88" s="2099" t="s">
        <v>667</v>
      </c>
      <c r="V88" s="3799"/>
      <c r="W88" s="3750"/>
      <c r="X88" s="3824"/>
      <c r="Y88" s="3746"/>
      <c r="Z88" s="3746"/>
      <c r="AA88" s="3746"/>
      <c r="AB88" s="3746"/>
      <c r="AC88" s="3746"/>
      <c r="AD88" s="3746"/>
      <c r="AE88" s="3746"/>
      <c r="AF88" s="3746"/>
      <c r="AG88" s="3746"/>
      <c r="AH88" s="3746"/>
      <c r="AI88" s="3746"/>
      <c r="AJ88" s="3746"/>
      <c r="AK88" s="3467"/>
      <c r="AL88" s="3027"/>
      <c r="AM88" s="3027"/>
      <c r="AN88" s="3250"/>
    </row>
    <row r="89" spans="1:40" ht="85.5" x14ac:dyDescent="0.2">
      <c r="A89" s="2060"/>
      <c r="B89" s="2061"/>
      <c r="C89" s="2082"/>
      <c r="D89" s="649"/>
      <c r="E89" s="2082"/>
      <c r="F89" s="649"/>
      <c r="G89" s="3822"/>
      <c r="H89" s="3818"/>
      <c r="I89" s="3251"/>
      <c r="J89" s="3807"/>
      <c r="K89" s="3796"/>
      <c r="L89" s="3780"/>
      <c r="M89" s="3773"/>
      <c r="N89" s="3193"/>
      <c r="O89" s="3826"/>
      <c r="P89" s="3772"/>
      <c r="Q89" s="2769"/>
      <c r="R89" s="2114" t="s">
        <v>2120</v>
      </c>
      <c r="S89" s="2113">
        <v>50000000</v>
      </c>
      <c r="T89" s="2090">
        <v>20</v>
      </c>
      <c r="U89" s="2099" t="s">
        <v>667</v>
      </c>
      <c r="V89" s="3799"/>
      <c r="W89" s="3750"/>
      <c r="X89" s="3824"/>
      <c r="Y89" s="3746"/>
      <c r="Z89" s="3746"/>
      <c r="AA89" s="3746"/>
      <c r="AB89" s="3746"/>
      <c r="AC89" s="3746"/>
      <c r="AD89" s="3746"/>
      <c r="AE89" s="3746"/>
      <c r="AF89" s="3746"/>
      <c r="AG89" s="3746"/>
      <c r="AH89" s="3746"/>
      <c r="AI89" s="3746"/>
      <c r="AJ89" s="3746"/>
      <c r="AK89" s="3467"/>
      <c r="AL89" s="3027"/>
      <c r="AM89" s="3027"/>
      <c r="AN89" s="3250"/>
    </row>
    <row r="90" spans="1:40" ht="78.75" customHeight="1" x14ac:dyDescent="0.2">
      <c r="A90" s="2060"/>
      <c r="B90" s="2061"/>
      <c r="C90" s="2082"/>
      <c r="D90" s="649"/>
      <c r="E90" s="2082"/>
      <c r="F90" s="649"/>
      <c r="G90" s="3822"/>
      <c r="H90" s="3818"/>
      <c r="I90" s="3251"/>
      <c r="J90" s="3807"/>
      <c r="K90" s="3796"/>
      <c r="L90" s="3780"/>
      <c r="M90" s="3818"/>
      <c r="N90" s="3193"/>
      <c r="O90" s="3827"/>
      <c r="P90" s="3772"/>
      <c r="Q90" s="2769"/>
      <c r="R90" s="2114" t="s">
        <v>2121</v>
      </c>
      <c r="S90" s="2113">
        <f>150000000-25000000</f>
        <v>125000000</v>
      </c>
      <c r="T90" s="2090">
        <v>20</v>
      </c>
      <c r="U90" s="2099" t="s">
        <v>667</v>
      </c>
      <c r="V90" s="3799"/>
      <c r="W90" s="3750"/>
      <c r="X90" s="3824"/>
      <c r="Y90" s="3746"/>
      <c r="Z90" s="3746"/>
      <c r="AA90" s="3746"/>
      <c r="AB90" s="3746"/>
      <c r="AC90" s="3746"/>
      <c r="AD90" s="3746"/>
      <c r="AE90" s="3746"/>
      <c r="AF90" s="3746"/>
      <c r="AG90" s="3746"/>
      <c r="AH90" s="3746"/>
      <c r="AI90" s="3746"/>
      <c r="AJ90" s="3746"/>
      <c r="AK90" s="3467"/>
      <c r="AL90" s="3456"/>
      <c r="AM90" s="3456"/>
      <c r="AN90" s="2769"/>
    </row>
    <row r="91" spans="1:40" ht="60" customHeight="1" x14ac:dyDescent="0.2">
      <c r="A91" s="2060"/>
      <c r="B91" s="2061"/>
      <c r="C91" s="2082"/>
      <c r="D91" s="649"/>
      <c r="E91" s="2082"/>
      <c r="F91" s="649"/>
      <c r="G91" s="3822"/>
      <c r="H91" s="3818"/>
      <c r="I91" s="3251"/>
      <c r="J91" s="3807"/>
      <c r="K91" s="3796"/>
      <c r="L91" s="3780"/>
      <c r="M91" s="3818"/>
      <c r="N91" s="3193"/>
      <c r="O91" s="3827"/>
      <c r="P91" s="3772"/>
      <c r="Q91" s="2769"/>
      <c r="R91" s="2111" t="s">
        <v>2122</v>
      </c>
      <c r="S91" s="2112">
        <v>50000000</v>
      </c>
      <c r="T91" s="2090">
        <v>20</v>
      </c>
      <c r="U91" s="2099" t="s">
        <v>667</v>
      </c>
      <c r="V91" s="3799"/>
      <c r="W91" s="3750"/>
      <c r="X91" s="3824"/>
      <c r="Y91" s="3746"/>
      <c r="Z91" s="3746"/>
      <c r="AA91" s="3746"/>
      <c r="AB91" s="3746"/>
      <c r="AC91" s="3746"/>
      <c r="AD91" s="3746"/>
      <c r="AE91" s="3746"/>
      <c r="AF91" s="3746"/>
      <c r="AG91" s="3746"/>
      <c r="AH91" s="3746"/>
      <c r="AI91" s="3746"/>
      <c r="AJ91" s="3746"/>
      <c r="AK91" s="3467"/>
      <c r="AL91" s="3456"/>
      <c r="AM91" s="3456"/>
      <c r="AN91" s="2769"/>
    </row>
    <row r="92" spans="1:40" ht="38.25" customHeight="1" x14ac:dyDescent="0.2">
      <c r="A92" s="2060"/>
      <c r="B92" s="2061"/>
      <c r="C92" s="2082"/>
      <c r="D92" s="649"/>
      <c r="E92" s="2082"/>
      <c r="F92" s="649"/>
      <c r="G92" s="3822"/>
      <c r="H92" s="3818"/>
      <c r="I92" s="3251"/>
      <c r="J92" s="3807"/>
      <c r="K92" s="3796"/>
      <c r="L92" s="3780"/>
      <c r="M92" s="3818"/>
      <c r="N92" s="3193"/>
      <c r="O92" s="3827"/>
      <c r="P92" s="3772"/>
      <c r="Q92" s="2769"/>
      <c r="R92" s="2111" t="s">
        <v>2123</v>
      </c>
      <c r="S92" s="2113">
        <f>30000000+30000000</f>
        <v>60000000</v>
      </c>
      <c r="T92" s="2090">
        <v>20</v>
      </c>
      <c r="U92" s="2099" t="s">
        <v>667</v>
      </c>
      <c r="V92" s="3799"/>
      <c r="W92" s="3750"/>
      <c r="X92" s="3824"/>
      <c r="Y92" s="3746"/>
      <c r="Z92" s="3746"/>
      <c r="AA92" s="3746"/>
      <c r="AB92" s="3746"/>
      <c r="AC92" s="3746"/>
      <c r="AD92" s="3746"/>
      <c r="AE92" s="3746"/>
      <c r="AF92" s="3746"/>
      <c r="AG92" s="3746"/>
      <c r="AH92" s="3746"/>
      <c r="AI92" s="3746"/>
      <c r="AJ92" s="3746"/>
      <c r="AK92" s="3467"/>
      <c r="AL92" s="3456"/>
      <c r="AM92" s="3456"/>
      <c r="AN92" s="2769"/>
    </row>
    <row r="93" spans="1:40" ht="51" customHeight="1" x14ac:dyDescent="0.2">
      <c r="A93" s="2060"/>
      <c r="B93" s="2061"/>
      <c r="C93" s="2082"/>
      <c r="D93" s="649"/>
      <c r="E93" s="2082"/>
      <c r="F93" s="649"/>
      <c r="G93" s="3822"/>
      <c r="H93" s="3818"/>
      <c r="I93" s="3251"/>
      <c r="J93" s="3807"/>
      <c r="K93" s="3796"/>
      <c r="L93" s="3780"/>
      <c r="M93" s="3818"/>
      <c r="N93" s="3193"/>
      <c r="O93" s="3827"/>
      <c r="P93" s="3772"/>
      <c r="Q93" s="2769"/>
      <c r="R93" s="2111" t="s">
        <v>2124</v>
      </c>
      <c r="S93" s="2112">
        <v>20000000</v>
      </c>
      <c r="T93" s="2090">
        <v>20</v>
      </c>
      <c r="U93" s="2099" t="s">
        <v>667</v>
      </c>
      <c r="V93" s="3518"/>
      <c r="W93" s="3519"/>
      <c r="X93" s="3824"/>
      <c r="Y93" s="3746"/>
      <c r="Z93" s="3746"/>
      <c r="AA93" s="3746"/>
      <c r="AB93" s="3746"/>
      <c r="AC93" s="3746"/>
      <c r="AD93" s="3746"/>
      <c r="AE93" s="3746"/>
      <c r="AF93" s="3746"/>
      <c r="AG93" s="3746"/>
      <c r="AH93" s="3746"/>
      <c r="AI93" s="3746"/>
      <c r="AJ93" s="3746"/>
      <c r="AK93" s="3467"/>
      <c r="AL93" s="3456"/>
      <c r="AM93" s="3456"/>
      <c r="AN93" s="2769"/>
    </row>
    <row r="94" spans="1:40" ht="66" customHeight="1" x14ac:dyDescent="0.2">
      <c r="A94" s="2060"/>
      <c r="B94" s="2061"/>
      <c r="C94" s="2082"/>
      <c r="D94" s="649"/>
      <c r="E94" s="2082"/>
      <c r="F94" s="649"/>
      <c r="G94" s="3822">
        <v>192</v>
      </c>
      <c r="H94" s="3771" t="s">
        <v>2125</v>
      </c>
      <c r="I94" s="3764" t="s">
        <v>2126</v>
      </c>
      <c r="J94" s="3825">
        <v>1</v>
      </c>
      <c r="K94" s="3795" t="s">
        <v>2127</v>
      </c>
      <c r="L94" s="3798" t="s">
        <v>2128</v>
      </c>
      <c r="M94" s="3771" t="s">
        <v>2129</v>
      </c>
      <c r="N94" s="3189">
        <f>SUM(S94:S97)/O94</f>
        <v>1</v>
      </c>
      <c r="O94" s="3770">
        <f>SUM(S94:S97)</f>
        <v>79500000</v>
      </c>
      <c r="P94" s="3818" t="s">
        <v>2130</v>
      </c>
      <c r="Q94" s="3248" t="s">
        <v>2131</v>
      </c>
      <c r="R94" s="2111" t="s">
        <v>2132</v>
      </c>
      <c r="S94" s="1789">
        <v>44500000</v>
      </c>
      <c r="T94" s="2090">
        <v>20</v>
      </c>
      <c r="U94" s="2099" t="s">
        <v>667</v>
      </c>
      <c r="V94" s="3820">
        <v>734</v>
      </c>
      <c r="W94" s="3814">
        <v>998</v>
      </c>
      <c r="X94" s="3749"/>
      <c r="Y94" s="3749"/>
      <c r="Z94" s="3749"/>
      <c r="AA94" s="3749"/>
      <c r="AB94" s="3749"/>
      <c r="AC94" s="3749"/>
      <c r="AD94" s="3749"/>
      <c r="AE94" s="3749"/>
      <c r="AF94" s="3749"/>
      <c r="AG94" s="3749"/>
      <c r="AH94" s="3749"/>
      <c r="AI94" s="3749"/>
      <c r="AJ94" s="3749"/>
      <c r="AK94" s="3782">
        <f>SUM(V94:W97)</f>
        <v>1732</v>
      </c>
      <c r="AL94" s="3025">
        <v>43467</v>
      </c>
      <c r="AM94" s="3025">
        <v>43830</v>
      </c>
      <c r="AN94" s="3248" t="s">
        <v>1991</v>
      </c>
    </row>
    <row r="95" spans="1:40" ht="52.5" customHeight="1" x14ac:dyDescent="0.2">
      <c r="A95" s="2060"/>
      <c r="B95" s="2061"/>
      <c r="C95" s="2082"/>
      <c r="D95" s="649"/>
      <c r="E95" s="2082"/>
      <c r="F95" s="649"/>
      <c r="G95" s="3822"/>
      <c r="H95" s="3772"/>
      <c r="I95" s="3753"/>
      <c r="J95" s="3825"/>
      <c r="K95" s="3796"/>
      <c r="L95" s="3780"/>
      <c r="M95" s="3772"/>
      <c r="N95" s="3189"/>
      <c r="O95" s="3770"/>
      <c r="P95" s="3818"/>
      <c r="Q95" s="3249"/>
      <c r="R95" s="2111" t="s">
        <v>2133</v>
      </c>
      <c r="S95" s="1789">
        <v>0</v>
      </c>
      <c r="T95" s="2090">
        <v>20</v>
      </c>
      <c r="U95" s="2099" t="s">
        <v>667</v>
      </c>
      <c r="V95" s="3820"/>
      <c r="W95" s="3815"/>
      <c r="X95" s="3746"/>
      <c r="Y95" s="3746"/>
      <c r="Z95" s="3746"/>
      <c r="AA95" s="3746"/>
      <c r="AB95" s="3746"/>
      <c r="AC95" s="3746"/>
      <c r="AD95" s="3746"/>
      <c r="AE95" s="3746"/>
      <c r="AF95" s="3746"/>
      <c r="AG95" s="3746"/>
      <c r="AH95" s="3746"/>
      <c r="AI95" s="3746"/>
      <c r="AJ95" s="3746"/>
      <c r="AK95" s="3783"/>
      <c r="AL95" s="3026"/>
      <c r="AM95" s="3026"/>
      <c r="AN95" s="3249"/>
    </row>
    <row r="96" spans="1:40" ht="43.5" customHeight="1" x14ac:dyDescent="0.2">
      <c r="A96" s="2060"/>
      <c r="B96" s="2061"/>
      <c r="C96" s="2082"/>
      <c r="D96" s="649"/>
      <c r="E96" s="2082"/>
      <c r="F96" s="649"/>
      <c r="G96" s="3822"/>
      <c r="H96" s="3772"/>
      <c r="I96" s="3753"/>
      <c r="J96" s="3825"/>
      <c r="K96" s="3796"/>
      <c r="L96" s="3780"/>
      <c r="M96" s="3772"/>
      <c r="N96" s="3189"/>
      <c r="O96" s="3770"/>
      <c r="P96" s="3818"/>
      <c r="Q96" s="3249"/>
      <c r="R96" s="1219" t="s">
        <v>2134</v>
      </c>
      <c r="S96" s="1789">
        <v>0</v>
      </c>
      <c r="T96" s="2090">
        <v>20</v>
      </c>
      <c r="U96" s="2099" t="s">
        <v>667</v>
      </c>
      <c r="V96" s="3820"/>
      <c r="W96" s="3815"/>
      <c r="X96" s="3746"/>
      <c r="Y96" s="3746"/>
      <c r="Z96" s="3746"/>
      <c r="AA96" s="3746"/>
      <c r="AB96" s="3746"/>
      <c r="AC96" s="3746"/>
      <c r="AD96" s="3746"/>
      <c r="AE96" s="3746"/>
      <c r="AF96" s="3746"/>
      <c r="AG96" s="3746"/>
      <c r="AH96" s="3746"/>
      <c r="AI96" s="3746"/>
      <c r="AJ96" s="3746"/>
      <c r="AK96" s="3783"/>
      <c r="AL96" s="3026"/>
      <c r="AM96" s="3026"/>
      <c r="AN96" s="3249"/>
    </row>
    <row r="97" spans="1:40" ht="49.5" customHeight="1" x14ac:dyDescent="0.2">
      <c r="A97" s="2060"/>
      <c r="B97" s="2061"/>
      <c r="C97" s="2082"/>
      <c r="D97" s="649"/>
      <c r="E97" s="2115"/>
      <c r="F97" s="649"/>
      <c r="G97" s="3822"/>
      <c r="H97" s="3773"/>
      <c r="I97" s="3754"/>
      <c r="J97" s="3825"/>
      <c r="K97" s="3797"/>
      <c r="L97" s="3781"/>
      <c r="M97" s="3773"/>
      <c r="N97" s="3189"/>
      <c r="O97" s="3770"/>
      <c r="P97" s="3818"/>
      <c r="Q97" s="3250"/>
      <c r="R97" s="1788" t="s">
        <v>2135</v>
      </c>
      <c r="S97" s="1789">
        <v>35000000</v>
      </c>
      <c r="T97" s="2090">
        <v>20</v>
      </c>
      <c r="U97" s="2099" t="s">
        <v>667</v>
      </c>
      <c r="V97" s="3821"/>
      <c r="W97" s="3816"/>
      <c r="X97" s="3747"/>
      <c r="Y97" s="3747"/>
      <c r="Z97" s="3747"/>
      <c r="AA97" s="3747"/>
      <c r="AB97" s="3747"/>
      <c r="AC97" s="3747"/>
      <c r="AD97" s="3747"/>
      <c r="AE97" s="3747"/>
      <c r="AF97" s="3747"/>
      <c r="AG97" s="3747"/>
      <c r="AH97" s="3747"/>
      <c r="AI97" s="3747"/>
      <c r="AJ97" s="3747"/>
      <c r="AK97" s="3784"/>
      <c r="AL97" s="3027"/>
      <c r="AM97" s="3027"/>
      <c r="AN97" s="3250"/>
    </row>
    <row r="98" spans="1:40" ht="15" x14ac:dyDescent="0.2">
      <c r="A98" s="2060"/>
      <c r="B98" s="2061"/>
      <c r="C98" s="2082"/>
      <c r="D98" s="649"/>
      <c r="E98" s="2116">
        <v>63</v>
      </c>
      <c r="F98" s="2117" t="s">
        <v>2136</v>
      </c>
      <c r="G98" s="2118"/>
      <c r="H98" s="2119"/>
      <c r="I98" s="2119"/>
      <c r="J98" s="2118"/>
      <c r="K98" s="2118"/>
      <c r="L98" s="2118"/>
      <c r="M98" s="2120"/>
      <c r="N98" s="2118"/>
      <c r="O98" s="2118"/>
      <c r="P98" s="2119"/>
      <c r="Q98" s="2119"/>
      <c r="R98" s="2119"/>
      <c r="S98" s="2121"/>
      <c r="T98" s="2122"/>
      <c r="U98" s="2120"/>
      <c r="V98" s="2118"/>
      <c r="W98" s="2118"/>
      <c r="X98" s="2118"/>
      <c r="Y98" s="2118"/>
      <c r="Z98" s="2118"/>
      <c r="AA98" s="2118"/>
      <c r="AB98" s="2118"/>
      <c r="AC98" s="2118"/>
      <c r="AD98" s="2118"/>
      <c r="AE98" s="2118"/>
      <c r="AF98" s="2118"/>
      <c r="AG98" s="2118"/>
      <c r="AH98" s="2118"/>
      <c r="AI98" s="2118"/>
      <c r="AJ98" s="2118"/>
      <c r="AK98" s="2118"/>
      <c r="AL98" s="2118"/>
      <c r="AM98" s="2118"/>
      <c r="AN98" s="2123"/>
    </row>
    <row r="99" spans="1:40" ht="72" customHeight="1" x14ac:dyDescent="0.2">
      <c r="A99" s="2060"/>
      <c r="B99" s="2061"/>
      <c r="C99" s="2082"/>
      <c r="D99" s="649"/>
      <c r="E99" s="680"/>
      <c r="F99" s="649"/>
      <c r="G99" s="3778">
        <v>193</v>
      </c>
      <c r="H99" s="3753" t="s">
        <v>2137</v>
      </c>
      <c r="I99" s="3753" t="s">
        <v>2138</v>
      </c>
      <c r="J99" s="3819">
        <v>1</v>
      </c>
      <c r="K99" s="3795" t="s">
        <v>2139</v>
      </c>
      <c r="L99" s="3780" t="s">
        <v>2140</v>
      </c>
      <c r="M99" s="3494" t="s">
        <v>2141</v>
      </c>
      <c r="N99" s="3189">
        <f>SUM(S99:S101)/O99</f>
        <v>1</v>
      </c>
      <c r="O99" s="3817">
        <f>SUM(S99:S101)</f>
        <v>29800000</v>
      </c>
      <c r="P99" s="3818" t="s">
        <v>2142</v>
      </c>
      <c r="Q99" s="3248" t="s">
        <v>2143</v>
      </c>
      <c r="R99" s="1219" t="s">
        <v>2144</v>
      </c>
      <c r="S99" s="2093">
        <v>7450000</v>
      </c>
      <c r="T99" s="2090">
        <v>20</v>
      </c>
      <c r="U99" s="2099" t="s">
        <v>667</v>
      </c>
      <c r="V99" s="3516">
        <v>32</v>
      </c>
      <c r="W99" s="3517"/>
      <c r="X99" s="3811"/>
      <c r="Y99" s="3811"/>
      <c r="Z99" s="3811"/>
      <c r="AA99" s="3811"/>
      <c r="AB99" s="3814">
        <v>32</v>
      </c>
      <c r="AC99" s="3811"/>
      <c r="AD99" s="3808"/>
      <c r="AE99" s="3808"/>
      <c r="AF99" s="3808"/>
      <c r="AG99" s="3808"/>
      <c r="AH99" s="3749"/>
      <c r="AI99" s="3749"/>
      <c r="AJ99" s="3749"/>
      <c r="AK99" s="3782">
        <f>SUM(X99:AH101)</f>
        <v>32</v>
      </c>
      <c r="AL99" s="3025">
        <v>43467</v>
      </c>
      <c r="AM99" s="3025" t="s">
        <v>2145</v>
      </c>
      <c r="AN99" s="3249" t="s">
        <v>1991</v>
      </c>
    </row>
    <row r="100" spans="1:40" ht="72" customHeight="1" x14ac:dyDescent="0.2">
      <c r="A100" s="2060"/>
      <c r="B100" s="2061"/>
      <c r="C100" s="2082"/>
      <c r="D100" s="649"/>
      <c r="E100" s="2082"/>
      <c r="F100" s="649"/>
      <c r="G100" s="3778"/>
      <c r="H100" s="3753"/>
      <c r="I100" s="3753"/>
      <c r="J100" s="3819"/>
      <c r="K100" s="3796"/>
      <c r="L100" s="3780"/>
      <c r="M100" s="3494"/>
      <c r="N100" s="3189"/>
      <c r="O100" s="3817"/>
      <c r="P100" s="3818"/>
      <c r="Q100" s="3250"/>
      <c r="R100" s="1219" t="s">
        <v>2146</v>
      </c>
      <c r="S100" s="2093">
        <v>7450000</v>
      </c>
      <c r="T100" s="2090">
        <v>20</v>
      </c>
      <c r="U100" s="2099" t="s">
        <v>667</v>
      </c>
      <c r="V100" s="3799"/>
      <c r="W100" s="3750"/>
      <c r="X100" s="3812"/>
      <c r="Y100" s="3812"/>
      <c r="Z100" s="3812"/>
      <c r="AA100" s="3812"/>
      <c r="AB100" s="3815"/>
      <c r="AC100" s="3812"/>
      <c r="AD100" s="3809"/>
      <c r="AE100" s="3809"/>
      <c r="AF100" s="3809"/>
      <c r="AG100" s="3809"/>
      <c r="AH100" s="3746"/>
      <c r="AI100" s="3746"/>
      <c r="AJ100" s="3746"/>
      <c r="AK100" s="3783"/>
      <c r="AL100" s="3026"/>
      <c r="AM100" s="3026"/>
      <c r="AN100" s="3249"/>
    </row>
    <row r="101" spans="1:40" ht="63.75" customHeight="1" x14ac:dyDescent="0.2">
      <c r="A101" s="2060"/>
      <c r="B101" s="2061"/>
      <c r="C101" s="2082"/>
      <c r="D101" s="649"/>
      <c r="E101" s="2082"/>
      <c r="F101" s="649"/>
      <c r="G101" s="3779"/>
      <c r="H101" s="3754"/>
      <c r="I101" s="3754"/>
      <c r="J101" s="3807"/>
      <c r="K101" s="3797"/>
      <c r="L101" s="3781"/>
      <c r="M101" s="3495"/>
      <c r="N101" s="3189"/>
      <c r="O101" s="3770"/>
      <c r="P101" s="3818"/>
      <c r="Q101" s="1781" t="s">
        <v>2147</v>
      </c>
      <c r="R101" s="1219" t="s">
        <v>2148</v>
      </c>
      <c r="S101" s="2100">
        <v>14900000</v>
      </c>
      <c r="T101" s="2090">
        <v>20</v>
      </c>
      <c r="U101" s="2099" t="s">
        <v>667</v>
      </c>
      <c r="V101" s="3518"/>
      <c r="W101" s="3519"/>
      <c r="X101" s="3813"/>
      <c r="Y101" s="3813"/>
      <c r="Z101" s="3813"/>
      <c r="AA101" s="3813"/>
      <c r="AB101" s="3816"/>
      <c r="AC101" s="3813"/>
      <c r="AD101" s="3810"/>
      <c r="AE101" s="3810"/>
      <c r="AF101" s="3810"/>
      <c r="AG101" s="3810"/>
      <c r="AH101" s="3746"/>
      <c r="AI101" s="3746"/>
      <c r="AJ101" s="3746"/>
      <c r="AK101" s="3467"/>
      <c r="AL101" s="3027"/>
      <c r="AM101" s="3027"/>
      <c r="AN101" s="3249"/>
    </row>
    <row r="102" spans="1:40" ht="60" customHeight="1" x14ac:dyDescent="0.2">
      <c r="A102" s="2060"/>
      <c r="B102" s="2061"/>
      <c r="C102" s="2082"/>
      <c r="D102" s="649"/>
      <c r="E102" s="2082"/>
      <c r="F102" s="649"/>
      <c r="G102" s="3777">
        <v>194</v>
      </c>
      <c r="H102" s="3764" t="s">
        <v>2149</v>
      </c>
      <c r="I102" s="3806" t="s">
        <v>2150</v>
      </c>
      <c r="J102" s="3807">
        <v>1</v>
      </c>
      <c r="K102" s="3795" t="s">
        <v>2151</v>
      </c>
      <c r="L102" s="3798" t="s">
        <v>2152</v>
      </c>
      <c r="M102" s="3771" t="s">
        <v>2153</v>
      </c>
      <c r="N102" s="3189">
        <f>SUM(S102:S103)/O102</f>
        <v>1</v>
      </c>
      <c r="O102" s="3770">
        <f>SUM(S102:S103)</f>
        <v>69560000</v>
      </c>
      <c r="P102" s="3771" t="s">
        <v>2154</v>
      </c>
      <c r="Q102" s="1781" t="s">
        <v>2155</v>
      </c>
      <c r="R102" s="1219" t="s">
        <v>2156</v>
      </c>
      <c r="S102" s="2124">
        <v>64560000</v>
      </c>
      <c r="T102" s="2090">
        <v>20</v>
      </c>
      <c r="U102" s="2099" t="s">
        <v>667</v>
      </c>
      <c r="V102" s="3516">
        <v>1345</v>
      </c>
      <c r="W102" s="3517"/>
      <c r="X102" s="3466" t="s">
        <v>2157</v>
      </c>
      <c r="Y102" s="3466" t="s">
        <v>2157</v>
      </c>
      <c r="Z102" s="3466" t="s">
        <v>2157</v>
      </c>
      <c r="AA102" s="3466" t="s">
        <v>2157</v>
      </c>
      <c r="AB102" s="3466">
        <f>+V102</f>
        <v>1345</v>
      </c>
      <c r="AC102" s="3466" t="s">
        <v>2157</v>
      </c>
      <c r="AD102" s="3466" t="s">
        <v>2157</v>
      </c>
      <c r="AE102" s="3466" t="s">
        <v>2157</v>
      </c>
      <c r="AF102" s="3466" t="s">
        <v>2157</v>
      </c>
      <c r="AG102" s="3466" t="s">
        <v>2157</v>
      </c>
      <c r="AH102" s="3466" t="s">
        <v>2157</v>
      </c>
      <c r="AI102" s="3466" t="s">
        <v>2157</v>
      </c>
      <c r="AJ102" s="3466" t="s">
        <v>2157</v>
      </c>
      <c r="AK102" s="3466">
        <f>SUM(AB102:AJ103)</f>
        <v>1345</v>
      </c>
      <c r="AL102" s="3025">
        <v>43467</v>
      </c>
      <c r="AM102" s="3025">
        <v>43830</v>
      </c>
      <c r="AN102" s="2769" t="s">
        <v>1991</v>
      </c>
    </row>
    <row r="103" spans="1:40" ht="52.5" customHeight="1" x14ac:dyDescent="0.2">
      <c r="A103" s="2060"/>
      <c r="B103" s="2061"/>
      <c r="C103" s="2082"/>
      <c r="D103" s="649"/>
      <c r="E103" s="2082"/>
      <c r="F103" s="649"/>
      <c r="G103" s="3778"/>
      <c r="H103" s="3753"/>
      <c r="I103" s="3806"/>
      <c r="J103" s="3807"/>
      <c r="K103" s="3797"/>
      <c r="L103" s="3780"/>
      <c r="M103" s="3772"/>
      <c r="N103" s="3189"/>
      <c r="O103" s="3770"/>
      <c r="P103" s="3773"/>
      <c r="Q103" s="1787" t="s">
        <v>2158</v>
      </c>
      <c r="R103" s="1219" t="s">
        <v>2159</v>
      </c>
      <c r="S103" s="1789">
        <v>5000000</v>
      </c>
      <c r="T103" s="2090">
        <v>20</v>
      </c>
      <c r="U103" s="2099" t="s">
        <v>667</v>
      </c>
      <c r="V103" s="3518"/>
      <c r="W103" s="3519"/>
      <c r="X103" s="3468"/>
      <c r="Y103" s="3468"/>
      <c r="Z103" s="3468"/>
      <c r="AA103" s="3468"/>
      <c r="AB103" s="3467"/>
      <c r="AC103" s="3468"/>
      <c r="AD103" s="3468"/>
      <c r="AE103" s="3468"/>
      <c r="AF103" s="3468"/>
      <c r="AG103" s="3468"/>
      <c r="AH103" s="3468"/>
      <c r="AI103" s="3468"/>
      <c r="AJ103" s="3468"/>
      <c r="AK103" s="3467"/>
      <c r="AL103" s="3026"/>
      <c r="AM103" s="3026"/>
      <c r="AN103" s="2769"/>
    </row>
    <row r="104" spans="1:40" ht="15" x14ac:dyDescent="0.2">
      <c r="A104" s="2060"/>
      <c r="B104" s="2061"/>
      <c r="C104" s="2082"/>
      <c r="D104" s="649"/>
      <c r="E104" s="640">
        <v>64</v>
      </c>
      <c r="F104" s="2125" t="s">
        <v>2160</v>
      </c>
      <c r="G104" s="2126"/>
      <c r="H104" s="2119"/>
      <c r="I104" s="2119"/>
      <c r="J104" s="2126"/>
      <c r="K104" s="2126"/>
      <c r="L104" s="2126"/>
      <c r="M104" s="2120"/>
      <c r="N104" s="2126"/>
      <c r="O104" s="2126"/>
      <c r="P104" s="2119"/>
      <c r="Q104" s="2119"/>
      <c r="R104" s="2119"/>
      <c r="S104" s="2127"/>
      <c r="T104" s="2122"/>
      <c r="U104" s="2120"/>
      <c r="V104" s="2126"/>
      <c r="W104" s="2126"/>
      <c r="X104" s="2126"/>
      <c r="Y104" s="2126"/>
      <c r="Z104" s="2126"/>
      <c r="AA104" s="2126"/>
      <c r="AB104" s="2126"/>
      <c r="AC104" s="2126"/>
      <c r="AD104" s="2126"/>
      <c r="AE104" s="2126"/>
      <c r="AF104" s="2126"/>
      <c r="AG104" s="2126"/>
      <c r="AH104" s="2126"/>
      <c r="AI104" s="2126"/>
      <c r="AJ104" s="2126"/>
      <c r="AK104" s="2126"/>
      <c r="AL104" s="2126"/>
      <c r="AM104" s="2126"/>
      <c r="AN104" s="2123"/>
    </row>
    <row r="105" spans="1:40" ht="39" customHeight="1" x14ac:dyDescent="0.2">
      <c r="A105" s="2060"/>
      <c r="B105" s="2061"/>
      <c r="C105" s="2082"/>
      <c r="D105" s="649"/>
      <c r="E105" s="2068"/>
      <c r="F105" s="2061"/>
      <c r="G105" s="3777">
        <v>195</v>
      </c>
      <c r="H105" s="3764" t="s">
        <v>2161</v>
      </c>
      <c r="I105" s="3803" t="s">
        <v>2162</v>
      </c>
      <c r="J105" s="3276">
        <v>1</v>
      </c>
      <c r="K105" s="3795" t="s">
        <v>2163</v>
      </c>
      <c r="L105" s="3798" t="s">
        <v>2164</v>
      </c>
      <c r="M105" s="3493" t="s">
        <v>2165</v>
      </c>
      <c r="N105" s="3189">
        <f>SUM(S105:S107)/O105</f>
        <v>1</v>
      </c>
      <c r="O105" s="3770">
        <f>SUM(S105:S107)</f>
        <v>100000000</v>
      </c>
      <c r="P105" s="3771" t="s">
        <v>2166</v>
      </c>
      <c r="Q105" s="2769" t="s">
        <v>2167</v>
      </c>
      <c r="R105" s="1788" t="s">
        <v>2168</v>
      </c>
      <c r="S105" s="1789">
        <v>40000000</v>
      </c>
      <c r="T105" s="2090">
        <v>20</v>
      </c>
      <c r="U105" s="2099" t="s">
        <v>667</v>
      </c>
      <c r="V105" s="3516">
        <v>7250</v>
      </c>
      <c r="W105" s="3517"/>
      <c r="X105" s="3749"/>
      <c r="Y105" s="3749"/>
      <c r="Z105" s="3749"/>
      <c r="AA105" s="3749"/>
      <c r="AB105" s="3749"/>
      <c r="AC105" s="3466">
        <v>7250</v>
      </c>
      <c r="AD105" s="3749"/>
      <c r="AE105" s="3749"/>
      <c r="AF105" s="3749"/>
      <c r="AG105" s="3749"/>
      <c r="AH105" s="3749"/>
      <c r="AI105" s="3749"/>
      <c r="AJ105" s="3749"/>
      <c r="AK105" s="3466">
        <f>SUM(AC105:AJ107)</f>
        <v>7250</v>
      </c>
      <c r="AL105" s="3800">
        <v>43467</v>
      </c>
      <c r="AM105" s="3025">
        <v>43830</v>
      </c>
      <c r="AN105" s="2769" t="s">
        <v>1991</v>
      </c>
    </row>
    <row r="106" spans="1:40" ht="63.75" customHeight="1" x14ac:dyDescent="0.2">
      <c r="A106" s="2060"/>
      <c r="B106" s="2061"/>
      <c r="C106" s="2082"/>
      <c r="D106" s="649"/>
      <c r="E106" s="2068"/>
      <c r="F106" s="2061"/>
      <c r="G106" s="3778"/>
      <c r="H106" s="3753"/>
      <c r="I106" s="3804"/>
      <c r="J106" s="3276"/>
      <c r="K106" s="3796"/>
      <c r="L106" s="3780"/>
      <c r="M106" s="3494"/>
      <c r="N106" s="3189"/>
      <c r="O106" s="3770"/>
      <c r="P106" s="3772"/>
      <c r="Q106" s="2769"/>
      <c r="R106" s="1788" t="s">
        <v>2169</v>
      </c>
      <c r="S106" s="1789">
        <v>55000000</v>
      </c>
      <c r="T106" s="2090">
        <v>20</v>
      </c>
      <c r="U106" s="2099" t="s">
        <v>667</v>
      </c>
      <c r="V106" s="3799"/>
      <c r="W106" s="3750"/>
      <c r="X106" s="3746"/>
      <c r="Y106" s="3746"/>
      <c r="Z106" s="3746"/>
      <c r="AA106" s="3746"/>
      <c r="AB106" s="3746"/>
      <c r="AC106" s="3467"/>
      <c r="AD106" s="3746"/>
      <c r="AE106" s="3746"/>
      <c r="AF106" s="3746"/>
      <c r="AG106" s="3746"/>
      <c r="AH106" s="3746"/>
      <c r="AI106" s="3746"/>
      <c r="AJ106" s="3746"/>
      <c r="AK106" s="3467"/>
      <c r="AL106" s="3801"/>
      <c r="AM106" s="3026"/>
      <c r="AN106" s="2769"/>
    </row>
    <row r="107" spans="1:40" ht="74.25" customHeight="1" x14ac:dyDescent="0.2">
      <c r="A107" s="2060"/>
      <c r="B107" s="2061"/>
      <c r="C107" s="2082"/>
      <c r="D107" s="649"/>
      <c r="E107" s="2076"/>
      <c r="F107" s="2077"/>
      <c r="G107" s="3779"/>
      <c r="H107" s="3754"/>
      <c r="I107" s="3805"/>
      <c r="J107" s="3276"/>
      <c r="K107" s="3797"/>
      <c r="L107" s="3781"/>
      <c r="M107" s="3495"/>
      <c r="N107" s="3189"/>
      <c r="O107" s="3770"/>
      <c r="P107" s="3773"/>
      <c r="Q107" s="1787" t="s">
        <v>2170</v>
      </c>
      <c r="R107" s="1788" t="s">
        <v>2171</v>
      </c>
      <c r="S107" s="1789">
        <v>5000000</v>
      </c>
      <c r="T107" s="2090">
        <v>20</v>
      </c>
      <c r="U107" s="2099" t="s">
        <v>667</v>
      </c>
      <c r="V107" s="3518"/>
      <c r="W107" s="3519"/>
      <c r="X107" s="3746"/>
      <c r="Y107" s="3746"/>
      <c r="Z107" s="3746"/>
      <c r="AA107" s="3746"/>
      <c r="AB107" s="3746"/>
      <c r="AC107" s="3467"/>
      <c r="AD107" s="3746"/>
      <c r="AE107" s="3746"/>
      <c r="AF107" s="3746"/>
      <c r="AG107" s="3746"/>
      <c r="AH107" s="3746"/>
      <c r="AI107" s="3746"/>
      <c r="AJ107" s="3746"/>
      <c r="AK107" s="3467"/>
      <c r="AL107" s="3802"/>
      <c r="AM107" s="3027"/>
      <c r="AN107" s="2769"/>
    </row>
    <row r="108" spans="1:40" ht="15" x14ac:dyDescent="0.2">
      <c r="A108" s="2060"/>
      <c r="B108" s="2061"/>
      <c r="C108" s="2082"/>
      <c r="D108" s="649"/>
      <c r="E108" s="2103">
        <v>65</v>
      </c>
      <c r="F108" s="2117" t="s">
        <v>2172</v>
      </c>
      <c r="G108" s="2118"/>
      <c r="H108" s="2119"/>
      <c r="I108" s="2119"/>
      <c r="J108" s="2118"/>
      <c r="K108" s="2118"/>
      <c r="L108" s="2118"/>
      <c r="M108" s="2120"/>
      <c r="N108" s="2118"/>
      <c r="O108" s="2118"/>
      <c r="P108" s="2119"/>
      <c r="Q108" s="2119"/>
      <c r="R108" s="2119"/>
      <c r="S108" s="2121"/>
      <c r="T108" s="2122"/>
      <c r="U108" s="2120"/>
      <c r="V108" s="2118"/>
      <c r="W108" s="2118"/>
      <c r="X108" s="2118"/>
      <c r="Y108" s="2118"/>
      <c r="Z108" s="2118"/>
      <c r="AA108" s="2118"/>
      <c r="AB108" s="2118"/>
      <c r="AC108" s="2118"/>
      <c r="AD108" s="2118"/>
      <c r="AE108" s="2118"/>
      <c r="AF108" s="2118"/>
      <c r="AG108" s="2118"/>
      <c r="AH108" s="2118"/>
      <c r="AI108" s="2118"/>
      <c r="AJ108" s="2118"/>
      <c r="AK108" s="2118"/>
      <c r="AL108" s="2118"/>
      <c r="AM108" s="2118"/>
      <c r="AN108" s="2123"/>
    </row>
    <row r="109" spans="1:40" ht="43.5" customHeight="1" x14ac:dyDescent="0.2">
      <c r="A109" s="2060"/>
      <c r="B109" s="2061"/>
      <c r="C109" s="2082"/>
      <c r="D109" s="649"/>
      <c r="E109" s="680"/>
      <c r="F109" s="2088"/>
      <c r="G109" s="3777">
        <v>196</v>
      </c>
      <c r="H109" s="3764" t="s">
        <v>2173</v>
      </c>
      <c r="I109" s="3764" t="s">
        <v>2174</v>
      </c>
      <c r="J109" s="3794">
        <v>1</v>
      </c>
      <c r="K109" s="3795" t="s">
        <v>2175</v>
      </c>
      <c r="L109" s="3798" t="s">
        <v>2176</v>
      </c>
      <c r="M109" s="3771" t="s">
        <v>2177</v>
      </c>
      <c r="N109" s="3189">
        <f>SUM(S109:S112)/O109</f>
        <v>1</v>
      </c>
      <c r="O109" s="3770">
        <f>SUM(S109:S112)</f>
        <v>30000000</v>
      </c>
      <c r="P109" s="3771" t="s">
        <v>2178</v>
      </c>
      <c r="Q109" s="2769" t="s">
        <v>2179</v>
      </c>
      <c r="R109" s="1176" t="s">
        <v>2180</v>
      </c>
      <c r="S109" s="2128">
        <v>12000000</v>
      </c>
      <c r="T109" s="2090">
        <v>20</v>
      </c>
      <c r="U109" s="2099" t="s">
        <v>667</v>
      </c>
      <c r="V109" s="3791">
        <v>900</v>
      </c>
      <c r="W109" s="3791">
        <v>1480</v>
      </c>
      <c r="X109" s="3791">
        <v>0</v>
      </c>
      <c r="Y109" s="3791">
        <v>755</v>
      </c>
      <c r="Z109" s="3791">
        <v>1500</v>
      </c>
      <c r="AA109" s="3791">
        <v>95</v>
      </c>
      <c r="AB109" s="3785">
        <v>10</v>
      </c>
      <c r="AC109" s="3785">
        <v>20</v>
      </c>
      <c r="AD109" s="3788"/>
      <c r="AE109" s="3788"/>
      <c r="AF109" s="3788"/>
      <c r="AG109" s="3788"/>
      <c r="AH109" s="3022"/>
      <c r="AI109" s="3022"/>
      <c r="AJ109" s="3782"/>
      <c r="AK109" s="3782">
        <f>SUM(Y109:AH112)</f>
        <v>2380</v>
      </c>
      <c r="AL109" s="3025">
        <v>43467</v>
      </c>
      <c r="AM109" s="3025">
        <v>43830</v>
      </c>
      <c r="AN109" s="3249" t="s">
        <v>1991</v>
      </c>
    </row>
    <row r="110" spans="1:40" ht="43.5" customHeight="1" x14ac:dyDescent="0.2">
      <c r="A110" s="2060"/>
      <c r="B110" s="2061"/>
      <c r="C110" s="2082"/>
      <c r="D110" s="649"/>
      <c r="E110" s="2082"/>
      <c r="F110" s="649"/>
      <c r="G110" s="3778"/>
      <c r="H110" s="3753"/>
      <c r="I110" s="3753"/>
      <c r="J110" s="3794"/>
      <c r="K110" s="3796"/>
      <c r="L110" s="3780"/>
      <c r="M110" s="3772"/>
      <c r="N110" s="3189"/>
      <c r="O110" s="3770"/>
      <c r="P110" s="3772"/>
      <c r="Q110" s="2769"/>
      <c r="R110" s="1176" t="s">
        <v>2181</v>
      </c>
      <c r="S110" s="2128">
        <v>10000000</v>
      </c>
      <c r="T110" s="2090">
        <v>20</v>
      </c>
      <c r="U110" s="2099" t="s">
        <v>667</v>
      </c>
      <c r="V110" s="3792"/>
      <c r="W110" s="3792"/>
      <c r="X110" s="3792"/>
      <c r="Y110" s="3792"/>
      <c r="Z110" s="3792"/>
      <c r="AA110" s="3792"/>
      <c r="AB110" s="3786"/>
      <c r="AC110" s="3786"/>
      <c r="AD110" s="3789"/>
      <c r="AE110" s="3789"/>
      <c r="AF110" s="3789"/>
      <c r="AG110" s="3789"/>
      <c r="AH110" s="3023"/>
      <c r="AI110" s="3023"/>
      <c r="AJ110" s="3783"/>
      <c r="AK110" s="3783"/>
      <c r="AL110" s="3026"/>
      <c r="AM110" s="3026"/>
      <c r="AN110" s="3249"/>
    </row>
    <row r="111" spans="1:40" ht="36.75" customHeight="1" x14ac:dyDescent="0.2">
      <c r="A111" s="2060"/>
      <c r="B111" s="2061"/>
      <c r="C111" s="2082"/>
      <c r="D111" s="649"/>
      <c r="E111" s="2082"/>
      <c r="F111" s="649"/>
      <c r="G111" s="3778"/>
      <c r="H111" s="3753"/>
      <c r="I111" s="3753"/>
      <c r="J111" s="3794"/>
      <c r="K111" s="3796"/>
      <c r="L111" s="3780"/>
      <c r="M111" s="3772"/>
      <c r="N111" s="3189"/>
      <c r="O111" s="3770"/>
      <c r="P111" s="3772"/>
      <c r="Q111" s="3249" t="s">
        <v>2182</v>
      </c>
      <c r="R111" s="1176" t="s">
        <v>2183</v>
      </c>
      <c r="S111" s="2128">
        <v>3000000</v>
      </c>
      <c r="T111" s="2090">
        <v>20</v>
      </c>
      <c r="U111" s="2099" t="s">
        <v>667</v>
      </c>
      <c r="V111" s="3792"/>
      <c r="W111" s="3792"/>
      <c r="X111" s="3792"/>
      <c r="Y111" s="3792"/>
      <c r="Z111" s="3792"/>
      <c r="AA111" s="3792"/>
      <c r="AB111" s="3786"/>
      <c r="AC111" s="3786"/>
      <c r="AD111" s="3789"/>
      <c r="AE111" s="3789"/>
      <c r="AF111" s="3789"/>
      <c r="AG111" s="3789"/>
      <c r="AH111" s="3023"/>
      <c r="AI111" s="3023"/>
      <c r="AJ111" s="3783"/>
      <c r="AK111" s="3783"/>
      <c r="AL111" s="3026"/>
      <c r="AM111" s="3026"/>
      <c r="AN111" s="3249"/>
    </row>
    <row r="112" spans="1:40" ht="50.25" customHeight="1" x14ac:dyDescent="0.2">
      <c r="A112" s="2060"/>
      <c r="B112" s="2061"/>
      <c r="C112" s="2082"/>
      <c r="D112" s="649"/>
      <c r="E112" s="2082"/>
      <c r="F112" s="649"/>
      <c r="G112" s="3778"/>
      <c r="H112" s="3753"/>
      <c r="I112" s="3753"/>
      <c r="J112" s="3794"/>
      <c r="K112" s="3797"/>
      <c r="L112" s="3780"/>
      <c r="M112" s="3772"/>
      <c r="N112" s="3189"/>
      <c r="O112" s="3770"/>
      <c r="P112" s="3772"/>
      <c r="Q112" s="3250"/>
      <c r="R112" s="1176" t="s">
        <v>2184</v>
      </c>
      <c r="S112" s="2128">
        <v>5000000</v>
      </c>
      <c r="T112" s="2090">
        <v>20</v>
      </c>
      <c r="U112" s="2099" t="s">
        <v>667</v>
      </c>
      <c r="V112" s="3793"/>
      <c r="W112" s="3793"/>
      <c r="X112" s="3793"/>
      <c r="Y112" s="3793"/>
      <c r="Z112" s="3793"/>
      <c r="AA112" s="3793"/>
      <c r="AB112" s="3787"/>
      <c r="AC112" s="3787"/>
      <c r="AD112" s="3790"/>
      <c r="AE112" s="3790"/>
      <c r="AF112" s="3790"/>
      <c r="AG112" s="3790"/>
      <c r="AH112" s="3024"/>
      <c r="AI112" s="3024"/>
      <c r="AJ112" s="3784"/>
      <c r="AK112" s="3467"/>
      <c r="AL112" s="3027"/>
      <c r="AM112" s="3027"/>
      <c r="AN112" s="3249"/>
    </row>
    <row r="113" spans="1:40" ht="15" x14ac:dyDescent="0.2">
      <c r="A113" s="2060"/>
      <c r="B113" s="2061"/>
      <c r="C113" s="2082"/>
      <c r="D113" s="649"/>
      <c r="E113" s="973">
        <v>66</v>
      </c>
      <c r="F113" s="2117" t="s">
        <v>2185</v>
      </c>
      <c r="G113" s="2118"/>
      <c r="H113" s="2119"/>
      <c r="I113" s="2119"/>
      <c r="J113" s="2118"/>
      <c r="K113" s="2118"/>
      <c r="L113" s="2118"/>
      <c r="M113" s="2120"/>
      <c r="N113" s="2118"/>
      <c r="O113" s="2118"/>
      <c r="P113" s="2119"/>
      <c r="Q113" s="2119"/>
      <c r="R113" s="2119"/>
      <c r="S113" s="2121"/>
      <c r="T113" s="2122"/>
      <c r="U113" s="2120"/>
      <c r="V113" s="2118"/>
      <c r="W113" s="2118"/>
      <c r="X113" s="2118"/>
      <c r="Y113" s="2118"/>
      <c r="Z113" s="2118"/>
      <c r="AA113" s="2118"/>
      <c r="AB113" s="2118"/>
      <c r="AC113" s="2118"/>
      <c r="AD113" s="2118"/>
      <c r="AE113" s="2118"/>
      <c r="AF113" s="2118"/>
      <c r="AG113" s="2118"/>
      <c r="AH113" s="2118"/>
      <c r="AI113" s="2118"/>
      <c r="AJ113" s="2118"/>
      <c r="AK113" s="2118"/>
      <c r="AL113" s="2118"/>
      <c r="AM113" s="2118"/>
      <c r="AN113" s="2123"/>
    </row>
    <row r="114" spans="1:40" ht="55.5" customHeight="1" x14ac:dyDescent="0.2">
      <c r="A114" s="2060"/>
      <c r="B114" s="2061"/>
      <c r="C114" s="2082"/>
      <c r="D114" s="649"/>
      <c r="E114" s="2082"/>
      <c r="F114" s="649"/>
      <c r="G114" s="3777">
        <v>197</v>
      </c>
      <c r="H114" s="2564" t="s">
        <v>2186</v>
      </c>
      <c r="I114" s="3764" t="s">
        <v>2187</v>
      </c>
      <c r="J114" s="3276">
        <v>1</v>
      </c>
      <c r="K114" s="2129"/>
      <c r="L114" s="3780" t="s">
        <v>2188</v>
      </c>
      <c r="M114" s="3771" t="s">
        <v>2189</v>
      </c>
      <c r="N114" s="3769">
        <f>SUM(S114:S120)/O114</f>
        <v>1</v>
      </c>
      <c r="O114" s="3770">
        <f>SUM(S114:S120)</f>
        <v>290000000</v>
      </c>
      <c r="P114" s="3771" t="s">
        <v>2190</v>
      </c>
      <c r="Q114" s="2769" t="s">
        <v>2191</v>
      </c>
      <c r="R114" s="1219" t="s">
        <v>2192</v>
      </c>
      <c r="S114" s="2106">
        <f>5000000-5000000</f>
        <v>0</v>
      </c>
      <c r="T114" s="2090">
        <v>20</v>
      </c>
      <c r="U114" s="2099" t="s">
        <v>667</v>
      </c>
      <c r="V114" s="3774">
        <v>10000</v>
      </c>
      <c r="W114" s="3022"/>
      <c r="X114" s="3022">
        <v>1375</v>
      </c>
      <c r="Y114" s="3022">
        <v>3900</v>
      </c>
      <c r="Z114" s="3022">
        <v>3200</v>
      </c>
      <c r="AA114" s="3022">
        <v>1220</v>
      </c>
      <c r="AB114" s="3466">
        <v>103</v>
      </c>
      <c r="AC114" s="3022">
        <v>202</v>
      </c>
      <c r="AD114" s="3022"/>
      <c r="AE114" s="3496"/>
      <c r="AF114" s="3022"/>
      <c r="AG114" s="3022"/>
      <c r="AH114" s="3022"/>
      <c r="AI114" s="3022"/>
      <c r="AJ114" s="3022"/>
      <c r="AK114" s="3022">
        <f>SUM(X114:AE120)</f>
        <v>10000</v>
      </c>
      <c r="AL114" s="3748">
        <v>43467</v>
      </c>
      <c r="AM114" s="3748">
        <v>43830</v>
      </c>
      <c r="AN114" s="2769" t="s">
        <v>1991</v>
      </c>
    </row>
    <row r="115" spans="1:40" ht="54" customHeight="1" x14ac:dyDescent="0.2">
      <c r="A115" s="2060"/>
      <c r="B115" s="2061"/>
      <c r="C115" s="2082"/>
      <c r="D115" s="649"/>
      <c r="E115" s="2082"/>
      <c r="F115" s="649"/>
      <c r="G115" s="3778"/>
      <c r="H115" s="2591"/>
      <c r="I115" s="3753"/>
      <c r="J115" s="3276"/>
      <c r="K115" s="2130"/>
      <c r="L115" s="3780"/>
      <c r="M115" s="3772"/>
      <c r="N115" s="3193"/>
      <c r="O115" s="3770"/>
      <c r="P115" s="3772"/>
      <c r="Q115" s="2769"/>
      <c r="R115" s="1219" t="s">
        <v>2193</v>
      </c>
      <c r="S115" s="2106">
        <f>5000000-5000000</f>
        <v>0</v>
      </c>
      <c r="T115" s="2090">
        <v>20</v>
      </c>
      <c r="U115" s="2099" t="s">
        <v>667</v>
      </c>
      <c r="V115" s="3775"/>
      <c r="W115" s="3023"/>
      <c r="X115" s="3023"/>
      <c r="Y115" s="3023"/>
      <c r="Z115" s="3023"/>
      <c r="AA115" s="3023"/>
      <c r="AB115" s="3467"/>
      <c r="AC115" s="3023"/>
      <c r="AD115" s="3023"/>
      <c r="AE115" s="3497"/>
      <c r="AF115" s="3023"/>
      <c r="AG115" s="3023"/>
      <c r="AH115" s="3023"/>
      <c r="AI115" s="3023"/>
      <c r="AJ115" s="3023"/>
      <c r="AK115" s="3023"/>
      <c r="AL115" s="3748"/>
      <c r="AM115" s="3748"/>
      <c r="AN115" s="2769"/>
    </row>
    <row r="116" spans="1:40" ht="52.5" customHeight="1" x14ac:dyDescent="0.2">
      <c r="A116" s="2060"/>
      <c r="B116" s="2061"/>
      <c r="C116" s="2082"/>
      <c r="D116" s="649"/>
      <c r="E116" s="2082"/>
      <c r="F116" s="649"/>
      <c r="G116" s="3778"/>
      <c r="H116" s="2591"/>
      <c r="I116" s="3753"/>
      <c r="J116" s="3276"/>
      <c r="K116" s="2130"/>
      <c r="L116" s="3780"/>
      <c r="M116" s="3772"/>
      <c r="N116" s="3193"/>
      <c r="O116" s="3770"/>
      <c r="P116" s="3772"/>
      <c r="Q116" s="2769"/>
      <c r="R116" s="1788" t="s">
        <v>2194</v>
      </c>
      <c r="S116" s="2106">
        <v>0</v>
      </c>
      <c r="T116" s="2090">
        <v>20</v>
      </c>
      <c r="U116" s="2099" t="s">
        <v>667</v>
      </c>
      <c r="V116" s="3775"/>
      <c r="W116" s="3023"/>
      <c r="X116" s="3023"/>
      <c r="Y116" s="3023"/>
      <c r="Z116" s="3023"/>
      <c r="AA116" s="3023"/>
      <c r="AB116" s="3467"/>
      <c r="AC116" s="3023"/>
      <c r="AD116" s="3023"/>
      <c r="AE116" s="3497"/>
      <c r="AF116" s="3023"/>
      <c r="AG116" s="3023"/>
      <c r="AH116" s="3023"/>
      <c r="AI116" s="3023"/>
      <c r="AJ116" s="3023"/>
      <c r="AK116" s="3023"/>
      <c r="AL116" s="3456"/>
      <c r="AM116" s="3456"/>
      <c r="AN116" s="2769"/>
    </row>
    <row r="117" spans="1:40" ht="60" customHeight="1" x14ac:dyDescent="0.2">
      <c r="A117" s="2060"/>
      <c r="B117" s="2061"/>
      <c r="C117" s="2082"/>
      <c r="D117" s="649"/>
      <c r="E117" s="2082"/>
      <c r="F117" s="649"/>
      <c r="G117" s="3778"/>
      <c r="H117" s="2591"/>
      <c r="I117" s="3753"/>
      <c r="J117" s="3276"/>
      <c r="K117" s="2130" t="s">
        <v>2195</v>
      </c>
      <c r="L117" s="3780"/>
      <c r="M117" s="3772"/>
      <c r="N117" s="3193"/>
      <c r="O117" s="3770"/>
      <c r="P117" s="3772"/>
      <c r="Q117" s="2769" t="s">
        <v>2196</v>
      </c>
      <c r="R117" s="1219" t="s">
        <v>2197</v>
      </c>
      <c r="S117" s="2106">
        <f>30000000+10000000+240000000</f>
        <v>280000000</v>
      </c>
      <c r="T117" s="2090">
        <v>20</v>
      </c>
      <c r="U117" s="2099" t="s">
        <v>667</v>
      </c>
      <c r="V117" s="3775"/>
      <c r="W117" s="3023"/>
      <c r="X117" s="3023"/>
      <c r="Y117" s="3023"/>
      <c r="Z117" s="3023"/>
      <c r="AA117" s="3023"/>
      <c r="AB117" s="3467"/>
      <c r="AC117" s="3023"/>
      <c r="AD117" s="3023"/>
      <c r="AE117" s="3497"/>
      <c r="AF117" s="3023"/>
      <c r="AG117" s="3023"/>
      <c r="AH117" s="3023"/>
      <c r="AI117" s="3023"/>
      <c r="AJ117" s="3023"/>
      <c r="AK117" s="3023"/>
      <c r="AL117" s="3456"/>
      <c r="AM117" s="3456"/>
      <c r="AN117" s="2769"/>
    </row>
    <row r="118" spans="1:40" ht="42.75" x14ac:dyDescent="0.2">
      <c r="A118" s="2060"/>
      <c r="B118" s="2061"/>
      <c r="C118" s="2082"/>
      <c r="D118" s="649"/>
      <c r="E118" s="2082"/>
      <c r="F118" s="649"/>
      <c r="G118" s="3778"/>
      <c r="H118" s="2591"/>
      <c r="I118" s="3753"/>
      <c r="J118" s="3276"/>
      <c r="K118" s="2130"/>
      <c r="L118" s="3780"/>
      <c r="M118" s="3772"/>
      <c r="N118" s="3193"/>
      <c r="O118" s="3770"/>
      <c r="P118" s="3772"/>
      <c r="Q118" s="2769"/>
      <c r="R118" s="1219" t="s">
        <v>2198</v>
      </c>
      <c r="S118" s="2106">
        <v>5000000</v>
      </c>
      <c r="T118" s="2090">
        <v>20</v>
      </c>
      <c r="U118" s="2099" t="s">
        <v>667</v>
      </c>
      <c r="V118" s="3775"/>
      <c r="W118" s="3023"/>
      <c r="X118" s="3023"/>
      <c r="Y118" s="3023"/>
      <c r="Z118" s="3023"/>
      <c r="AA118" s="3023"/>
      <c r="AB118" s="3467"/>
      <c r="AC118" s="3023"/>
      <c r="AD118" s="3023"/>
      <c r="AE118" s="3497"/>
      <c r="AF118" s="3023"/>
      <c r="AG118" s="3023"/>
      <c r="AH118" s="3023"/>
      <c r="AI118" s="3023"/>
      <c r="AJ118" s="3023"/>
      <c r="AK118" s="3023"/>
      <c r="AL118" s="3456"/>
      <c r="AM118" s="3456"/>
      <c r="AN118" s="2769"/>
    </row>
    <row r="119" spans="1:40" ht="33" customHeight="1" x14ac:dyDescent="0.2">
      <c r="A119" s="2060"/>
      <c r="B119" s="2061"/>
      <c r="C119" s="2082"/>
      <c r="D119" s="649"/>
      <c r="E119" s="2082"/>
      <c r="F119" s="649"/>
      <c r="G119" s="3778"/>
      <c r="H119" s="2591"/>
      <c r="I119" s="3753"/>
      <c r="J119" s="3276"/>
      <c r="K119" s="2130"/>
      <c r="L119" s="3780"/>
      <c r="M119" s="3772"/>
      <c r="N119" s="3193"/>
      <c r="O119" s="3770"/>
      <c r="P119" s="3772"/>
      <c r="Q119" s="2769"/>
      <c r="R119" s="1219" t="s">
        <v>2183</v>
      </c>
      <c r="S119" s="1789">
        <v>1000000</v>
      </c>
      <c r="T119" s="2090">
        <v>20</v>
      </c>
      <c r="U119" s="2099" t="s">
        <v>667</v>
      </c>
      <c r="V119" s="3775"/>
      <c r="W119" s="3023"/>
      <c r="X119" s="3023"/>
      <c r="Y119" s="3023"/>
      <c r="Z119" s="3023"/>
      <c r="AA119" s="3023"/>
      <c r="AB119" s="3467"/>
      <c r="AC119" s="3023"/>
      <c r="AD119" s="3023"/>
      <c r="AE119" s="3497"/>
      <c r="AF119" s="3023"/>
      <c r="AG119" s="3023"/>
      <c r="AH119" s="3023"/>
      <c r="AI119" s="3023"/>
      <c r="AJ119" s="3023"/>
      <c r="AK119" s="3023"/>
      <c r="AL119" s="3456"/>
      <c r="AM119" s="3456"/>
      <c r="AN119" s="2769"/>
    </row>
    <row r="120" spans="1:40" ht="51.75" customHeight="1" x14ac:dyDescent="0.2">
      <c r="A120" s="2060"/>
      <c r="B120" s="2061"/>
      <c r="C120" s="2115"/>
      <c r="D120" s="2131"/>
      <c r="E120" s="2115"/>
      <c r="F120" s="2131"/>
      <c r="G120" s="3779"/>
      <c r="H120" s="2555"/>
      <c r="I120" s="3754"/>
      <c r="J120" s="3276"/>
      <c r="K120" s="2132"/>
      <c r="L120" s="3781"/>
      <c r="M120" s="3773"/>
      <c r="N120" s="3194"/>
      <c r="O120" s="3770"/>
      <c r="P120" s="3773"/>
      <c r="Q120" s="2769"/>
      <c r="R120" s="1219" t="s">
        <v>2184</v>
      </c>
      <c r="S120" s="1789">
        <v>4000000</v>
      </c>
      <c r="T120" s="2090">
        <v>20</v>
      </c>
      <c r="U120" s="2099" t="s">
        <v>667</v>
      </c>
      <c r="V120" s="3776"/>
      <c r="W120" s="3024"/>
      <c r="X120" s="3024"/>
      <c r="Y120" s="3024"/>
      <c r="Z120" s="3024"/>
      <c r="AA120" s="3024"/>
      <c r="AB120" s="3468"/>
      <c r="AC120" s="3024"/>
      <c r="AD120" s="3024"/>
      <c r="AE120" s="3498"/>
      <c r="AF120" s="3024"/>
      <c r="AG120" s="3024"/>
      <c r="AH120" s="3024"/>
      <c r="AI120" s="3024"/>
      <c r="AJ120" s="3024"/>
      <c r="AK120" s="3024"/>
      <c r="AL120" s="3456"/>
      <c r="AM120" s="3456"/>
      <c r="AN120" s="2769"/>
    </row>
    <row r="121" spans="1:40" ht="15" x14ac:dyDescent="0.2">
      <c r="A121" s="2060"/>
      <c r="B121" s="2061"/>
      <c r="C121" s="2133">
        <v>19</v>
      </c>
      <c r="D121" s="2063" t="s">
        <v>2199</v>
      </c>
      <c r="E121" s="1485"/>
      <c r="F121" s="1485"/>
      <c r="G121" s="1485"/>
      <c r="H121" s="2080"/>
      <c r="I121" s="2080"/>
      <c r="J121" s="1485"/>
      <c r="K121" s="1485"/>
      <c r="L121" s="1485"/>
      <c r="M121" s="1486"/>
      <c r="N121" s="1485"/>
      <c r="O121" s="1485"/>
      <c r="P121" s="2080"/>
      <c r="Q121" s="2080"/>
      <c r="R121" s="2080"/>
      <c r="S121" s="2109"/>
      <c r="T121" s="1782"/>
      <c r="U121" s="1486"/>
      <c r="V121" s="1485"/>
      <c r="W121" s="1485"/>
      <c r="X121" s="1485"/>
      <c r="Y121" s="1485"/>
      <c r="Z121" s="1485"/>
      <c r="AA121" s="1485"/>
      <c r="AB121" s="1485"/>
      <c r="AC121" s="1485"/>
      <c r="AD121" s="1485"/>
      <c r="AE121" s="1485"/>
      <c r="AF121" s="1485"/>
      <c r="AG121" s="1485"/>
      <c r="AH121" s="1485"/>
      <c r="AI121" s="1485"/>
      <c r="AJ121" s="1485"/>
      <c r="AK121" s="1485"/>
      <c r="AL121" s="1485"/>
      <c r="AM121" s="1485"/>
      <c r="AN121" s="1207"/>
    </row>
    <row r="122" spans="1:40" ht="15" x14ac:dyDescent="0.2">
      <c r="A122" s="2060"/>
      <c r="B122" s="2061"/>
      <c r="C122" s="3759"/>
      <c r="D122" s="3760"/>
      <c r="E122" s="640">
        <v>67</v>
      </c>
      <c r="F122" s="2125" t="s">
        <v>2200</v>
      </c>
      <c r="G122" s="2126"/>
      <c r="H122" s="2119"/>
      <c r="I122" s="2119"/>
      <c r="J122" s="2126"/>
      <c r="K122" s="2134"/>
      <c r="L122" s="2126"/>
      <c r="M122" s="2120"/>
      <c r="N122" s="2126"/>
      <c r="O122" s="2126"/>
      <c r="P122" s="2119"/>
      <c r="Q122" s="2119"/>
      <c r="R122" s="2119"/>
      <c r="S122" s="2127"/>
      <c r="T122" s="2135"/>
      <c r="U122" s="2136"/>
      <c r="V122" s="2126"/>
      <c r="W122" s="2126"/>
      <c r="X122" s="2126"/>
      <c r="Y122" s="2126"/>
      <c r="Z122" s="2126"/>
      <c r="AA122" s="2126"/>
      <c r="AB122" s="2126"/>
      <c r="AC122" s="2126"/>
      <c r="AD122" s="2126"/>
      <c r="AE122" s="2126"/>
      <c r="AF122" s="2126"/>
      <c r="AG122" s="2126"/>
      <c r="AH122" s="2126"/>
      <c r="AI122" s="2126"/>
      <c r="AJ122" s="2126"/>
      <c r="AK122" s="2126"/>
      <c r="AL122" s="2126"/>
      <c r="AM122" s="2126"/>
      <c r="AN122" s="2123"/>
    </row>
    <row r="123" spans="1:40" ht="57.75" customHeight="1" x14ac:dyDescent="0.2">
      <c r="A123" s="2060"/>
      <c r="B123" s="2061"/>
      <c r="C123" s="3759"/>
      <c r="D123" s="3760"/>
      <c r="E123" s="680"/>
      <c r="F123" s="2088"/>
      <c r="G123" s="3736">
        <v>198</v>
      </c>
      <c r="H123" s="3764" t="s">
        <v>2201</v>
      </c>
      <c r="I123" s="3248" t="s">
        <v>2202</v>
      </c>
      <c r="J123" s="3765">
        <v>1</v>
      </c>
      <c r="K123" s="3767" t="s">
        <v>2203</v>
      </c>
      <c r="L123" s="3751" t="s">
        <v>2204</v>
      </c>
      <c r="M123" s="3753" t="s">
        <v>2205</v>
      </c>
      <c r="N123" s="3743">
        <f>SUM(S123:S129)/O123</f>
        <v>1.1019292128613386E-2</v>
      </c>
      <c r="O123" s="3756">
        <f>SUM(S123:S134)</f>
        <v>3977405943</v>
      </c>
      <c r="P123" s="3753" t="s">
        <v>2206</v>
      </c>
      <c r="Q123" s="2769" t="s">
        <v>2207</v>
      </c>
      <c r="R123" s="239" t="s">
        <v>2208</v>
      </c>
      <c r="S123" s="2137">
        <v>10000000</v>
      </c>
      <c r="T123" s="2138">
        <v>20</v>
      </c>
      <c r="U123" s="2139" t="s">
        <v>72</v>
      </c>
      <c r="V123" s="3517">
        <v>2500</v>
      </c>
      <c r="W123" s="3466">
        <v>2000</v>
      </c>
      <c r="X123" s="3466"/>
      <c r="Y123" s="3466"/>
      <c r="Z123" s="3466"/>
      <c r="AA123" s="3466">
        <v>4500</v>
      </c>
      <c r="AB123" s="3749"/>
      <c r="AC123" s="3466"/>
      <c r="AD123" s="3466"/>
      <c r="AE123" s="3746"/>
      <c r="AF123" s="3746"/>
      <c r="AG123" s="3746"/>
      <c r="AH123" s="3746"/>
      <c r="AI123" s="3746"/>
      <c r="AJ123" s="3746"/>
      <c r="AK123" s="3467">
        <f>SUM(AA123)</f>
        <v>4500</v>
      </c>
      <c r="AL123" s="3748">
        <v>43467</v>
      </c>
      <c r="AM123" s="3748">
        <v>43830</v>
      </c>
      <c r="AN123" s="3248" t="s">
        <v>1991</v>
      </c>
    </row>
    <row r="124" spans="1:40" ht="68.25" customHeight="1" x14ac:dyDescent="0.2">
      <c r="A124" s="2060"/>
      <c r="B124" s="2061"/>
      <c r="C124" s="3759"/>
      <c r="D124" s="3760"/>
      <c r="E124" s="2082"/>
      <c r="F124" s="649"/>
      <c r="G124" s="3763"/>
      <c r="H124" s="3753"/>
      <c r="I124" s="3249"/>
      <c r="J124" s="3766"/>
      <c r="K124" s="3768"/>
      <c r="L124" s="3751"/>
      <c r="M124" s="3753"/>
      <c r="N124" s="3755"/>
      <c r="O124" s="3757"/>
      <c r="P124" s="3753"/>
      <c r="Q124" s="2769"/>
      <c r="R124" s="239" t="s">
        <v>2209</v>
      </c>
      <c r="S124" s="2137">
        <v>10968198</v>
      </c>
      <c r="T124" s="2138">
        <v>20</v>
      </c>
      <c r="U124" s="2139" t="s">
        <v>72</v>
      </c>
      <c r="V124" s="3750"/>
      <c r="W124" s="3467"/>
      <c r="X124" s="3467"/>
      <c r="Y124" s="3467"/>
      <c r="Z124" s="3467"/>
      <c r="AA124" s="3467"/>
      <c r="AB124" s="3746"/>
      <c r="AC124" s="3467"/>
      <c r="AD124" s="3467"/>
      <c r="AE124" s="3746"/>
      <c r="AF124" s="3746"/>
      <c r="AG124" s="3746"/>
      <c r="AH124" s="3746"/>
      <c r="AI124" s="3746"/>
      <c r="AJ124" s="3746"/>
      <c r="AK124" s="3467"/>
      <c r="AL124" s="3748"/>
      <c r="AM124" s="3748"/>
      <c r="AN124" s="3249"/>
    </row>
    <row r="125" spans="1:40" ht="71.25" x14ac:dyDescent="0.2">
      <c r="A125" s="2060"/>
      <c r="B125" s="2061"/>
      <c r="C125" s="3759"/>
      <c r="D125" s="3760"/>
      <c r="E125" s="2082"/>
      <c r="F125" s="649"/>
      <c r="G125" s="3763"/>
      <c r="H125" s="3753"/>
      <c r="I125" s="3249"/>
      <c r="J125" s="3766"/>
      <c r="K125" s="3768"/>
      <c r="L125" s="3751"/>
      <c r="M125" s="3753"/>
      <c r="N125" s="3755"/>
      <c r="O125" s="3757"/>
      <c r="P125" s="3753"/>
      <c r="Q125" s="2769"/>
      <c r="R125" s="307" t="s">
        <v>2210</v>
      </c>
      <c r="S125" s="2140">
        <v>500000</v>
      </c>
      <c r="T125" s="2138">
        <v>20</v>
      </c>
      <c r="U125" s="2139" t="s">
        <v>72</v>
      </c>
      <c r="V125" s="3750"/>
      <c r="W125" s="3467"/>
      <c r="X125" s="3467"/>
      <c r="Y125" s="3467"/>
      <c r="Z125" s="3467"/>
      <c r="AA125" s="3467"/>
      <c r="AB125" s="3746"/>
      <c r="AC125" s="3467"/>
      <c r="AD125" s="3467"/>
      <c r="AE125" s="3746"/>
      <c r="AF125" s="3746"/>
      <c r="AG125" s="3746"/>
      <c r="AH125" s="3746"/>
      <c r="AI125" s="3746"/>
      <c r="AJ125" s="3746"/>
      <c r="AK125" s="3467"/>
      <c r="AL125" s="3748"/>
      <c r="AM125" s="3748"/>
      <c r="AN125" s="3249"/>
    </row>
    <row r="126" spans="1:40" ht="57" x14ac:dyDescent="0.2">
      <c r="A126" s="2060"/>
      <c r="B126" s="2061"/>
      <c r="C126" s="3759"/>
      <c r="D126" s="3760"/>
      <c r="E126" s="2082"/>
      <c r="F126" s="649"/>
      <c r="G126" s="3763"/>
      <c r="H126" s="3753"/>
      <c r="I126" s="3249"/>
      <c r="J126" s="3766"/>
      <c r="K126" s="3768"/>
      <c r="L126" s="3751"/>
      <c r="M126" s="3753"/>
      <c r="N126" s="3755"/>
      <c r="O126" s="3757"/>
      <c r="P126" s="3753"/>
      <c r="Q126" s="2769"/>
      <c r="R126" s="307" t="s">
        <v>2211</v>
      </c>
      <c r="S126" s="2140">
        <f>5940000+500000</f>
        <v>6440000</v>
      </c>
      <c r="T126" s="2138">
        <v>20</v>
      </c>
      <c r="U126" s="2139" t="s">
        <v>72</v>
      </c>
      <c r="V126" s="3750"/>
      <c r="W126" s="3467"/>
      <c r="X126" s="3467"/>
      <c r="Y126" s="3467"/>
      <c r="Z126" s="3467"/>
      <c r="AA126" s="3467"/>
      <c r="AB126" s="3746"/>
      <c r="AC126" s="3467"/>
      <c r="AD126" s="3467"/>
      <c r="AE126" s="3746"/>
      <c r="AF126" s="3746"/>
      <c r="AG126" s="3746"/>
      <c r="AH126" s="3746"/>
      <c r="AI126" s="3746"/>
      <c r="AJ126" s="3746"/>
      <c r="AK126" s="3467"/>
      <c r="AL126" s="3748"/>
      <c r="AM126" s="3748"/>
      <c r="AN126" s="3249"/>
    </row>
    <row r="127" spans="1:40" ht="57" x14ac:dyDescent="0.2">
      <c r="A127" s="2060"/>
      <c r="B127" s="2061"/>
      <c r="C127" s="3759"/>
      <c r="D127" s="3760"/>
      <c r="E127" s="2082"/>
      <c r="F127" s="649"/>
      <c r="G127" s="3763"/>
      <c r="H127" s="3753"/>
      <c r="I127" s="3249"/>
      <c r="J127" s="3766"/>
      <c r="K127" s="3768"/>
      <c r="L127" s="3751"/>
      <c r="M127" s="3753"/>
      <c r="N127" s="3755"/>
      <c r="O127" s="3757"/>
      <c r="P127" s="3753"/>
      <c r="Q127" s="2769"/>
      <c r="R127" s="307" t="s">
        <v>2212</v>
      </c>
      <c r="S127" s="2140">
        <f>7920000-500000</f>
        <v>7420000</v>
      </c>
      <c r="T127" s="2138">
        <v>20</v>
      </c>
      <c r="U127" s="2139" t="s">
        <v>72</v>
      </c>
      <c r="V127" s="3750"/>
      <c r="W127" s="3467"/>
      <c r="X127" s="3467"/>
      <c r="Y127" s="3467"/>
      <c r="Z127" s="3467"/>
      <c r="AA127" s="3467"/>
      <c r="AB127" s="3746"/>
      <c r="AC127" s="3467"/>
      <c r="AD127" s="3467"/>
      <c r="AE127" s="3746"/>
      <c r="AF127" s="3746"/>
      <c r="AG127" s="3746"/>
      <c r="AH127" s="3746"/>
      <c r="AI127" s="3746"/>
      <c r="AJ127" s="3746"/>
      <c r="AK127" s="3467"/>
      <c r="AL127" s="3748"/>
      <c r="AM127" s="3748"/>
      <c r="AN127" s="3249"/>
    </row>
    <row r="128" spans="1:40" ht="41.25" customHeight="1" x14ac:dyDescent="0.2">
      <c r="A128" s="2060"/>
      <c r="B128" s="2061"/>
      <c r="C128" s="3759"/>
      <c r="D128" s="3760"/>
      <c r="E128" s="2082"/>
      <c r="F128" s="649"/>
      <c r="G128" s="3763"/>
      <c r="H128" s="3753"/>
      <c r="I128" s="3249"/>
      <c r="J128" s="3766"/>
      <c r="K128" s="3768"/>
      <c r="L128" s="3751"/>
      <c r="M128" s="3753"/>
      <c r="N128" s="3755"/>
      <c r="O128" s="3757"/>
      <c r="P128" s="3753"/>
      <c r="Q128" s="2769"/>
      <c r="R128" s="2141" t="s">
        <v>2213</v>
      </c>
      <c r="S128" s="2137">
        <v>5000000</v>
      </c>
      <c r="T128" s="2138">
        <v>20</v>
      </c>
      <c r="U128" s="2139" t="s">
        <v>72</v>
      </c>
      <c r="V128" s="3750"/>
      <c r="W128" s="3467"/>
      <c r="X128" s="3467"/>
      <c r="Y128" s="3467"/>
      <c r="Z128" s="3467"/>
      <c r="AA128" s="3467"/>
      <c r="AB128" s="3746"/>
      <c r="AC128" s="3467"/>
      <c r="AD128" s="3467"/>
      <c r="AE128" s="3746"/>
      <c r="AF128" s="3746"/>
      <c r="AG128" s="3746"/>
      <c r="AH128" s="3746"/>
      <c r="AI128" s="3746"/>
      <c r="AJ128" s="3746"/>
      <c r="AK128" s="3467"/>
      <c r="AL128" s="3748"/>
      <c r="AM128" s="3748"/>
      <c r="AN128" s="3249"/>
    </row>
    <row r="129" spans="1:43" ht="57" customHeight="1" x14ac:dyDescent="0.2">
      <c r="A129" s="2060"/>
      <c r="B129" s="2061"/>
      <c r="C129" s="3759"/>
      <c r="D129" s="3760"/>
      <c r="E129" s="2082"/>
      <c r="F129" s="649"/>
      <c r="G129" s="3763"/>
      <c r="H129" s="3753"/>
      <c r="I129" s="3249"/>
      <c r="J129" s="3766"/>
      <c r="K129" s="3768"/>
      <c r="L129" s="3751"/>
      <c r="M129" s="3753"/>
      <c r="N129" s="3755"/>
      <c r="O129" s="3757"/>
      <c r="P129" s="3753"/>
      <c r="Q129" s="2769"/>
      <c r="R129" s="2141" t="s">
        <v>2214</v>
      </c>
      <c r="S129" s="2137">
        <v>3500000</v>
      </c>
      <c r="T129" s="2138">
        <v>20</v>
      </c>
      <c r="U129" s="2139" t="s">
        <v>72</v>
      </c>
      <c r="V129" s="3750"/>
      <c r="W129" s="3467"/>
      <c r="X129" s="3467"/>
      <c r="Y129" s="3467"/>
      <c r="Z129" s="3467"/>
      <c r="AA129" s="3467"/>
      <c r="AB129" s="3746"/>
      <c r="AC129" s="3467"/>
      <c r="AD129" s="3467"/>
      <c r="AE129" s="3746"/>
      <c r="AF129" s="3746"/>
      <c r="AG129" s="3746"/>
      <c r="AH129" s="3746"/>
      <c r="AI129" s="3746"/>
      <c r="AJ129" s="3746"/>
      <c r="AK129" s="3467"/>
      <c r="AL129" s="3748"/>
      <c r="AM129" s="3748"/>
      <c r="AN129" s="3249"/>
    </row>
    <row r="130" spans="1:43" ht="72.75" customHeight="1" x14ac:dyDescent="0.2">
      <c r="A130" s="2060"/>
      <c r="B130" s="2061"/>
      <c r="C130" s="3759"/>
      <c r="D130" s="3760"/>
      <c r="E130" s="2082"/>
      <c r="F130" s="649"/>
      <c r="G130" s="2142">
        <v>199</v>
      </c>
      <c r="H130" s="2143" t="s">
        <v>2215</v>
      </c>
      <c r="I130" s="1786" t="s">
        <v>2216</v>
      </c>
      <c r="J130" s="2144">
        <v>4</v>
      </c>
      <c r="K130" s="2145" t="s">
        <v>2217</v>
      </c>
      <c r="L130" s="3751"/>
      <c r="M130" s="3753"/>
      <c r="N130" s="2146">
        <f>+S130/O123</f>
        <v>1.0056806012068655E-2</v>
      </c>
      <c r="O130" s="3757"/>
      <c r="P130" s="3753"/>
      <c r="Q130" s="2769"/>
      <c r="R130" s="1781" t="s">
        <v>2218</v>
      </c>
      <c r="S130" s="2137">
        <v>40000000</v>
      </c>
      <c r="T130" s="2138">
        <v>20</v>
      </c>
      <c r="U130" s="2139" t="s">
        <v>72</v>
      </c>
      <c r="V130" s="3750"/>
      <c r="W130" s="3467"/>
      <c r="X130" s="3467"/>
      <c r="Y130" s="3467"/>
      <c r="Z130" s="3467"/>
      <c r="AA130" s="3467"/>
      <c r="AB130" s="3746"/>
      <c r="AC130" s="3467"/>
      <c r="AD130" s="3467"/>
      <c r="AE130" s="3746"/>
      <c r="AF130" s="3746"/>
      <c r="AG130" s="3746"/>
      <c r="AH130" s="3746"/>
      <c r="AI130" s="3746"/>
      <c r="AJ130" s="3746"/>
      <c r="AK130" s="3467"/>
      <c r="AL130" s="3748"/>
      <c r="AM130" s="3748"/>
      <c r="AN130" s="3249"/>
    </row>
    <row r="131" spans="1:43" ht="28.5" customHeight="1" x14ac:dyDescent="0.2">
      <c r="A131" s="2060"/>
      <c r="B131" s="2061"/>
      <c r="C131" s="3759"/>
      <c r="D131" s="3760"/>
      <c r="E131" s="2082"/>
      <c r="F131" s="649"/>
      <c r="G131" s="3736">
        <v>200</v>
      </c>
      <c r="H131" s="3738" t="s">
        <v>2219</v>
      </c>
      <c r="I131" s="3740" t="s">
        <v>2220</v>
      </c>
      <c r="J131" s="3741">
        <v>12</v>
      </c>
      <c r="K131" s="3742" t="s">
        <v>2221</v>
      </c>
      <c r="L131" s="3751"/>
      <c r="M131" s="3753"/>
      <c r="N131" s="3743">
        <f>+SUM(S131:S132)/O123</f>
        <v>0.29367717068350546</v>
      </c>
      <c r="O131" s="3757"/>
      <c r="P131" s="3753"/>
      <c r="Q131" s="3460" t="s">
        <v>2222</v>
      </c>
      <c r="R131" s="3729" t="s">
        <v>2223</v>
      </c>
      <c r="S131" s="2147">
        <v>1111986335</v>
      </c>
      <c r="T131" s="2148">
        <v>6</v>
      </c>
      <c r="U131" s="2090" t="s">
        <v>2224</v>
      </c>
      <c r="V131" s="3750"/>
      <c r="W131" s="3467"/>
      <c r="X131" s="3467"/>
      <c r="Y131" s="3467"/>
      <c r="Z131" s="3467"/>
      <c r="AA131" s="3467"/>
      <c r="AB131" s="3746"/>
      <c r="AC131" s="3467"/>
      <c r="AD131" s="3467"/>
      <c r="AE131" s="3746"/>
      <c r="AF131" s="3746"/>
      <c r="AG131" s="3746"/>
      <c r="AH131" s="3746"/>
      <c r="AI131" s="3746"/>
      <c r="AJ131" s="3746"/>
      <c r="AK131" s="3467"/>
      <c r="AL131" s="3748"/>
      <c r="AM131" s="3748"/>
      <c r="AN131" s="3249"/>
    </row>
    <row r="132" spans="1:43" ht="27.75" customHeight="1" x14ac:dyDescent="0.2">
      <c r="A132" s="2060"/>
      <c r="B132" s="2061"/>
      <c r="C132" s="3759"/>
      <c r="D132" s="3760"/>
      <c r="E132" s="2082"/>
      <c r="F132" s="649"/>
      <c r="G132" s="3737"/>
      <c r="H132" s="3739"/>
      <c r="I132" s="3740"/>
      <c r="J132" s="3741"/>
      <c r="K132" s="3742"/>
      <c r="L132" s="3751"/>
      <c r="M132" s="3753"/>
      <c r="N132" s="3744"/>
      <c r="O132" s="3757"/>
      <c r="P132" s="3753"/>
      <c r="Q132" s="3461"/>
      <c r="R132" s="3745"/>
      <c r="S132" s="2149">
        <f>0+56086989</f>
        <v>56086989</v>
      </c>
      <c r="T132" s="676">
        <v>84</v>
      </c>
      <c r="U132" s="2150" t="s">
        <v>2225</v>
      </c>
      <c r="V132" s="3750"/>
      <c r="W132" s="3467"/>
      <c r="X132" s="3467"/>
      <c r="Y132" s="3467"/>
      <c r="Z132" s="3467"/>
      <c r="AA132" s="3467"/>
      <c r="AB132" s="3746"/>
      <c r="AC132" s="3467"/>
      <c r="AD132" s="3467"/>
      <c r="AE132" s="3746"/>
      <c r="AF132" s="3746"/>
      <c r="AG132" s="3746"/>
      <c r="AH132" s="3746"/>
      <c r="AI132" s="3746"/>
      <c r="AJ132" s="3746"/>
      <c r="AK132" s="3467"/>
      <c r="AL132" s="3748"/>
      <c r="AM132" s="3748"/>
      <c r="AN132" s="3249"/>
    </row>
    <row r="133" spans="1:43" ht="31.5" customHeight="1" x14ac:dyDescent="0.2">
      <c r="A133" s="2060"/>
      <c r="B133" s="2061"/>
      <c r="C133" s="3759"/>
      <c r="D133" s="3760"/>
      <c r="E133" s="2082"/>
      <c r="F133" s="649"/>
      <c r="G133" s="3736">
        <v>201</v>
      </c>
      <c r="H133" s="3729" t="s">
        <v>2226</v>
      </c>
      <c r="I133" s="2591" t="s">
        <v>2227</v>
      </c>
      <c r="J133" s="3759">
        <v>14</v>
      </c>
      <c r="K133" s="3742"/>
      <c r="L133" s="3751"/>
      <c r="M133" s="3753"/>
      <c r="N133" s="3743">
        <f>+SUM(S133:S134)/O123</f>
        <v>0.68524673117581247</v>
      </c>
      <c r="O133" s="3757"/>
      <c r="P133" s="3753"/>
      <c r="Q133" s="3461"/>
      <c r="R133" s="3729" t="s">
        <v>2228</v>
      </c>
      <c r="S133" s="2151">
        <v>2594634781</v>
      </c>
      <c r="T133" s="2148">
        <v>6</v>
      </c>
      <c r="U133" s="2152" t="s">
        <v>2224</v>
      </c>
      <c r="V133" s="3750"/>
      <c r="W133" s="3467"/>
      <c r="X133" s="3467"/>
      <c r="Y133" s="3467"/>
      <c r="Z133" s="3467"/>
      <c r="AA133" s="3467"/>
      <c r="AB133" s="3746"/>
      <c r="AC133" s="3467"/>
      <c r="AD133" s="3467"/>
      <c r="AE133" s="3746"/>
      <c r="AF133" s="3746"/>
      <c r="AG133" s="3746"/>
      <c r="AH133" s="3746"/>
      <c r="AI133" s="3746"/>
      <c r="AJ133" s="3746"/>
      <c r="AK133" s="3467"/>
      <c r="AL133" s="3748"/>
      <c r="AM133" s="3748"/>
      <c r="AN133" s="3249"/>
    </row>
    <row r="134" spans="1:43" ht="27" customHeight="1" x14ac:dyDescent="0.2">
      <c r="A134" s="2153"/>
      <c r="B134" s="2077"/>
      <c r="C134" s="3761"/>
      <c r="D134" s="3762"/>
      <c r="E134" s="2115"/>
      <c r="F134" s="2131"/>
      <c r="G134" s="3737"/>
      <c r="H134" s="3730"/>
      <c r="I134" s="2555"/>
      <c r="J134" s="3761"/>
      <c r="K134" s="3742"/>
      <c r="L134" s="3752"/>
      <c r="M134" s="3754"/>
      <c r="N134" s="3744"/>
      <c r="O134" s="3758"/>
      <c r="P134" s="3754"/>
      <c r="Q134" s="3469"/>
      <c r="R134" s="3730"/>
      <c r="S134" s="2154">
        <f>0+130869640</f>
        <v>130869640</v>
      </c>
      <c r="T134" s="2155">
        <v>84</v>
      </c>
      <c r="U134" s="2139" t="s">
        <v>2225</v>
      </c>
      <c r="V134" s="3519"/>
      <c r="W134" s="3468"/>
      <c r="X134" s="3468"/>
      <c r="Y134" s="3468"/>
      <c r="Z134" s="3468"/>
      <c r="AA134" s="3468"/>
      <c r="AB134" s="3747"/>
      <c r="AC134" s="3468"/>
      <c r="AD134" s="3468"/>
      <c r="AE134" s="3747"/>
      <c r="AF134" s="3747"/>
      <c r="AG134" s="3747"/>
      <c r="AH134" s="3747"/>
      <c r="AI134" s="3747"/>
      <c r="AJ134" s="3747"/>
      <c r="AK134" s="3468"/>
      <c r="AL134" s="3748"/>
      <c r="AM134" s="3748"/>
      <c r="AN134" s="3250"/>
    </row>
    <row r="135" spans="1:43" s="1099" customFormat="1" ht="15" x14ac:dyDescent="0.25">
      <c r="A135" s="3731" t="s">
        <v>818</v>
      </c>
      <c r="B135" s="3731"/>
      <c r="C135" s="3731"/>
      <c r="D135" s="3731"/>
      <c r="E135" s="3731"/>
      <c r="F135" s="3731"/>
      <c r="G135" s="3731"/>
      <c r="H135" s="3731"/>
      <c r="I135" s="3731"/>
      <c r="J135" s="3731"/>
      <c r="K135" s="3732"/>
      <c r="L135" s="3731"/>
      <c r="M135" s="3731"/>
      <c r="N135" s="3731"/>
      <c r="O135" s="2156">
        <f>SUM(O13:O134)</f>
        <v>6657165943</v>
      </c>
      <c r="P135" s="2157"/>
      <c r="Q135" s="2158"/>
      <c r="R135" s="2158"/>
      <c r="S135" s="2159">
        <f>SUM(S13:S134)</f>
        <v>6657165943</v>
      </c>
      <c r="T135" s="2160"/>
      <c r="U135" s="2161"/>
      <c r="V135" s="2162"/>
      <c r="W135" s="2162"/>
      <c r="X135" s="2162"/>
      <c r="Y135" s="2162"/>
      <c r="Z135" s="2162"/>
      <c r="AA135" s="2162"/>
      <c r="AB135" s="2162"/>
      <c r="AC135" s="2162"/>
      <c r="AD135" s="2162"/>
      <c r="AE135" s="2162"/>
      <c r="AF135" s="2162"/>
      <c r="AG135" s="2162"/>
      <c r="AH135" s="2162"/>
      <c r="AI135" s="2162"/>
      <c r="AJ135" s="2162"/>
      <c r="AK135" s="2162"/>
      <c r="AL135" s="2162"/>
      <c r="AM135" s="2162"/>
      <c r="AN135" s="2158"/>
      <c r="AO135" s="2110"/>
      <c r="AP135" s="2110"/>
      <c r="AQ135" s="2110"/>
    </row>
    <row r="136" spans="1:43" ht="15" x14ac:dyDescent="0.25">
      <c r="A136" s="726"/>
      <c r="B136" s="726"/>
      <c r="C136" s="726"/>
      <c r="D136" s="726"/>
      <c r="E136" s="726"/>
      <c r="F136" s="2163"/>
      <c r="G136" s="2164"/>
      <c r="H136" s="2165"/>
      <c r="I136" s="2166"/>
      <c r="J136" s="726"/>
      <c r="K136" s="726"/>
      <c r="L136" s="726"/>
      <c r="M136" s="2166"/>
      <c r="N136" s="726"/>
      <c r="O136" s="2167"/>
      <c r="P136" s="2165"/>
      <c r="Q136" s="2051"/>
      <c r="R136" s="2051"/>
      <c r="S136" s="2168"/>
      <c r="T136" s="2163"/>
      <c r="U136" s="2169"/>
      <c r="V136" s="726"/>
      <c r="W136" s="726"/>
      <c r="X136" s="726"/>
      <c r="Y136" s="726"/>
      <c r="Z136" s="726"/>
      <c r="AA136" s="726"/>
      <c r="AB136" s="726"/>
      <c r="AC136" s="726"/>
      <c r="AD136" s="726"/>
      <c r="AE136" s="726"/>
      <c r="AF136" s="726"/>
      <c r="AG136" s="726"/>
      <c r="AH136" s="726"/>
      <c r="AI136" s="726"/>
      <c r="AJ136" s="726"/>
      <c r="AN136" s="2051"/>
    </row>
    <row r="137" spans="1:43" ht="45.75" customHeight="1" x14ac:dyDescent="0.2">
      <c r="A137" s="726"/>
      <c r="B137" s="726"/>
      <c r="C137" s="726"/>
      <c r="D137" s="726"/>
      <c r="E137" s="726"/>
      <c r="F137" s="2163"/>
      <c r="G137" s="726"/>
      <c r="H137" s="2527"/>
      <c r="I137" s="2527"/>
      <c r="J137" s="2527"/>
      <c r="K137" s="2527"/>
      <c r="L137" s="2527"/>
      <c r="M137" s="2527"/>
      <c r="N137" s="2527"/>
      <c r="O137" s="2170"/>
      <c r="P137" s="2169"/>
      <c r="Q137" s="2169"/>
      <c r="R137" s="2051"/>
      <c r="S137" s="1097"/>
      <c r="T137" s="2163"/>
      <c r="U137" s="2169"/>
      <c r="V137" s="726"/>
      <c r="W137" s="726"/>
      <c r="X137" s="726"/>
      <c r="Y137" s="726"/>
      <c r="Z137" s="726"/>
      <c r="AA137" s="726"/>
      <c r="AB137" s="726"/>
      <c r="AC137" s="726"/>
      <c r="AD137" s="726"/>
      <c r="AE137" s="726"/>
      <c r="AF137" s="726"/>
      <c r="AG137" s="726"/>
      <c r="AH137" s="726"/>
      <c r="AI137" s="726"/>
      <c r="AJ137" s="726"/>
    </row>
    <row r="138" spans="1:43" ht="15.75" x14ac:dyDescent="0.2">
      <c r="A138" s="726"/>
      <c r="B138" s="726"/>
      <c r="C138" s="726"/>
      <c r="D138" s="726"/>
      <c r="E138" s="726"/>
      <c r="F138" s="2163"/>
      <c r="G138" s="726"/>
      <c r="H138" s="1780"/>
      <c r="I138" s="1780"/>
      <c r="J138" s="1780"/>
      <c r="K138" s="1780"/>
      <c r="L138" s="1780"/>
      <c r="M138" s="1780"/>
      <c r="N138" s="1780"/>
      <c r="O138" s="2170"/>
      <c r="P138" s="2169"/>
      <c r="Q138" s="2169"/>
      <c r="R138" s="2051"/>
      <c r="S138" s="1097"/>
      <c r="T138" s="2163"/>
      <c r="U138" s="2169"/>
      <c r="V138" s="726"/>
      <c r="W138" s="726"/>
      <c r="X138" s="726"/>
      <c r="Y138" s="726"/>
      <c r="Z138" s="726"/>
      <c r="AA138" s="726"/>
      <c r="AB138" s="726"/>
      <c r="AC138" s="726"/>
      <c r="AD138" s="726"/>
      <c r="AE138" s="726"/>
      <c r="AF138" s="726"/>
      <c r="AG138" s="726"/>
      <c r="AH138" s="726"/>
      <c r="AI138" s="726"/>
      <c r="AJ138" s="726"/>
    </row>
    <row r="139" spans="1:43" x14ac:dyDescent="0.2">
      <c r="A139" s="726"/>
      <c r="B139" s="726"/>
      <c r="C139" s="726"/>
      <c r="D139" s="726"/>
      <c r="E139" s="726"/>
      <c r="F139" s="2163"/>
      <c r="G139" s="726"/>
      <c r="H139" s="2169"/>
      <c r="I139" s="2169"/>
      <c r="J139" s="726"/>
      <c r="K139" s="726"/>
      <c r="L139" s="726"/>
      <c r="M139" s="2169"/>
      <c r="N139" s="726"/>
      <c r="O139" s="2170"/>
      <c r="P139" s="2169"/>
      <c r="Q139" s="2169"/>
      <c r="R139" s="2051"/>
      <c r="S139" s="2170"/>
      <c r="T139" s="2163"/>
      <c r="U139" s="2169"/>
      <c r="V139" s="726"/>
      <c r="W139" s="726"/>
      <c r="X139" s="726"/>
      <c r="Y139" s="726"/>
      <c r="Z139" s="726"/>
      <c r="AA139" s="726"/>
      <c r="AB139" s="726"/>
      <c r="AC139" s="726"/>
      <c r="AD139" s="726"/>
      <c r="AE139" s="726"/>
      <c r="AF139" s="726"/>
      <c r="AG139" s="726"/>
      <c r="AH139" s="726"/>
      <c r="AI139" s="726"/>
      <c r="AJ139" s="726"/>
    </row>
    <row r="140" spans="1:43" ht="15" x14ac:dyDescent="0.2">
      <c r="A140" s="3733" t="s">
        <v>2229</v>
      </c>
      <c r="B140" s="3733"/>
      <c r="C140" s="3733"/>
      <c r="D140" s="3733"/>
      <c r="E140" s="3733"/>
      <c r="F140" s="3733"/>
      <c r="G140" s="3733"/>
      <c r="H140" s="3733"/>
      <c r="I140" s="3733"/>
      <c r="J140" s="726"/>
      <c r="K140" s="726"/>
      <c r="L140" s="726"/>
      <c r="M140" s="2169"/>
      <c r="N140" s="726"/>
      <c r="O140" s="2170"/>
      <c r="P140" s="2169"/>
      <c r="Q140" s="2169"/>
      <c r="R140" s="2051"/>
      <c r="S140" s="2170"/>
      <c r="T140" s="2163"/>
      <c r="U140" s="2169"/>
      <c r="V140" s="726"/>
      <c r="W140" s="726"/>
      <c r="X140" s="726"/>
      <c r="Y140" s="726"/>
      <c r="Z140" s="726"/>
      <c r="AA140" s="726"/>
      <c r="AB140" s="726"/>
      <c r="AC140" s="726"/>
      <c r="AD140" s="726"/>
      <c r="AE140" s="726"/>
      <c r="AF140" s="726"/>
      <c r="AG140" s="726"/>
      <c r="AH140" s="726"/>
      <c r="AI140" s="726"/>
      <c r="AJ140" s="726"/>
    </row>
    <row r="141" spans="1:43" ht="15" x14ac:dyDescent="0.25">
      <c r="A141" s="3734" t="s">
        <v>2230</v>
      </c>
      <c r="B141" s="3734"/>
      <c r="C141" s="3734"/>
      <c r="D141" s="3734"/>
      <c r="E141" s="3734"/>
      <c r="F141" s="3734"/>
      <c r="G141" s="3734"/>
      <c r="H141" s="3734"/>
      <c r="I141" s="3734"/>
      <c r="J141" s="726"/>
      <c r="K141" s="726"/>
      <c r="L141" s="726"/>
      <c r="M141" s="2169"/>
      <c r="N141" s="726"/>
      <c r="O141" s="2170"/>
      <c r="P141" s="2169"/>
      <c r="Q141" s="2169"/>
      <c r="R141" s="2051"/>
      <c r="S141" s="2170"/>
      <c r="T141" s="2163"/>
      <c r="U141" s="2169"/>
      <c r="V141" s="726"/>
      <c r="W141" s="726"/>
      <c r="X141" s="726"/>
      <c r="Y141" s="726"/>
      <c r="Z141" s="726"/>
      <c r="AA141" s="726"/>
      <c r="AB141" s="726"/>
      <c r="AC141" s="726"/>
      <c r="AD141" s="726"/>
      <c r="AE141" s="726"/>
      <c r="AF141" s="726"/>
      <c r="AG141" s="726"/>
      <c r="AH141" s="726"/>
      <c r="AI141" s="726"/>
      <c r="AJ141" s="726"/>
    </row>
    <row r="142" spans="1:43" x14ac:dyDescent="0.2">
      <c r="E142" s="726"/>
      <c r="F142" s="2163"/>
      <c r="G142" s="726"/>
      <c r="H142" s="2169"/>
      <c r="I142" s="2169"/>
      <c r="J142" s="726"/>
      <c r="K142" s="726"/>
      <c r="L142" s="726"/>
      <c r="M142" s="2169"/>
      <c r="N142" s="726"/>
      <c r="O142" s="2170"/>
      <c r="P142" s="2169"/>
      <c r="Q142" s="2169"/>
      <c r="R142" s="2051"/>
      <c r="S142" s="2170"/>
      <c r="T142" s="2163"/>
      <c r="U142" s="2169"/>
      <c r="V142" s="726"/>
      <c r="W142" s="726"/>
      <c r="X142" s="726"/>
      <c r="Y142" s="726"/>
      <c r="Z142" s="726"/>
      <c r="AA142" s="726"/>
      <c r="AB142" s="726"/>
      <c r="AC142" s="726"/>
      <c r="AD142" s="726"/>
      <c r="AE142" s="726"/>
      <c r="AF142" s="726"/>
      <c r="AG142" s="726"/>
      <c r="AH142" s="726"/>
      <c r="AI142" s="726"/>
      <c r="AJ142" s="726"/>
    </row>
    <row r="143" spans="1:43" x14ac:dyDescent="0.2">
      <c r="A143" s="726"/>
      <c r="B143" s="726"/>
      <c r="C143" s="726"/>
      <c r="D143" s="726"/>
      <c r="E143" s="726"/>
      <c r="F143" s="2163"/>
      <c r="G143" s="726"/>
      <c r="H143" s="2169"/>
      <c r="I143" s="2169"/>
      <c r="J143" s="726"/>
      <c r="K143" s="726"/>
      <c r="L143" s="726"/>
      <c r="M143" s="2169"/>
      <c r="N143" s="726"/>
      <c r="O143" s="2170"/>
      <c r="P143" s="2169"/>
      <c r="Q143" s="2169"/>
      <c r="R143" s="2051"/>
      <c r="S143" s="2170"/>
      <c r="T143" s="2163"/>
      <c r="U143" s="2169"/>
      <c r="V143" s="726"/>
      <c r="W143" s="726"/>
      <c r="X143" s="726"/>
      <c r="Y143" s="726"/>
      <c r="Z143" s="726"/>
      <c r="AA143" s="726"/>
      <c r="AB143" s="726"/>
      <c r="AC143" s="726"/>
      <c r="AD143" s="726"/>
      <c r="AE143" s="726"/>
      <c r="AF143" s="726"/>
      <c r="AG143" s="726"/>
      <c r="AH143" s="726"/>
      <c r="AI143" s="726"/>
      <c r="AJ143" s="726"/>
    </row>
    <row r="144" spans="1:43" x14ac:dyDescent="0.2">
      <c r="A144" s="3735" t="s">
        <v>2231</v>
      </c>
      <c r="B144" s="3735"/>
      <c r="C144" s="3735"/>
      <c r="D144" s="3735"/>
      <c r="E144" s="3735"/>
      <c r="F144" s="3735"/>
      <c r="G144" s="3735"/>
      <c r="H144" s="3735"/>
      <c r="I144" s="3735"/>
      <c r="J144" s="726"/>
      <c r="K144" s="726"/>
      <c r="L144" s="726"/>
      <c r="M144" s="2169"/>
      <c r="N144" s="726"/>
      <c r="O144" s="2170"/>
      <c r="P144" s="2169"/>
      <c r="Q144" s="2169"/>
      <c r="R144" s="2051"/>
      <c r="S144" s="2170"/>
      <c r="T144" s="2163"/>
      <c r="U144" s="2169"/>
      <c r="V144" s="726"/>
      <c r="W144" s="726"/>
      <c r="X144" s="726"/>
      <c r="Y144" s="726"/>
      <c r="Z144" s="726"/>
      <c r="AA144" s="726"/>
      <c r="AB144" s="726"/>
      <c r="AC144" s="726"/>
      <c r="AD144" s="726"/>
      <c r="AE144" s="726"/>
      <c r="AF144" s="726"/>
      <c r="AG144" s="726"/>
      <c r="AH144" s="726"/>
      <c r="AI144" s="726"/>
      <c r="AJ144" s="726"/>
    </row>
    <row r="145" spans="1:36" x14ac:dyDescent="0.2">
      <c r="A145" s="726"/>
      <c r="B145" s="726"/>
      <c r="C145" s="726"/>
      <c r="D145" s="726"/>
      <c r="E145" s="726"/>
      <c r="F145" s="2163"/>
      <c r="G145" s="726"/>
      <c r="H145" s="2169"/>
      <c r="I145" s="2169"/>
      <c r="J145" s="726"/>
      <c r="K145" s="726"/>
      <c r="L145" s="726"/>
      <c r="M145" s="2169"/>
      <c r="N145" s="726"/>
      <c r="O145" s="2170"/>
      <c r="P145" s="2169"/>
      <c r="Q145" s="2169"/>
      <c r="R145" s="2051"/>
      <c r="S145" s="2170"/>
      <c r="T145" s="2163"/>
      <c r="U145" s="2169"/>
      <c r="V145" s="726"/>
      <c r="W145" s="726"/>
      <c r="X145" s="726"/>
      <c r="Y145" s="726"/>
      <c r="Z145" s="726"/>
      <c r="AA145" s="726"/>
      <c r="AB145" s="726"/>
      <c r="AC145" s="726"/>
      <c r="AD145" s="726"/>
      <c r="AE145" s="726"/>
      <c r="AF145" s="726"/>
      <c r="AG145" s="726"/>
      <c r="AH145" s="726"/>
      <c r="AI145" s="726"/>
      <c r="AJ145" s="726"/>
    </row>
    <row r="146" spans="1:36" x14ac:dyDescent="0.2">
      <c r="A146" s="726"/>
      <c r="B146" s="726"/>
      <c r="C146" s="726"/>
      <c r="D146" s="726"/>
      <c r="E146" s="726"/>
      <c r="F146" s="2163"/>
      <c r="G146" s="726"/>
      <c r="H146" s="2169"/>
      <c r="I146" s="2169"/>
      <c r="J146" s="726"/>
      <c r="K146" s="726"/>
      <c r="L146" s="726"/>
      <c r="M146" s="2169"/>
      <c r="N146" s="726"/>
      <c r="O146" s="2170"/>
      <c r="P146" s="2169"/>
      <c r="Q146" s="2169"/>
      <c r="R146" s="2051"/>
      <c r="S146" s="2170"/>
      <c r="T146" s="2163"/>
      <c r="U146" s="2169"/>
      <c r="V146" s="726"/>
      <c r="W146" s="726"/>
      <c r="X146" s="726"/>
      <c r="Y146" s="726"/>
      <c r="Z146" s="726"/>
      <c r="AA146" s="726"/>
      <c r="AB146" s="726"/>
      <c r="AC146" s="726"/>
      <c r="AD146" s="726"/>
      <c r="AE146" s="726"/>
      <c r="AF146" s="726"/>
      <c r="AG146" s="726"/>
      <c r="AH146" s="726"/>
      <c r="AI146" s="726"/>
      <c r="AJ146" s="726"/>
    </row>
    <row r="147" spans="1:36" x14ac:dyDescent="0.2">
      <c r="A147" s="726"/>
      <c r="B147" s="726"/>
      <c r="C147" s="726"/>
      <c r="D147" s="726"/>
      <c r="E147" s="726"/>
      <c r="F147" s="2163"/>
      <c r="G147" s="726"/>
      <c r="H147" s="2169"/>
      <c r="I147" s="2169"/>
      <c r="J147" s="726"/>
      <c r="K147" s="726"/>
      <c r="L147" s="726"/>
      <c r="M147" s="2169"/>
      <c r="N147" s="726"/>
      <c r="O147" s="2170"/>
      <c r="P147" s="2169"/>
      <c r="Q147" s="2169"/>
      <c r="R147" s="2051"/>
      <c r="S147" s="2170"/>
      <c r="T147" s="2163"/>
      <c r="U147" s="2169"/>
      <c r="V147" s="726"/>
      <c r="W147" s="726"/>
      <c r="X147" s="726"/>
      <c r="Y147" s="726"/>
      <c r="Z147" s="726"/>
      <c r="AA147" s="726"/>
      <c r="AB147" s="726"/>
      <c r="AC147" s="726"/>
      <c r="AD147" s="726"/>
      <c r="AE147" s="726"/>
      <c r="AF147" s="726"/>
      <c r="AG147" s="726"/>
      <c r="AH147" s="726"/>
      <c r="AI147" s="726"/>
      <c r="AJ147" s="726"/>
    </row>
    <row r="148" spans="1:36" x14ac:dyDescent="0.2">
      <c r="A148" s="726"/>
      <c r="B148" s="726"/>
      <c r="C148" s="726"/>
      <c r="D148" s="726"/>
      <c r="E148" s="726"/>
      <c r="F148" s="2163"/>
      <c r="G148" s="726"/>
      <c r="H148" s="2169"/>
      <c r="I148" s="2169"/>
      <c r="J148" s="726"/>
      <c r="K148" s="726"/>
      <c r="L148" s="726"/>
      <c r="M148" s="2169"/>
      <c r="N148" s="726"/>
      <c r="O148" s="2170"/>
      <c r="P148" s="2169"/>
      <c r="Q148" s="2169"/>
      <c r="R148" s="2051"/>
      <c r="S148" s="2170"/>
      <c r="T148" s="2163"/>
      <c r="U148" s="2169"/>
      <c r="V148" s="726"/>
      <c r="W148" s="726"/>
      <c r="X148" s="726"/>
      <c r="Y148" s="726"/>
      <c r="Z148" s="726"/>
      <c r="AA148" s="726"/>
      <c r="AB148" s="726"/>
      <c r="AC148" s="726"/>
      <c r="AD148" s="726"/>
      <c r="AE148" s="726"/>
      <c r="AF148" s="726"/>
      <c r="AG148" s="726"/>
      <c r="AH148" s="726"/>
      <c r="AI148" s="726"/>
      <c r="AJ148" s="726"/>
    </row>
    <row r="149" spans="1:36" x14ac:dyDescent="0.2">
      <c r="A149" s="726"/>
      <c r="B149" s="726"/>
      <c r="C149" s="726"/>
      <c r="D149" s="726"/>
      <c r="E149" s="726"/>
      <c r="F149" s="2163"/>
      <c r="G149" s="726"/>
      <c r="H149" s="2169"/>
      <c r="I149" s="2169"/>
      <c r="J149" s="726"/>
      <c r="K149" s="726"/>
      <c r="L149" s="726"/>
      <c r="M149" s="2169"/>
      <c r="N149" s="726"/>
      <c r="O149" s="2170"/>
      <c r="P149" s="2169"/>
      <c r="Q149" s="2169"/>
      <c r="R149" s="2051"/>
      <c r="S149" s="2170"/>
      <c r="T149" s="2163"/>
      <c r="U149" s="2169"/>
      <c r="V149" s="726"/>
      <c r="W149" s="726"/>
      <c r="X149" s="726"/>
      <c r="Y149" s="726"/>
      <c r="Z149" s="726"/>
      <c r="AA149" s="726"/>
      <c r="AB149" s="726"/>
      <c r="AC149" s="726"/>
      <c r="AD149" s="726"/>
      <c r="AE149" s="726"/>
      <c r="AF149" s="726"/>
      <c r="AG149" s="726"/>
      <c r="AH149" s="726"/>
      <c r="AI149" s="726"/>
      <c r="AJ149" s="726"/>
    </row>
    <row r="150" spans="1:36" x14ac:dyDescent="0.2">
      <c r="A150" s="726"/>
      <c r="B150" s="726"/>
      <c r="C150" s="726"/>
      <c r="D150" s="726"/>
      <c r="E150" s="726"/>
      <c r="F150" s="2163"/>
      <c r="G150" s="726"/>
      <c r="H150" s="2169"/>
      <c r="I150" s="2169"/>
      <c r="J150" s="726"/>
      <c r="K150" s="726"/>
      <c r="L150" s="726"/>
      <c r="M150" s="2169"/>
      <c r="N150" s="726"/>
      <c r="O150" s="2170"/>
      <c r="P150" s="2169"/>
      <c r="Q150" s="2169"/>
      <c r="R150" s="2051"/>
      <c r="S150" s="2170"/>
      <c r="T150" s="2163"/>
      <c r="U150" s="2169"/>
      <c r="V150" s="726"/>
      <c r="W150" s="726"/>
      <c r="X150" s="726"/>
      <c r="Y150" s="726"/>
      <c r="Z150" s="726"/>
      <c r="AA150" s="726"/>
      <c r="AB150" s="726"/>
      <c r="AC150" s="726"/>
      <c r="AD150" s="726"/>
      <c r="AE150" s="726"/>
      <c r="AF150" s="726"/>
      <c r="AG150" s="726"/>
      <c r="AH150" s="726"/>
      <c r="AI150" s="726"/>
      <c r="AJ150" s="726"/>
    </row>
    <row r="151" spans="1:36" x14ac:dyDescent="0.2">
      <c r="A151" s="726"/>
      <c r="B151" s="726"/>
      <c r="C151" s="726"/>
      <c r="D151" s="726"/>
      <c r="E151" s="726"/>
      <c r="F151" s="2163"/>
      <c r="G151" s="726"/>
      <c r="H151" s="2169"/>
      <c r="I151" s="2169"/>
      <c r="J151" s="726"/>
      <c r="K151" s="726"/>
      <c r="L151" s="726"/>
      <c r="M151" s="2169"/>
      <c r="N151" s="726"/>
      <c r="O151" s="2170"/>
      <c r="P151" s="2169"/>
      <c r="Q151" s="2169"/>
      <c r="R151" s="2051"/>
      <c r="S151" s="2170"/>
      <c r="T151" s="2163"/>
      <c r="U151" s="2169"/>
      <c r="V151" s="726"/>
      <c r="W151" s="726"/>
      <c r="X151" s="726"/>
      <c r="Y151" s="726"/>
      <c r="Z151" s="726"/>
      <c r="AA151" s="726"/>
      <c r="AB151" s="726"/>
      <c r="AC151" s="726"/>
      <c r="AD151" s="726"/>
      <c r="AE151" s="726"/>
      <c r="AF151" s="726"/>
      <c r="AG151" s="726"/>
      <c r="AH151" s="726"/>
      <c r="AI151" s="726"/>
      <c r="AJ151" s="726"/>
    </row>
    <row r="152" spans="1:36" x14ac:dyDescent="0.2">
      <c r="A152" s="726"/>
      <c r="B152" s="726"/>
      <c r="C152" s="726"/>
      <c r="D152" s="726"/>
      <c r="E152" s="726"/>
      <c r="F152" s="2163"/>
      <c r="G152" s="726"/>
      <c r="H152" s="2169"/>
      <c r="I152" s="2169"/>
      <c r="J152" s="726"/>
      <c r="K152" s="726"/>
      <c r="L152" s="726"/>
      <c r="M152" s="2169"/>
      <c r="N152" s="726"/>
      <c r="O152" s="2170"/>
      <c r="P152" s="2169"/>
      <c r="Q152" s="2169"/>
      <c r="R152" s="2051"/>
      <c r="S152" s="2170"/>
      <c r="T152" s="2163"/>
      <c r="U152" s="2169"/>
      <c r="V152" s="726"/>
      <c r="W152" s="726"/>
      <c r="X152" s="726"/>
      <c r="Y152" s="726"/>
      <c r="Z152" s="726"/>
      <c r="AA152" s="726"/>
      <c r="AB152" s="726"/>
      <c r="AC152" s="726"/>
      <c r="AD152" s="726"/>
      <c r="AE152" s="726"/>
      <c r="AF152" s="726"/>
      <c r="AG152" s="726"/>
      <c r="AH152" s="726"/>
      <c r="AI152" s="726"/>
      <c r="AJ152" s="726"/>
    </row>
    <row r="153" spans="1:36" x14ac:dyDescent="0.2">
      <c r="A153" s="726"/>
      <c r="B153" s="726"/>
      <c r="C153" s="726"/>
      <c r="D153" s="726"/>
      <c r="E153" s="726"/>
      <c r="F153" s="2163"/>
      <c r="G153" s="726"/>
      <c r="H153" s="2169"/>
      <c r="I153" s="2169"/>
      <c r="J153" s="726"/>
      <c r="K153" s="726"/>
      <c r="L153" s="726"/>
      <c r="M153" s="2169"/>
      <c r="N153" s="726"/>
      <c r="O153" s="2170"/>
      <c r="P153" s="2169"/>
      <c r="Q153" s="2169"/>
      <c r="R153" s="2051"/>
      <c r="S153" s="2170"/>
      <c r="T153" s="2163"/>
      <c r="U153" s="2169"/>
      <c r="V153" s="726"/>
      <c r="W153" s="726"/>
      <c r="X153" s="726"/>
      <c r="Y153" s="726"/>
      <c r="Z153" s="726"/>
      <c r="AA153" s="726"/>
      <c r="AB153" s="726"/>
      <c r="AC153" s="726"/>
      <c r="AD153" s="726"/>
      <c r="AE153" s="726"/>
      <c r="AF153" s="726"/>
      <c r="AG153" s="726"/>
      <c r="AH153" s="726"/>
      <c r="AI153" s="726"/>
      <c r="AJ153" s="726"/>
    </row>
    <row r="154" spans="1:36" x14ac:dyDescent="0.2">
      <c r="A154" s="726"/>
      <c r="B154" s="726"/>
      <c r="C154" s="726"/>
      <c r="D154" s="726"/>
      <c r="E154" s="726"/>
      <c r="F154" s="2163"/>
      <c r="G154" s="726"/>
      <c r="H154" s="2169"/>
      <c r="I154" s="2169"/>
      <c r="J154" s="726"/>
      <c r="K154" s="726"/>
      <c r="L154" s="726"/>
      <c r="M154" s="2169"/>
      <c r="N154" s="726"/>
      <c r="O154" s="2170"/>
      <c r="P154" s="2169"/>
      <c r="Q154" s="2169"/>
      <c r="R154" s="2051"/>
      <c r="S154" s="2170"/>
      <c r="T154" s="2163"/>
      <c r="U154" s="2169"/>
      <c r="V154" s="726"/>
      <c r="W154" s="726"/>
      <c r="X154" s="726"/>
      <c r="Y154" s="726"/>
      <c r="Z154" s="726"/>
      <c r="AA154" s="726"/>
      <c r="AB154" s="726"/>
      <c r="AC154" s="726"/>
      <c r="AD154" s="726"/>
      <c r="AE154" s="726"/>
      <c r="AF154" s="726"/>
      <c r="AG154" s="726"/>
      <c r="AH154" s="726"/>
      <c r="AI154" s="726"/>
      <c r="AJ154" s="726"/>
    </row>
    <row r="155" spans="1:36" x14ac:dyDescent="0.2">
      <c r="A155" s="726"/>
      <c r="B155" s="726"/>
      <c r="C155" s="726"/>
      <c r="D155" s="726"/>
      <c r="E155" s="726"/>
      <c r="F155" s="2163"/>
      <c r="G155" s="726"/>
      <c r="H155" s="2169"/>
      <c r="I155" s="2169"/>
      <c r="J155" s="726"/>
      <c r="K155" s="726"/>
      <c r="L155" s="726"/>
      <c r="M155" s="2169"/>
      <c r="N155" s="726"/>
      <c r="O155" s="2170"/>
      <c r="P155" s="2169"/>
      <c r="Q155" s="2169"/>
      <c r="R155" s="2051"/>
      <c r="S155" s="2170"/>
      <c r="T155" s="2163"/>
      <c r="U155" s="2169"/>
      <c r="V155" s="726"/>
      <c r="W155" s="726"/>
      <c r="X155" s="726"/>
      <c r="Y155" s="726"/>
      <c r="Z155" s="726"/>
      <c r="AA155" s="726"/>
      <c r="AB155" s="726"/>
      <c r="AC155" s="726"/>
      <c r="AD155" s="726"/>
      <c r="AE155" s="726"/>
      <c r="AF155" s="726"/>
      <c r="AG155" s="726"/>
      <c r="AH155" s="726"/>
      <c r="AI155" s="726"/>
      <c r="AJ155" s="726"/>
    </row>
    <row r="156" spans="1:36" x14ac:dyDescent="0.2">
      <c r="A156" s="726"/>
      <c r="B156" s="726"/>
      <c r="C156" s="726"/>
      <c r="D156" s="726"/>
      <c r="E156" s="726"/>
      <c r="F156" s="2163"/>
      <c r="G156" s="726"/>
      <c r="H156" s="2169"/>
      <c r="I156" s="2169"/>
      <c r="J156" s="726"/>
      <c r="K156" s="726"/>
      <c r="L156" s="726"/>
      <c r="M156" s="2169"/>
      <c r="N156" s="726"/>
      <c r="O156" s="2170"/>
      <c r="P156" s="2169"/>
      <c r="Q156" s="2169"/>
      <c r="R156" s="2051"/>
      <c r="S156" s="2170"/>
      <c r="T156" s="2163"/>
      <c r="U156" s="2169"/>
      <c r="V156" s="726"/>
      <c r="W156" s="726"/>
      <c r="X156" s="726"/>
      <c r="Y156" s="726"/>
      <c r="Z156" s="726"/>
      <c r="AA156" s="726"/>
      <c r="AB156" s="726"/>
      <c r="AC156" s="726"/>
      <c r="AD156" s="726"/>
      <c r="AE156" s="726"/>
      <c r="AF156" s="726"/>
      <c r="AG156" s="726"/>
      <c r="AH156" s="726"/>
      <c r="AI156" s="726"/>
      <c r="AJ156" s="726"/>
    </row>
    <row r="157" spans="1:36" x14ac:dyDescent="0.2">
      <c r="A157" s="726"/>
      <c r="B157" s="726"/>
      <c r="C157" s="726"/>
      <c r="D157" s="726"/>
      <c r="E157" s="726"/>
      <c r="F157" s="2163"/>
      <c r="G157" s="726"/>
      <c r="H157" s="2169"/>
      <c r="I157" s="2169"/>
      <c r="J157" s="726"/>
      <c r="K157" s="726"/>
      <c r="L157" s="726"/>
      <c r="M157" s="2169"/>
      <c r="N157" s="726"/>
      <c r="O157" s="2170"/>
      <c r="P157" s="2169"/>
      <c r="Q157" s="2169"/>
      <c r="R157" s="2051"/>
      <c r="S157" s="2170"/>
      <c r="T157" s="2163"/>
      <c r="U157" s="2169"/>
      <c r="V157" s="726"/>
      <c r="W157" s="726"/>
      <c r="X157" s="726"/>
      <c r="Y157" s="726"/>
      <c r="Z157" s="726"/>
      <c r="AA157" s="726"/>
      <c r="AB157" s="726"/>
      <c r="AC157" s="726"/>
      <c r="AD157" s="726"/>
      <c r="AE157" s="726"/>
      <c r="AF157" s="726"/>
      <c r="AG157" s="726"/>
      <c r="AH157" s="726"/>
      <c r="AI157" s="726"/>
      <c r="AJ157" s="726"/>
    </row>
    <row r="158" spans="1:36" x14ac:dyDescent="0.2">
      <c r="A158" s="726"/>
      <c r="B158" s="726"/>
      <c r="C158" s="726"/>
      <c r="D158" s="726"/>
      <c r="E158" s="726"/>
      <c r="F158" s="2163"/>
      <c r="G158" s="726"/>
      <c r="H158" s="2169"/>
      <c r="I158" s="2169"/>
      <c r="J158" s="726"/>
      <c r="K158" s="726"/>
      <c r="L158" s="726"/>
      <c r="M158" s="2169"/>
      <c r="N158" s="726"/>
      <c r="O158" s="2170"/>
      <c r="P158" s="2169"/>
      <c r="Q158" s="2169"/>
    </row>
    <row r="159" spans="1:36" x14ac:dyDescent="0.2">
      <c r="A159" s="726"/>
      <c r="B159" s="726"/>
      <c r="C159" s="726"/>
      <c r="D159" s="726"/>
      <c r="E159" s="726"/>
      <c r="F159" s="2163"/>
      <c r="G159" s="726"/>
      <c r="H159" s="2169"/>
      <c r="I159" s="2169"/>
      <c r="J159" s="726"/>
      <c r="K159" s="726"/>
      <c r="L159" s="726"/>
      <c r="M159" s="2169"/>
      <c r="N159" s="726"/>
      <c r="O159" s="2170"/>
      <c r="P159" s="2169"/>
      <c r="Q159" s="2169"/>
    </row>
  </sheetData>
  <sheetProtection password="A60F" sheet="1" objects="1" scenarios="1"/>
  <mergeCells count="475">
    <mergeCell ref="A1:AL4"/>
    <mergeCell ref="A5:J6"/>
    <mergeCell ref="M5:AN5"/>
    <mergeCell ref="M6:U6"/>
    <mergeCell ref="V6:AK6"/>
    <mergeCell ref="AL6:AN6"/>
    <mergeCell ref="I7:I9"/>
    <mergeCell ref="J7:J9"/>
    <mergeCell ref="K7:K9"/>
    <mergeCell ref="L7:L9"/>
    <mergeCell ref="A7:A9"/>
    <mergeCell ref="B7:B9"/>
    <mergeCell ref="C7:C9"/>
    <mergeCell ref="D7:D9"/>
    <mergeCell ref="E7:E9"/>
    <mergeCell ref="F7:F9"/>
    <mergeCell ref="AH7:AJ8"/>
    <mergeCell ref="AK7:AK9"/>
    <mergeCell ref="AL7:AL9"/>
    <mergeCell ref="AM7:AM9"/>
    <mergeCell ref="AN7:AN9"/>
    <mergeCell ref="X7:AA8"/>
    <mergeCell ref="AB7:AG8"/>
    <mergeCell ref="E13:F20"/>
    <mergeCell ref="G13:G16"/>
    <mergeCell ref="H13:H16"/>
    <mergeCell ref="I13:I16"/>
    <mergeCell ref="J13:J16"/>
    <mergeCell ref="S7:S9"/>
    <mergeCell ref="T7:T9"/>
    <mergeCell ref="U7:U9"/>
    <mergeCell ref="V7:W8"/>
    <mergeCell ref="M7:M9"/>
    <mergeCell ref="N7:N9"/>
    <mergeCell ref="O7:O9"/>
    <mergeCell ref="P7:P9"/>
    <mergeCell ref="Q7:Q9"/>
    <mergeCell ref="R7:R9"/>
    <mergeCell ref="G7:G9"/>
    <mergeCell ref="H7:H9"/>
    <mergeCell ref="AE13:AE20"/>
    <mergeCell ref="AF13:AF20"/>
    <mergeCell ref="Q13:Q16"/>
    <mergeCell ref="V13:V20"/>
    <mergeCell ref="W13:W20"/>
    <mergeCell ref="X13:X20"/>
    <mergeCell ref="Y13:Y20"/>
    <mergeCell ref="Z13:Z20"/>
    <mergeCell ref="K13:K20"/>
    <mergeCell ref="L13:L20"/>
    <mergeCell ref="M13:M20"/>
    <mergeCell ref="N13:N16"/>
    <mergeCell ref="O13:O20"/>
    <mergeCell ref="P13:P20"/>
    <mergeCell ref="G23:G29"/>
    <mergeCell ref="H23:H29"/>
    <mergeCell ref="I23:I29"/>
    <mergeCell ref="J23:J29"/>
    <mergeCell ref="K23:K29"/>
    <mergeCell ref="L23:L29"/>
    <mergeCell ref="AM13:AM20"/>
    <mergeCell ref="AN13:AN20"/>
    <mergeCell ref="G17:G20"/>
    <mergeCell ref="H17:H20"/>
    <mergeCell ref="I17:I20"/>
    <mergeCell ref="J17:J20"/>
    <mergeCell ref="N17:N20"/>
    <mergeCell ref="Q17:Q20"/>
    <mergeCell ref="AG13:AG20"/>
    <mergeCell ref="AH13:AH20"/>
    <mergeCell ref="AI13:AI20"/>
    <mergeCell ref="AJ13:AJ20"/>
    <mergeCell ref="AK13:AK20"/>
    <mergeCell ref="AL13:AL20"/>
    <mergeCell ref="AA13:AA20"/>
    <mergeCell ref="AB13:AB20"/>
    <mergeCell ref="AC13:AC20"/>
    <mergeCell ref="AD13:AD20"/>
    <mergeCell ref="W23:W29"/>
    <mergeCell ref="X23:X29"/>
    <mergeCell ref="Y23:Y29"/>
    <mergeCell ref="Z23:Z29"/>
    <mergeCell ref="AA23:AA29"/>
    <mergeCell ref="AB23:AB29"/>
    <mergeCell ref="M23:M29"/>
    <mergeCell ref="N23:N29"/>
    <mergeCell ref="O23:O29"/>
    <mergeCell ref="P23:P29"/>
    <mergeCell ref="Q23:Q27"/>
    <mergeCell ref="V23:V29"/>
    <mergeCell ref="Q28:Q29"/>
    <mergeCell ref="AI23:AI29"/>
    <mergeCell ref="AJ23:AJ29"/>
    <mergeCell ref="AK23:AK29"/>
    <mergeCell ref="AL23:AL29"/>
    <mergeCell ref="AM23:AM29"/>
    <mergeCell ref="AN23:AN29"/>
    <mergeCell ref="AC23:AC29"/>
    <mergeCell ref="AD23:AD29"/>
    <mergeCell ref="AE23:AE29"/>
    <mergeCell ref="AF23:AF29"/>
    <mergeCell ref="AG23:AG29"/>
    <mergeCell ref="AH23:AH29"/>
    <mergeCell ref="AL31:AL43"/>
    <mergeCell ref="AM31:AM43"/>
    <mergeCell ref="AN31:AN43"/>
    <mergeCell ref="AC31:AC43"/>
    <mergeCell ref="AD31:AD43"/>
    <mergeCell ref="AE31:AE43"/>
    <mergeCell ref="AF31:AF43"/>
    <mergeCell ref="AG31:AG43"/>
    <mergeCell ref="AH31:AH43"/>
    <mergeCell ref="AI31:AI43"/>
    <mergeCell ref="AJ31:AJ43"/>
    <mergeCell ref="AK31:AK43"/>
    <mergeCell ref="W31:W43"/>
    <mergeCell ref="X31:X43"/>
    <mergeCell ref="Y31:Y43"/>
    <mergeCell ref="Z31:Z43"/>
    <mergeCell ref="AA31:AA43"/>
    <mergeCell ref="AB31:AB43"/>
    <mergeCell ref="M31:M43"/>
    <mergeCell ref="N31:N37"/>
    <mergeCell ref="O31:O43"/>
    <mergeCell ref="P31:P43"/>
    <mergeCell ref="Q31:Q37"/>
    <mergeCell ref="V31:V43"/>
    <mergeCell ref="N38:N40"/>
    <mergeCell ref="Q38:Q40"/>
    <mergeCell ref="G31:G37"/>
    <mergeCell ref="N41:N43"/>
    <mergeCell ref="Q41:Q43"/>
    <mergeCell ref="H31:H37"/>
    <mergeCell ref="I31:I37"/>
    <mergeCell ref="J31:J37"/>
    <mergeCell ref="K31:K43"/>
    <mergeCell ref="L31:L43"/>
    <mergeCell ref="G38:G40"/>
    <mergeCell ref="H38:H40"/>
    <mergeCell ref="I38:I40"/>
    <mergeCell ref="J38:J40"/>
    <mergeCell ref="G41:G43"/>
    <mergeCell ref="H41:H43"/>
    <mergeCell ref="I41:I43"/>
    <mergeCell ref="J41:J43"/>
    <mergeCell ref="M45:M56"/>
    <mergeCell ref="N45:N50"/>
    <mergeCell ref="O45:O56"/>
    <mergeCell ref="P45:P56"/>
    <mergeCell ref="Q45:Q50"/>
    <mergeCell ref="V45:V56"/>
    <mergeCell ref="N51:N53"/>
    <mergeCell ref="Q51:Q53"/>
    <mergeCell ref="G45:G50"/>
    <mergeCell ref="H45:H50"/>
    <mergeCell ref="I45:I50"/>
    <mergeCell ref="J45:J50"/>
    <mergeCell ref="K45:K56"/>
    <mergeCell ref="L45:L56"/>
    <mergeCell ref="G51:G53"/>
    <mergeCell ref="H51:H53"/>
    <mergeCell ref="I51:I53"/>
    <mergeCell ref="J51:J53"/>
    <mergeCell ref="N54:N56"/>
    <mergeCell ref="Q54:Q56"/>
    <mergeCell ref="W45:W56"/>
    <mergeCell ref="X45:X56"/>
    <mergeCell ref="Y45:Y56"/>
    <mergeCell ref="Z45:Z56"/>
    <mergeCell ref="AA45:AA56"/>
    <mergeCell ref="AB45:AB56"/>
    <mergeCell ref="W58:W74"/>
    <mergeCell ref="X58:X74"/>
    <mergeCell ref="Y58:Y74"/>
    <mergeCell ref="Z58:Z74"/>
    <mergeCell ref="AI45:AI56"/>
    <mergeCell ref="AJ45:AJ56"/>
    <mergeCell ref="AK45:AK56"/>
    <mergeCell ref="AL45:AL56"/>
    <mergeCell ref="AM45:AM56"/>
    <mergeCell ref="AN45:AN56"/>
    <mergeCell ref="AC45:AC56"/>
    <mergeCell ref="AD45:AD56"/>
    <mergeCell ref="AE45:AE56"/>
    <mergeCell ref="AF45:AF56"/>
    <mergeCell ref="AG45:AG56"/>
    <mergeCell ref="AH45:AH56"/>
    <mergeCell ref="G58:G74"/>
    <mergeCell ref="H58:H74"/>
    <mergeCell ref="I58:I74"/>
    <mergeCell ref="J58:J74"/>
    <mergeCell ref="K58:K74"/>
    <mergeCell ref="L58:L74"/>
    <mergeCell ref="G54:G56"/>
    <mergeCell ref="H54:H56"/>
    <mergeCell ref="I54:I56"/>
    <mergeCell ref="J54:J56"/>
    <mergeCell ref="M58:M74"/>
    <mergeCell ref="AM58:AM74"/>
    <mergeCell ref="AN58:AN74"/>
    <mergeCell ref="AC58:AC74"/>
    <mergeCell ref="AD58:AD74"/>
    <mergeCell ref="AE58:AE74"/>
    <mergeCell ref="AF58:AF74"/>
    <mergeCell ref="AG58:AG74"/>
    <mergeCell ref="AH58:AH74"/>
    <mergeCell ref="N58:N74"/>
    <mergeCell ref="AL58:AL74"/>
    <mergeCell ref="AN77:AN93"/>
    <mergeCell ref="O58:O74"/>
    <mergeCell ref="P58:P74"/>
    <mergeCell ref="Q58:Q61"/>
    <mergeCell ref="V58:V74"/>
    <mergeCell ref="Q62:Q74"/>
    <mergeCell ref="AI58:AI74"/>
    <mergeCell ref="AJ58:AJ74"/>
    <mergeCell ref="AK58:AK74"/>
    <mergeCell ref="AJ77:AJ93"/>
    <mergeCell ref="AK77:AK93"/>
    <mergeCell ref="AL77:AL93"/>
    <mergeCell ref="Q88:Q93"/>
    <mergeCell ref="AD77:AD93"/>
    <mergeCell ref="AE77:AE93"/>
    <mergeCell ref="AF77:AF93"/>
    <mergeCell ref="AG77:AG93"/>
    <mergeCell ref="AA58:AA74"/>
    <mergeCell ref="AB58:AB74"/>
    <mergeCell ref="K94:K97"/>
    <mergeCell ref="L94:L97"/>
    <mergeCell ref="M77:M93"/>
    <mergeCell ref="N77:N93"/>
    <mergeCell ref="O77:O93"/>
    <mergeCell ref="P77:P93"/>
    <mergeCell ref="Q77:Q87"/>
    <mergeCell ref="V77:W93"/>
    <mergeCell ref="AM77:AM93"/>
    <mergeCell ref="G77:G93"/>
    <mergeCell ref="H77:H93"/>
    <mergeCell ref="I77:I93"/>
    <mergeCell ref="J77:J93"/>
    <mergeCell ref="K77:K93"/>
    <mergeCell ref="L77:L93"/>
    <mergeCell ref="AL94:AL97"/>
    <mergeCell ref="AM94:AM97"/>
    <mergeCell ref="AN94:AN97"/>
    <mergeCell ref="AC94:AC97"/>
    <mergeCell ref="AD94:AD97"/>
    <mergeCell ref="AE94:AE97"/>
    <mergeCell ref="AF94:AF97"/>
    <mergeCell ref="AG94:AG97"/>
    <mergeCell ref="AH94:AH97"/>
    <mergeCell ref="AH77:AH93"/>
    <mergeCell ref="AI77:AI93"/>
    <mergeCell ref="X77:X93"/>
    <mergeCell ref="Y77:Y93"/>
    <mergeCell ref="Z77:Z93"/>
    <mergeCell ref="AA77:AA93"/>
    <mergeCell ref="AB77:AB93"/>
    <mergeCell ref="AC77:AC93"/>
    <mergeCell ref="J94:J97"/>
    <mergeCell ref="G99:G101"/>
    <mergeCell ref="H99:H101"/>
    <mergeCell ref="I99:I101"/>
    <mergeCell ref="J99:J101"/>
    <mergeCell ref="K99:K101"/>
    <mergeCell ref="L99:L101"/>
    <mergeCell ref="AI94:AI97"/>
    <mergeCell ref="AJ94:AJ97"/>
    <mergeCell ref="AK94:AK97"/>
    <mergeCell ref="W94:W97"/>
    <mergeCell ref="X94:X97"/>
    <mergeCell ref="Y94:Y97"/>
    <mergeCell ref="Z94:Z97"/>
    <mergeCell ref="AA94:AA97"/>
    <mergeCell ref="AB94:AB97"/>
    <mergeCell ref="M94:M97"/>
    <mergeCell ref="N94:N97"/>
    <mergeCell ref="O94:O97"/>
    <mergeCell ref="P94:P97"/>
    <mergeCell ref="Q94:Q97"/>
    <mergeCell ref="V94:V97"/>
    <mergeCell ref="G94:G97"/>
    <mergeCell ref="H94:H97"/>
    <mergeCell ref="I94:I97"/>
    <mergeCell ref="J102:J103"/>
    <mergeCell ref="K102:K103"/>
    <mergeCell ref="AD99:AD101"/>
    <mergeCell ref="AE99:AE101"/>
    <mergeCell ref="AF99:AF101"/>
    <mergeCell ref="AG99:AG101"/>
    <mergeCell ref="X99:X101"/>
    <mergeCell ref="Y99:Y101"/>
    <mergeCell ref="Z99:Z101"/>
    <mergeCell ref="AA99:AA101"/>
    <mergeCell ref="AB99:AB101"/>
    <mergeCell ref="AC99:AC101"/>
    <mergeCell ref="M99:M101"/>
    <mergeCell ref="N99:N101"/>
    <mergeCell ref="O99:O101"/>
    <mergeCell ref="P99:P101"/>
    <mergeCell ref="Q99:Q100"/>
    <mergeCell ref="V99:W101"/>
    <mergeCell ref="AJ99:AJ101"/>
    <mergeCell ref="AK99:AK101"/>
    <mergeCell ref="AL99:AL101"/>
    <mergeCell ref="AM99:AM101"/>
    <mergeCell ref="AN99:AN101"/>
    <mergeCell ref="AH99:AH101"/>
    <mergeCell ref="AI99:AI101"/>
    <mergeCell ref="AJ102:AJ103"/>
    <mergeCell ref="AK102:AK103"/>
    <mergeCell ref="AL102:AL103"/>
    <mergeCell ref="AM102:AM103"/>
    <mergeCell ref="AN102:AN103"/>
    <mergeCell ref="AH102:AH103"/>
    <mergeCell ref="AI102:AI103"/>
    <mergeCell ref="G105:G107"/>
    <mergeCell ref="H105:H107"/>
    <mergeCell ref="I105:I107"/>
    <mergeCell ref="J105:J107"/>
    <mergeCell ref="K105:K107"/>
    <mergeCell ref="AD102:AD103"/>
    <mergeCell ref="AE102:AE103"/>
    <mergeCell ref="AF102:AF103"/>
    <mergeCell ref="AG102:AG103"/>
    <mergeCell ref="X102:X103"/>
    <mergeCell ref="Y102:Y103"/>
    <mergeCell ref="Z102:Z103"/>
    <mergeCell ref="AA102:AA103"/>
    <mergeCell ref="AB102:AB103"/>
    <mergeCell ref="AC102:AC103"/>
    <mergeCell ref="L102:L103"/>
    <mergeCell ref="M102:M103"/>
    <mergeCell ref="N102:N103"/>
    <mergeCell ref="O102:O103"/>
    <mergeCell ref="P102:P103"/>
    <mergeCell ref="V102:W103"/>
    <mergeCell ref="G102:G103"/>
    <mergeCell ref="H102:H103"/>
    <mergeCell ref="I102:I103"/>
    <mergeCell ref="AL105:AL107"/>
    <mergeCell ref="AM105:AM107"/>
    <mergeCell ref="AN105:AN107"/>
    <mergeCell ref="AC105:AC107"/>
    <mergeCell ref="AD105:AD107"/>
    <mergeCell ref="AE105:AE107"/>
    <mergeCell ref="AF105:AF107"/>
    <mergeCell ref="AG105:AG107"/>
    <mergeCell ref="AH105:AH107"/>
    <mergeCell ref="G109:G112"/>
    <mergeCell ref="H109:H112"/>
    <mergeCell ref="I109:I112"/>
    <mergeCell ref="J109:J112"/>
    <mergeCell ref="K109:K112"/>
    <mergeCell ref="L109:L112"/>
    <mergeCell ref="AI105:AI107"/>
    <mergeCell ref="AJ105:AJ107"/>
    <mergeCell ref="AK105:AK107"/>
    <mergeCell ref="V105:W107"/>
    <mergeCell ref="X105:X107"/>
    <mergeCell ref="Y105:Y107"/>
    <mergeCell ref="Z105:Z107"/>
    <mergeCell ref="AA105:AA107"/>
    <mergeCell ref="AB105:AB107"/>
    <mergeCell ref="L105:L107"/>
    <mergeCell ref="M105:M107"/>
    <mergeCell ref="N105:N107"/>
    <mergeCell ref="O105:O107"/>
    <mergeCell ref="P105:P107"/>
    <mergeCell ref="Q105:Q106"/>
    <mergeCell ref="W109:W112"/>
    <mergeCell ref="X109:X112"/>
    <mergeCell ref="Y109:Y112"/>
    <mergeCell ref="Z109:Z112"/>
    <mergeCell ref="AA109:AA112"/>
    <mergeCell ref="AB109:AB112"/>
    <mergeCell ref="M109:M112"/>
    <mergeCell ref="N109:N112"/>
    <mergeCell ref="O109:O112"/>
    <mergeCell ref="P109:P112"/>
    <mergeCell ref="Q109:Q110"/>
    <mergeCell ref="V109:V112"/>
    <mergeCell ref="Q111:Q112"/>
    <mergeCell ref="AI109:AI112"/>
    <mergeCell ref="AJ109:AJ112"/>
    <mergeCell ref="AK109:AK112"/>
    <mergeCell ref="AL109:AL112"/>
    <mergeCell ref="AM109:AM112"/>
    <mergeCell ref="AN109:AN112"/>
    <mergeCell ref="AC109:AC112"/>
    <mergeCell ref="AD109:AD112"/>
    <mergeCell ref="AE109:AE112"/>
    <mergeCell ref="AF109:AF112"/>
    <mergeCell ref="AG109:AG112"/>
    <mergeCell ref="AH109:AH112"/>
    <mergeCell ref="N114:N120"/>
    <mergeCell ref="O114:O120"/>
    <mergeCell ref="P114:P120"/>
    <mergeCell ref="Q114:Q116"/>
    <mergeCell ref="V114:V120"/>
    <mergeCell ref="W114:W120"/>
    <mergeCell ref="G114:G120"/>
    <mergeCell ref="H114:H120"/>
    <mergeCell ref="I114:I120"/>
    <mergeCell ref="J114:J120"/>
    <mergeCell ref="L114:L120"/>
    <mergeCell ref="M114:M120"/>
    <mergeCell ref="AJ114:AJ120"/>
    <mergeCell ref="AK114:AK120"/>
    <mergeCell ref="AL114:AL120"/>
    <mergeCell ref="AM114:AM120"/>
    <mergeCell ref="AN114:AN120"/>
    <mergeCell ref="Q117:Q120"/>
    <mergeCell ref="AD114:AD120"/>
    <mergeCell ref="AE114:AE120"/>
    <mergeCell ref="AF114:AF120"/>
    <mergeCell ref="AG114:AG120"/>
    <mergeCell ref="AH114:AH120"/>
    <mergeCell ref="AI114:AI120"/>
    <mergeCell ref="X114:X120"/>
    <mergeCell ref="Y114:Y120"/>
    <mergeCell ref="Z114:Z120"/>
    <mergeCell ref="AA114:AA120"/>
    <mergeCell ref="AB114:AB120"/>
    <mergeCell ref="AC114:AC120"/>
    <mergeCell ref="L123:L134"/>
    <mergeCell ref="M123:M134"/>
    <mergeCell ref="N123:N129"/>
    <mergeCell ref="O123:O134"/>
    <mergeCell ref="P123:P134"/>
    <mergeCell ref="Q123:Q130"/>
    <mergeCell ref="N133:N134"/>
    <mergeCell ref="C122:D134"/>
    <mergeCell ref="G123:G129"/>
    <mergeCell ref="H123:H129"/>
    <mergeCell ref="I123:I129"/>
    <mergeCell ref="J123:J129"/>
    <mergeCell ref="K123:K129"/>
    <mergeCell ref="H133:H134"/>
    <mergeCell ref="I133:I134"/>
    <mergeCell ref="J133:J134"/>
    <mergeCell ref="AD123:AD134"/>
    <mergeCell ref="AE123:AE134"/>
    <mergeCell ref="AF123:AF134"/>
    <mergeCell ref="AG123:AG134"/>
    <mergeCell ref="V123:V134"/>
    <mergeCell ref="W123:W134"/>
    <mergeCell ref="X123:X134"/>
    <mergeCell ref="Y123:Y134"/>
    <mergeCell ref="Z123:Z134"/>
    <mergeCell ref="AA123:AA134"/>
    <mergeCell ref="R133:R134"/>
    <mergeCell ref="A135:N135"/>
    <mergeCell ref="H137:N137"/>
    <mergeCell ref="A140:I140"/>
    <mergeCell ref="A141:I141"/>
    <mergeCell ref="A144:I144"/>
    <mergeCell ref="AN123:AN134"/>
    <mergeCell ref="G131:G132"/>
    <mergeCell ref="H131:H132"/>
    <mergeCell ref="I131:I132"/>
    <mergeCell ref="J131:J132"/>
    <mergeCell ref="K131:K134"/>
    <mergeCell ref="N131:N132"/>
    <mergeCell ref="Q131:Q134"/>
    <mergeCell ref="R131:R132"/>
    <mergeCell ref="G133:G134"/>
    <mergeCell ref="AH123:AH134"/>
    <mergeCell ref="AI123:AI134"/>
    <mergeCell ref="AJ123:AJ134"/>
    <mergeCell ref="AK123:AK134"/>
    <mergeCell ref="AL123:AL134"/>
    <mergeCell ref="AM123:AM134"/>
    <mergeCell ref="AB123:AB134"/>
    <mergeCell ref="AC123:AC134"/>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
  <sheetViews>
    <sheetView showGridLines="0" zoomScale="60" zoomScaleNormal="60" workbookViewId="0">
      <selection sqref="A1:AO4"/>
    </sheetView>
  </sheetViews>
  <sheetFormatPr baseColWidth="10" defaultColWidth="11.42578125" defaultRowHeight="14.25" x14ac:dyDescent="0.2"/>
  <cols>
    <col min="1" max="1" width="16.85546875" style="638" customWidth="1"/>
    <col min="2" max="2" width="14.5703125" style="638" customWidth="1"/>
    <col min="3" max="3" width="21.140625" style="638" customWidth="1"/>
    <col min="4" max="4" width="20" style="638" customWidth="1"/>
    <col min="5" max="5" width="12.85546875" style="638" customWidth="1"/>
    <col min="6" max="6" width="16.7109375" style="638" customWidth="1"/>
    <col min="7" max="8" width="15" style="638" customWidth="1"/>
    <col min="9" max="9" width="18.28515625" style="638" customWidth="1"/>
    <col min="10" max="10" width="16" style="638" customWidth="1"/>
    <col min="11" max="11" width="35.140625" style="638" customWidth="1"/>
    <col min="12" max="12" width="26.28515625" style="638" customWidth="1"/>
    <col min="13" max="13" width="24.5703125" style="638" customWidth="1"/>
    <col min="14" max="14" width="40.28515625" style="638" customWidth="1"/>
    <col min="15" max="15" width="21.7109375" style="638" customWidth="1"/>
    <col min="16" max="16" width="33.140625" style="638" customWidth="1"/>
    <col min="17" max="17" width="20.7109375" style="638" customWidth="1"/>
    <col min="18" max="18" width="23.28515625" style="638" customWidth="1"/>
    <col min="19" max="19" width="27.42578125" style="638" customWidth="1"/>
    <col min="20" max="20" width="27.7109375" style="638" customWidth="1"/>
    <col min="21" max="21" width="46.140625" style="638" customWidth="1"/>
    <col min="22" max="22" width="23.85546875" style="638" customWidth="1"/>
    <col min="23" max="23" width="15.7109375" style="638" customWidth="1"/>
    <col min="24" max="24" width="21.5703125" style="638" customWidth="1"/>
    <col min="25" max="40" width="10.7109375" style="638" customWidth="1"/>
    <col min="41" max="41" width="18.42578125" style="638" customWidth="1"/>
    <col min="42" max="42" width="21.42578125" style="638" customWidth="1"/>
    <col min="43" max="43" width="24.42578125" style="638" customWidth="1"/>
    <col min="44" max="56" width="14.85546875" style="638" customWidth="1"/>
    <col min="57" max="16384" width="11.42578125" style="638"/>
  </cols>
  <sheetData>
    <row r="1" spans="1:43" ht="26.25" customHeight="1" x14ac:dyDescent="0.2">
      <c r="A1" s="2853" t="s">
        <v>505</v>
      </c>
      <c r="B1" s="2778"/>
      <c r="C1" s="2778"/>
      <c r="D1" s="2778"/>
      <c r="E1" s="2778"/>
      <c r="F1" s="2778"/>
      <c r="G1" s="2778"/>
      <c r="H1" s="2778"/>
      <c r="I1" s="2778"/>
      <c r="J1" s="2778"/>
      <c r="K1" s="2778"/>
      <c r="L1" s="2778"/>
      <c r="M1" s="2778"/>
      <c r="N1" s="2778"/>
      <c r="O1" s="2778"/>
      <c r="P1" s="2778"/>
      <c r="Q1" s="2778"/>
      <c r="R1" s="2778"/>
      <c r="S1" s="2778"/>
      <c r="T1" s="2778"/>
      <c r="U1" s="2778"/>
      <c r="V1" s="2778"/>
      <c r="W1" s="2778"/>
      <c r="X1" s="2778"/>
      <c r="Y1" s="2778"/>
      <c r="Z1" s="2778"/>
      <c r="AA1" s="2778"/>
      <c r="AB1" s="2778"/>
      <c r="AC1" s="2778"/>
      <c r="AD1" s="2778"/>
      <c r="AE1" s="2778"/>
      <c r="AF1" s="2778"/>
      <c r="AG1" s="2778"/>
      <c r="AH1" s="2778"/>
      <c r="AI1" s="2778"/>
      <c r="AJ1" s="2778"/>
      <c r="AK1" s="2778"/>
      <c r="AL1" s="2778"/>
      <c r="AM1" s="2778"/>
      <c r="AN1" s="2778"/>
      <c r="AO1" s="2778"/>
      <c r="AP1" s="719" t="s">
        <v>0</v>
      </c>
      <c r="AQ1" s="720" t="s">
        <v>1</v>
      </c>
    </row>
    <row r="2" spans="1:43" ht="26.25" customHeight="1" x14ac:dyDescent="0.2">
      <c r="A2" s="2853"/>
      <c r="B2" s="2778"/>
      <c r="C2" s="2778"/>
      <c r="D2" s="2778"/>
      <c r="E2" s="2778"/>
      <c r="F2" s="2778"/>
      <c r="G2" s="2778"/>
      <c r="H2" s="2778"/>
      <c r="I2" s="2778"/>
      <c r="J2" s="2778"/>
      <c r="K2" s="2778"/>
      <c r="L2" s="2778"/>
      <c r="M2" s="2778"/>
      <c r="N2" s="2778"/>
      <c r="O2" s="2778"/>
      <c r="P2" s="2778"/>
      <c r="Q2" s="2778"/>
      <c r="R2" s="2778"/>
      <c r="S2" s="2778"/>
      <c r="T2" s="2778"/>
      <c r="U2" s="2778"/>
      <c r="V2" s="2778"/>
      <c r="W2" s="2778"/>
      <c r="X2" s="2778"/>
      <c r="Y2" s="2778"/>
      <c r="Z2" s="2778"/>
      <c r="AA2" s="2778"/>
      <c r="AB2" s="2778"/>
      <c r="AC2" s="2778"/>
      <c r="AD2" s="2778"/>
      <c r="AE2" s="2778"/>
      <c r="AF2" s="2778"/>
      <c r="AG2" s="2778"/>
      <c r="AH2" s="2778"/>
      <c r="AI2" s="2778"/>
      <c r="AJ2" s="2778"/>
      <c r="AK2" s="2778"/>
      <c r="AL2" s="2778"/>
      <c r="AM2" s="2778"/>
      <c r="AN2" s="2778"/>
      <c r="AO2" s="2778"/>
      <c r="AP2" s="721" t="s">
        <v>2</v>
      </c>
      <c r="AQ2" s="722">
        <v>6</v>
      </c>
    </row>
    <row r="3" spans="1:43" ht="22.5" customHeight="1" x14ac:dyDescent="0.2">
      <c r="A3" s="2853"/>
      <c r="B3" s="2778"/>
      <c r="C3" s="2778"/>
      <c r="D3" s="2778"/>
      <c r="E3" s="2778"/>
      <c r="F3" s="2778"/>
      <c r="G3" s="2778"/>
      <c r="H3" s="2778"/>
      <c r="I3" s="2778"/>
      <c r="J3" s="2778"/>
      <c r="K3" s="2778"/>
      <c r="L3" s="2778"/>
      <c r="M3" s="2778"/>
      <c r="N3" s="2778"/>
      <c r="O3" s="2778"/>
      <c r="P3" s="2778"/>
      <c r="Q3" s="2778"/>
      <c r="R3" s="2778"/>
      <c r="S3" s="2778"/>
      <c r="T3" s="2778"/>
      <c r="U3" s="2778"/>
      <c r="V3" s="2778"/>
      <c r="W3" s="2778"/>
      <c r="X3" s="2778"/>
      <c r="Y3" s="2778"/>
      <c r="Z3" s="2778"/>
      <c r="AA3" s="2778"/>
      <c r="AB3" s="2778"/>
      <c r="AC3" s="2778"/>
      <c r="AD3" s="2778"/>
      <c r="AE3" s="2778"/>
      <c r="AF3" s="2778"/>
      <c r="AG3" s="2778"/>
      <c r="AH3" s="2778"/>
      <c r="AI3" s="2778"/>
      <c r="AJ3" s="2778"/>
      <c r="AK3" s="2778"/>
      <c r="AL3" s="2778"/>
      <c r="AM3" s="2778"/>
      <c r="AN3" s="2778"/>
      <c r="AO3" s="2778"/>
      <c r="AP3" s="723" t="s">
        <v>3</v>
      </c>
      <c r="AQ3" s="724" t="s">
        <v>4</v>
      </c>
    </row>
    <row r="4" spans="1:43" s="726" customFormat="1" ht="21" customHeight="1" x14ac:dyDescent="0.2">
      <c r="A4" s="2854"/>
      <c r="B4" s="2779"/>
      <c r="C4" s="2779"/>
      <c r="D4" s="2779"/>
      <c r="E4" s="2779"/>
      <c r="F4" s="2779"/>
      <c r="G4" s="2779"/>
      <c r="H4" s="2779"/>
      <c r="I4" s="2779"/>
      <c r="J4" s="2779"/>
      <c r="K4" s="2779"/>
      <c r="L4" s="2779"/>
      <c r="M4" s="2779"/>
      <c r="N4" s="2779"/>
      <c r="O4" s="2779"/>
      <c r="P4" s="2779"/>
      <c r="Q4" s="2779"/>
      <c r="R4" s="2779"/>
      <c r="S4" s="2779"/>
      <c r="T4" s="2779"/>
      <c r="U4" s="2779"/>
      <c r="V4" s="2779"/>
      <c r="W4" s="2779"/>
      <c r="X4" s="2779"/>
      <c r="Y4" s="2779"/>
      <c r="Z4" s="2779"/>
      <c r="AA4" s="2779"/>
      <c r="AB4" s="2779"/>
      <c r="AC4" s="2779"/>
      <c r="AD4" s="2779"/>
      <c r="AE4" s="2779"/>
      <c r="AF4" s="2779"/>
      <c r="AG4" s="2779"/>
      <c r="AH4" s="2779"/>
      <c r="AI4" s="2779"/>
      <c r="AJ4" s="2779"/>
      <c r="AK4" s="2779"/>
      <c r="AL4" s="2779"/>
      <c r="AM4" s="2779"/>
      <c r="AN4" s="2779"/>
      <c r="AO4" s="2779"/>
      <c r="AP4" s="723" t="s">
        <v>5</v>
      </c>
      <c r="AQ4" s="725" t="s">
        <v>6</v>
      </c>
    </row>
    <row r="5" spans="1:43" ht="20.25" customHeight="1" x14ac:dyDescent="0.2">
      <c r="A5" s="2855" t="s">
        <v>7</v>
      </c>
      <c r="B5" s="2780"/>
      <c r="C5" s="2780"/>
      <c r="D5" s="2780"/>
      <c r="E5" s="2780"/>
      <c r="F5" s="2780"/>
      <c r="G5" s="2780"/>
      <c r="H5" s="2780"/>
      <c r="I5" s="2780"/>
      <c r="J5" s="2780"/>
      <c r="K5" s="2780"/>
      <c r="L5" s="2780"/>
      <c r="M5" s="2780"/>
      <c r="N5" s="576"/>
      <c r="O5" s="576"/>
      <c r="P5" s="2858" t="s">
        <v>8</v>
      </c>
      <c r="Q5" s="2858"/>
      <c r="R5" s="2858"/>
      <c r="S5" s="2858"/>
      <c r="T5" s="2858"/>
      <c r="U5" s="2858"/>
      <c r="V5" s="2858"/>
      <c r="W5" s="2858"/>
      <c r="X5" s="2858"/>
      <c r="Y5" s="2858"/>
      <c r="Z5" s="2858"/>
      <c r="AA5" s="2858"/>
      <c r="AB5" s="2858"/>
      <c r="AC5" s="2858"/>
      <c r="AD5" s="2858"/>
      <c r="AE5" s="2858"/>
      <c r="AF5" s="2858"/>
      <c r="AG5" s="2858"/>
      <c r="AH5" s="2858"/>
      <c r="AI5" s="2858"/>
      <c r="AJ5" s="2858"/>
      <c r="AK5" s="2858"/>
      <c r="AL5" s="2858"/>
      <c r="AM5" s="2858"/>
      <c r="AN5" s="2858"/>
      <c r="AO5" s="2858"/>
      <c r="AP5" s="2858"/>
      <c r="AQ5" s="2859"/>
    </row>
    <row r="6" spans="1:43" ht="30" customHeight="1" x14ac:dyDescent="0.2">
      <c r="A6" s="2856"/>
      <c r="B6" s="2857"/>
      <c r="C6" s="2857"/>
      <c r="D6" s="2857"/>
      <c r="E6" s="2857"/>
      <c r="F6" s="2857"/>
      <c r="G6" s="2857"/>
      <c r="H6" s="2857"/>
      <c r="I6" s="2857"/>
      <c r="J6" s="2857"/>
      <c r="K6" s="2857"/>
      <c r="L6" s="2857"/>
      <c r="M6" s="2857"/>
      <c r="N6" s="576"/>
      <c r="O6" s="577"/>
      <c r="P6" s="2762"/>
      <c r="Q6" s="2763"/>
      <c r="R6" s="2763"/>
      <c r="S6" s="2763"/>
      <c r="T6" s="2763"/>
      <c r="U6" s="2763"/>
      <c r="V6" s="2763"/>
      <c r="W6" s="2763"/>
      <c r="X6" s="2764"/>
      <c r="Y6" s="578"/>
      <c r="Z6" s="578"/>
      <c r="AA6" s="578"/>
      <c r="AB6" s="578"/>
      <c r="AC6" s="578"/>
      <c r="AD6" s="578"/>
      <c r="AE6" s="578"/>
      <c r="AF6" s="578"/>
      <c r="AG6" s="578"/>
      <c r="AH6" s="578"/>
      <c r="AI6" s="578"/>
      <c r="AJ6" s="578"/>
      <c r="AK6" s="578"/>
      <c r="AL6" s="578"/>
      <c r="AM6" s="578"/>
      <c r="AN6" s="578"/>
      <c r="AO6" s="2762"/>
      <c r="AP6" s="2763"/>
      <c r="AQ6" s="3208"/>
    </row>
    <row r="7" spans="1:43" ht="15.75" x14ac:dyDescent="0.2">
      <c r="A7" s="3912" t="s">
        <v>9</v>
      </c>
      <c r="B7" s="2993" t="s">
        <v>10</v>
      </c>
      <c r="C7" s="2993"/>
      <c r="D7" s="2993" t="s">
        <v>9</v>
      </c>
      <c r="E7" s="2993" t="s">
        <v>11</v>
      </c>
      <c r="F7" s="2993"/>
      <c r="G7" s="2993" t="s">
        <v>9</v>
      </c>
      <c r="H7" s="2993" t="s">
        <v>12</v>
      </c>
      <c r="I7" s="2993"/>
      <c r="J7" s="2993" t="s">
        <v>9</v>
      </c>
      <c r="K7" s="2993" t="s">
        <v>13</v>
      </c>
      <c r="L7" s="2993" t="s">
        <v>14</v>
      </c>
      <c r="M7" s="2781" t="s">
        <v>15</v>
      </c>
      <c r="N7" s="2993" t="s">
        <v>16</v>
      </c>
      <c r="O7" s="2772" t="s">
        <v>17</v>
      </c>
      <c r="P7" s="2993" t="s">
        <v>8</v>
      </c>
      <c r="Q7" s="2993" t="s">
        <v>18</v>
      </c>
      <c r="R7" s="2993" t="s">
        <v>19</v>
      </c>
      <c r="S7" s="2993" t="s">
        <v>20</v>
      </c>
      <c r="T7" s="2993" t="s">
        <v>21</v>
      </c>
      <c r="U7" s="2993" t="s">
        <v>22</v>
      </c>
      <c r="V7" s="2772" t="s">
        <v>19</v>
      </c>
      <c r="W7" s="2772" t="s">
        <v>9</v>
      </c>
      <c r="X7" s="2993" t="s">
        <v>23</v>
      </c>
      <c r="Y7" s="2774" t="s">
        <v>24</v>
      </c>
      <c r="Z7" s="2775"/>
      <c r="AA7" s="2792" t="s">
        <v>25</v>
      </c>
      <c r="AB7" s="2793"/>
      <c r="AC7" s="2793"/>
      <c r="AD7" s="2793"/>
      <c r="AE7" s="2794" t="s">
        <v>26</v>
      </c>
      <c r="AF7" s="2795"/>
      <c r="AG7" s="2795"/>
      <c r="AH7" s="2795"/>
      <c r="AI7" s="2795"/>
      <c r="AJ7" s="2795"/>
      <c r="AK7" s="2792" t="s">
        <v>27</v>
      </c>
      <c r="AL7" s="2793"/>
      <c r="AM7" s="2793"/>
      <c r="AN7" s="3225" t="s">
        <v>28</v>
      </c>
      <c r="AO7" s="3227" t="s">
        <v>29</v>
      </c>
      <c r="AP7" s="3227" t="s">
        <v>30</v>
      </c>
      <c r="AQ7" s="2998" t="s">
        <v>31</v>
      </c>
    </row>
    <row r="8" spans="1:43" ht="168" customHeight="1" x14ac:dyDescent="0.2">
      <c r="A8" s="3912"/>
      <c r="B8" s="2993"/>
      <c r="C8" s="2993"/>
      <c r="D8" s="2993"/>
      <c r="E8" s="2993"/>
      <c r="F8" s="2993"/>
      <c r="G8" s="2993"/>
      <c r="H8" s="2993"/>
      <c r="I8" s="2993"/>
      <c r="J8" s="2993"/>
      <c r="K8" s="2993"/>
      <c r="L8" s="2993"/>
      <c r="M8" s="2791"/>
      <c r="N8" s="2993"/>
      <c r="O8" s="2773"/>
      <c r="P8" s="2993"/>
      <c r="Q8" s="2993"/>
      <c r="R8" s="2993"/>
      <c r="S8" s="2993"/>
      <c r="T8" s="2993"/>
      <c r="U8" s="2993"/>
      <c r="V8" s="2773"/>
      <c r="W8" s="2773"/>
      <c r="X8" s="2993"/>
      <c r="Y8" s="12" t="s">
        <v>32</v>
      </c>
      <c r="Z8" s="13" t="s">
        <v>33</v>
      </c>
      <c r="AA8" s="126" t="s">
        <v>34</v>
      </c>
      <c r="AB8" s="12" t="s">
        <v>35</v>
      </c>
      <c r="AC8" s="126" t="s">
        <v>506</v>
      </c>
      <c r="AD8" s="12" t="s">
        <v>37</v>
      </c>
      <c r="AE8" s="12" t="s">
        <v>38</v>
      </c>
      <c r="AF8" s="12" t="s">
        <v>39</v>
      </c>
      <c r="AG8" s="12" t="s">
        <v>40</v>
      </c>
      <c r="AH8" s="12" t="s">
        <v>41</v>
      </c>
      <c r="AI8" s="12" t="s">
        <v>42</v>
      </c>
      <c r="AJ8" s="12" t="s">
        <v>43</v>
      </c>
      <c r="AK8" s="12" t="s">
        <v>44</v>
      </c>
      <c r="AL8" s="12" t="s">
        <v>45</v>
      </c>
      <c r="AM8" s="12" t="s">
        <v>46</v>
      </c>
      <c r="AN8" s="3226"/>
      <c r="AO8" s="3228"/>
      <c r="AP8" s="3228"/>
      <c r="AQ8" s="2998"/>
    </row>
    <row r="9" spans="1:43" ht="15.75" x14ac:dyDescent="0.2">
      <c r="A9" s="727">
        <v>5</v>
      </c>
      <c r="B9" s="137" t="s">
        <v>47</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728"/>
      <c r="AH9" s="728"/>
      <c r="AI9" s="728"/>
      <c r="AJ9" s="728"/>
      <c r="AK9" s="728"/>
      <c r="AL9" s="728"/>
      <c r="AM9" s="728"/>
      <c r="AN9" s="728"/>
      <c r="AO9" s="728"/>
      <c r="AP9" s="728"/>
      <c r="AQ9" s="729"/>
    </row>
    <row r="10" spans="1:43" s="620" customFormat="1" ht="15.75" x14ac:dyDescent="0.2">
      <c r="A10" s="3907"/>
      <c r="B10" s="2936"/>
      <c r="C10" s="2936"/>
      <c r="D10" s="730">
        <v>25</v>
      </c>
      <c r="E10" s="3909" t="s">
        <v>48</v>
      </c>
      <c r="F10" s="3909"/>
      <c r="G10" s="3909"/>
      <c r="H10" s="3909"/>
      <c r="I10" s="3909"/>
      <c r="J10" s="3909"/>
      <c r="K10" s="3909"/>
      <c r="L10" s="3909"/>
      <c r="M10" s="3909"/>
      <c r="N10" s="3909"/>
      <c r="O10" s="3909"/>
      <c r="P10" s="3909"/>
      <c r="Q10" s="3909"/>
      <c r="R10" s="3909"/>
      <c r="S10" s="3909"/>
      <c r="T10" s="3909"/>
      <c r="U10" s="3909"/>
      <c r="V10" s="3909"/>
      <c r="W10" s="3909"/>
      <c r="X10" s="3909"/>
      <c r="Y10" s="3909"/>
      <c r="Z10" s="3909"/>
      <c r="AA10" s="3909"/>
      <c r="AB10" s="3909"/>
      <c r="AC10" s="3909"/>
      <c r="AD10" s="3909"/>
      <c r="AE10" s="3909"/>
      <c r="AF10" s="3909"/>
      <c r="AG10" s="731"/>
      <c r="AH10" s="731"/>
      <c r="AI10" s="731"/>
      <c r="AJ10" s="731"/>
      <c r="AK10" s="731"/>
      <c r="AL10" s="731"/>
      <c r="AM10" s="731"/>
      <c r="AN10" s="731"/>
      <c r="AO10" s="731"/>
      <c r="AP10" s="731"/>
      <c r="AQ10" s="732"/>
    </row>
    <row r="11" spans="1:43" s="620" customFormat="1" ht="15.75" x14ac:dyDescent="0.2">
      <c r="A11" s="3907"/>
      <c r="B11" s="2936"/>
      <c r="C11" s="2936"/>
      <c r="D11" s="2936"/>
      <c r="E11" s="2936"/>
      <c r="F11" s="2936"/>
      <c r="G11" s="733">
        <v>83</v>
      </c>
      <c r="H11" s="3910" t="s">
        <v>97</v>
      </c>
      <c r="I11" s="3911"/>
      <c r="J11" s="3911"/>
      <c r="K11" s="3911"/>
      <c r="L11" s="3911"/>
      <c r="M11" s="3911"/>
      <c r="N11" s="3911"/>
      <c r="O11" s="3911"/>
      <c r="P11" s="3911"/>
      <c r="Q11" s="3911"/>
      <c r="R11" s="3911"/>
      <c r="S11" s="3911"/>
      <c r="T11" s="3911"/>
      <c r="U11" s="3911"/>
      <c r="V11" s="3911"/>
      <c r="W11" s="3911"/>
      <c r="X11" s="3911"/>
      <c r="Y11" s="3911"/>
      <c r="Z11" s="3911"/>
      <c r="AA11" s="3911"/>
      <c r="AB11" s="3911"/>
      <c r="AC11" s="3911"/>
      <c r="AD11" s="3911"/>
      <c r="AE11" s="3911"/>
      <c r="AF11" s="3911"/>
      <c r="AG11" s="734"/>
      <c r="AH11" s="734"/>
      <c r="AI11" s="734"/>
      <c r="AJ11" s="734"/>
      <c r="AK11" s="734"/>
      <c r="AL11" s="734"/>
      <c r="AM11" s="734"/>
      <c r="AN11" s="734"/>
      <c r="AO11" s="734"/>
      <c r="AP11" s="734"/>
      <c r="AQ11" s="735"/>
    </row>
    <row r="12" spans="1:43" ht="168" customHeight="1" x14ac:dyDescent="0.2">
      <c r="A12" s="3907"/>
      <c r="B12" s="2936"/>
      <c r="C12" s="2936"/>
      <c r="D12" s="2936"/>
      <c r="E12" s="2936"/>
      <c r="F12" s="2936"/>
      <c r="G12" s="2936"/>
      <c r="H12" s="2936"/>
      <c r="I12" s="2936"/>
      <c r="J12" s="2950">
        <v>243</v>
      </c>
      <c r="K12" s="3327" t="s">
        <v>507</v>
      </c>
      <c r="L12" s="3307" t="s">
        <v>508</v>
      </c>
      <c r="M12" s="2936">
        <v>6</v>
      </c>
      <c r="N12" s="3307" t="s">
        <v>509</v>
      </c>
      <c r="O12" s="3307" t="s">
        <v>510</v>
      </c>
      <c r="P12" s="3307" t="s">
        <v>511</v>
      </c>
      <c r="Q12" s="3905">
        <f>SUM(V12:V19)/R12</f>
        <v>1</v>
      </c>
      <c r="R12" s="3701">
        <f>SUM(V12:V19)</f>
        <v>71548128</v>
      </c>
      <c r="S12" s="3307" t="s">
        <v>512</v>
      </c>
      <c r="T12" s="2903" t="s">
        <v>513</v>
      </c>
      <c r="U12" s="3307" t="s">
        <v>514</v>
      </c>
      <c r="V12" s="2727">
        <f>17887032-1777032</f>
        <v>16110000</v>
      </c>
      <c r="W12" s="737">
        <v>20</v>
      </c>
      <c r="X12" s="2950" t="s">
        <v>515</v>
      </c>
      <c r="Y12" s="2810">
        <v>292684</v>
      </c>
      <c r="Z12" s="3344">
        <v>282326</v>
      </c>
      <c r="AA12" s="3344">
        <v>135912</v>
      </c>
      <c r="AB12" s="3344">
        <v>45122</v>
      </c>
      <c r="AC12" s="3344">
        <v>307101</v>
      </c>
      <c r="AD12" s="3344">
        <v>86875</v>
      </c>
      <c r="AE12" s="3344">
        <v>2145</v>
      </c>
      <c r="AF12" s="3344">
        <v>12718</v>
      </c>
      <c r="AG12" s="3344">
        <v>26</v>
      </c>
      <c r="AH12" s="3344">
        <v>37</v>
      </c>
      <c r="AI12" s="2810"/>
      <c r="AJ12" s="2810"/>
      <c r="AK12" s="3344">
        <v>53164</v>
      </c>
      <c r="AL12" s="3344">
        <v>16982</v>
      </c>
      <c r="AM12" s="3344">
        <v>60013</v>
      </c>
      <c r="AN12" s="3344">
        <f>+Y12+Z12</f>
        <v>575010</v>
      </c>
      <c r="AO12" s="3900">
        <v>43467</v>
      </c>
      <c r="AP12" s="3900">
        <v>43830</v>
      </c>
      <c r="AQ12" s="3898" t="s">
        <v>516</v>
      </c>
    </row>
    <row r="13" spans="1:43" ht="15" customHeight="1" x14ac:dyDescent="0.2">
      <c r="A13" s="3907"/>
      <c r="B13" s="2936"/>
      <c r="C13" s="2936"/>
      <c r="D13" s="2936"/>
      <c r="E13" s="2936"/>
      <c r="F13" s="2936"/>
      <c r="G13" s="2936"/>
      <c r="H13" s="2936"/>
      <c r="I13" s="2936"/>
      <c r="J13" s="2951"/>
      <c r="K13" s="3328"/>
      <c r="L13" s="3308"/>
      <c r="M13" s="2936"/>
      <c r="N13" s="3308"/>
      <c r="O13" s="3308"/>
      <c r="P13" s="3308"/>
      <c r="Q13" s="3906"/>
      <c r="R13" s="3588"/>
      <c r="S13" s="3308"/>
      <c r="T13" s="2904"/>
      <c r="U13" s="3319"/>
      <c r="V13" s="3899"/>
      <c r="W13" s="739"/>
      <c r="X13" s="2951"/>
      <c r="Y13" s="2811"/>
      <c r="Z13" s="3345"/>
      <c r="AA13" s="3345"/>
      <c r="AB13" s="3345"/>
      <c r="AC13" s="3345"/>
      <c r="AD13" s="3345"/>
      <c r="AE13" s="3345"/>
      <c r="AF13" s="3345"/>
      <c r="AG13" s="3345"/>
      <c r="AH13" s="3345"/>
      <c r="AI13" s="2811"/>
      <c r="AJ13" s="2811"/>
      <c r="AK13" s="3345"/>
      <c r="AL13" s="3345"/>
      <c r="AM13" s="3345"/>
      <c r="AN13" s="3345"/>
      <c r="AO13" s="3901"/>
      <c r="AP13" s="3901"/>
      <c r="AQ13" s="3336"/>
    </row>
    <row r="14" spans="1:43" ht="80.25" customHeight="1" x14ac:dyDescent="0.2">
      <c r="A14" s="3907"/>
      <c r="B14" s="2936"/>
      <c r="C14" s="2936"/>
      <c r="D14" s="2936"/>
      <c r="E14" s="2936"/>
      <c r="F14" s="2936"/>
      <c r="G14" s="2936"/>
      <c r="H14" s="2936"/>
      <c r="I14" s="2936"/>
      <c r="J14" s="2951"/>
      <c r="K14" s="3328"/>
      <c r="L14" s="3308"/>
      <c r="M14" s="2936"/>
      <c r="N14" s="3308"/>
      <c r="O14" s="3308"/>
      <c r="P14" s="3308"/>
      <c r="Q14" s="3906"/>
      <c r="R14" s="3588"/>
      <c r="S14" s="3308"/>
      <c r="T14" s="2904"/>
      <c r="U14" s="3307" t="s">
        <v>517</v>
      </c>
      <c r="V14" s="2727">
        <v>17887032</v>
      </c>
      <c r="W14" s="3343">
        <v>20</v>
      </c>
      <c r="X14" s="2951"/>
      <c r="Y14" s="2811"/>
      <c r="Z14" s="3345"/>
      <c r="AA14" s="3345"/>
      <c r="AB14" s="3345"/>
      <c r="AC14" s="3345"/>
      <c r="AD14" s="3345"/>
      <c r="AE14" s="3345"/>
      <c r="AF14" s="3345"/>
      <c r="AG14" s="3345"/>
      <c r="AH14" s="3345"/>
      <c r="AI14" s="2811"/>
      <c r="AJ14" s="2811"/>
      <c r="AK14" s="3345"/>
      <c r="AL14" s="3345"/>
      <c r="AM14" s="3345"/>
      <c r="AN14" s="3345"/>
      <c r="AO14" s="3901"/>
      <c r="AP14" s="3901"/>
      <c r="AQ14" s="3336"/>
    </row>
    <row r="15" spans="1:43" ht="55.5" customHeight="1" x14ac:dyDescent="0.2">
      <c r="A15" s="3907"/>
      <c r="B15" s="2936"/>
      <c r="C15" s="2936"/>
      <c r="D15" s="2936"/>
      <c r="E15" s="2936"/>
      <c r="F15" s="2936"/>
      <c r="G15" s="2936"/>
      <c r="H15" s="2936"/>
      <c r="I15" s="2936"/>
      <c r="J15" s="2951"/>
      <c r="K15" s="3328"/>
      <c r="L15" s="3308"/>
      <c r="M15" s="2936"/>
      <c r="N15" s="3308"/>
      <c r="O15" s="3308"/>
      <c r="P15" s="3308"/>
      <c r="Q15" s="3906"/>
      <c r="R15" s="3588"/>
      <c r="S15" s="3308"/>
      <c r="T15" s="2920"/>
      <c r="U15" s="3319"/>
      <c r="V15" s="3899"/>
      <c r="W15" s="3361"/>
      <c r="X15" s="2951"/>
      <c r="Y15" s="2811"/>
      <c r="Z15" s="3345"/>
      <c r="AA15" s="3345"/>
      <c r="AB15" s="3345"/>
      <c r="AC15" s="3345"/>
      <c r="AD15" s="3345"/>
      <c r="AE15" s="3345"/>
      <c r="AF15" s="3345"/>
      <c r="AG15" s="3345"/>
      <c r="AH15" s="3345"/>
      <c r="AI15" s="2811"/>
      <c r="AJ15" s="2811"/>
      <c r="AK15" s="3345"/>
      <c r="AL15" s="3345"/>
      <c r="AM15" s="3345"/>
      <c r="AN15" s="3345"/>
      <c r="AO15" s="3901"/>
      <c r="AP15" s="3901"/>
      <c r="AQ15" s="3336"/>
    </row>
    <row r="16" spans="1:43" ht="45" customHeight="1" x14ac:dyDescent="0.2">
      <c r="A16" s="3907"/>
      <c r="B16" s="2936"/>
      <c r="C16" s="2936"/>
      <c r="D16" s="2936"/>
      <c r="E16" s="2936"/>
      <c r="F16" s="2936"/>
      <c r="G16" s="2936"/>
      <c r="H16" s="2936"/>
      <c r="I16" s="2936"/>
      <c r="J16" s="2951"/>
      <c r="K16" s="3328"/>
      <c r="L16" s="3308"/>
      <c r="M16" s="2936"/>
      <c r="N16" s="3308"/>
      <c r="O16" s="3308"/>
      <c r="P16" s="3308"/>
      <c r="Q16" s="3906"/>
      <c r="R16" s="3588"/>
      <c r="S16" s="3308"/>
      <c r="T16" s="3307" t="s">
        <v>518</v>
      </c>
      <c r="U16" s="3307" t="s">
        <v>519</v>
      </c>
      <c r="V16" s="2727">
        <f>17887032+888516</f>
        <v>18775548</v>
      </c>
      <c r="W16" s="3343">
        <v>20</v>
      </c>
      <c r="X16" s="2951"/>
      <c r="Y16" s="2811"/>
      <c r="Z16" s="3345"/>
      <c r="AA16" s="3345"/>
      <c r="AB16" s="3345"/>
      <c r="AC16" s="3345"/>
      <c r="AD16" s="3345"/>
      <c r="AE16" s="3345"/>
      <c r="AF16" s="3345"/>
      <c r="AG16" s="3345"/>
      <c r="AH16" s="3345"/>
      <c r="AI16" s="2811"/>
      <c r="AJ16" s="2811"/>
      <c r="AK16" s="3345"/>
      <c r="AL16" s="3345"/>
      <c r="AM16" s="3345"/>
      <c r="AN16" s="3345"/>
      <c r="AO16" s="3901"/>
      <c r="AP16" s="3901"/>
      <c r="AQ16" s="3336"/>
    </row>
    <row r="17" spans="1:43" ht="66.75" customHeight="1" x14ac:dyDescent="0.2">
      <c r="A17" s="3907"/>
      <c r="B17" s="2936"/>
      <c r="C17" s="2936"/>
      <c r="D17" s="2936"/>
      <c r="E17" s="2936"/>
      <c r="F17" s="2936"/>
      <c r="G17" s="2936"/>
      <c r="H17" s="2936"/>
      <c r="I17" s="2936"/>
      <c r="J17" s="2951"/>
      <c r="K17" s="3328"/>
      <c r="L17" s="3308"/>
      <c r="M17" s="2936"/>
      <c r="N17" s="3308"/>
      <c r="O17" s="3308"/>
      <c r="P17" s="3308"/>
      <c r="Q17" s="3906"/>
      <c r="R17" s="3588"/>
      <c r="S17" s="3308"/>
      <c r="T17" s="3308"/>
      <c r="U17" s="3319"/>
      <c r="V17" s="3899"/>
      <c r="W17" s="3361"/>
      <c r="X17" s="2951"/>
      <c r="Y17" s="2811"/>
      <c r="Z17" s="3345"/>
      <c r="AA17" s="3345"/>
      <c r="AB17" s="3345"/>
      <c r="AC17" s="3345"/>
      <c r="AD17" s="3345"/>
      <c r="AE17" s="3345"/>
      <c r="AF17" s="3345"/>
      <c r="AG17" s="3345"/>
      <c r="AH17" s="3345"/>
      <c r="AI17" s="2811"/>
      <c r="AJ17" s="2811"/>
      <c r="AK17" s="3345"/>
      <c r="AL17" s="3345"/>
      <c r="AM17" s="3345"/>
      <c r="AN17" s="3345"/>
      <c r="AO17" s="3901"/>
      <c r="AP17" s="3901"/>
      <c r="AQ17" s="3336"/>
    </row>
    <row r="18" spans="1:43" ht="42" customHeight="1" x14ac:dyDescent="0.2">
      <c r="A18" s="3907"/>
      <c r="B18" s="2936"/>
      <c r="C18" s="2936"/>
      <c r="D18" s="2936"/>
      <c r="E18" s="2936"/>
      <c r="F18" s="2936"/>
      <c r="G18" s="2936"/>
      <c r="H18" s="2936"/>
      <c r="I18" s="2936"/>
      <c r="J18" s="2951"/>
      <c r="K18" s="3328"/>
      <c r="L18" s="3308"/>
      <c r="M18" s="2936"/>
      <c r="N18" s="3308"/>
      <c r="O18" s="3308"/>
      <c r="P18" s="3308"/>
      <c r="Q18" s="3906"/>
      <c r="R18" s="3588"/>
      <c r="S18" s="3308"/>
      <c r="T18" s="3308"/>
      <c r="U18" s="3307" t="s">
        <v>520</v>
      </c>
      <c r="V18" s="2727">
        <f>17887032+888516</f>
        <v>18775548</v>
      </c>
      <c r="W18" s="3343">
        <v>20</v>
      </c>
      <c r="X18" s="2951"/>
      <c r="Y18" s="2811"/>
      <c r="Z18" s="3345"/>
      <c r="AA18" s="3345"/>
      <c r="AB18" s="3345"/>
      <c r="AC18" s="3345"/>
      <c r="AD18" s="3345"/>
      <c r="AE18" s="3345"/>
      <c r="AF18" s="3345"/>
      <c r="AG18" s="3345"/>
      <c r="AH18" s="3345"/>
      <c r="AI18" s="2811"/>
      <c r="AJ18" s="2811"/>
      <c r="AK18" s="3345"/>
      <c r="AL18" s="3345"/>
      <c r="AM18" s="3345"/>
      <c r="AN18" s="3345"/>
      <c r="AO18" s="3901"/>
      <c r="AP18" s="3901"/>
      <c r="AQ18" s="3336"/>
    </row>
    <row r="19" spans="1:43" ht="52.5" customHeight="1" thickBot="1" x14ac:dyDescent="0.25">
      <c r="A19" s="3908"/>
      <c r="B19" s="2950"/>
      <c r="C19" s="2950"/>
      <c r="D19" s="2950"/>
      <c r="E19" s="2950"/>
      <c r="F19" s="2950"/>
      <c r="G19" s="2950"/>
      <c r="H19" s="2950"/>
      <c r="I19" s="2950"/>
      <c r="J19" s="2951"/>
      <c r="K19" s="3328"/>
      <c r="L19" s="3308"/>
      <c r="M19" s="2950"/>
      <c r="N19" s="3308"/>
      <c r="O19" s="3308"/>
      <c r="P19" s="3308"/>
      <c r="Q19" s="3906"/>
      <c r="R19" s="3702"/>
      <c r="S19" s="3319"/>
      <c r="T19" s="3319"/>
      <c r="U19" s="3319"/>
      <c r="V19" s="3899"/>
      <c r="W19" s="3903"/>
      <c r="X19" s="2952"/>
      <c r="Y19" s="3902"/>
      <c r="Z19" s="3904"/>
      <c r="AA19" s="3904"/>
      <c r="AB19" s="3346"/>
      <c r="AC19" s="3346"/>
      <c r="AD19" s="3346"/>
      <c r="AE19" s="3346"/>
      <c r="AF19" s="3346"/>
      <c r="AG19" s="3346"/>
      <c r="AH19" s="3346"/>
      <c r="AI19" s="3902"/>
      <c r="AJ19" s="3902"/>
      <c r="AK19" s="3346"/>
      <c r="AL19" s="3346"/>
      <c r="AM19" s="3346"/>
      <c r="AN19" s="3346"/>
      <c r="AO19" s="3901"/>
      <c r="AP19" s="3901"/>
      <c r="AQ19" s="3336"/>
    </row>
    <row r="20" spans="1:43" s="746" customFormat="1" ht="16.5" thickBot="1" x14ac:dyDescent="0.3">
      <c r="A20" s="101"/>
      <c r="B20" s="102"/>
      <c r="C20" s="102"/>
      <c r="D20" s="102"/>
      <c r="E20" s="743"/>
      <c r="F20" s="743"/>
      <c r="G20" s="3562" t="s">
        <v>88</v>
      </c>
      <c r="H20" s="3562"/>
      <c r="I20" s="3562"/>
      <c r="J20" s="3562"/>
      <c r="K20" s="3562"/>
      <c r="L20" s="3562"/>
      <c r="M20" s="3562"/>
      <c r="N20" s="3562"/>
      <c r="O20" s="3562"/>
      <c r="P20" s="3562"/>
      <c r="Q20" s="3563"/>
      <c r="R20" s="744">
        <f>SUM(R12)</f>
        <v>71548128</v>
      </c>
      <c r="S20" s="101"/>
      <c r="T20" s="102"/>
      <c r="U20" s="105"/>
      <c r="V20" s="104">
        <f>SUM(V12:V19)</f>
        <v>71548128</v>
      </c>
      <c r="W20" s="745"/>
      <c r="X20" s="109"/>
      <c r="Y20" s="109"/>
      <c r="Z20" s="109"/>
      <c r="AA20" s="109"/>
      <c r="AB20" s="109"/>
      <c r="AC20" s="109"/>
      <c r="AD20" s="109"/>
      <c r="AE20" s="109"/>
      <c r="AF20" s="109"/>
      <c r="AG20" s="109"/>
      <c r="AH20" s="109"/>
      <c r="AI20" s="109"/>
      <c r="AJ20" s="109"/>
      <c r="AK20" s="109"/>
      <c r="AL20" s="109"/>
      <c r="AM20" s="109"/>
      <c r="AN20" s="109"/>
      <c r="AO20" s="110"/>
      <c r="AP20" s="111"/>
      <c r="AQ20" s="112"/>
    </row>
    <row r="21" spans="1:43" x14ac:dyDescent="0.2">
      <c r="R21" s="747"/>
    </row>
    <row r="22" spans="1:43" ht="28.5" customHeight="1" x14ac:dyDescent="0.25">
      <c r="J22" s="712"/>
      <c r="R22" s="748"/>
    </row>
    <row r="23" spans="1:43" x14ac:dyDescent="0.2">
      <c r="V23" s="748"/>
    </row>
    <row r="26" spans="1:43" ht="15.75" x14ac:dyDescent="0.25">
      <c r="M26" s="120" t="s">
        <v>521</v>
      </c>
      <c r="N26" s="749"/>
      <c r="O26" s="749"/>
      <c r="P26" s="749"/>
      <c r="S26" s="703"/>
    </row>
    <row r="27" spans="1:43" ht="15.75" x14ac:dyDescent="0.25">
      <c r="M27" s="121" t="s">
        <v>516</v>
      </c>
      <c r="S27" s="703"/>
    </row>
  </sheetData>
  <sheetProtection password="A60F" sheet="1" objects="1" scenarios="1"/>
  <mergeCells count="86">
    <mergeCell ref="A7:A8"/>
    <mergeCell ref="B7:C8"/>
    <mergeCell ref="D7:D8"/>
    <mergeCell ref="E7:F8"/>
    <mergeCell ref="G7:G8"/>
    <mergeCell ref="A1:AO4"/>
    <mergeCell ref="A5:M6"/>
    <mergeCell ref="P5:AQ5"/>
    <mergeCell ref="P6:X6"/>
    <mergeCell ref="AO6:AQ6"/>
    <mergeCell ref="T7:T8"/>
    <mergeCell ref="H7:I8"/>
    <mergeCell ref="J7:J8"/>
    <mergeCell ref="K7:K8"/>
    <mergeCell ref="L7:L8"/>
    <mergeCell ref="M7:M8"/>
    <mergeCell ref="N7:N8"/>
    <mergeCell ref="O7:O8"/>
    <mergeCell ref="P7:P8"/>
    <mergeCell ref="Q7:Q8"/>
    <mergeCell ref="R7:R8"/>
    <mergeCell ref="S7:S8"/>
    <mergeCell ref="AQ7:AQ8"/>
    <mergeCell ref="U7:U8"/>
    <mergeCell ref="V7:V8"/>
    <mergeCell ref="W7:W8"/>
    <mergeCell ref="X7:X8"/>
    <mergeCell ref="Y7:Z7"/>
    <mergeCell ref="AA7:AD7"/>
    <mergeCell ref="AE7:AJ7"/>
    <mergeCell ref="AK7:AM7"/>
    <mergeCell ref="AN7:AN8"/>
    <mergeCell ref="AO7:AO8"/>
    <mergeCell ref="AP7:AP8"/>
    <mergeCell ref="Q12:Q19"/>
    <mergeCell ref="A10:A19"/>
    <mergeCell ref="B10:C19"/>
    <mergeCell ref="E10:AF10"/>
    <mergeCell ref="D11:D19"/>
    <mergeCell ref="E11:F19"/>
    <mergeCell ref="H11:AF11"/>
    <mergeCell ref="G12:G19"/>
    <mergeCell ref="H12:I19"/>
    <mergeCell ref="J12:J19"/>
    <mergeCell ref="K12:K19"/>
    <mergeCell ref="L12:L19"/>
    <mergeCell ref="M12:M19"/>
    <mergeCell ref="N12:N19"/>
    <mergeCell ref="O12:O19"/>
    <mergeCell ref="P12:P19"/>
    <mergeCell ref="AD12:AD19"/>
    <mergeCell ref="R12:R19"/>
    <mergeCell ref="S12:S19"/>
    <mergeCell ref="T12:T15"/>
    <mergeCell ref="U12:U13"/>
    <mergeCell ref="V12:V13"/>
    <mergeCell ref="X12:X19"/>
    <mergeCell ref="W18:W19"/>
    <mergeCell ref="Y12:Y19"/>
    <mergeCell ref="Z12:Z19"/>
    <mergeCell ref="AA12:AA19"/>
    <mergeCell ref="AB12:AB19"/>
    <mergeCell ref="AC12:AC19"/>
    <mergeCell ref="AP12:AP19"/>
    <mergeCell ref="AE12:AE19"/>
    <mergeCell ref="AF12:AF19"/>
    <mergeCell ref="AG12:AG19"/>
    <mergeCell ref="AH12:AH19"/>
    <mergeCell ref="AI12:AI19"/>
    <mergeCell ref="AJ12:AJ19"/>
    <mergeCell ref="G20:Q20"/>
    <mergeCell ref="AQ12:AQ19"/>
    <mergeCell ref="U14:U15"/>
    <mergeCell ref="V14:V15"/>
    <mergeCell ref="W14:W15"/>
    <mergeCell ref="T16:T19"/>
    <mergeCell ref="U16:U17"/>
    <mergeCell ref="V16:V17"/>
    <mergeCell ref="W16:W17"/>
    <mergeCell ref="U18:U19"/>
    <mergeCell ref="V18:V19"/>
    <mergeCell ref="AK12:AK19"/>
    <mergeCell ref="AL12:AL19"/>
    <mergeCell ref="AM12:AM19"/>
    <mergeCell ref="AN12:AN19"/>
    <mergeCell ref="AO12:AO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O367"/>
  <sheetViews>
    <sheetView showGridLines="0" zoomScale="60" zoomScaleNormal="60" workbookViewId="0">
      <pane ySplit="8" topLeftCell="A9" activePane="bottomLeft" state="frozen"/>
      <selection activeCell="T29" sqref="T29:U29"/>
      <selection pane="bottomLeft" activeCell="A9" sqref="A9"/>
    </sheetView>
  </sheetViews>
  <sheetFormatPr baseColWidth="10" defaultColWidth="30" defaultRowHeight="14.25" x14ac:dyDescent="0.2"/>
  <cols>
    <col min="1" max="1" width="14.5703125" style="1808" customWidth="1"/>
    <col min="2" max="2" width="22.5703125" style="1808" customWidth="1"/>
    <col min="3" max="3" width="15.5703125" style="1808" hidden="1" customWidth="1"/>
    <col min="4" max="4" width="14" style="1808" customWidth="1"/>
    <col min="5" max="5" width="16.85546875" style="1808" customWidth="1"/>
    <col min="6" max="6" width="4.140625" style="1808" customWidth="1"/>
    <col min="7" max="7" width="16.42578125" style="1808" customWidth="1"/>
    <col min="8" max="8" width="13.7109375" style="1808" customWidth="1"/>
    <col min="9" max="9" width="8.85546875" style="1808" customWidth="1"/>
    <col min="10" max="10" width="24" style="1808" customWidth="1"/>
    <col min="11" max="11" width="44.42578125" style="2038" customWidth="1"/>
    <col min="12" max="12" width="21.85546875" style="1841" customWidth="1"/>
    <col min="13" max="13" width="25" style="1841" customWidth="1"/>
    <col min="14" max="14" width="38.28515625" style="1935" customWidth="1"/>
    <col min="15" max="15" width="28" style="1841" customWidth="1"/>
    <col min="16" max="16" width="24.85546875" style="2038" customWidth="1"/>
    <col min="17" max="17" width="21.28515625" style="2039" customWidth="1"/>
    <col min="18" max="18" width="26.42578125" style="1935" customWidth="1"/>
    <col min="19" max="19" width="31" style="1841" customWidth="1"/>
    <col min="20" max="20" width="33.28515625" style="2038" customWidth="1"/>
    <col min="21" max="21" width="71.85546875" style="2040" customWidth="1"/>
    <col min="22" max="22" width="27.5703125" style="2040" customWidth="1"/>
    <col min="23" max="23" width="9.85546875" style="2039" customWidth="1"/>
    <col min="24" max="24" width="20.7109375" style="2039" customWidth="1"/>
    <col min="25" max="25" width="8" style="2042" customWidth="1"/>
    <col min="26" max="26" width="9" style="2042" bestFit="1" customWidth="1"/>
    <col min="27" max="27" width="9" style="2043" bestFit="1" customWidth="1"/>
    <col min="28" max="28" width="7.7109375" style="2042" bestFit="1" customWidth="1"/>
    <col min="29" max="29" width="9.28515625" style="2042" bestFit="1" customWidth="1"/>
    <col min="30" max="30" width="7.7109375" style="2042" bestFit="1" customWidth="1"/>
    <col min="31" max="31" width="6.5703125" style="2042" bestFit="1" customWidth="1"/>
    <col min="32" max="32" width="7.7109375" style="2044" bestFit="1" customWidth="1"/>
    <col min="33" max="33" width="8.140625" style="2042" bestFit="1" customWidth="1"/>
    <col min="34" max="34" width="5.140625" style="2043" bestFit="1" customWidth="1"/>
    <col min="35" max="35" width="7.5703125" style="2042" bestFit="1" customWidth="1"/>
    <col min="36" max="36" width="5.28515625" style="2042" bestFit="1" customWidth="1"/>
    <col min="37" max="38" width="7.7109375" style="2043" bestFit="1" customWidth="1"/>
    <col min="39" max="39" width="8.85546875" style="2043" bestFit="1" customWidth="1"/>
    <col min="40" max="40" width="12.7109375" style="2043" customWidth="1"/>
    <col min="41" max="41" width="11.5703125" style="1808" bestFit="1" customWidth="1"/>
    <col min="42" max="42" width="22.7109375" style="1808" customWidth="1"/>
    <col min="43" max="43" width="25.5703125" style="1808" customWidth="1"/>
    <col min="44" max="16384" width="30" style="1808"/>
  </cols>
  <sheetData>
    <row r="1" spans="1:43" s="638" customFormat="1" ht="15" x14ac:dyDescent="0.25">
      <c r="A1" s="3913" t="s">
        <v>1478</v>
      </c>
      <c r="B1" s="3914"/>
      <c r="C1" s="3914"/>
      <c r="D1" s="3914"/>
      <c r="E1" s="3914"/>
      <c r="F1" s="3914"/>
      <c r="G1" s="3914"/>
      <c r="H1" s="3914"/>
      <c r="I1" s="3914"/>
      <c r="J1" s="3914"/>
      <c r="K1" s="3914"/>
      <c r="L1" s="3914"/>
      <c r="M1" s="3914"/>
      <c r="N1" s="3914"/>
      <c r="O1" s="3914"/>
      <c r="P1" s="3914"/>
      <c r="Q1" s="3914"/>
      <c r="R1" s="3914"/>
      <c r="S1" s="3914"/>
      <c r="T1" s="3914"/>
      <c r="U1" s="3914"/>
      <c r="V1" s="3914"/>
      <c r="W1" s="3914"/>
      <c r="X1" s="3914"/>
      <c r="Y1" s="3914"/>
      <c r="Z1" s="3914"/>
      <c r="AA1" s="3914"/>
      <c r="AB1" s="3914"/>
      <c r="AC1" s="3914"/>
      <c r="AD1" s="3914"/>
      <c r="AE1" s="3914"/>
      <c r="AF1" s="3914"/>
      <c r="AG1" s="3914"/>
      <c r="AH1" s="3914"/>
      <c r="AI1" s="3914"/>
      <c r="AJ1" s="3914"/>
      <c r="AK1" s="3914"/>
      <c r="AL1" s="3914"/>
      <c r="AM1" s="3914"/>
      <c r="AN1" s="3914"/>
      <c r="AO1" s="3914"/>
      <c r="AP1" s="1791" t="s">
        <v>0</v>
      </c>
      <c r="AQ1" s="1792" t="s">
        <v>1</v>
      </c>
    </row>
    <row r="2" spans="1:43" s="638" customFormat="1" ht="15" x14ac:dyDescent="0.25">
      <c r="A2" s="3915"/>
      <c r="B2" s="3885"/>
      <c r="C2" s="3885"/>
      <c r="D2" s="3885"/>
      <c r="E2" s="3885"/>
      <c r="F2" s="3885"/>
      <c r="G2" s="3885"/>
      <c r="H2" s="3885"/>
      <c r="I2" s="3885"/>
      <c r="J2" s="3885"/>
      <c r="K2" s="3885"/>
      <c r="L2" s="3885"/>
      <c r="M2" s="3885"/>
      <c r="N2" s="3885"/>
      <c r="O2" s="3885"/>
      <c r="P2" s="3885"/>
      <c r="Q2" s="3885"/>
      <c r="R2" s="3885"/>
      <c r="S2" s="3885"/>
      <c r="T2" s="3885"/>
      <c r="U2" s="3885"/>
      <c r="V2" s="3885"/>
      <c r="W2" s="3885"/>
      <c r="X2" s="3885"/>
      <c r="Y2" s="3885"/>
      <c r="Z2" s="3885"/>
      <c r="AA2" s="3885"/>
      <c r="AB2" s="3885"/>
      <c r="AC2" s="3885"/>
      <c r="AD2" s="3885"/>
      <c r="AE2" s="3885"/>
      <c r="AF2" s="3885"/>
      <c r="AG2" s="3885"/>
      <c r="AH2" s="3885"/>
      <c r="AI2" s="3885"/>
      <c r="AJ2" s="3885"/>
      <c r="AK2" s="3885"/>
      <c r="AL2" s="3885"/>
      <c r="AM2" s="3885"/>
      <c r="AN2" s="3885"/>
      <c r="AO2" s="3885"/>
      <c r="AP2" s="1791" t="s">
        <v>2</v>
      </c>
      <c r="AQ2" s="1793">
        <v>6</v>
      </c>
    </row>
    <row r="3" spans="1:43" s="638" customFormat="1" ht="15" x14ac:dyDescent="0.25">
      <c r="A3" s="3915"/>
      <c r="B3" s="3885"/>
      <c r="C3" s="3885"/>
      <c r="D3" s="3885"/>
      <c r="E3" s="3885"/>
      <c r="F3" s="3885"/>
      <c r="G3" s="3885"/>
      <c r="H3" s="3885"/>
      <c r="I3" s="3885"/>
      <c r="J3" s="3885"/>
      <c r="K3" s="3885"/>
      <c r="L3" s="3885"/>
      <c r="M3" s="3885"/>
      <c r="N3" s="3885"/>
      <c r="O3" s="3885"/>
      <c r="P3" s="3885"/>
      <c r="Q3" s="3885"/>
      <c r="R3" s="3885"/>
      <c r="S3" s="3885"/>
      <c r="T3" s="3885"/>
      <c r="U3" s="3885"/>
      <c r="V3" s="3885"/>
      <c r="W3" s="3885"/>
      <c r="X3" s="3885"/>
      <c r="Y3" s="3885"/>
      <c r="Z3" s="3885"/>
      <c r="AA3" s="3885"/>
      <c r="AB3" s="3885"/>
      <c r="AC3" s="3885"/>
      <c r="AD3" s="3885"/>
      <c r="AE3" s="3885"/>
      <c r="AF3" s="3885"/>
      <c r="AG3" s="3885"/>
      <c r="AH3" s="3885"/>
      <c r="AI3" s="3885"/>
      <c r="AJ3" s="3885"/>
      <c r="AK3" s="3885"/>
      <c r="AL3" s="3885"/>
      <c r="AM3" s="3885"/>
      <c r="AN3" s="3885"/>
      <c r="AO3" s="3885"/>
      <c r="AP3" s="1791" t="s">
        <v>3</v>
      </c>
      <c r="AQ3" s="1794" t="s">
        <v>4</v>
      </c>
    </row>
    <row r="4" spans="1:43" s="726" customFormat="1" ht="15" x14ac:dyDescent="0.2">
      <c r="A4" s="3916"/>
      <c r="B4" s="3917"/>
      <c r="C4" s="3917"/>
      <c r="D4" s="3917"/>
      <c r="E4" s="3917"/>
      <c r="F4" s="3917"/>
      <c r="G4" s="3917"/>
      <c r="H4" s="3917"/>
      <c r="I4" s="3917"/>
      <c r="J4" s="3917"/>
      <c r="K4" s="3917"/>
      <c r="L4" s="3917"/>
      <c r="M4" s="3917"/>
      <c r="N4" s="3917"/>
      <c r="O4" s="3917"/>
      <c r="P4" s="3917"/>
      <c r="Q4" s="3917"/>
      <c r="R4" s="3917"/>
      <c r="S4" s="3917"/>
      <c r="T4" s="3917"/>
      <c r="U4" s="3917"/>
      <c r="V4" s="3917"/>
      <c r="W4" s="3917"/>
      <c r="X4" s="3917"/>
      <c r="Y4" s="3917"/>
      <c r="Z4" s="3917"/>
      <c r="AA4" s="3917"/>
      <c r="AB4" s="3917"/>
      <c r="AC4" s="3917"/>
      <c r="AD4" s="3917"/>
      <c r="AE4" s="3917"/>
      <c r="AF4" s="3917"/>
      <c r="AG4" s="3917"/>
      <c r="AH4" s="3917"/>
      <c r="AI4" s="3917"/>
      <c r="AJ4" s="3917"/>
      <c r="AK4" s="3917"/>
      <c r="AL4" s="3917"/>
      <c r="AM4" s="3917"/>
      <c r="AN4" s="3917"/>
      <c r="AO4" s="3917"/>
      <c r="AP4" s="1795" t="s">
        <v>5</v>
      </c>
      <c r="AQ4" s="1796" t="s">
        <v>6</v>
      </c>
    </row>
    <row r="5" spans="1:43" s="638" customFormat="1" x14ac:dyDescent="0.2">
      <c r="A5" s="3918" t="s">
        <v>7</v>
      </c>
      <c r="B5" s="2974"/>
      <c r="C5" s="2974"/>
      <c r="D5" s="2974"/>
      <c r="E5" s="2974"/>
      <c r="F5" s="2974"/>
      <c r="G5" s="2974"/>
      <c r="H5" s="2974"/>
      <c r="I5" s="2974"/>
      <c r="J5" s="2974"/>
      <c r="K5" s="2974"/>
      <c r="L5" s="2974"/>
      <c r="M5" s="2974"/>
      <c r="N5" s="2974"/>
      <c r="O5" s="3453"/>
      <c r="P5" s="3452" t="s">
        <v>8</v>
      </c>
      <c r="Q5" s="2974"/>
      <c r="R5" s="2974"/>
      <c r="S5" s="2974"/>
      <c r="T5" s="2974"/>
      <c r="U5" s="2974"/>
      <c r="V5" s="2974"/>
      <c r="W5" s="2974"/>
      <c r="X5" s="2974"/>
      <c r="Y5" s="2974"/>
      <c r="Z5" s="2974"/>
      <c r="AA5" s="2974"/>
      <c r="AB5" s="2974"/>
      <c r="AC5" s="2974"/>
      <c r="AD5" s="2974"/>
      <c r="AE5" s="2974"/>
      <c r="AF5" s="2974"/>
      <c r="AG5" s="2974"/>
      <c r="AH5" s="2974"/>
      <c r="AI5" s="2974"/>
      <c r="AJ5" s="2974"/>
      <c r="AK5" s="2974"/>
      <c r="AL5" s="2974"/>
      <c r="AM5" s="2974"/>
      <c r="AN5" s="2974"/>
      <c r="AO5" s="2974"/>
      <c r="AP5" s="2974"/>
      <c r="AQ5" s="3920"/>
    </row>
    <row r="6" spans="1:43" s="638" customFormat="1" x14ac:dyDescent="0.2">
      <c r="A6" s="3919"/>
      <c r="B6" s="2975"/>
      <c r="C6" s="2975"/>
      <c r="D6" s="2975"/>
      <c r="E6" s="2975"/>
      <c r="F6" s="2975"/>
      <c r="G6" s="2975"/>
      <c r="H6" s="2975"/>
      <c r="I6" s="2975"/>
      <c r="J6" s="2975"/>
      <c r="K6" s="2975"/>
      <c r="L6" s="2975"/>
      <c r="M6" s="2975"/>
      <c r="N6" s="2975"/>
      <c r="O6" s="3421"/>
      <c r="P6" s="3454"/>
      <c r="Q6" s="3733"/>
      <c r="R6" s="3733"/>
      <c r="S6" s="3733"/>
      <c r="T6" s="3733"/>
      <c r="U6" s="3733"/>
      <c r="V6" s="3733"/>
      <c r="W6" s="3733"/>
      <c r="X6" s="3733"/>
      <c r="Y6" s="3733"/>
      <c r="Z6" s="3733"/>
      <c r="AA6" s="3733"/>
      <c r="AB6" s="3733"/>
      <c r="AC6" s="3733"/>
      <c r="AD6" s="3733"/>
      <c r="AE6" s="3733"/>
      <c r="AF6" s="3733"/>
      <c r="AG6" s="3733"/>
      <c r="AH6" s="3733"/>
      <c r="AI6" s="3733"/>
      <c r="AJ6" s="3733"/>
      <c r="AK6" s="3733"/>
      <c r="AL6" s="3733"/>
      <c r="AM6" s="3733"/>
      <c r="AN6" s="3733"/>
      <c r="AO6" s="3733"/>
      <c r="AP6" s="3733"/>
      <c r="AQ6" s="3921"/>
    </row>
    <row r="7" spans="1:43" customFormat="1" ht="32.25" customHeight="1" x14ac:dyDescent="0.25">
      <c r="A7" s="3423" t="s">
        <v>9</v>
      </c>
      <c r="B7" s="3423" t="s">
        <v>10</v>
      </c>
      <c r="C7" s="3423"/>
      <c r="D7" s="3423" t="s">
        <v>9</v>
      </c>
      <c r="E7" s="3423" t="s">
        <v>11</v>
      </c>
      <c r="F7" s="3423"/>
      <c r="G7" s="3423" t="s">
        <v>9</v>
      </c>
      <c r="H7" s="3423" t="s">
        <v>12</v>
      </c>
      <c r="I7" s="3423"/>
      <c r="J7" s="3423" t="s">
        <v>9</v>
      </c>
      <c r="K7" s="3423" t="s">
        <v>13</v>
      </c>
      <c r="L7" s="3423" t="s">
        <v>14</v>
      </c>
      <c r="M7" s="3950" t="s">
        <v>15</v>
      </c>
      <c r="N7" s="3423" t="s">
        <v>16</v>
      </c>
      <c r="O7" s="3423" t="s">
        <v>17</v>
      </c>
      <c r="P7" s="3423" t="s">
        <v>8</v>
      </c>
      <c r="Q7" s="3423" t="s">
        <v>18</v>
      </c>
      <c r="R7" s="3423" t="s">
        <v>19</v>
      </c>
      <c r="S7" s="3423" t="s">
        <v>20</v>
      </c>
      <c r="T7" s="3423" t="s">
        <v>21</v>
      </c>
      <c r="U7" s="3423" t="s">
        <v>22</v>
      </c>
      <c r="V7" s="3950" t="s">
        <v>19</v>
      </c>
      <c r="W7" s="3423" t="s">
        <v>9</v>
      </c>
      <c r="X7" s="3946" t="s">
        <v>23</v>
      </c>
      <c r="Y7" s="3948" t="s">
        <v>24</v>
      </c>
      <c r="Z7" s="3949"/>
      <c r="AA7" s="3929" t="s">
        <v>25</v>
      </c>
      <c r="AB7" s="3930"/>
      <c r="AC7" s="3930"/>
      <c r="AD7" s="3930"/>
      <c r="AE7" s="3931" t="s">
        <v>26</v>
      </c>
      <c r="AF7" s="3932"/>
      <c r="AG7" s="3932"/>
      <c r="AH7" s="3932"/>
      <c r="AI7" s="3932"/>
      <c r="AJ7" s="3932"/>
      <c r="AK7" s="3929" t="s">
        <v>27</v>
      </c>
      <c r="AL7" s="3930"/>
      <c r="AM7" s="3933"/>
      <c r="AN7" s="3922" t="s">
        <v>28</v>
      </c>
      <c r="AO7" s="3924" t="s">
        <v>29</v>
      </c>
      <c r="AP7" s="3924" t="s">
        <v>30</v>
      </c>
      <c r="AQ7" s="3927" t="s">
        <v>31</v>
      </c>
    </row>
    <row r="8" spans="1:43" customFormat="1" ht="125.25" customHeight="1" x14ac:dyDescent="0.25">
      <c r="A8" s="3423"/>
      <c r="B8" s="3423"/>
      <c r="C8" s="3423"/>
      <c r="D8" s="3423"/>
      <c r="E8" s="3423"/>
      <c r="F8" s="3423"/>
      <c r="G8" s="3423"/>
      <c r="H8" s="3423"/>
      <c r="I8" s="3423"/>
      <c r="J8" s="3423"/>
      <c r="K8" s="3423"/>
      <c r="L8" s="3423"/>
      <c r="M8" s="3956"/>
      <c r="N8" s="3423"/>
      <c r="O8" s="3423"/>
      <c r="P8" s="3423"/>
      <c r="Q8" s="3423"/>
      <c r="R8" s="3423"/>
      <c r="S8" s="3423"/>
      <c r="T8" s="3423"/>
      <c r="U8" s="3423"/>
      <c r="V8" s="3951"/>
      <c r="W8" s="3423"/>
      <c r="X8" s="3947"/>
      <c r="Y8" s="1797" t="s">
        <v>32</v>
      </c>
      <c r="Z8" s="1797" t="s">
        <v>33</v>
      </c>
      <c r="AA8" s="1797" t="s">
        <v>34</v>
      </c>
      <c r="AB8" s="1797" t="s">
        <v>35</v>
      </c>
      <c r="AC8" s="1797" t="s">
        <v>95</v>
      </c>
      <c r="AD8" s="1797" t="s">
        <v>37</v>
      </c>
      <c r="AE8" s="1797" t="s">
        <v>38</v>
      </c>
      <c r="AF8" s="1797" t="s">
        <v>39</v>
      </c>
      <c r="AG8" s="1797" t="s">
        <v>40</v>
      </c>
      <c r="AH8" s="1797" t="s">
        <v>41</v>
      </c>
      <c r="AI8" s="1797" t="s">
        <v>42</v>
      </c>
      <c r="AJ8" s="1797" t="s">
        <v>43</v>
      </c>
      <c r="AK8" s="1797" t="s">
        <v>44</v>
      </c>
      <c r="AL8" s="1797" t="s">
        <v>45</v>
      </c>
      <c r="AM8" s="1798" t="s">
        <v>46</v>
      </c>
      <c r="AN8" s="3923"/>
      <c r="AO8" s="3925"/>
      <c r="AP8" s="3926"/>
      <c r="AQ8" s="3928"/>
    </row>
    <row r="9" spans="1:43" ht="30.75" customHeight="1" x14ac:dyDescent="0.2">
      <c r="A9" s="1799">
        <v>3</v>
      </c>
      <c r="B9" s="1800" t="s">
        <v>1479</v>
      </c>
      <c r="C9" s="1800"/>
      <c r="D9" s="1800"/>
      <c r="E9" s="1800"/>
      <c r="F9" s="1800"/>
      <c r="G9" s="1800"/>
      <c r="H9" s="1800"/>
      <c r="I9" s="1800"/>
      <c r="J9" s="1800"/>
      <c r="K9" s="1801"/>
      <c r="L9" s="1800"/>
      <c r="M9" s="1800"/>
      <c r="N9" s="1802"/>
      <c r="O9" s="1800"/>
      <c r="P9" s="1801"/>
      <c r="Q9" s="1800"/>
      <c r="R9" s="1802"/>
      <c r="S9" s="1800"/>
      <c r="T9" s="1801"/>
      <c r="U9" s="1801"/>
      <c r="V9" s="1803"/>
      <c r="W9" s="1802"/>
      <c r="X9" s="1802"/>
      <c r="Y9" s="1804"/>
      <c r="Z9" s="1804"/>
      <c r="AA9" s="1805"/>
      <c r="AB9" s="1804"/>
      <c r="AC9" s="1804"/>
      <c r="AD9" s="1804"/>
      <c r="AE9" s="1804"/>
      <c r="AF9" s="1806"/>
      <c r="AG9" s="1804"/>
      <c r="AH9" s="1805"/>
      <c r="AI9" s="1804"/>
      <c r="AJ9" s="1804"/>
      <c r="AK9" s="1805"/>
      <c r="AL9" s="1805"/>
      <c r="AM9" s="1805"/>
      <c r="AN9" s="1805"/>
      <c r="AO9" s="1800"/>
      <c r="AP9" s="1800"/>
      <c r="AQ9" s="1807"/>
    </row>
    <row r="10" spans="1:43" ht="13.5" customHeight="1" x14ac:dyDescent="0.2">
      <c r="A10" s="3934"/>
      <c r="B10" s="3935"/>
      <c r="C10" s="3936"/>
      <c r="D10" s="1809">
        <v>11</v>
      </c>
      <c r="E10" s="1810" t="s">
        <v>1000</v>
      </c>
      <c r="F10" s="1810"/>
      <c r="G10" s="1811"/>
      <c r="H10" s="1811"/>
      <c r="I10" s="1811"/>
      <c r="J10" s="1811"/>
      <c r="K10" s="1812"/>
      <c r="L10" s="1811"/>
      <c r="M10" s="1811"/>
      <c r="N10" s="1813"/>
      <c r="O10" s="1811"/>
      <c r="P10" s="1812"/>
      <c r="Q10" s="1811"/>
      <c r="R10" s="1813"/>
      <c r="S10" s="1811"/>
      <c r="T10" s="1812"/>
      <c r="U10" s="1812"/>
      <c r="V10" s="1814"/>
      <c r="W10" s="1813"/>
      <c r="X10" s="1813"/>
      <c r="Y10" s="1815"/>
      <c r="Z10" s="1815"/>
      <c r="AA10" s="1816"/>
      <c r="AB10" s="1815"/>
      <c r="AC10" s="1815"/>
      <c r="AD10" s="1815"/>
      <c r="AE10" s="1815"/>
      <c r="AF10" s="1817"/>
      <c r="AG10" s="1815"/>
      <c r="AH10" s="1816"/>
      <c r="AI10" s="1815"/>
      <c r="AJ10" s="1815"/>
      <c r="AK10" s="1816"/>
      <c r="AL10" s="1816"/>
      <c r="AM10" s="1816"/>
      <c r="AN10" s="1816"/>
      <c r="AO10" s="1811"/>
      <c r="AP10" s="1811"/>
      <c r="AQ10" s="1818"/>
    </row>
    <row r="11" spans="1:43" ht="27.75" customHeight="1" x14ac:dyDescent="0.2">
      <c r="A11" s="1819"/>
      <c r="B11" s="1820"/>
      <c r="C11" s="1821"/>
      <c r="D11" s="1822"/>
      <c r="E11" s="1822"/>
      <c r="F11" s="1823"/>
      <c r="G11" s="1824">
        <v>35</v>
      </c>
      <c r="H11" s="1825" t="s">
        <v>1480</v>
      </c>
      <c r="I11" s="1825"/>
      <c r="J11" s="1825"/>
      <c r="K11" s="1826"/>
      <c r="L11" s="1825"/>
      <c r="M11" s="1825"/>
      <c r="N11" s="1827"/>
      <c r="O11" s="1825"/>
      <c r="P11" s="1826"/>
      <c r="Q11" s="1825"/>
      <c r="R11" s="1827"/>
      <c r="S11" s="1825"/>
      <c r="T11" s="1826"/>
      <c r="U11" s="1826"/>
      <c r="V11" s="1828"/>
      <c r="W11" s="1827"/>
      <c r="X11" s="1827"/>
      <c r="Y11" s="1829"/>
      <c r="Z11" s="1829"/>
      <c r="AA11" s="1830"/>
      <c r="AB11" s="1829"/>
      <c r="AC11" s="1829"/>
      <c r="AD11" s="1829"/>
      <c r="AE11" s="1829"/>
      <c r="AF11" s="1831"/>
      <c r="AG11" s="1829"/>
      <c r="AH11" s="1830"/>
      <c r="AI11" s="1829"/>
      <c r="AJ11" s="1829"/>
      <c r="AK11" s="1830"/>
      <c r="AL11" s="1830"/>
      <c r="AM11" s="1830"/>
      <c r="AN11" s="1830"/>
      <c r="AO11" s="1825"/>
      <c r="AP11" s="1825"/>
      <c r="AQ11" s="1832"/>
    </row>
    <row r="12" spans="1:43" s="1841" customFormat="1" ht="29.25" customHeight="1" x14ac:dyDescent="0.2">
      <c r="A12" s="1833"/>
      <c r="B12" s="1834"/>
      <c r="C12" s="1835"/>
      <c r="D12" s="1834"/>
      <c r="E12" s="1834"/>
      <c r="F12" s="1835"/>
      <c r="G12" s="1836"/>
      <c r="H12" s="1837"/>
      <c r="I12" s="1838"/>
      <c r="J12" s="3937">
        <v>127</v>
      </c>
      <c r="K12" s="3940" t="s">
        <v>1481</v>
      </c>
      <c r="L12" s="3943" t="s">
        <v>1482</v>
      </c>
      <c r="M12" s="3943">
        <v>1</v>
      </c>
      <c r="N12" s="3943" t="s">
        <v>824</v>
      </c>
      <c r="O12" s="3943" t="s">
        <v>1483</v>
      </c>
      <c r="P12" s="3940" t="s">
        <v>1484</v>
      </c>
      <c r="Q12" s="3965">
        <f>SUM(V12:V21)/R12</f>
        <v>0.32142857142857145</v>
      </c>
      <c r="R12" s="3968">
        <f>SUM(V12:V45)</f>
        <v>196000000</v>
      </c>
      <c r="S12" s="3940" t="s">
        <v>1485</v>
      </c>
      <c r="T12" s="3940" t="s">
        <v>1486</v>
      </c>
      <c r="U12" s="3963" t="s">
        <v>1487</v>
      </c>
      <c r="V12" s="1839">
        <v>4000000</v>
      </c>
      <c r="W12" s="1840">
        <v>61</v>
      </c>
      <c r="X12" s="3943" t="s">
        <v>1488</v>
      </c>
      <c r="Y12" s="3952" t="s">
        <v>1489</v>
      </c>
      <c r="Z12" s="3952" t="s">
        <v>1489</v>
      </c>
      <c r="AA12" s="3957">
        <v>64149</v>
      </c>
      <c r="AB12" s="3960" t="s">
        <v>1489</v>
      </c>
      <c r="AC12" s="3977" t="s">
        <v>1489</v>
      </c>
      <c r="AD12" s="3960" t="s">
        <v>1489</v>
      </c>
      <c r="AE12" s="3960" t="s">
        <v>1489</v>
      </c>
      <c r="AF12" s="3960" t="s">
        <v>1489</v>
      </c>
      <c r="AG12" s="3960" t="s">
        <v>1489</v>
      </c>
      <c r="AH12" s="3960" t="s">
        <v>1489</v>
      </c>
      <c r="AI12" s="3960" t="s">
        <v>1489</v>
      </c>
      <c r="AJ12" s="3977" t="s">
        <v>1489</v>
      </c>
      <c r="AK12" s="3960" t="s">
        <v>1489</v>
      </c>
      <c r="AL12" s="3960" t="s">
        <v>1489</v>
      </c>
      <c r="AM12" s="3977" t="s">
        <v>1489</v>
      </c>
      <c r="AN12" s="3980" t="s">
        <v>1489</v>
      </c>
      <c r="AO12" s="3971">
        <v>43467</v>
      </c>
      <c r="AP12" s="3971">
        <v>43830</v>
      </c>
      <c r="AQ12" s="3974" t="s">
        <v>1490</v>
      </c>
    </row>
    <row r="13" spans="1:43" s="1841" customFormat="1" ht="30.75" customHeight="1" x14ac:dyDescent="0.2">
      <c r="A13" s="1833"/>
      <c r="B13" s="1834"/>
      <c r="C13" s="1835"/>
      <c r="D13" s="1834"/>
      <c r="E13" s="1834"/>
      <c r="F13" s="1835"/>
      <c r="G13" s="1842"/>
      <c r="H13" s="1834"/>
      <c r="I13" s="1835"/>
      <c r="J13" s="3938"/>
      <c r="K13" s="3941"/>
      <c r="L13" s="3944"/>
      <c r="M13" s="3944"/>
      <c r="N13" s="3944"/>
      <c r="O13" s="3944"/>
      <c r="P13" s="3941"/>
      <c r="Q13" s="3966"/>
      <c r="R13" s="3969"/>
      <c r="S13" s="3941"/>
      <c r="T13" s="3941"/>
      <c r="U13" s="3964"/>
      <c r="V13" s="1839">
        <v>15000000</v>
      </c>
      <c r="W13" s="1840">
        <v>98</v>
      </c>
      <c r="X13" s="3944"/>
      <c r="Y13" s="3953"/>
      <c r="Z13" s="3953"/>
      <c r="AA13" s="3958"/>
      <c r="AB13" s="3961"/>
      <c r="AC13" s="3978"/>
      <c r="AD13" s="3961"/>
      <c r="AE13" s="3961"/>
      <c r="AF13" s="3961"/>
      <c r="AG13" s="3961"/>
      <c r="AH13" s="3961"/>
      <c r="AI13" s="3961"/>
      <c r="AJ13" s="3978"/>
      <c r="AK13" s="3961"/>
      <c r="AL13" s="3961"/>
      <c r="AM13" s="3978"/>
      <c r="AN13" s="3981"/>
      <c r="AO13" s="3972"/>
      <c r="AP13" s="3972"/>
      <c r="AQ13" s="3975"/>
    </row>
    <row r="14" spans="1:43" s="1841" customFormat="1" ht="92.25" customHeight="1" x14ac:dyDescent="0.2">
      <c r="A14" s="1833"/>
      <c r="B14" s="1834"/>
      <c r="C14" s="1835"/>
      <c r="D14" s="1834"/>
      <c r="E14" s="1834"/>
      <c r="F14" s="1835"/>
      <c r="G14" s="1842"/>
      <c r="H14" s="1834"/>
      <c r="I14" s="1835"/>
      <c r="J14" s="3938"/>
      <c r="K14" s="3941"/>
      <c r="L14" s="3944"/>
      <c r="M14" s="3944"/>
      <c r="N14" s="3944"/>
      <c r="O14" s="3944"/>
      <c r="P14" s="3941"/>
      <c r="Q14" s="3966"/>
      <c r="R14" s="3969"/>
      <c r="S14" s="3941"/>
      <c r="T14" s="3941"/>
      <c r="U14" s="1843" t="s">
        <v>1491</v>
      </c>
      <c r="V14" s="1839">
        <v>4000000</v>
      </c>
      <c r="W14" s="1840">
        <v>61</v>
      </c>
      <c r="X14" s="3944"/>
      <c r="Y14" s="3953"/>
      <c r="Z14" s="3953"/>
      <c r="AA14" s="3958"/>
      <c r="AB14" s="3961"/>
      <c r="AC14" s="3978"/>
      <c r="AD14" s="3961"/>
      <c r="AE14" s="3961"/>
      <c r="AF14" s="3961"/>
      <c r="AG14" s="3961"/>
      <c r="AH14" s="3961"/>
      <c r="AI14" s="3961"/>
      <c r="AJ14" s="3978"/>
      <c r="AK14" s="3961"/>
      <c r="AL14" s="3961"/>
      <c r="AM14" s="3978"/>
      <c r="AN14" s="3981"/>
      <c r="AO14" s="3972"/>
      <c r="AP14" s="3972"/>
      <c r="AQ14" s="3975"/>
    </row>
    <row r="15" spans="1:43" s="1841" customFormat="1" ht="29.25" customHeight="1" x14ac:dyDescent="0.2">
      <c r="A15" s="1833"/>
      <c r="B15" s="1834"/>
      <c r="C15" s="1835"/>
      <c r="D15" s="1834"/>
      <c r="E15" s="1834"/>
      <c r="F15" s="1835"/>
      <c r="G15" s="1842"/>
      <c r="H15" s="1834"/>
      <c r="I15" s="1835"/>
      <c r="J15" s="3938"/>
      <c r="K15" s="3941"/>
      <c r="L15" s="3944"/>
      <c r="M15" s="3944"/>
      <c r="N15" s="3944"/>
      <c r="O15" s="3944"/>
      <c r="P15" s="3941"/>
      <c r="Q15" s="3966"/>
      <c r="R15" s="3969"/>
      <c r="S15" s="3941"/>
      <c r="T15" s="3941"/>
      <c r="U15" s="3963" t="s">
        <v>1492</v>
      </c>
      <c r="V15" s="1839">
        <v>4000000</v>
      </c>
      <c r="W15" s="1840">
        <v>61</v>
      </c>
      <c r="X15" s="3944"/>
      <c r="Y15" s="3953"/>
      <c r="Z15" s="3953"/>
      <c r="AA15" s="3958"/>
      <c r="AB15" s="3961"/>
      <c r="AC15" s="3978"/>
      <c r="AD15" s="3961"/>
      <c r="AE15" s="3961"/>
      <c r="AF15" s="3961"/>
      <c r="AG15" s="3961"/>
      <c r="AH15" s="3961"/>
      <c r="AI15" s="3961"/>
      <c r="AJ15" s="3978"/>
      <c r="AK15" s="3961"/>
      <c r="AL15" s="3961"/>
      <c r="AM15" s="3978"/>
      <c r="AN15" s="3981"/>
      <c r="AO15" s="3972"/>
      <c r="AP15" s="3972"/>
      <c r="AQ15" s="3975"/>
    </row>
    <row r="16" spans="1:43" s="1841" customFormat="1" ht="30" customHeight="1" x14ac:dyDescent="0.2">
      <c r="A16" s="1833"/>
      <c r="B16" s="1834"/>
      <c r="C16" s="1835"/>
      <c r="D16" s="1834"/>
      <c r="E16" s="1834"/>
      <c r="F16" s="1835"/>
      <c r="G16" s="1842"/>
      <c r="H16" s="1834"/>
      <c r="I16" s="1835"/>
      <c r="J16" s="3938"/>
      <c r="K16" s="3941"/>
      <c r="L16" s="3944"/>
      <c r="M16" s="3944"/>
      <c r="N16" s="3944"/>
      <c r="O16" s="3944"/>
      <c r="P16" s="3941"/>
      <c r="Q16" s="3966"/>
      <c r="R16" s="3969"/>
      <c r="S16" s="3941"/>
      <c r="T16" s="3941"/>
      <c r="U16" s="3964"/>
      <c r="V16" s="1839">
        <v>10000000</v>
      </c>
      <c r="W16" s="1840">
        <v>98</v>
      </c>
      <c r="X16" s="3944"/>
      <c r="Y16" s="3953"/>
      <c r="Z16" s="3953"/>
      <c r="AA16" s="3958"/>
      <c r="AB16" s="3961"/>
      <c r="AC16" s="3978"/>
      <c r="AD16" s="3961"/>
      <c r="AE16" s="3961"/>
      <c r="AF16" s="3961"/>
      <c r="AG16" s="3961"/>
      <c r="AH16" s="3961"/>
      <c r="AI16" s="3961"/>
      <c r="AJ16" s="3978"/>
      <c r="AK16" s="3961"/>
      <c r="AL16" s="3961"/>
      <c r="AM16" s="3978"/>
      <c r="AN16" s="3981"/>
      <c r="AO16" s="3972"/>
      <c r="AP16" s="3972"/>
      <c r="AQ16" s="3975"/>
    </row>
    <row r="17" spans="1:43" s="1841" customFormat="1" ht="29.25" customHeight="1" x14ac:dyDescent="0.2">
      <c r="A17" s="1833"/>
      <c r="B17" s="1834"/>
      <c r="C17" s="1835"/>
      <c r="D17" s="1834"/>
      <c r="E17" s="1834"/>
      <c r="F17" s="1835"/>
      <c r="G17" s="1842"/>
      <c r="H17" s="1834"/>
      <c r="I17" s="1835"/>
      <c r="J17" s="3938"/>
      <c r="K17" s="3941"/>
      <c r="L17" s="3944"/>
      <c r="M17" s="3944"/>
      <c r="N17" s="3944"/>
      <c r="O17" s="3944"/>
      <c r="P17" s="3941"/>
      <c r="Q17" s="3966"/>
      <c r="R17" s="3969"/>
      <c r="S17" s="3941"/>
      <c r="T17" s="3941"/>
      <c r="U17" s="3963" t="s">
        <v>1493</v>
      </c>
      <c r="V17" s="1839">
        <v>1000000</v>
      </c>
      <c r="W17" s="1840">
        <v>61</v>
      </c>
      <c r="X17" s="3944"/>
      <c r="Y17" s="3953"/>
      <c r="Z17" s="3953"/>
      <c r="AA17" s="3958"/>
      <c r="AB17" s="3961"/>
      <c r="AC17" s="3978"/>
      <c r="AD17" s="3961"/>
      <c r="AE17" s="3961"/>
      <c r="AF17" s="3961"/>
      <c r="AG17" s="3961"/>
      <c r="AH17" s="3961"/>
      <c r="AI17" s="3961"/>
      <c r="AJ17" s="3978"/>
      <c r="AK17" s="3961"/>
      <c r="AL17" s="3961"/>
      <c r="AM17" s="3978"/>
      <c r="AN17" s="3981"/>
      <c r="AO17" s="3972"/>
      <c r="AP17" s="3972"/>
      <c r="AQ17" s="3975"/>
    </row>
    <row r="18" spans="1:43" s="1841" customFormat="1" ht="47.25" customHeight="1" x14ac:dyDescent="0.2">
      <c r="A18" s="1833"/>
      <c r="B18" s="1834"/>
      <c r="C18" s="1835"/>
      <c r="D18" s="1834"/>
      <c r="E18" s="1834"/>
      <c r="F18" s="1835"/>
      <c r="G18" s="1842"/>
      <c r="H18" s="1834"/>
      <c r="I18" s="1835"/>
      <c r="J18" s="3938"/>
      <c r="K18" s="3941"/>
      <c r="L18" s="3944"/>
      <c r="M18" s="3944"/>
      <c r="N18" s="3944"/>
      <c r="O18" s="3944"/>
      <c r="P18" s="3941"/>
      <c r="Q18" s="3966"/>
      <c r="R18" s="3969"/>
      <c r="S18" s="3941"/>
      <c r="T18" s="3941"/>
      <c r="U18" s="3964"/>
      <c r="V18" s="1839">
        <v>10000000</v>
      </c>
      <c r="W18" s="1840">
        <v>98</v>
      </c>
      <c r="X18" s="3944"/>
      <c r="Y18" s="3953"/>
      <c r="Z18" s="3953"/>
      <c r="AA18" s="3958"/>
      <c r="AB18" s="3961"/>
      <c r="AC18" s="3978"/>
      <c r="AD18" s="3961"/>
      <c r="AE18" s="3961"/>
      <c r="AF18" s="3961"/>
      <c r="AG18" s="3961"/>
      <c r="AH18" s="3961"/>
      <c r="AI18" s="3961"/>
      <c r="AJ18" s="3978"/>
      <c r="AK18" s="3961"/>
      <c r="AL18" s="3961"/>
      <c r="AM18" s="3978"/>
      <c r="AN18" s="3981"/>
      <c r="AO18" s="3972"/>
      <c r="AP18" s="3972"/>
      <c r="AQ18" s="3975"/>
    </row>
    <row r="19" spans="1:43" s="1841" customFormat="1" ht="42.75" x14ac:dyDescent="0.2">
      <c r="A19" s="1833"/>
      <c r="B19" s="1834"/>
      <c r="C19" s="1835"/>
      <c r="D19" s="1834"/>
      <c r="E19" s="1834"/>
      <c r="F19" s="1835"/>
      <c r="G19" s="1842"/>
      <c r="H19" s="1834"/>
      <c r="I19" s="1835"/>
      <c r="J19" s="3938"/>
      <c r="K19" s="3941"/>
      <c r="L19" s="3944"/>
      <c r="M19" s="3944"/>
      <c r="N19" s="3944"/>
      <c r="O19" s="3944"/>
      <c r="P19" s="3941"/>
      <c r="Q19" s="3966"/>
      <c r="R19" s="3969"/>
      <c r="S19" s="3941"/>
      <c r="T19" s="3941"/>
      <c r="U19" s="1843" t="s">
        <v>1494</v>
      </c>
      <c r="V19" s="1839">
        <v>4000000</v>
      </c>
      <c r="W19" s="1840">
        <v>61</v>
      </c>
      <c r="X19" s="3944"/>
      <c r="Y19" s="3953"/>
      <c r="Z19" s="3953"/>
      <c r="AA19" s="3958"/>
      <c r="AB19" s="3961"/>
      <c r="AC19" s="3978"/>
      <c r="AD19" s="3961"/>
      <c r="AE19" s="3961"/>
      <c r="AF19" s="3961"/>
      <c r="AG19" s="3961"/>
      <c r="AH19" s="3961"/>
      <c r="AI19" s="3961"/>
      <c r="AJ19" s="3978"/>
      <c r="AK19" s="3961"/>
      <c r="AL19" s="3961"/>
      <c r="AM19" s="3978"/>
      <c r="AN19" s="3981"/>
      <c r="AO19" s="3972"/>
      <c r="AP19" s="3972"/>
      <c r="AQ19" s="3975"/>
    </row>
    <row r="20" spans="1:43" s="1841" customFormat="1" ht="42.75" x14ac:dyDescent="0.2">
      <c r="A20" s="1833"/>
      <c r="B20" s="1834"/>
      <c r="C20" s="1835"/>
      <c r="D20" s="1834"/>
      <c r="E20" s="1834"/>
      <c r="F20" s="1835"/>
      <c r="G20" s="1842"/>
      <c r="H20" s="1834"/>
      <c r="I20" s="1835"/>
      <c r="J20" s="3938"/>
      <c r="K20" s="3941"/>
      <c r="L20" s="3944"/>
      <c r="M20" s="3944"/>
      <c r="N20" s="3944"/>
      <c r="O20" s="3944"/>
      <c r="P20" s="3941"/>
      <c r="Q20" s="3966"/>
      <c r="R20" s="3969"/>
      <c r="S20" s="3941"/>
      <c r="T20" s="3941"/>
      <c r="U20" s="1843" t="s">
        <v>1495</v>
      </c>
      <c r="V20" s="1839">
        <v>7000000</v>
      </c>
      <c r="W20" s="1840">
        <v>61</v>
      </c>
      <c r="X20" s="3944"/>
      <c r="Y20" s="3953"/>
      <c r="Z20" s="3953"/>
      <c r="AA20" s="3958"/>
      <c r="AB20" s="3961"/>
      <c r="AC20" s="3978"/>
      <c r="AD20" s="3961"/>
      <c r="AE20" s="3961"/>
      <c r="AF20" s="3961"/>
      <c r="AG20" s="3961"/>
      <c r="AH20" s="3961"/>
      <c r="AI20" s="3961"/>
      <c r="AJ20" s="3978"/>
      <c r="AK20" s="3961"/>
      <c r="AL20" s="3961"/>
      <c r="AM20" s="3978"/>
      <c r="AN20" s="3981"/>
      <c r="AO20" s="3972"/>
      <c r="AP20" s="3972"/>
      <c r="AQ20" s="3975"/>
    </row>
    <row r="21" spans="1:43" s="1841" customFormat="1" ht="68.25" customHeight="1" x14ac:dyDescent="0.2">
      <c r="A21" s="1833"/>
      <c r="B21" s="1834"/>
      <c r="C21" s="1835"/>
      <c r="D21" s="1834"/>
      <c r="E21" s="1834"/>
      <c r="F21" s="1835"/>
      <c r="G21" s="1842"/>
      <c r="H21" s="1834"/>
      <c r="I21" s="1835"/>
      <c r="J21" s="3939"/>
      <c r="K21" s="3942"/>
      <c r="L21" s="3945"/>
      <c r="M21" s="3945"/>
      <c r="N21" s="3944"/>
      <c r="O21" s="3944"/>
      <c r="P21" s="3941"/>
      <c r="Q21" s="3967"/>
      <c r="R21" s="3969"/>
      <c r="S21" s="3941"/>
      <c r="T21" s="3942"/>
      <c r="U21" s="1843" t="s">
        <v>1496</v>
      </c>
      <c r="V21" s="1839">
        <v>4000000</v>
      </c>
      <c r="W21" s="1840">
        <v>61</v>
      </c>
      <c r="X21" s="3944"/>
      <c r="Y21" s="3953"/>
      <c r="Z21" s="3953"/>
      <c r="AA21" s="3958"/>
      <c r="AB21" s="3961"/>
      <c r="AC21" s="3978"/>
      <c r="AD21" s="3961"/>
      <c r="AE21" s="3961"/>
      <c r="AF21" s="3961"/>
      <c r="AG21" s="3961"/>
      <c r="AH21" s="3961"/>
      <c r="AI21" s="3961"/>
      <c r="AJ21" s="3978"/>
      <c r="AK21" s="3961"/>
      <c r="AL21" s="3961"/>
      <c r="AM21" s="3978"/>
      <c r="AN21" s="3981"/>
      <c r="AO21" s="3972"/>
      <c r="AP21" s="3972"/>
      <c r="AQ21" s="3975"/>
    </row>
    <row r="22" spans="1:43" s="1841" customFormat="1" ht="48.75" customHeight="1" x14ac:dyDescent="0.2">
      <c r="A22" s="1833"/>
      <c r="B22" s="1834"/>
      <c r="C22" s="1835"/>
      <c r="D22" s="1834"/>
      <c r="E22" s="1834"/>
      <c r="F22" s="1835"/>
      <c r="G22" s="1842"/>
      <c r="H22" s="1834"/>
      <c r="I22" s="1835"/>
      <c r="J22" s="3937">
        <v>128</v>
      </c>
      <c r="K22" s="3940" t="s">
        <v>1497</v>
      </c>
      <c r="L22" s="3943" t="s">
        <v>1482</v>
      </c>
      <c r="M22" s="3943">
        <v>1</v>
      </c>
      <c r="N22" s="3944"/>
      <c r="O22" s="3944"/>
      <c r="P22" s="3941"/>
      <c r="Q22" s="3965">
        <f>+SUM(V22:V31)/R12</f>
        <v>0.20918367346938777</v>
      </c>
      <c r="R22" s="3969"/>
      <c r="S22" s="3941"/>
      <c r="T22" s="3940" t="s">
        <v>1498</v>
      </c>
      <c r="U22" s="3963" t="s">
        <v>1499</v>
      </c>
      <c r="V22" s="1839">
        <v>5600000</v>
      </c>
      <c r="W22" s="1840">
        <v>61</v>
      </c>
      <c r="X22" s="3944"/>
      <c r="Y22" s="3953"/>
      <c r="Z22" s="3953"/>
      <c r="AA22" s="3958"/>
      <c r="AB22" s="3961"/>
      <c r="AC22" s="3978"/>
      <c r="AD22" s="3961"/>
      <c r="AE22" s="3961"/>
      <c r="AF22" s="3961"/>
      <c r="AG22" s="3961"/>
      <c r="AH22" s="3961"/>
      <c r="AI22" s="3961"/>
      <c r="AJ22" s="3978"/>
      <c r="AK22" s="3961"/>
      <c r="AL22" s="3961"/>
      <c r="AM22" s="3978"/>
      <c r="AN22" s="3981"/>
      <c r="AO22" s="3972"/>
      <c r="AP22" s="3972"/>
      <c r="AQ22" s="3975"/>
    </row>
    <row r="23" spans="1:43" s="1841" customFormat="1" ht="26.25" customHeight="1" x14ac:dyDescent="0.2">
      <c r="A23" s="1833"/>
      <c r="B23" s="1834"/>
      <c r="C23" s="1835"/>
      <c r="D23" s="1834"/>
      <c r="E23" s="1834"/>
      <c r="F23" s="1835"/>
      <c r="G23" s="1842"/>
      <c r="H23" s="1834"/>
      <c r="I23" s="1835"/>
      <c r="J23" s="3938"/>
      <c r="K23" s="3941"/>
      <c r="L23" s="3944"/>
      <c r="M23" s="3944"/>
      <c r="N23" s="3944"/>
      <c r="O23" s="3944"/>
      <c r="P23" s="3941"/>
      <c r="Q23" s="3966"/>
      <c r="R23" s="3969"/>
      <c r="S23" s="3941"/>
      <c r="T23" s="3941"/>
      <c r="U23" s="3964"/>
      <c r="V23" s="1839">
        <v>2000000</v>
      </c>
      <c r="W23" s="1840">
        <v>98</v>
      </c>
      <c r="X23" s="3944"/>
      <c r="Y23" s="3953"/>
      <c r="Z23" s="3953"/>
      <c r="AA23" s="3958"/>
      <c r="AB23" s="3961"/>
      <c r="AC23" s="3978"/>
      <c r="AD23" s="3961"/>
      <c r="AE23" s="3961"/>
      <c r="AF23" s="3961"/>
      <c r="AG23" s="3961"/>
      <c r="AH23" s="3961"/>
      <c r="AI23" s="3961"/>
      <c r="AJ23" s="3978"/>
      <c r="AK23" s="3961"/>
      <c r="AL23" s="3961"/>
      <c r="AM23" s="3978"/>
      <c r="AN23" s="3981"/>
      <c r="AO23" s="3972"/>
      <c r="AP23" s="3972"/>
      <c r="AQ23" s="3975"/>
    </row>
    <row r="24" spans="1:43" s="1841" customFormat="1" ht="50.25" customHeight="1" x14ac:dyDescent="0.2">
      <c r="A24" s="1833"/>
      <c r="B24" s="1834"/>
      <c r="C24" s="1835"/>
      <c r="D24" s="1834"/>
      <c r="E24" s="1834"/>
      <c r="F24" s="1835"/>
      <c r="G24" s="1842"/>
      <c r="H24" s="1834"/>
      <c r="I24" s="1835"/>
      <c r="J24" s="3938"/>
      <c r="K24" s="3941"/>
      <c r="L24" s="3944"/>
      <c r="M24" s="3944"/>
      <c r="N24" s="3944"/>
      <c r="O24" s="3944"/>
      <c r="P24" s="3941"/>
      <c r="Q24" s="3966"/>
      <c r="R24" s="3969"/>
      <c r="S24" s="3941"/>
      <c r="T24" s="3941"/>
      <c r="U24" s="3963" t="s">
        <v>1500</v>
      </c>
      <c r="V24" s="1839">
        <v>5600000</v>
      </c>
      <c r="W24" s="1840">
        <v>61</v>
      </c>
      <c r="X24" s="3944"/>
      <c r="Y24" s="3953"/>
      <c r="Z24" s="3953"/>
      <c r="AA24" s="3958"/>
      <c r="AB24" s="3961"/>
      <c r="AC24" s="3978"/>
      <c r="AD24" s="3961"/>
      <c r="AE24" s="3961"/>
      <c r="AF24" s="3961"/>
      <c r="AG24" s="3961"/>
      <c r="AH24" s="3961"/>
      <c r="AI24" s="3961"/>
      <c r="AJ24" s="3978"/>
      <c r="AK24" s="3961"/>
      <c r="AL24" s="3961"/>
      <c r="AM24" s="3978"/>
      <c r="AN24" s="3981"/>
      <c r="AO24" s="3972"/>
      <c r="AP24" s="3972"/>
      <c r="AQ24" s="3975"/>
    </row>
    <row r="25" spans="1:43" s="1841" customFormat="1" ht="28.5" customHeight="1" x14ac:dyDescent="0.2">
      <c r="A25" s="1833"/>
      <c r="B25" s="1834"/>
      <c r="C25" s="1835"/>
      <c r="D25" s="1834"/>
      <c r="E25" s="1834"/>
      <c r="F25" s="1835"/>
      <c r="G25" s="1842"/>
      <c r="H25" s="1834"/>
      <c r="I25" s="1835"/>
      <c r="J25" s="3938"/>
      <c r="K25" s="3941"/>
      <c r="L25" s="3944"/>
      <c r="M25" s="3944"/>
      <c r="N25" s="3944"/>
      <c r="O25" s="3944"/>
      <c r="P25" s="3941"/>
      <c r="Q25" s="3966"/>
      <c r="R25" s="3969"/>
      <c r="S25" s="3941"/>
      <c r="T25" s="3941"/>
      <c r="U25" s="3964"/>
      <c r="V25" s="1839">
        <v>2000000</v>
      </c>
      <c r="W25" s="1840">
        <v>98</v>
      </c>
      <c r="X25" s="3944"/>
      <c r="Y25" s="3953"/>
      <c r="Z25" s="3953"/>
      <c r="AA25" s="3958"/>
      <c r="AB25" s="3961"/>
      <c r="AC25" s="3978"/>
      <c r="AD25" s="3961"/>
      <c r="AE25" s="3961"/>
      <c r="AF25" s="3961"/>
      <c r="AG25" s="3961"/>
      <c r="AH25" s="3961"/>
      <c r="AI25" s="3961"/>
      <c r="AJ25" s="3978"/>
      <c r="AK25" s="3961"/>
      <c r="AL25" s="3961"/>
      <c r="AM25" s="3978"/>
      <c r="AN25" s="3981"/>
      <c r="AO25" s="3972"/>
      <c r="AP25" s="3972"/>
      <c r="AQ25" s="3975"/>
    </row>
    <row r="26" spans="1:43" s="1841" customFormat="1" ht="27.75" customHeight="1" x14ac:dyDescent="0.2">
      <c r="A26" s="1833"/>
      <c r="B26" s="1834"/>
      <c r="C26" s="1835"/>
      <c r="D26" s="1834"/>
      <c r="E26" s="1834"/>
      <c r="F26" s="1835"/>
      <c r="G26" s="1842"/>
      <c r="H26" s="1834"/>
      <c r="I26" s="1835"/>
      <c r="J26" s="3938"/>
      <c r="K26" s="3941"/>
      <c r="L26" s="3944"/>
      <c r="M26" s="3944"/>
      <c r="N26" s="3944"/>
      <c r="O26" s="3944"/>
      <c r="P26" s="3941"/>
      <c r="Q26" s="3966"/>
      <c r="R26" s="3969"/>
      <c r="S26" s="3941"/>
      <c r="T26" s="3941"/>
      <c r="U26" s="3963" t="s">
        <v>1501</v>
      </c>
      <c r="V26" s="1839">
        <v>5600000</v>
      </c>
      <c r="W26" s="1840">
        <v>61</v>
      </c>
      <c r="X26" s="3944"/>
      <c r="Y26" s="3953"/>
      <c r="Z26" s="3953"/>
      <c r="AA26" s="3958"/>
      <c r="AB26" s="3961"/>
      <c r="AC26" s="3978"/>
      <c r="AD26" s="3961"/>
      <c r="AE26" s="3961"/>
      <c r="AF26" s="3961"/>
      <c r="AG26" s="3961"/>
      <c r="AH26" s="3961"/>
      <c r="AI26" s="3961"/>
      <c r="AJ26" s="3978"/>
      <c r="AK26" s="3961"/>
      <c r="AL26" s="3961"/>
      <c r="AM26" s="3978"/>
      <c r="AN26" s="3981"/>
      <c r="AO26" s="3972"/>
      <c r="AP26" s="3972"/>
      <c r="AQ26" s="3975"/>
    </row>
    <row r="27" spans="1:43" s="1841" customFormat="1" ht="28.5" customHeight="1" x14ac:dyDescent="0.2">
      <c r="A27" s="1833"/>
      <c r="B27" s="1834"/>
      <c r="C27" s="1835"/>
      <c r="D27" s="1834"/>
      <c r="E27" s="1834"/>
      <c r="F27" s="1835"/>
      <c r="G27" s="1842"/>
      <c r="H27" s="1834"/>
      <c r="I27" s="1835"/>
      <c r="J27" s="3938"/>
      <c r="K27" s="3941"/>
      <c r="L27" s="3944"/>
      <c r="M27" s="3944"/>
      <c r="N27" s="3944"/>
      <c r="O27" s="3944"/>
      <c r="P27" s="3941"/>
      <c r="Q27" s="3966"/>
      <c r="R27" s="3969"/>
      <c r="S27" s="3941"/>
      <c r="T27" s="3941"/>
      <c r="U27" s="3964"/>
      <c r="V27" s="1839">
        <v>3000000</v>
      </c>
      <c r="W27" s="1840">
        <v>98</v>
      </c>
      <c r="X27" s="3944"/>
      <c r="Y27" s="3953"/>
      <c r="Z27" s="3953"/>
      <c r="AA27" s="3958"/>
      <c r="AB27" s="3961"/>
      <c r="AC27" s="3978"/>
      <c r="AD27" s="3961"/>
      <c r="AE27" s="3961"/>
      <c r="AF27" s="3961"/>
      <c r="AG27" s="3961"/>
      <c r="AH27" s="3961"/>
      <c r="AI27" s="3961"/>
      <c r="AJ27" s="3978"/>
      <c r="AK27" s="3961"/>
      <c r="AL27" s="3961"/>
      <c r="AM27" s="3978"/>
      <c r="AN27" s="3981"/>
      <c r="AO27" s="3972"/>
      <c r="AP27" s="3972"/>
      <c r="AQ27" s="3975"/>
    </row>
    <row r="28" spans="1:43" s="1841" customFormat="1" ht="30.75" customHeight="1" x14ac:dyDescent="0.2">
      <c r="A28" s="1833"/>
      <c r="B28" s="1834"/>
      <c r="C28" s="1835"/>
      <c r="D28" s="1834"/>
      <c r="E28" s="1834"/>
      <c r="F28" s="1835"/>
      <c r="G28" s="1842"/>
      <c r="H28" s="1834"/>
      <c r="I28" s="1835"/>
      <c r="J28" s="3938"/>
      <c r="K28" s="3941"/>
      <c r="L28" s="3944"/>
      <c r="M28" s="3944"/>
      <c r="N28" s="3944"/>
      <c r="O28" s="3944"/>
      <c r="P28" s="3941"/>
      <c r="Q28" s="3966"/>
      <c r="R28" s="3969"/>
      <c r="S28" s="3941"/>
      <c r="T28" s="3941"/>
      <c r="U28" s="3963" t="s">
        <v>1502</v>
      </c>
      <c r="V28" s="1839">
        <v>5600000</v>
      </c>
      <c r="W28" s="1840">
        <v>61</v>
      </c>
      <c r="X28" s="3944"/>
      <c r="Y28" s="3953"/>
      <c r="Z28" s="3953"/>
      <c r="AA28" s="3958"/>
      <c r="AB28" s="3961"/>
      <c r="AC28" s="3978"/>
      <c r="AD28" s="3961"/>
      <c r="AE28" s="3961"/>
      <c r="AF28" s="3961"/>
      <c r="AG28" s="3961"/>
      <c r="AH28" s="3961"/>
      <c r="AI28" s="3961"/>
      <c r="AJ28" s="3978"/>
      <c r="AK28" s="3961"/>
      <c r="AL28" s="3961"/>
      <c r="AM28" s="3978"/>
      <c r="AN28" s="3981"/>
      <c r="AO28" s="3972"/>
      <c r="AP28" s="3972"/>
      <c r="AQ28" s="3975"/>
    </row>
    <row r="29" spans="1:43" s="1841" customFormat="1" ht="28.5" customHeight="1" x14ac:dyDescent="0.2">
      <c r="A29" s="1833"/>
      <c r="B29" s="1834"/>
      <c r="C29" s="1835"/>
      <c r="D29" s="1834"/>
      <c r="E29" s="1834"/>
      <c r="F29" s="1835"/>
      <c r="G29" s="1842"/>
      <c r="H29" s="1834"/>
      <c r="I29" s="1835"/>
      <c r="J29" s="3938"/>
      <c r="K29" s="3941"/>
      <c r="L29" s="3944"/>
      <c r="M29" s="3944"/>
      <c r="N29" s="3944"/>
      <c r="O29" s="3944"/>
      <c r="P29" s="3941"/>
      <c r="Q29" s="3966"/>
      <c r="R29" s="3969"/>
      <c r="S29" s="3941"/>
      <c r="T29" s="3941"/>
      <c r="U29" s="3964"/>
      <c r="V29" s="1839">
        <v>3000000</v>
      </c>
      <c r="W29" s="1840">
        <v>98</v>
      </c>
      <c r="X29" s="3944"/>
      <c r="Y29" s="3953"/>
      <c r="Z29" s="3953"/>
      <c r="AA29" s="3958"/>
      <c r="AB29" s="3961"/>
      <c r="AC29" s="3978"/>
      <c r="AD29" s="3961"/>
      <c r="AE29" s="3961"/>
      <c r="AF29" s="3961"/>
      <c r="AG29" s="3961"/>
      <c r="AH29" s="3961"/>
      <c r="AI29" s="3961"/>
      <c r="AJ29" s="3978"/>
      <c r="AK29" s="3961"/>
      <c r="AL29" s="3961"/>
      <c r="AM29" s="3978"/>
      <c r="AN29" s="3981"/>
      <c r="AO29" s="3972"/>
      <c r="AP29" s="3972"/>
      <c r="AQ29" s="3975"/>
    </row>
    <row r="30" spans="1:43" s="1841" customFormat="1" ht="28.5" customHeight="1" x14ac:dyDescent="0.2">
      <c r="A30" s="1833"/>
      <c r="B30" s="1834"/>
      <c r="C30" s="1835"/>
      <c r="D30" s="1834"/>
      <c r="E30" s="1834"/>
      <c r="F30" s="1835"/>
      <c r="G30" s="1842"/>
      <c r="H30" s="1834"/>
      <c r="I30" s="1835"/>
      <c r="J30" s="3938"/>
      <c r="K30" s="3941"/>
      <c r="L30" s="3944"/>
      <c r="M30" s="3944"/>
      <c r="N30" s="3944"/>
      <c r="O30" s="3944"/>
      <c r="P30" s="3941"/>
      <c r="Q30" s="3966"/>
      <c r="R30" s="3969"/>
      <c r="S30" s="3941"/>
      <c r="T30" s="3941"/>
      <c r="U30" s="3963" t="s">
        <v>1503</v>
      </c>
      <c r="V30" s="1839">
        <v>5600000</v>
      </c>
      <c r="W30" s="1840">
        <v>61</v>
      </c>
      <c r="X30" s="3944"/>
      <c r="Y30" s="3953"/>
      <c r="Z30" s="3953"/>
      <c r="AA30" s="3958"/>
      <c r="AB30" s="3961"/>
      <c r="AC30" s="3978"/>
      <c r="AD30" s="3961"/>
      <c r="AE30" s="3961"/>
      <c r="AF30" s="3961"/>
      <c r="AG30" s="3961"/>
      <c r="AH30" s="3961"/>
      <c r="AI30" s="3961"/>
      <c r="AJ30" s="3978"/>
      <c r="AK30" s="3961"/>
      <c r="AL30" s="3961"/>
      <c r="AM30" s="3978"/>
      <c r="AN30" s="3981"/>
      <c r="AO30" s="3972"/>
      <c r="AP30" s="3972"/>
      <c r="AQ30" s="3975"/>
    </row>
    <row r="31" spans="1:43" s="1841" customFormat="1" ht="30.75" customHeight="1" x14ac:dyDescent="0.2">
      <c r="A31" s="1833"/>
      <c r="B31" s="1834"/>
      <c r="C31" s="1835"/>
      <c r="D31" s="1834"/>
      <c r="E31" s="1834"/>
      <c r="F31" s="1835"/>
      <c r="G31" s="1842"/>
      <c r="H31" s="1834"/>
      <c r="I31" s="1835"/>
      <c r="J31" s="3938"/>
      <c r="K31" s="3941"/>
      <c r="L31" s="3944"/>
      <c r="M31" s="3944"/>
      <c r="N31" s="3944"/>
      <c r="O31" s="3944"/>
      <c r="P31" s="3941"/>
      <c r="Q31" s="3966"/>
      <c r="R31" s="3969"/>
      <c r="S31" s="3941"/>
      <c r="T31" s="3941"/>
      <c r="U31" s="3964"/>
      <c r="V31" s="1839">
        <v>3000000</v>
      </c>
      <c r="W31" s="1840">
        <v>98</v>
      </c>
      <c r="X31" s="3944"/>
      <c r="Y31" s="3953"/>
      <c r="Z31" s="3953"/>
      <c r="AA31" s="3958"/>
      <c r="AB31" s="3961"/>
      <c r="AC31" s="3978"/>
      <c r="AD31" s="3961"/>
      <c r="AE31" s="3961"/>
      <c r="AF31" s="3961"/>
      <c r="AG31" s="3961"/>
      <c r="AH31" s="3961"/>
      <c r="AI31" s="3961"/>
      <c r="AJ31" s="3978"/>
      <c r="AK31" s="3961"/>
      <c r="AL31" s="3961"/>
      <c r="AM31" s="3978"/>
      <c r="AN31" s="3981"/>
      <c r="AO31" s="3972"/>
      <c r="AP31" s="3972"/>
      <c r="AQ31" s="3975"/>
    </row>
    <row r="32" spans="1:43" s="1841" customFormat="1" ht="42" customHeight="1" x14ac:dyDescent="0.2">
      <c r="A32" s="1833"/>
      <c r="B32" s="1834"/>
      <c r="C32" s="1835"/>
      <c r="D32" s="1834"/>
      <c r="E32" s="1834"/>
      <c r="F32" s="1835"/>
      <c r="G32" s="1842"/>
      <c r="H32" s="1834"/>
      <c r="I32" s="1835"/>
      <c r="J32" s="3955">
        <v>129</v>
      </c>
      <c r="K32" s="3940" t="s">
        <v>1504</v>
      </c>
      <c r="L32" s="3943" t="s">
        <v>1482</v>
      </c>
      <c r="M32" s="3943">
        <v>6</v>
      </c>
      <c r="N32" s="3944"/>
      <c r="O32" s="3944"/>
      <c r="P32" s="3941"/>
      <c r="Q32" s="3965">
        <f>SUM(V32:V45)/R12</f>
        <v>0.46938775510204084</v>
      </c>
      <c r="R32" s="3969"/>
      <c r="S32" s="3941"/>
      <c r="T32" s="3940" t="s">
        <v>1505</v>
      </c>
      <c r="U32" s="3963" t="s">
        <v>1506</v>
      </c>
      <c r="V32" s="1839">
        <v>6000000</v>
      </c>
      <c r="W32" s="1840">
        <v>61</v>
      </c>
      <c r="X32" s="3944"/>
      <c r="Y32" s="3953"/>
      <c r="Z32" s="3953"/>
      <c r="AA32" s="3958"/>
      <c r="AB32" s="3961"/>
      <c r="AC32" s="3978"/>
      <c r="AD32" s="3961"/>
      <c r="AE32" s="3961"/>
      <c r="AF32" s="3961"/>
      <c r="AG32" s="3961"/>
      <c r="AH32" s="3961"/>
      <c r="AI32" s="3961"/>
      <c r="AJ32" s="3978"/>
      <c r="AK32" s="3961"/>
      <c r="AL32" s="3961"/>
      <c r="AM32" s="3978"/>
      <c r="AN32" s="3981"/>
      <c r="AO32" s="3972"/>
      <c r="AP32" s="3972"/>
      <c r="AQ32" s="3975"/>
    </row>
    <row r="33" spans="1:43" s="1841" customFormat="1" ht="28.5" customHeight="1" x14ac:dyDescent="0.2">
      <c r="A33" s="1833"/>
      <c r="B33" s="1834"/>
      <c r="C33" s="1835"/>
      <c r="D33" s="1834"/>
      <c r="E33" s="1834"/>
      <c r="F33" s="1835"/>
      <c r="G33" s="1842"/>
      <c r="H33" s="1834"/>
      <c r="I33" s="1835"/>
      <c r="J33" s="3955"/>
      <c r="K33" s="3941"/>
      <c r="L33" s="3944"/>
      <c r="M33" s="3944"/>
      <c r="N33" s="3944"/>
      <c r="O33" s="3944"/>
      <c r="P33" s="3941"/>
      <c r="Q33" s="3966"/>
      <c r="R33" s="3969"/>
      <c r="S33" s="3941"/>
      <c r="T33" s="3941"/>
      <c r="U33" s="3964"/>
      <c r="V33" s="1839">
        <v>3000000</v>
      </c>
      <c r="W33" s="1840">
        <v>98</v>
      </c>
      <c r="X33" s="3944"/>
      <c r="Y33" s="3953"/>
      <c r="Z33" s="3953"/>
      <c r="AA33" s="3958"/>
      <c r="AB33" s="3961"/>
      <c r="AC33" s="3978"/>
      <c r="AD33" s="3961"/>
      <c r="AE33" s="3961"/>
      <c r="AF33" s="3961"/>
      <c r="AG33" s="3961"/>
      <c r="AH33" s="3961"/>
      <c r="AI33" s="3961"/>
      <c r="AJ33" s="3978"/>
      <c r="AK33" s="3961"/>
      <c r="AL33" s="3961"/>
      <c r="AM33" s="3978"/>
      <c r="AN33" s="3981"/>
      <c r="AO33" s="3972"/>
      <c r="AP33" s="3972"/>
      <c r="AQ33" s="3975"/>
    </row>
    <row r="34" spans="1:43" s="1841" customFormat="1" ht="33" customHeight="1" x14ac:dyDescent="0.2">
      <c r="A34" s="1833"/>
      <c r="B34" s="1834"/>
      <c r="C34" s="1835"/>
      <c r="D34" s="1834"/>
      <c r="E34" s="1834"/>
      <c r="F34" s="1835"/>
      <c r="G34" s="1842"/>
      <c r="H34" s="1834"/>
      <c r="I34" s="1835"/>
      <c r="J34" s="3955"/>
      <c r="K34" s="3941"/>
      <c r="L34" s="3944"/>
      <c r="M34" s="3944"/>
      <c r="N34" s="3944"/>
      <c r="O34" s="3944"/>
      <c r="P34" s="3941"/>
      <c r="Q34" s="3966"/>
      <c r="R34" s="3969"/>
      <c r="S34" s="3941"/>
      <c r="T34" s="3941"/>
      <c r="U34" s="3963" t="s">
        <v>1507</v>
      </c>
      <c r="V34" s="1839">
        <v>6000000</v>
      </c>
      <c r="W34" s="1840">
        <v>61</v>
      </c>
      <c r="X34" s="3944"/>
      <c r="Y34" s="3953"/>
      <c r="Z34" s="3953"/>
      <c r="AA34" s="3958"/>
      <c r="AB34" s="3961"/>
      <c r="AC34" s="3978"/>
      <c r="AD34" s="3961"/>
      <c r="AE34" s="3961"/>
      <c r="AF34" s="3961"/>
      <c r="AG34" s="3961"/>
      <c r="AH34" s="3961"/>
      <c r="AI34" s="3961"/>
      <c r="AJ34" s="3978"/>
      <c r="AK34" s="3961"/>
      <c r="AL34" s="3961"/>
      <c r="AM34" s="3978"/>
      <c r="AN34" s="3981"/>
      <c r="AO34" s="3972"/>
      <c r="AP34" s="3972"/>
      <c r="AQ34" s="3975"/>
    </row>
    <row r="35" spans="1:43" s="1841" customFormat="1" ht="22.5" customHeight="1" x14ac:dyDescent="0.2">
      <c r="A35" s="1833"/>
      <c r="B35" s="1834"/>
      <c r="C35" s="1835"/>
      <c r="D35" s="1834"/>
      <c r="E35" s="1834"/>
      <c r="F35" s="1835"/>
      <c r="G35" s="1842"/>
      <c r="H35" s="1834"/>
      <c r="I35" s="1835"/>
      <c r="J35" s="3955"/>
      <c r="K35" s="3941"/>
      <c r="L35" s="3944"/>
      <c r="M35" s="3944"/>
      <c r="N35" s="3944"/>
      <c r="O35" s="3944"/>
      <c r="P35" s="3941"/>
      <c r="Q35" s="3966"/>
      <c r="R35" s="3969"/>
      <c r="S35" s="3941"/>
      <c r="T35" s="3941"/>
      <c r="U35" s="3964"/>
      <c r="V35" s="1839">
        <v>3000000</v>
      </c>
      <c r="W35" s="1840">
        <v>98</v>
      </c>
      <c r="X35" s="3944"/>
      <c r="Y35" s="3953"/>
      <c r="Z35" s="3953"/>
      <c r="AA35" s="3958"/>
      <c r="AB35" s="3961"/>
      <c r="AC35" s="3978"/>
      <c r="AD35" s="3961"/>
      <c r="AE35" s="3961"/>
      <c r="AF35" s="3961"/>
      <c r="AG35" s="3961"/>
      <c r="AH35" s="3961"/>
      <c r="AI35" s="3961"/>
      <c r="AJ35" s="3978"/>
      <c r="AK35" s="3961"/>
      <c r="AL35" s="3961"/>
      <c r="AM35" s="3978"/>
      <c r="AN35" s="3981"/>
      <c r="AO35" s="3972"/>
      <c r="AP35" s="3972"/>
      <c r="AQ35" s="3975"/>
    </row>
    <row r="36" spans="1:43" s="1841" customFormat="1" ht="28.5" customHeight="1" x14ac:dyDescent="0.2">
      <c r="A36" s="1833"/>
      <c r="B36" s="1834"/>
      <c r="C36" s="1835"/>
      <c r="D36" s="1834"/>
      <c r="E36" s="1834"/>
      <c r="F36" s="1835"/>
      <c r="G36" s="1842"/>
      <c r="H36" s="1834"/>
      <c r="I36" s="1835"/>
      <c r="J36" s="3955"/>
      <c r="K36" s="3941"/>
      <c r="L36" s="3944"/>
      <c r="M36" s="3944"/>
      <c r="N36" s="3944"/>
      <c r="O36" s="3944"/>
      <c r="P36" s="3941"/>
      <c r="Q36" s="3966"/>
      <c r="R36" s="3969"/>
      <c r="S36" s="3941"/>
      <c r="T36" s="3941"/>
      <c r="U36" s="3963" t="s">
        <v>1508</v>
      </c>
      <c r="V36" s="1839">
        <v>6000000</v>
      </c>
      <c r="W36" s="1840">
        <v>61</v>
      </c>
      <c r="X36" s="3944"/>
      <c r="Y36" s="3953"/>
      <c r="Z36" s="3953"/>
      <c r="AA36" s="3958"/>
      <c r="AB36" s="3961"/>
      <c r="AC36" s="3978"/>
      <c r="AD36" s="3961"/>
      <c r="AE36" s="3961"/>
      <c r="AF36" s="3961"/>
      <c r="AG36" s="3961"/>
      <c r="AH36" s="3961"/>
      <c r="AI36" s="3961"/>
      <c r="AJ36" s="3978"/>
      <c r="AK36" s="3961"/>
      <c r="AL36" s="3961"/>
      <c r="AM36" s="3978"/>
      <c r="AN36" s="3981"/>
      <c r="AO36" s="3972"/>
      <c r="AP36" s="3972"/>
      <c r="AQ36" s="3975"/>
    </row>
    <row r="37" spans="1:43" s="1841" customFormat="1" ht="38.25" customHeight="1" x14ac:dyDescent="0.2">
      <c r="A37" s="1833"/>
      <c r="B37" s="1834"/>
      <c r="C37" s="1835"/>
      <c r="D37" s="1834"/>
      <c r="E37" s="1834"/>
      <c r="F37" s="1835"/>
      <c r="G37" s="1842"/>
      <c r="H37" s="1834"/>
      <c r="I37" s="1835"/>
      <c r="J37" s="3955"/>
      <c r="K37" s="3941"/>
      <c r="L37" s="3944"/>
      <c r="M37" s="3944"/>
      <c r="N37" s="3944"/>
      <c r="O37" s="3944"/>
      <c r="P37" s="3941"/>
      <c r="Q37" s="3966"/>
      <c r="R37" s="3969"/>
      <c r="S37" s="3941"/>
      <c r="T37" s="3941"/>
      <c r="U37" s="3964"/>
      <c r="V37" s="1839">
        <v>3000000</v>
      </c>
      <c r="W37" s="1840">
        <v>98</v>
      </c>
      <c r="X37" s="3944"/>
      <c r="Y37" s="3953"/>
      <c r="Z37" s="3953"/>
      <c r="AA37" s="3958"/>
      <c r="AB37" s="3961"/>
      <c r="AC37" s="3978"/>
      <c r="AD37" s="3961"/>
      <c r="AE37" s="3961"/>
      <c r="AF37" s="3961"/>
      <c r="AG37" s="3961"/>
      <c r="AH37" s="3961"/>
      <c r="AI37" s="3961"/>
      <c r="AJ37" s="3978"/>
      <c r="AK37" s="3961"/>
      <c r="AL37" s="3961"/>
      <c r="AM37" s="3978"/>
      <c r="AN37" s="3981"/>
      <c r="AO37" s="3972"/>
      <c r="AP37" s="3972"/>
      <c r="AQ37" s="3975"/>
    </row>
    <row r="38" spans="1:43" s="1841" customFormat="1" ht="39" customHeight="1" x14ac:dyDescent="0.2">
      <c r="A38" s="1833"/>
      <c r="B38" s="1834"/>
      <c r="C38" s="1835"/>
      <c r="D38" s="1834"/>
      <c r="E38" s="1834"/>
      <c r="F38" s="1835"/>
      <c r="G38" s="1842"/>
      <c r="H38" s="1834"/>
      <c r="I38" s="1835"/>
      <c r="J38" s="3955"/>
      <c r="K38" s="3941"/>
      <c r="L38" s="3944"/>
      <c r="M38" s="3944"/>
      <c r="N38" s="3944"/>
      <c r="O38" s="3944"/>
      <c r="P38" s="3941"/>
      <c r="Q38" s="3966"/>
      <c r="R38" s="3969"/>
      <c r="S38" s="3941"/>
      <c r="T38" s="3941"/>
      <c r="U38" s="3963" t="s">
        <v>1509</v>
      </c>
      <c r="V38" s="1839">
        <v>28000000</v>
      </c>
      <c r="W38" s="1840">
        <v>61</v>
      </c>
      <c r="X38" s="3944"/>
      <c r="Y38" s="3953"/>
      <c r="Z38" s="3953"/>
      <c r="AA38" s="3958"/>
      <c r="AB38" s="3961"/>
      <c r="AC38" s="3978"/>
      <c r="AD38" s="3961"/>
      <c r="AE38" s="3961"/>
      <c r="AF38" s="3961"/>
      <c r="AG38" s="3961"/>
      <c r="AH38" s="3961"/>
      <c r="AI38" s="3961"/>
      <c r="AJ38" s="3978"/>
      <c r="AK38" s="3961"/>
      <c r="AL38" s="3961"/>
      <c r="AM38" s="3978"/>
      <c r="AN38" s="3981"/>
      <c r="AO38" s="3972"/>
      <c r="AP38" s="3972"/>
      <c r="AQ38" s="3975"/>
    </row>
    <row r="39" spans="1:43" s="1841" customFormat="1" ht="36" customHeight="1" x14ac:dyDescent="0.2">
      <c r="A39" s="1833"/>
      <c r="B39" s="1834"/>
      <c r="C39" s="1835"/>
      <c r="D39" s="1834"/>
      <c r="E39" s="1834"/>
      <c r="F39" s="1835"/>
      <c r="G39" s="1842"/>
      <c r="H39" s="1834"/>
      <c r="I39" s="1835"/>
      <c r="J39" s="3955"/>
      <c r="K39" s="3941"/>
      <c r="L39" s="3944"/>
      <c r="M39" s="3944"/>
      <c r="N39" s="3944"/>
      <c r="O39" s="3944"/>
      <c r="P39" s="3941"/>
      <c r="Q39" s="3966"/>
      <c r="R39" s="3969"/>
      <c r="S39" s="3941"/>
      <c r="T39" s="3941"/>
      <c r="U39" s="3964"/>
      <c r="V39" s="1839">
        <v>3000000</v>
      </c>
      <c r="W39" s="1840">
        <v>98</v>
      </c>
      <c r="X39" s="3944"/>
      <c r="Y39" s="3953"/>
      <c r="Z39" s="3953"/>
      <c r="AA39" s="3958"/>
      <c r="AB39" s="3961"/>
      <c r="AC39" s="3978"/>
      <c r="AD39" s="3961"/>
      <c r="AE39" s="3961"/>
      <c r="AF39" s="3961"/>
      <c r="AG39" s="3961"/>
      <c r="AH39" s="3961"/>
      <c r="AI39" s="3961"/>
      <c r="AJ39" s="3978"/>
      <c r="AK39" s="3961"/>
      <c r="AL39" s="3961"/>
      <c r="AM39" s="3978"/>
      <c r="AN39" s="3981"/>
      <c r="AO39" s="3972"/>
      <c r="AP39" s="3972"/>
      <c r="AQ39" s="3975"/>
    </row>
    <row r="40" spans="1:43" s="1841" customFormat="1" ht="36" customHeight="1" x14ac:dyDescent="0.2">
      <c r="A40" s="1833"/>
      <c r="B40" s="1834"/>
      <c r="C40" s="1835"/>
      <c r="D40" s="1834"/>
      <c r="E40" s="1834"/>
      <c r="F40" s="1835"/>
      <c r="G40" s="1842"/>
      <c r="H40" s="1834"/>
      <c r="I40" s="1835"/>
      <c r="J40" s="3955"/>
      <c r="K40" s="3941"/>
      <c r="L40" s="3944"/>
      <c r="M40" s="3944"/>
      <c r="N40" s="3944"/>
      <c r="O40" s="3944"/>
      <c r="P40" s="3941"/>
      <c r="Q40" s="3966"/>
      <c r="R40" s="3969"/>
      <c r="S40" s="3941"/>
      <c r="T40" s="3941"/>
      <c r="U40" s="3963" t="s">
        <v>1510</v>
      </c>
      <c r="V40" s="1839">
        <v>6000000</v>
      </c>
      <c r="W40" s="1840">
        <v>61</v>
      </c>
      <c r="X40" s="3944"/>
      <c r="Y40" s="3953"/>
      <c r="Z40" s="3953"/>
      <c r="AA40" s="3958"/>
      <c r="AB40" s="3961"/>
      <c r="AC40" s="3978"/>
      <c r="AD40" s="3961"/>
      <c r="AE40" s="3961"/>
      <c r="AF40" s="3961"/>
      <c r="AG40" s="3961"/>
      <c r="AH40" s="3961"/>
      <c r="AI40" s="3961"/>
      <c r="AJ40" s="3978"/>
      <c r="AK40" s="3961"/>
      <c r="AL40" s="3961"/>
      <c r="AM40" s="3978"/>
      <c r="AN40" s="3981"/>
      <c r="AO40" s="3972"/>
      <c r="AP40" s="3972"/>
      <c r="AQ40" s="3975"/>
    </row>
    <row r="41" spans="1:43" s="1841" customFormat="1" ht="24" customHeight="1" x14ac:dyDescent="0.2">
      <c r="A41" s="1833"/>
      <c r="B41" s="1834"/>
      <c r="C41" s="1835"/>
      <c r="D41" s="1834"/>
      <c r="E41" s="1834"/>
      <c r="F41" s="1835"/>
      <c r="G41" s="1842"/>
      <c r="H41" s="1834"/>
      <c r="I41" s="1835"/>
      <c r="J41" s="3955"/>
      <c r="K41" s="3941"/>
      <c r="L41" s="3944"/>
      <c r="M41" s="3944"/>
      <c r="N41" s="3944"/>
      <c r="O41" s="3944"/>
      <c r="P41" s="3941"/>
      <c r="Q41" s="3966"/>
      <c r="R41" s="3969"/>
      <c r="S41" s="3941"/>
      <c r="T41" s="3941"/>
      <c r="U41" s="3964"/>
      <c r="V41" s="1839">
        <v>3500000</v>
      </c>
      <c r="W41" s="1840">
        <v>98</v>
      </c>
      <c r="X41" s="3944"/>
      <c r="Y41" s="3953"/>
      <c r="Z41" s="3953"/>
      <c r="AA41" s="3958"/>
      <c r="AB41" s="3961"/>
      <c r="AC41" s="3978"/>
      <c r="AD41" s="3961"/>
      <c r="AE41" s="3961"/>
      <c r="AF41" s="3961"/>
      <c r="AG41" s="3961"/>
      <c r="AH41" s="3961"/>
      <c r="AI41" s="3961"/>
      <c r="AJ41" s="3978"/>
      <c r="AK41" s="3961"/>
      <c r="AL41" s="3961"/>
      <c r="AM41" s="3978"/>
      <c r="AN41" s="3981"/>
      <c r="AO41" s="3972"/>
      <c r="AP41" s="3972"/>
      <c r="AQ41" s="3975"/>
    </row>
    <row r="42" spans="1:43" s="1841" customFormat="1" ht="33" customHeight="1" x14ac:dyDescent="0.2">
      <c r="A42" s="1833"/>
      <c r="B42" s="1834"/>
      <c r="C42" s="1835"/>
      <c r="D42" s="1834"/>
      <c r="E42" s="1834"/>
      <c r="F42" s="1835"/>
      <c r="G42" s="1842"/>
      <c r="H42" s="1834"/>
      <c r="I42" s="1835"/>
      <c r="J42" s="3955"/>
      <c r="K42" s="3941"/>
      <c r="L42" s="3944"/>
      <c r="M42" s="3944"/>
      <c r="N42" s="3944"/>
      <c r="O42" s="3944"/>
      <c r="P42" s="3941"/>
      <c r="Q42" s="3966"/>
      <c r="R42" s="3969"/>
      <c r="S42" s="3941"/>
      <c r="T42" s="3941"/>
      <c r="U42" s="3963" t="s">
        <v>1511</v>
      </c>
      <c r="V42" s="1839">
        <v>6000000</v>
      </c>
      <c r="W42" s="1840">
        <v>61</v>
      </c>
      <c r="X42" s="3944"/>
      <c r="Y42" s="3953"/>
      <c r="Z42" s="3953"/>
      <c r="AA42" s="3958"/>
      <c r="AB42" s="3961"/>
      <c r="AC42" s="3978"/>
      <c r="AD42" s="3961"/>
      <c r="AE42" s="3961"/>
      <c r="AF42" s="3961"/>
      <c r="AG42" s="3961"/>
      <c r="AH42" s="3961"/>
      <c r="AI42" s="3961"/>
      <c r="AJ42" s="3978"/>
      <c r="AK42" s="3961"/>
      <c r="AL42" s="3961"/>
      <c r="AM42" s="3978"/>
      <c r="AN42" s="3981"/>
      <c r="AO42" s="3972"/>
      <c r="AP42" s="3972"/>
      <c r="AQ42" s="3975"/>
    </row>
    <row r="43" spans="1:43" s="1841" customFormat="1" ht="33" customHeight="1" x14ac:dyDescent="0.2">
      <c r="A43" s="1833"/>
      <c r="B43" s="1834"/>
      <c r="C43" s="1835"/>
      <c r="D43" s="1834"/>
      <c r="E43" s="1834"/>
      <c r="F43" s="1835"/>
      <c r="G43" s="1842"/>
      <c r="H43" s="1834"/>
      <c r="I43" s="1835"/>
      <c r="J43" s="3955"/>
      <c r="K43" s="3941"/>
      <c r="L43" s="3944"/>
      <c r="M43" s="3944"/>
      <c r="N43" s="3944"/>
      <c r="O43" s="3944"/>
      <c r="P43" s="3941"/>
      <c r="Q43" s="3966"/>
      <c r="R43" s="3969"/>
      <c r="S43" s="3941"/>
      <c r="T43" s="3941"/>
      <c r="U43" s="3964"/>
      <c r="V43" s="1839">
        <v>3500000</v>
      </c>
      <c r="W43" s="1840">
        <v>98</v>
      </c>
      <c r="X43" s="3944"/>
      <c r="Y43" s="3953"/>
      <c r="Z43" s="3953"/>
      <c r="AA43" s="3958"/>
      <c r="AB43" s="3961"/>
      <c r="AC43" s="3978"/>
      <c r="AD43" s="3961"/>
      <c r="AE43" s="3961"/>
      <c r="AF43" s="3961"/>
      <c r="AG43" s="3961"/>
      <c r="AH43" s="3961"/>
      <c r="AI43" s="3961"/>
      <c r="AJ43" s="3978"/>
      <c r="AK43" s="3961"/>
      <c r="AL43" s="3961"/>
      <c r="AM43" s="3978"/>
      <c r="AN43" s="3981"/>
      <c r="AO43" s="3972"/>
      <c r="AP43" s="3972"/>
      <c r="AQ43" s="3975"/>
    </row>
    <row r="44" spans="1:43" s="1841" customFormat="1" ht="33" customHeight="1" x14ac:dyDescent="0.2">
      <c r="A44" s="1833"/>
      <c r="B44" s="1834"/>
      <c r="C44" s="1835"/>
      <c r="D44" s="1834"/>
      <c r="E44" s="1834"/>
      <c r="F44" s="1835"/>
      <c r="G44" s="1842"/>
      <c r="H44" s="1834"/>
      <c r="I44" s="1835"/>
      <c r="J44" s="3955"/>
      <c r="K44" s="3941"/>
      <c r="L44" s="3944"/>
      <c r="M44" s="3944"/>
      <c r="N44" s="3944"/>
      <c r="O44" s="3944"/>
      <c r="P44" s="3941"/>
      <c r="Q44" s="3966"/>
      <c r="R44" s="3969"/>
      <c r="S44" s="3941"/>
      <c r="T44" s="3941"/>
      <c r="U44" s="3963" t="s">
        <v>1512</v>
      </c>
      <c r="V44" s="1839">
        <v>12000000</v>
      </c>
      <c r="W44" s="1840">
        <v>61</v>
      </c>
      <c r="X44" s="3944"/>
      <c r="Y44" s="3953"/>
      <c r="Z44" s="3953"/>
      <c r="AA44" s="3958"/>
      <c r="AB44" s="3961"/>
      <c r="AC44" s="3978"/>
      <c r="AD44" s="3961"/>
      <c r="AE44" s="3961"/>
      <c r="AF44" s="3961"/>
      <c r="AG44" s="3961"/>
      <c r="AH44" s="3961"/>
      <c r="AI44" s="3961"/>
      <c r="AJ44" s="3978"/>
      <c r="AK44" s="3961"/>
      <c r="AL44" s="3961"/>
      <c r="AM44" s="3978"/>
      <c r="AN44" s="3981"/>
      <c r="AO44" s="3972"/>
      <c r="AP44" s="3972"/>
      <c r="AQ44" s="3975"/>
    </row>
    <row r="45" spans="1:43" s="1841" customFormat="1" ht="28.5" customHeight="1" x14ac:dyDescent="0.2">
      <c r="A45" s="1833"/>
      <c r="B45" s="1834"/>
      <c r="C45" s="1835"/>
      <c r="D45" s="1844"/>
      <c r="E45" s="1844"/>
      <c r="F45" s="1845"/>
      <c r="G45" s="1846"/>
      <c r="H45" s="1844"/>
      <c r="I45" s="1845"/>
      <c r="J45" s="3955"/>
      <c r="K45" s="3942"/>
      <c r="L45" s="3945"/>
      <c r="M45" s="3945"/>
      <c r="N45" s="3945"/>
      <c r="O45" s="3945"/>
      <c r="P45" s="3942"/>
      <c r="Q45" s="3967"/>
      <c r="R45" s="3970"/>
      <c r="S45" s="3942"/>
      <c r="T45" s="3942"/>
      <c r="U45" s="3964"/>
      <c r="V45" s="1839">
        <v>3000000</v>
      </c>
      <c r="W45" s="1840">
        <v>98</v>
      </c>
      <c r="X45" s="3945"/>
      <c r="Y45" s="3954"/>
      <c r="Z45" s="3954"/>
      <c r="AA45" s="3959"/>
      <c r="AB45" s="3962"/>
      <c r="AC45" s="3979"/>
      <c r="AD45" s="3962"/>
      <c r="AE45" s="3962"/>
      <c r="AF45" s="3962"/>
      <c r="AG45" s="3962"/>
      <c r="AH45" s="3962"/>
      <c r="AI45" s="3962"/>
      <c r="AJ45" s="3979"/>
      <c r="AK45" s="3962"/>
      <c r="AL45" s="3962"/>
      <c r="AM45" s="3979"/>
      <c r="AN45" s="3982"/>
      <c r="AO45" s="3973"/>
      <c r="AP45" s="3973"/>
      <c r="AQ45" s="3976"/>
    </row>
    <row r="46" spans="1:43" ht="25.5" customHeight="1" x14ac:dyDescent="0.2">
      <c r="A46" s="1819"/>
      <c r="C46" s="1847"/>
      <c r="D46" s="1848">
        <v>12</v>
      </c>
      <c r="E46" s="1849" t="s">
        <v>1513</v>
      </c>
      <c r="F46" s="1850"/>
      <c r="G46" s="1811"/>
      <c r="H46" s="1811"/>
      <c r="I46" s="1811"/>
      <c r="J46" s="1811"/>
      <c r="K46" s="1812"/>
      <c r="L46" s="1811"/>
      <c r="M46" s="1811"/>
      <c r="N46" s="1813"/>
      <c r="O46" s="1811"/>
      <c r="P46" s="1812"/>
      <c r="Q46" s="1811"/>
      <c r="R46" s="1851"/>
      <c r="S46" s="1812"/>
      <c r="T46" s="1812"/>
      <c r="U46" s="1812"/>
      <c r="V46" s="1852"/>
      <c r="W46" s="1853"/>
      <c r="X46" s="1813"/>
      <c r="Y46" s="1813"/>
      <c r="Z46" s="1813"/>
      <c r="AA46" s="1813"/>
      <c r="AB46" s="1813"/>
      <c r="AC46" s="1813"/>
      <c r="AD46" s="1813"/>
      <c r="AE46" s="1813"/>
      <c r="AF46" s="1813"/>
      <c r="AG46" s="1813"/>
      <c r="AH46" s="1813"/>
      <c r="AI46" s="1813"/>
      <c r="AJ46" s="1813"/>
      <c r="AK46" s="1813"/>
      <c r="AL46" s="1813"/>
      <c r="AM46" s="1813"/>
      <c r="AN46" s="1813"/>
      <c r="AO46" s="1811"/>
      <c r="AP46" s="1811"/>
      <c r="AQ46" s="1818"/>
    </row>
    <row r="47" spans="1:43" ht="26.25" customHeight="1" x14ac:dyDescent="0.2">
      <c r="A47" s="1819"/>
      <c r="B47" s="1820"/>
      <c r="C47" s="1821"/>
      <c r="D47" s="1822"/>
      <c r="E47" s="1822"/>
      <c r="F47" s="1823"/>
      <c r="G47" s="1854">
        <v>36</v>
      </c>
      <c r="H47" s="1825" t="s">
        <v>1514</v>
      </c>
      <c r="I47" s="1825"/>
      <c r="J47" s="1825"/>
      <c r="K47" s="1826"/>
      <c r="L47" s="1825"/>
      <c r="M47" s="1825"/>
      <c r="N47" s="1827"/>
      <c r="O47" s="1825"/>
      <c r="P47" s="1826"/>
      <c r="Q47" s="1825"/>
      <c r="R47" s="1855"/>
      <c r="S47" s="1826"/>
      <c r="T47" s="1826"/>
      <c r="U47" s="1826"/>
      <c r="V47" s="1856"/>
      <c r="W47" s="1857"/>
      <c r="X47" s="1827"/>
      <c r="Y47" s="1827"/>
      <c r="Z47" s="1827"/>
      <c r="AA47" s="1827"/>
      <c r="AB47" s="1827"/>
      <c r="AC47" s="1827"/>
      <c r="AD47" s="1827"/>
      <c r="AE47" s="1827"/>
      <c r="AF47" s="1827"/>
      <c r="AG47" s="1827"/>
      <c r="AH47" s="1827"/>
      <c r="AI47" s="1827"/>
      <c r="AJ47" s="1827"/>
      <c r="AK47" s="1827"/>
      <c r="AL47" s="1827"/>
      <c r="AM47" s="1827"/>
      <c r="AN47" s="1827"/>
      <c r="AO47" s="1825"/>
      <c r="AP47" s="1825"/>
      <c r="AQ47" s="1832"/>
    </row>
    <row r="48" spans="1:43" s="1841" customFormat="1" ht="68.25" customHeight="1" x14ac:dyDescent="0.2">
      <c r="A48" s="1833"/>
      <c r="B48" s="1834"/>
      <c r="C48" s="1835"/>
      <c r="D48" s="1834"/>
      <c r="E48" s="1834"/>
      <c r="F48" s="1835"/>
      <c r="G48" s="1836"/>
      <c r="H48" s="1837"/>
      <c r="I48" s="1838"/>
      <c r="J48" s="3937">
        <v>130</v>
      </c>
      <c r="K48" s="3940" t="s">
        <v>1515</v>
      </c>
      <c r="L48" s="3943" t="s">
        <v>1482</v>
      </c>
      <c r="M48" s="3943">
        <v>1</v>
      </c>
      <c r="N48" s="3943" t="s">
        <v>1516</v>
      </c>
      <c r="O48" s="3943" t="s">
        <v>1517</v>
      </c>
      <c r="P48" s="3940" t="s">
        <v>1518</v>
      </c>
      <c r="Q48" s="3965">
        <f>(V48+V49)/R48</f>
        <v>0.40517241379310343</v>
      </c>
      <c r="R48" s="3968">
        <f>SUM(V48:V53)</f>
        <v>232000000</v>
      </c>
      <c r="S48" s="3940" t="s">
        <v>1519</v>
      </c>
      <c r="T48" s="3940" t="s">
        <v>1520</v>
      </c>
      <c r="U48" s="3963" t="s">
        <v>1521</v>
      </c>
      <c r="V48" s="1858">
        <f>60000000+24000000</f>
        <v>84000000</v>
      </c>
      <c r="W48" s="1840">
        <v>61</v>
      </c>
      <c r="X48" s="3943" t="s">
        <v>1522</v>
      </c>
      <c r="Y48" s="3957">
        <v>292684</v>
      </c>
      <c r="Z48" s="3957">
        <v>282326</v>
      </c>
      <c r="AA48" s="3957">
        <v>135912</v>
      </c>
      <c r="AB48" s="3957">
        <v>45122</v>
      </c>
      <c r="AC48" s="3957">
        <v>307101</v>
      </c>
      <c r="AD48" s="3957">
        <v>86875</v>
      </c>
      <c r="AE48" s="3957">
        <v>2145</v>
      </c>
      <c r="AF48" s="3957">
        <v>12718</v>
      </c>
      <c r="AG48" s="3957">
        <v>26</v>
      </c>
      <c r="AH48" s="3957">
        <v>37</v>
      </c>
      <c r="AI48" s="3957">
        <v>16897</v>
      </c>
      <c r="AJ48" s="3957" t="s">
        <v>1489</v>
      </c>
      <c r="AK48" s="3957">
        <v>53164</v>
      </c>
      <c r="AL48" s="3957">
        <v>16982</v>
      </c>
      <c r="AM48" s="3957">
        <v>60013</v>
      </c>
      <c r="AN48" s="3957">
        <v>575010</v>
      </c>
      <c r="AO48" s="3971">
        <v>43467</v>
      </c>
      <c r="AP48" s="3971">
        <v>43830</v>
      </c>
      <c r="AQ48" s="3974" t="s">
        <v>1490</v>
      </c>
    </row>
    <row r="49" spans="1:43" s="1841" customFormat="1" ht="51.75" customHeight="1" x14ac:dyDescent="0.2">
      <c r="A49" s="1833"/>
      <c r="B49" s="1834"/>
      <c r="C49" s="1835"/>
      <c r="D49" s="1834"/>
      <c r="E49" s="1834"/>
      <c r="F49" s="1835"/>
      <c r="G49" s="1842"/>
      <c r="H49" s="1834"/>
      <c r="I49" s="1835"/>
      <c r="J49" s="3939"/>
      <c r="K49" s="3942"/>
      <c r="L49" s="3945"/>
      <c r="M49" s="3945"/>
      <c r="N49" s="3944"/>
      <c r="O49" s="3944"/>
      <c r="P49" s="3941"/>
      <c r="Q49" s="3967"/>
      <c r="R49" s="3969"/>
      <c r="S49" s="3941"/>
      <c r="T49" s="3942"/>
      <c r="U49" s="3964"/>
      <c r="V49" s="1858">
        <v>10000000</v>
      </c>
      <c r="W49" s="1840">
        <v>98</v>
      </c>
      <c r="X49" s="3944"/>
      <c r="Y49" s="3958"/>
      <c r="Z49" s="3958"/>
      <c r="AA49" s="3958"/>
      <c r="AB49" s="3958"/>
      <c r="AC49" s="3958"/>
      <c r="AD49" s="3958"/>
      <c r="AE49" s="3958"/>
      <c r="AF49" s="3958"/>
      <c r="AG49" s="3958"/>
      <c r="AH49" s="3958"/>
      <c r="AI49" s="3958"/>
      <c r="AJ49" s="3958"/>
      <c r="AK49" s="3958"/>
      <c r="AL49" s="3958"/>
      <c r="AM49" s="3958"/>
      <c r="AN49" s="3958"/>
      <c r="AO49" s="3972"/>
      <c r="AP49" s="3972"/>
      <c r="AQ49" s="3975"/>
    </row>
    <row r="50" spans="1:43" s="1841" customFormat="1" ht="69" customHeight="1" x14ac:dyDescent="0.2">
      <c r="A50" s="1833"/>
      <c r="B50" s="1834"/>
      <c r="C50" s="1835"/>
      <c r="D50" s="1834"/>
      <c r="E50" s="1834"/>
      <c r="F50" s="1835"/>
      <c r="G50" s="1842"/>
      <c r="H50" s="1834"/>
      <c r="I50" s="1835"/>
      <c r="J50" s="3937">
        <v>131</v>
      </c>
      <c r="K50" s="3940" t="s">
        <v>1523</v>
      </c>
      <c r="L50" s="3943" t="s">
        <v>1482</v>
      </c>
      <c r="M50" s="3943">
        <v>5</v>
      </c>
      <c r="N50" s="3944"/>
      <c r="O50" s="3944"/>
      <c r="P50" s="3941"/>
      <c r="Q50" s="3965">
        <f>SUM(V50:V53)/R48</f>
        <v>0.59482758620689657</v>
      </c>
      <c r="R50" s="3969"/>
      <c r="S50" s="3941"/>
      <c r="T50" s="3940" t="s">
        <v>1524</v>
      </c>
      <c r="U50" s="1843" t="s">
        <v>1525</v>
      </c>
      <c r="V50" s="1839">
        <v>28000000</v>
      </c>
      <c r="W50" s="1840">
        <v>61</v>
      </c>
      <c r="X50" s="3944"/>
      <c r="Y50" s="3958"/>
      <c r="Z50" s="3958"/>
      <c r="AA50" s="3958"/>
      <c r="AB50" s="3958"/>
      <c r="AC50" s="3958"/>
      <c r="AD50" s="3958"/>
      <c r="AE50" s="3958"/>
      <c r="AF50" s="3958"/>
      <c r="AG50" s="3958"/>
      <c r="AH50" s="3958"/>
      <c r="AI50" s="3958"/>
      <c r="AJ50" s="3958"/>
      <c r="AK50" s="3958"/>
      <c r="AL50" s="3958"/>
      <c r="AM50" s="3958"/>
      <c r="AN50" s="3958"/>
      <c r="AO50" s="3972"/>
      <c r="AP50" s="3972"/>
      <c r="AQ50" s="3975"/>
    </row>
    <row r="51" spans="1:43" s="1841" customFormat="1" ht="40.5" customHeight="1" x14ac:dyDescent="0.2">
      <c r="A51" s="1833"/>
      <c r="B51" s="1834"/>
      <c r="C51" s="1835"/>
      <c r="D51" s="1834"/>
      <c r="E51" s="1834"/>
      <c r="F51" s="1835"/>
      <c r="G51" s="1842"/>
      <c r="H51" s="1834"/>
      <c r="I51" s="1835"/>
      <c r="J51" s="3938"/>
      <c r="K51" s="3941"/>
      <c r="L51" s="3944"/>
      <c r="M51" s="3944"/>
      <c r="N51" s="3944"/>
      <c r="O51" s="3944"/>
      <c r="P51" s="3941"/>
      <c r="Q51" s="3966"/>
      <c r="R51" s="3969"/>
      <c r="S51" s="3941"/>
      <c r="T51" s="3941"/>
      <c r="U51" s="3963" t="s">
        <v>1526</v>
      </c>
      <c r="V51" s="1839">
        <v>40000000</v>
      </c>
      <c r="W51" s="1840">
        <v>61</v>
      </c>
      <c r="X51" s="3944"/>
      <c r="Y51" s="3958"/>
      <c r="Z51" s="3958"/>
      <c r="AA51" s="3958"/>
      <c r="AB51" s="3958"/>
      <c r="AC51" s="3958"/>
      <c r="AD51" s="3958"/>
      <c r="AE51" s="3958"/>
      <c r="AF51" s="3958"/>
      <c r="AG51" s="3958"/>
      <c r="AH51" s="3958"/>
      <c r="AI51" s="3958"/>
      <c r="AJ51" s="3958"/>
      <c r="AK51" s="3958"/>
      <c r="AL51" s="3958"/>
      <c r="AM51" s="3958"/>
      <c r="AN51" s="3958"/>
      <c r="AO51" s="3972"/>
      <c r="AP51" s="3972"/>
      <c r="AQ51" s="3975"/>
    </row>
    <row r="52" spans="1:43" s="1841" customFormat="1" ht="37.5" customHeight="1" x14ac:dyDescent="0.2">
      <c r="A52" s="1833"/>
      <c r="B52" s="1834"/>
      <c r="C52" s="1835"/>
      <c r="D52" s="1834"/>
      <c r="E52" s="1834"/>
      <c r="F52" s="1835"/>
      <c r="G52" s="1842"/>
      <c r="H52" s="1834"/>
      <c r="I52" s="1835"/>
      <c r="J52" s="3938"/>
      <c r="K52" s="3941"/>
      <c r="L52" s="3944"/>
      <c r="M52" s="3944"/>
      <c r="N52" s="3944"/>
      <c r="O52" s="3944"/>
      <c r="P52" s="3941"/>
      <c r="Q52" s="3966"/>
      <c r="R52" s="3969"/>
      <c r="S52" s="3941"/>
      <c r="T52" s="3941"/>
      <c r="U52" s="3964"/>
      <c r="V52" s="1858">
        <v>10000000</v>
      </c>
      <c r="W52" s="1840">
        <v>98</v>
      </c>
      <c r="X52" s="3944"/>
      <c r="Y52" s="3958"/>
      <c r="Z52" s="3958"/>
      <c r="AA52" s="3958"/>
      <c r="AB52" s="3958"/>
      <c r="AC52" s="3958"/>
      <c r="AD52" s="3958"/>
      <c r="AE52" s="3958"/>
      <c r="AF52" s="3958"/>
      <c r="AG52" s="3958"/>
      <c r="AH52" s="3958"/>
      <c r="AI52" s="3958"/>
      <c r="AJ52" s="3958"/>
      <c r="AK52" s="3958"/>
      <c r="AL52" s="3958"/>
      <c r="AM52" s="3958"/>
      <c r="AN52" s="3958"/>
      <c r="AO52" s="3972"/>
      <c r="AP52" s="3972"/>
      <c r="AQ52" s="3975"/>
    </row>
    <row r="53" spans="1:43" s="1841" customFormat="1" ht="42.75" x14ac:dyDescent="0.2">
      <c r="A53" s="1833"/>
      <c r="B53" s="1834"/>
      <c r="C53" s="1835"/>
      <c r="D53" s="1834"/>
      <c r="E53" s="1834"/>
      <c r="F53" s="1835"/>
      <c r="G53" s="1846"/>
      <c r="H53" s="1844"/>
      <c r="I53" s="1845"/>
      <c r="J53" s="3939"/>
      <c r="K53" s="3942"/>
      <c r="L53" s="3945"/>
      <c r="M53" s="3945"/>
      <c r="N53" s="3945"/>
      <c r="O53" s="3945"/>
      <c r="P53" s="3942"/>
      <c r="Q53" s="3967"/>
      <c r="R53" s="3970"/>
      <c r="S53" s="3942"/>
      <c r="T53" s="3942"/>
      <c r="U53" s="1843" t="s">
        <v>1527</v>
      </c>
      <c r="V53" s="1839">
        <v>60000000</v>
      </c>
      <c r="W53" s="1840">
        <v>61</v>
      </c>
      <c r="X53" s="3945"/>
      <c r="Y53" s="3959"/>
      <c r="Z53" s="3959"/>
      <c r="AA53" s="3959"/>
      <c r="AB53" s="3959"/>
      <c r="AC53" s="3959"/>
      <c r="AD53" s="3959"/>
      <c r="AE53" s="3959"/>
      <c r="AF53" s="3959"/>
      <c r="AG53" s="3959"/>
      <c r="AH53" s="3959"/>
      <c r="AI53" s="3959"/>
      <c r="AJ53" s="3959"/>
      <c r="AK53" s="3959"/>
      <c r="AL53" s="3959"/>
      <c r="AM53" s="3959"/>
      <c r="AN53" s="3959"/>
      <c r="AO53" s="3973"/>
      <c r="AP53" s="3973"/>
      <c r="AQ53" s="3976"/>
    </row>
    <row r="54" spans="1:43" ht="36" customHeight="1" x14ac:dyDescent="0.2">
      <c r="A54" s="1819"/>
      <c r="B54" s="1820"/>
      <c r="C54" s="1821"/>
      <c r="D54" s="1820"/>
      <c r="E54" s="1820"/>
      <c r="F54" s="1821"/>
      <c r="G54" s="1854">
        <v>37</v>
      </c>
      <c r="H54" s="1825" t="s">
        <v>1528</v>
      </c>
      <c r="I54" s="1825"/>
      <c r="J54" s="1825"/>
      <c r="K54" s="1826"/>
      <c r="L54" s="1825"/>
      <c r="M54" s="1825"/>
      <c r="N54" s="1827"/>
      <c r="O54" s="1825"/>
      <c r="P54" s="1826"/>
      <c r="Q54" s="1825"/>
      <c r="R54" s="1855"/>
      <c r="S54" s="1826"/>
      <c r="T54" s="1826"/>
      <c r="U54" s="1826"/>
      <c r="V54" s="1856"/>
      <c r="W54" s="1857"/>
      <c r="X54" s="1827"/>
      <c r="Y54" s="1827"/>
      <c r="Z54" s="1827"/>
      <c r="AA54" s="1827"/>
      <c r="AB54" s="1827"/>
      <c r="AC54" s="1827"/>
      <c r="AD54" s="1827"/>
      <c r="AE54" s="1827"/>
      <c r="AF54" s="1827"/>
      <c r="AG54" s="1827"/>
      <c r="AH54" s="1827"/>
      <c r="AI54" s="1827"/>
      <c r="AJ54" s="1827"/>
      <c r="AK54" s="1827"/>
      <c r="AL54" s="1827"/>
      <c r="AM54" s="1827"/>
      <c r="AN54" s="1827"/>
      <c r="AO54" s="1825"/>
      <c r="AP54" s="1825"/>
      <c r="AQ54" s="1832"/>
    </row>
    <row r="55" spans="1:43" s="1841" customFormat="1" ht="42" customHeight="1" x14ac:dyDescent="0.2">
      <c r="A55" s="1859"/>
      <c r="B55" s="1860"/>
      <c r="C55" s="1861"/>
      <c r="D55" s="1860"/>
      <c r="E55" s="1860"/>
      <c r="F55" s="1861"/>
      <c r="G55" s="1862"/>
      <c r="H55" s="1863"/>
      <c r="I55" s="1864"/>
      <c r="J55" s="3937">
        <v>132</v>
      </c>
      <c r="K55" s="3940" t="s">
        <v>1529</v>
      </c>
      <c r="L55" s="3943" t="s">
        <v>1482</v>
      </c>
      <c r="M55" s="3943">
        <v>8</v>
      </c>
      <c r="N55" s="3943" t="s">
        <v>1530</v>
      </c>
      <c r="O55" s="3943" t="s">
        <v>1531</v>
      </c>
      <c r="P55" s="3940" t="s">
        <v>1532</v>
      </c>
      <c r="Q55" s="3965">
        <f>SUM(V55:V60)/R55</f>
        <v>0.25</v>
      </c>
      <c r="R55" s="3968">
        <f>SUM(V55:V82)</f>
        <v>168000000</v>
      </c>
      <c r="S55" s="3940" t="s">
        <v>1533</v>
      </c>
      <c r="T55" s="3940" t="s">
        <v>1534</v>
      </c>
      <c r="U55" s="3963" t="s">
        <v>1535</v>
      </c>
      <c r="V55" s="1865">
        <v>10000000</v>
      </c>
      <c r="W55" s="1840">
        <v>61</v>
      </c>
      <c r="X55" s="3943" t="s">
        <v>1536</v>
      </c>
      <c r="Y55" s="3952">
        <v>292684</v>
      </c>
      <c r="Z55" s="3952">
        <v>282326</v>
      </c>
      <c r="AA55" s="3952">
        <v>135912</v>
      </c>
      <c r="AB55" s="3952">
        <v>45122</v>
      </c>
      <c r="AC55" s="3952">
        <f>SUM(AC48)</f>
        <v>307101</v>
      </c>
      <c r="AD55" s="3952">
        <f>SUM(AD48)</f>
        <v>86875</v>
      </c>
      <c r="AE55" s="3952">
        <v>2145</v>
      </c>
      <c r="AF55" s="3952">
        <v>12718</v>
      </c>
      <c r="AG55" s="3952">
        <v>1908</v>
      </c>
      <c r="AH55" s="3952">
        <v>37</v>
      </c>
      <c r="AI55" s="3952" t="s">
        <v>1489</v>
      </c>
      <c r="AJ55" s="3952" t="s">
        <v>1489</v>
      </c>
      <c r="AK55" s="3952">
        <v>53164</v>
      </c>
      <c r="AL55" s="3952">
        <v>16982</v>
      </c>
      <c r="AM55" s="3952">
        <v>60013</v>
      </c>
      <c r="AN55" s="3952">
        <v>575010</v>
      </c>
      <c r="AO55" s="3971">
        <v>43467</v>
      </c>
      <c r="AP55" s="3971">
        <v>43830</v>
      </c>
      <c r="AQ55" s="3974" t="s">
        <v>1490</v>
      </c>
    </row>
    <row r="56" spans="1:43" s="1841" customFormat="1" ht="39.75" customHeight="1" x14ac:dyDescent="0.2">
      <c r="A56" s="1859"/>
      <c r="B56" s="1860"/>
      <c r="C56" s="1861"/>
      <c r="D56" s="1860"/>
      <c r="E56" s="1860"/>
      <c r="F56" s="1861"/>
      <c r="G56" s="1866"/>
      <c r="H56" s="1860"/>
      <c r="I56" s="1861"/>
      <c r="J56" s="3938"/>
      <c r="K56" s="3941"/>
      <c r="L56" s="3944"/>
      <c r="M56" s="3944"/>
      <c r="N56" s="3944"/>
      <c r="O56" s="3944"/>
      <c r="P56" s="3941"/>
      <c r="Q56" s="3966"/>
      <c r="R56" s="3969"/>
      <c r="S56" s="3941"/>
      <c r="T56" s="3941"/>
      <c r="U56" s="3964"/>
      <c r="V56" s="1865">
        <v>7000000</v>
      </c>
      <c r="W56" s="1840">
        <v>98</v>
      </c>
      <c r="X56" s="3944"/>
      <c r="Y56" s="3953"/>
      <c r="Z56" s="3953"/>
      <c r="AA56" s="3953"/>
      <c r="AB56" s="3953"/>
      <c r="AC56" s="3953"/>
      <c r="AD56" s="3953"/>
      <c r="AE56" s="3953"/>
      <c r="AF56" s="3953"/>
      <c r="AG56" s="3953"/>
      <c r="AH56" s="3953"/>
      <c r="AI56" s="3953"/>
      <c r="AJ56" s="3953"/>
      <c r="AK56" s="3953"/>
      <c r="AL56" s="3953"/>
      <c r="AM56" s="3953"/>
      <c r="AN56" s="3953"/>
      <c r="AO56" s="3972"/>
      <c r="AP56" s="3972"/>
      <c r="AQ56" s="3975"/>
    </row>
    <row r="57" spans="1:43" s="1841" customFormat="1" ht="29.25" customHeight="1" x14ac:dyDescent="0.2">
      <c r="A57" s="1859"/>
      <c r="B57" s="1860"/>
      <c r="C57" s="1861"/>
      <c r="D57" s="1860"/>
      <c r="E57" s="1860"/>
      <c r="F57" s="1861"/>
      <c r="G57" s="1866"/>
      <c r="H57" s="1860"/>
      <c r="I57" s="1861"/>
      <c r="J57" s="3938"/>
      <c r="K57" s="3941"/>
      <c r="L57" s="3944"/>
      <c r="M57" s="3944"/>
      <c r="N57" s="3944"/>
      <c r="O57" s="3944"/>
      <c r="P57" s="3941"/>
      <c r="Q57" s="3966"/>
      <c r="R57" s="3969"/>
      <c r="S57" s="3941"/>
      <c r="T57" s="3941"/>
      <c r="U57" s="3963" t="s">
        <v>1537</v>
      </c>
      <c r="V57" s="1865">
        <v>10000000</v>
      </c>
      <c r="W57" s="1840">
        <v>61</v>
      </c>
      <c r="X57" s="3944"/>
      <c r="Y57" s="3953"/>
      <c r="Z57" s="3953"/>
      <c r="AA57" s="3953"/>
      <c r="AB57" s="3953"/>
      <c r="AC57" s="3953"/>
      <c r="AD57" s="3953"/>
      <c r="AE57" s="3953"/>
      <c r="AF57" s="3953"/>
      <c r="AG57" s="3953"/>
      <c r="AH57" s="3953"/>
      <c r="AI57" s="3953"/>
      <c r="AJ57" s="3953"/>
      <c r="AK57" s="3953"/>
      <c r="AL57" s="3953"/>
      <c r="AM57" s="3953"/>
      <c r="AN57" s="3953"/>
      <c r="AO57" s="3972"/>
      <c r="AP57" s="3972"/>
      <c r="AQ57" s="3975"/>
    </row>
    <row r="58" spans="1:43" s="1841" customFormat="1" ht="33" customHeight="1" x14ac:dyDescent="0.2">
      <c r="A58" s="1859"/>
      <c r="B58" s="1860"/>
      <c r="C58" s="1861"/>
      <c r="D58" s="1860"/>
      <c r="E58" s="1860"/>
      <c r="F58" s="1861"/>
      <c r="G58" s="1866"/>
      <c r="H58" s="1860"/>
      <c r="I58" s="1861"/>
      <c r="J58" s="3938"/>
      <c r="K58" s="3941"/>
      <c r="L58" s="3944"/>
      <c r="M58" s="3944"/>
      <c r="N58" s="3944"/>
      <c r="O58" s="3944"/>
      <c r="P58" s="3941"/>
      <c r="Q58" s="3966"/>
      <c r="R58" s="3969"/>
      <c r="S58" s="3941"/>
      <c r="T58" s="3941"/>
      <c r="U58" s="3964"/>
      <c r="V58" s="1865">
        <v>7000000</v>
      </c>
      <c r="W58" s="1840">
        <v>98</v>
      </c>
      <c r="X58" s="3944"/>
      <c r="Y58" s="3953"/>
      <c r="Z58" s="3953"/>
      <c r="AA58" s="3953"/>
      <c r="AB58" s="3953"/>
      <c r="AC58" s="3953"/>
      <c r="AD58" s="3953"/>
      <c r="AE58" s="3953"/>
      <c r="AF58" s="3953"/>
      <c r="AG58" s="3953"/>
      <c r="AH58" s="3953"/>
      <c r="AI58" s="3953"/>
      <c r="AJ58" s="3953"/>
      <c r="AK58" s="3953"/>
      <c r="AL58" s="3953"/>
      <c r="AM58" s="3953"/>
      <c r="AN58" s="3953"/>
      <c r="AO58" s="3972"/>
      <c r="AP58" s="3972"/>
      <c r="AQ58" s="3975"/>
    </row>
    <row r="59" spans="1:43" s="1841" customFormat="1" ht="71.25" x14ac:dyDescent="0.2">
      <c r="A59" s="1859"/>
      <c r="B59" s="1860"/>
      <c r="C59" s="1861"/>
      <c r="D59" s="1860"/>
      <c r="E59" s="1860"/>
      <c r="F59" s="1861"/>
      <c r="G59" s="1866"/>
      <c r="H59" s="1860"/>
      <c r="I59" s="1861"/>
      <c r="J59" s="3938"/>
      <c r="K59" s="3941"/>
      <c r="L59" s="3944"/>
      <c r="M59" s="3944"/>
      <c r="N59" s="3944"/>
      <c r="O59" s="3944"/>
      <c r="P59" s="3941"/>
      <c r="Q59" s="3966"/>
      <c r="R59" s="3969"/>
      <c r="S59" s="3941"/>
      <c r="T59" s="3941"/>
      <c r="U59" s="1843" t="s">
        <v>1538</v>
      </c>
      <c r="V59" s="1865">
        <v>2000000</v>
      </c>
      <c r="W59" s="1840">
        <v>61</v>
      </c>
      <c r="X59" s="3944"/>
      <c r="Y59" s="3953"/>
      <c r="Z59" s="3953"/>
      <c r="AA59" s="3953"/>
      <c r="AB59" s="3953"/>
      <c r="AC59" s="3953"/>
      <c r="AD59" s="3953"/>
      <c r="AE59" s="3953"/>
      <c r="AF59" s="3953"/>
      <c r="AG59" s="3953"/>
      <c r="AH59" s="3953"/>
      <c r="AI59" s="3953"/>
      <c r="AJ59" s="3953"/>
      <c r="AK59" s="3953"/>
      <c r="AL59" s="3953"/>
      <c r="AM59" s="3953"/>
      <c r="AN59" s="3953"/>
      <c r="AO59" s="3972"/>
      <c r="AP59" s="3972"/>
      <c r="AQ59" s="3975"/>
    </row>
    <row r="60" spans="1:43" s="1841" customFormat="1" ht="57" x14ac:dyDescent="0.2">
      <c r="A60" s="1859"/>
      <c r="B60" s="1860"/>
      <c r="C60" s="1861"/>
      <c r="D60" s="1860"/>
      <c r="E60" s="1860"/>
      <c r="F60" s="1861"/>
      <c r="G60" s="1866"/>
      <c r="H60" s="1860"/>
      <c r="I60" s="1861"/>
      <c r="J60" s="3939"/>
      <c r="K60" s="3942"/>
      <c r="L60" s="3945"/>
      <c r="M60" s="3945"/>
      <c r="N60" s="3944"/>
      <c r="O60" s="3944"/>
      <c r="P60" s="3941"/>
      <c r="Q60" s="3967"/>
      <c r="R60" s="3969"/>
      <c r="S60" s="3941"/>
      <c r="T60" s="3941"/>
      <c r="U60" s="1843" t="s">
        <v>1539</v>
      </c>
      <c r="V60" s="1865">
        <v>6000000</v>
      </c>
      <c r="W60" s="1840">
        <v>61</v>
      </c>
      <c r="X60" s="3944"/>
      <c r="Y60" s="3953"/>
      <c r="Z60" s="3953"/>
      <c r="AA60" s="3953"/>
      <c r="AB60" s="3953"/>
      <c r="AC60" s="3953"/>
      <c r="AD60" s="3953"/>
      <c r="AE60" s="3953"/>
      <c r="AF60" s="3953"/>
      <c r="AG60" s="3953"/>
      <c r="AH60" s="3953"/>
      <c r="AI60" s="3953"/>
      <c r="AJ60" s="3953"/>
      <c r="AK60" s="3953"/>
      <c r="AL60" s="3953"/>
      <c r="AM60" s="3953"/>
      <c r="AN60" s="3953"/>
      <c r="AO60" s="3972"/>
      <c r="AP60" s="3972"/>
      <c r="AQ60" s="3975"/>
    </row>
    <row r="61" spans="1:43" s="1841" customFormat="1" ht="42.75" x14ac:dyDescent="0.2">
      <c r="A61" s="1859"/>
      <c r="B61" s="1860"/>
      <c r="C61" s="1861"/>
      <c r="D61" s="1860"/>
      <c r="E61" s="1860"/>
      <c r="F61" s="1861"/>
      <c r="G61" s="1866"/>
      <c r="H61" s="1860"/>
      <c r="I61" s="1861"/>
      <c r="J61" s="3938">
        <v>133</v>
      </c>
      <c r="K61" s="3941" t="s">
        <v>1540</v>
      </c>
      <c r="L61" s="3944" t="s">
        <v>17</v>
      </c>
      <c r="M61" s="3944">
        <v>12</v>
      </c>
      <c r="N61" s="3944"/>
      <c r="O61" s="3944"/>
      <c r="P61" s="3941"/>
      <c r="Q61" s="3277">
        <f>SUM(V61:V65)/R55</f>
        <v>0.16666666666666666</v>
      </c>
      <c r="R61" s="3969"/>
      <c r="S61" s="3941"/>
      <c r="T61" s="3941"/>
      <c r="U61" s="1843" t="s">
        <v>1541</v>
      </c>
      <c r="V61" s="1867">
        <v>8000000</v>
      </c>
      <c r="W61" s="1840">
        <v>61</v>
      </c>
      <c r="X61" s="3944"/>
      <c r="Y61" s="3953"/>
      <c r="Z61" s="3953"/>
      <c r="AA61" s="3953"/>
      <c r="AB61" s="3953"/>
      <c r="AC61" s="3953"/>
      <c r="AD61" s="3953"/>
      <c r="AE61" s="3953"/>
      <c r="AF61" s="3953"/>
      <c r="AG61" s="3953"/>
      <c r="AH61" s="3953"/>
      <c r="AI61" s="3953"/>
      <c r="AJ61" s="3953"/>
      <c r="AK61" s="3953"/>
      <c r="AL61" s="3953"/>
      <c r="AM61" s="3953"/>
      <c r="AN61" s="3953"/>
      <c r="AO61" s="3972"/>
      <c r="AP61" s="3972"/>
      <c r="AQ61" s="3975"/>
    </row>
    <row r="62" spans="1:43" s="1841" customFormat="1" ht="76.5" customHeight="1" x14ac:dyDescent="0.2">
      <c r="A62" s="1859"/>
      <c r="B62" s="1860"/>
      <c r="C62" s="1861"/>
      <c r="D62" s="1860"/>
      <c r="E62" s="1860"/>
      <c r="F62" s="1861"/>
      <c r="G62" s="1866"/>
      <c r="H62" s="1860"/>
      <c r="I62" s="1861"/>
      <c r="J62" s="3938"/>
      <c r="K62" s="3941"/>
      <c r="L62" s="3944"/>
      <c r="M62" s="3944"/>
      <c r="N62" s="3944"/>
      <c r="O62" s="3944"/>
      <c r="P62" s="3941"/>
      <c r="Q62" s="3278"/>
      <c r="R62" s="3969"/>
      <c r="S62" s="3941"/>
      <c r="T62" s="3941"/>
      <c r="U62" s="1843" t="s">
        <v>1542</v>
      </c>
      <c r="V62" s="1867">
        <v>10000000</v>
      </c>
      <c r="W62" s="1840">
        <v>61</v>
      </c>
      <c r="X62" s="3944"/>
      <c r="Y62" s="3953"/>
      <c r="Z62" s="3953"/>
      <c r="AA62" s="3953"/>
      <c r="AB62" s="3953"/>
      <c r="AC62" s="3953"/>
      <c r="AD62" s="3953"/>
      <c r="AE62" s="3953"/>
      <c r="AF62" s="3953"/>
      <c r="AG62" s="3953"/>
      <c r="AH62" s="3953"/>
      <c r="AI62" s="3953"/>
      <c r="AJ62" s="3953"/>
      <c r="AK62" s="3953"/>
      <c r="AL62" s="3953"/>
      <c r="AM62" s="3953"/>
      <c r="AN62" s="3953"/>
      <c r="AO62" s="3972"/>
      <c r="AP62" s="3972"/>
      <c r="AQ62" s="3975"/>
    </row>
    <row r="63" spans="1:43" s="1841" customFormat="1" ht="118.5" customHeight="1" x14ac:dyDescent="0.2">
      <c r="A63" s="1859"/>
      <c r="B63" s="1860"/>
      <c r="C63" s="1861"/>
      <c r="D63" s="1860"/>
      <c r="E63" s="1860"/>
      <c r="F63" s="1861"/>
      <c r="G63" s="1866"/>
      <c r="H63" s="1860"/>
      <c r="I63" s="1861"/>
      <c r="J63" s="3938"/>
      <c r="K63" s="3941"/>
      <c r="L63" s="3944"/>
      <c r="M63" s="3944"/>
      <c r="N63" s="3944"/>
      <c r="O63" s="3944"/>
      <c r="P63" s="3941"/>
      <c r="Q63" s="3278"/>
      <c r="R63" s="3969"/>
      <c r="S63" s="3941"/>
      <c r="T63" s="3941"/>
      <c r="U63" s="1843" t="s">
        <v>1543</v>
      </c>
      <c r="V63" s="1867">
        <v>2000000</v>
      </c>
      <c r="W63" s="1840">
        <v>61</v>
      </c>
      <c r="X63" s="3944"/>
      <c r="Y63" s="3953"/>
      <c r="Z63" s="3953"/>
      <c r="AA63" s="3953"/>
      <c r="AB63" s="3953"/>
      <c r="AC63" s="3953"/>
      <c r="AD63" s="3953"/>
      <c r="AE63" s="3953"/>
      <c r="AF63" s="3953"/>
      <c r="AG63" s="3953"/>
      <c r="AH63" s="3953"/>
      <c r="AI63" s="3953"/>
      <c r="AJ63" s="3953"/>
      <c r="AK63" s="3953"/>
      <c r="AL63" s="3953"/>
      <c r="AM63" s="3953"/>
      <c r="AN63" s="3953"/>
      <c r="AO63" s="3972"/>
      <c r="AP63" s="3972"/>
      <c r="AQ63" s="3975"/>
    </row>
    <row r="64" spans="1:43" s="1841" customFormat="1" ht="42.75" x14ac:dyDescent="0.2">
      <c r="A64" s="1859"/>
      <c r="B64" s="1860"/>
      <c r="C64" s="1861"/>
      <c r="D64" s="1860"/>
      <c r="E64" s="1860"/>
      <c r="F64" s="1861"/>
      <c r="G64" s="1866"/>
      <c r="H64" s="1860"/>
      <c r="I64" s="1861"/>
      <c r="J64" s="3938"/>
      <c r="K64" s="3941"/>
      <c r="L64" s="3944"/>
      <c r="M64" s="3944"/>
      <c r="N64" s="3944"/>
      <c r="O64" s="3944"/>
      <c r="P64" s="3941"/>
      <c r="Q64" s="3278"/>
      <c r="R64" s="3969"/>
      <c r="S64" s="3941"/>
      <c r="T64" s="3941"/>
      <c r="U64" s="1843" t="s">
        <v>1544</v>
      </c>
      <c r="V64" s="1867">
        <v>4000000</v>
      </c>
      <c r="W64" s="1840">
        <v>61</v>
      </c>
      <c r="X64" s="3944"/>
      <c r="Y64" s="3953"/>
      <c r="Z64" s="3953"/>
      <c r="AA64" s="3953"/>
      <c r="AB64" s="3953"/>
      <c r="AC64" s="3953"/>
      <c r="AD64" s="3953"/>
      <c r="AE64" s="3953"/>
      <c r="AF64" s="3953"/>
      <c r="AG64" s="3953"/>
      <c r="AH64" s="3953"/>
      <c r="AI64" s="3953"/>
      <c r="AJ64" s="3953"/>
      <c r="AK64" s="3953"/>
      <c r="AL64" s="3953"/>
      <c r="AM64" s="3953"/>
      <c r="AN64" s="3953"/>
      <c r="AO64" s="3972"/>
      <c r="AP64" s="3972"/>
      <c r="AQ64" s="3975"/>
    </row>
    <row r="65" spans="1:43" s="1841" customFormat="1" ht="75" customHeight="1" x14ac:dyDescent="0.2">
      <c r="A65" s="1859"/>
      <c r="B65" s="1860"/>
      <c r="C65" s="1861"/>
      <c r="D65" s="1860"/>
      <c r="E65" s="1860"/>
      <c r="F65" s="1861"/>
      <c r="G65" s="1866"/>
      <c r="H65" s="1860"/>
      <c r="I65" s="1861"/>
      <c r="J65" s="3939"/>
      <c r="K65" s="3942"/>
      <c r="L65" s="3945"/>
      <c r="M65" s="3945"/>
      <c r="N65" s="3944"/>
      <c r="O65" s="3944"/>
      <c r="P65" s="3941"/>
      <c r="Q65" s="3279"/>
      <c r="R65" s="3969"/>
      <c r="S65" s="3941"/>
      <c r="T65" s="3942"/>
      <c r="U65" s="1843" t="s">
        <v>1545</v>
      </c>
      <c r="V65" s="1867">
        <v>4000000</v>
      </c>
      <c r="W65" s="1840">
        <v>61</v>
      </c>
      <c r="X65" s="3944"/>
      <c r="Y65" s="3953"/>
      <c r="Z65" s="3953"/>
      <c r="AA65" s="3953"/>
      <c r="AB65" s="3953"/>
      <c r="AC65" s="3953"/>
      <c r="AD65" s="3953"/>
      <c r="AE65" s="3953"/>
      <c r="AF65" s="3953"/>
      <c r="AG65" s="3953"/>
      <c r="AH65" s="3953"/>
      <c r="AI65" s="3953"/>
      <c r="AJ65" s="3953"/>
      <c r="AK65" s="3953"/>
      <c r="AL65" s="3953"/>
      <c r="AM65" s="3953"/>
      <c r="AN65" s="3953"/>
      <c r="AO65" s="3972"/>
      <c r="AP65" s="3972"/>
      <c r="AQ65" s="3975"/>
    </row>
    <row r="66" spans="1:43" s="1841" customFormat="1" ht="69.75" customHeight="1" x14ac:dyDescent="0.2">
      <c r="A66" s="1859"/>
      <c r="B66" s="1860"/>
      <c r="C66" s="1861"/>
      <c r="D66" s="1860"/>
      <c r="E66" s="1860"/>
      <c r="F66" s="1861"/>
      <c r="G66" s="1866"/>
      <c r="H66" s="1860"/>
      <c r="I66" s="1861"/>
      <c r="J66" s="3937">
        <v>134</v>
      </c>
      <c r="K66" s="3940" t="s">
        <v>1546</v>
      </c>
      <c r="L66" s="3943" t="s">
        <v>1482</v>
      </c>
      <c r="M66" s="3943">
        <v>4800</v>
      </c>
      <c r="N66" s="3944"/>
      <c r="O66" s="3944"/>
      <c r="P66" s="3941"/>
      <c r="Q66" s="3965">
        <f>SUM(V66:V77)/R55</f>
        <v>0.39285714285714285</v>
      </c>
      <c r="R66" s="3969"/>
      <c r="S66" s="3941"/>
      <c r="T66" s="3940" t="s">
        <v>1547</v>
      </c>
      <c r="U66" s="1843" t="s">
        <v>1548</v>
      </c>
      <c r="V66" s="1867">
        <v>5000000</v>
      </c>
      <c r="W66" s="1840">
        <v>61</v>
      </c>
      <c r="X66" s="3944"/>
      <c r="Y66" s="3953"/>
      <c r="Z66" s="3953"/>
      <c r="AA66" s="3953"/>
      <c r="AB66" s="3953"/>
      <c r="AC66" s="3953"/>
      <c r="AD66" s="3953"/>
      <c r="AE66" s="3953"/>
      <c r="AF66" s="3953"/>
      <c r="AG66" s="3953"/>
      <c r="AH66" s="3953"/>
      <c r="AI66" s="3953"/>
      <c r="AJ66" s="3953"/>
      <c r="AK66" s="3953"/>
      <c r="AL66" s="3953"/>
      <c r="AM66" s="3953"/>
      <c r="AN66" s="3953"/>
      <c r="AO66" s="3972"/>
      <c r="AP66" s="3972"/>
      <c r="AQ66" s="3975"/>
    </row>
    <row r="67" spans="1:43" s="1841" customFormat="1" ht="54.75" customHeight="1" x14ac:dyDescent="0.2">
      <c r="A67" s="1859"/>
      <c r="B67" s="1860"/>
      <c r="C67" s="1861"/>
      <c r="D67" s="1860"/>
      <c r="E67" s="1860"/>
      <c r="F67" s="1861"/>
      <c r="G67" s="1866"/>
      <c r="H67" s="1860"/>
      <c r="I67" s="1861"/>
      <c r="J67" s="3938"/>
      <c r="K67" s="3941"/>
      <c r="L67" s="3944"/>
      <c r="M67" s="3944"/>
      <c r="N67" s="3944"/>
      <c r="O67" s="3944"/>
      <c r="P67" s="3941"/>
      <c r="Q67" s="3966"/>
      <c r="R67" s="3969"/>
      <c r="S67" s="3941"/>
      <c r="T67" s="3941"/>
      <c r="U67" s="1843" t="s">
        <v>1549</v>
      </c>
      <c r="V67" s="1867">
        <v>5000000</v>
      </c>
      <c r="W67" s="1840">
        <v>61</v>
      </c>
      <c r="X67" s="3944"/>
      <c r="Y67" s="3953"/>
      <c r="Z67" s="3953"/>
      <c r="AA67" s="3953"/>
      <c r="AB67" s="3953"/>
      <c r="AC67" s="3953"/>
      <c r="AD67" s="3953"/>
      <c r="AE67" s="3953"/>
      <c r="AF67" s="3953"/>
      <c r="AG67" s="3953"/>
      <c r="AH67" s="3953"/>
      <c r="AI67" s="3953"/>
      <c r="AJ67" s="3953"/>
      <c r="AK67" s="3953"/>
      <c r="AL67" s="3953"/>
      <c r="AM67" s="3953"/>
      <c r="AN67" s="3953"/>
      <c r="AO67" s="3972"/>
      <c r="AP67" s="3972"/>
      <c r="AQ67" s="3975"/>
    </row>
    <row r="68" spans="1:43" s="1841" customFormat="1" ht="84.75" customHeight="1" x14ac:dyDescent="0.2">
      <c r="A68" s="1859"/>
      <c r="B68" s="1860"/>
      <c r="C68" s="1861"/>
      <c r="D68" s="1860"/>
      <c r="E68" s="1860"/>
      <c r="F68" s="1861"/>
      <c r="G68" s="1866"/>
      <c r="H68" s="1860"/>
      <c r="I68" s="1861"/>
      <c r="J68" s="3938"/>
      <c r="K68" s="3941"/>
      <c r="L68" s="3944"/>
      <c r="M68" s="3944"/>
      <c r="N68" s="3944"/>
      <c r="O68" s="3944"/>
      <c r="P68" s="3941"/>
      <c r="Q68" s="3966"/>
      <c r="R68" s="3969"/>
      <c r="S68" s="3941"/>
      <c r="T68" s="3941"/>
      <c r="U68" s="1843" t="s">
        <v>1550</v>
      </c>
      <c r="V68" s="1867">
        <v>5000000</v>
      </c>
      <c r="W68" s="1840">
        <v>61</v>
      </c>
      <c r="X68" s="3944"/>
      <c r="Y68" s="3953"/>
      <c r="Z68" s="3953"/>
      <c r="AA68" s="3953"/>
      <c r="AB68" s="3953"/>
      <c r="AC68" s="3953"/>
      <c r="AD68" s="3953"/>
      <c r="AE68" s="3953"/>
      <c r="AF68" s="3953"/>
      <c r="AG68" s="3953"/>
      <c r="AH68" s="3953"/>
      <c r="AI68" s="3953"/>
      <c r="AJ68" s="3953"/>
      <c r="AK68" s="3953"/>
      <c r="AL68" s="3953"/>
      <c r="AM68" s="3953"/>
      <c r="AN68" s="3953"/>
      <c r="AO68" s="3972"/>
      <c r="AP68" s="3972"/>
      <c r="AQ68" s="3975"/>
    </row>
    <row r="69" spans="1:43" s="1841" customFormat="1" ht="67.5" customHeight="1" x14ac:dyDescent="0.2">
      <c r="A69" s="1859"/>
      <c r="B69" s="1860"/>
      <c r="C69" s="1861"/>
      <c r="D69" s="1860"/>
      <c r="E69" s="1860"/>
      <c r="F69" s="1861"/>
      <c r="G69" s="1866"/>
      <c r="H69" s="1860"/>
      <c r="I69" s="1861"/>
      <c r="J69" s="3938"/>
      <c r="K69" s="3941"/>
      <c r="L69" s="3944"/>
      <c r="M69" s="3944"/>
      <c r="N69" s="3944"/>
      <c r="O69" s="3944"/>
      <c r="P69" s="3941"/>
      <c r="Q69" s="3966"/>
      <c r="R69" s="3969"/>
      <c r="S69" s="3941"/>
      <c r="T69" s="3941"/>
      <c r="U69" s="1843" t="s">
        <v>1551</v>
      </c>
      <c r="V69" s="1867">
        <v>5000000</v>
      </c>
      <c r="W69" s="1840">
        <v>61</v>
      </c>
      <c r="X69" s="3944"/>
      <c r="Y69" s="3953"/>
      <c r="Z69" s="3953"/>
      <c r="AA69" s="3953"/>
      <c r="AB69" s="3953"/>
      <c r="AC69" s="3953"/>
      <c r="AD69" s="3953"/>
      <c r="AE69" s="3953"/>
      <c r="AF69" s="3953"/>
      <c r="AG69" s="3953"/>
      <c r="AH69" s="3953"/>
      <c r="AI69" s="3953"/>
      <c r="AJ69" s="3953"/>
      <c r="AK69" s="3953"/>
      <c r="AL69" s="3953"/>
      <c r="AM69" s="3953"/>
      <c r="AN69" s="3953"/>
      <c r="AO69" s="3972"/>
      <c r="AP69" s="3972"/>
      <c r="AQ69" s="3975"/>
    </row>
    <row r="70" spans="1:43" s="1841" customFormat="1" ht="42.75" x14ac:dyDescent="0.2">
      <c r="A70" s="1859"/>
      <c r="B70" s="1860"/>
      <c r="C70" s="1861"/>
      <c r="D70" s="1860"/>
      <c r="E70" s="1860"/>
      <c r="F70" s="1861"/>
      <c r="G70" s="1866"/>
      <c r="H70" s="1860"/>
      <c r="I70" s="1861"/>
      <c r="J70" s="3938"/>
      <c r="K70" s="3941"/>
      <c r="L70" s="3944"/>
      <c r="M70" s="3944"/>
      <c r="N70" s="3944"/>
      <c r="O70" s="3944"/>
      <c r="P70" s="3941"/>
      <c r="Q70" s="3966"/>
      <c r="R70" s="3969"/>
      <c r="S70" s="3941"/>
      <c r="T70" s="3941"/>
      <c r="U70" s="1843" t="s">
        <v>1552</v>
      </c>
      <c r="V70" s="1867">
        <v>5000000</v>
      </c>
      <c r="W70" s="1840">
        <v>61</v>
      </c>
      <c r="X70" s="3944"/>
      <c r="Y70" s="3953"/>
      <c r="Z70" s="3953"/>
      <c r="AA70" s="3953"/>
      <c r="AB70" s="3953"/>
      <c r="AC70" s="3953"/>
      <c r="AD70" s="3953"/>
      <c r="AE70" s="3953"/>
      <c r="AF70" s="3953"/>
      <c r="AG70" s="3953"/>
      <c r="AH70" s="3953"/>
      <c r="AI70" s="3953"/>
      <c r="AJ70" s="3953"/>
      <c r="AK70" s="3953"/>
      <c r="AL70" s="3953"/>
      <c r="AM70" s="3953"/>
      <c r="AN70" s="3953"/>
      <c r="AO70" s="3972"/>
      <c r="AP70" s="3972"/>
      <c r="AQ70" s="3975"/>
    </row>
    <row r="71" spans="1:43" s="1841" customFormat="1" ht="28.5" x14ac:dyDescent="0.2">
      <c r="A71" s="1859"/>
      <c r="B71" s="1860"/>
      <c r="C71" s="1861"/>
      <c r="D71" s="1860"/>
      <c r="E71" s="1860"/>
      <c r="F71" s="1861"/>
      <c r="G71" s="1866"/>
      <c r="H71" s="1860"/>
      <c r="I71" s="1861"/>
      <c r="J71" s="3938"/>
      <c r="K71" s="3941"/>
      <c r="L71" s="3944"/>
      <c r="M71" s="3944"/>
      <c r="N71" s="3944"/>
      <c r="O71" s="3944"/>
      <c r="P71" s="3941"/>
      <c r="Q71" s="3966"/>
      <c r="R71" s="3969"/>
      <c r="S71" s="3941"/>
      <c r="T71" s="3941"/>
      <c r="U71" s="1843" t="s">
        <v>1553</v>
      </c>
      <c r="V71" s="1867">
        <v>5000000</v>
      </c>
      <c r="W71" s="1840">
        <v>61</v>
      </c>
      <c r="X71" s="3944"/>
      <c r="Y71" s="3953"/>
      <c r="Z71" s="3953"/>
      <c r="AA71" s="3953"/>
      <c r="AB71" s="3953"/>
      <c r="AC71" s="3953"/>
      <c r="AD71" s="3953"/>
      <c r="AE71" s="3953"/>
      <c r="AF71" s="3953"/>
      <c r="AG71" s="3953"/>
      <c r="AH71" s="3953"/>
      <c r="AI71" s="3953"/>
      <c r="AJ71" s="3953"/>
      <c r="AK71" s="3953"/>
      <c r="AL71" s="3953"/>
      <c r="AM71" s="3953"/>
      <c r="AN71" s="3953"/>
      <c r="AO71" s="3972"/>
      <c r="AP71" s="3972"/>
      <c r="AQ71" s="3975"/>
    </row>
    <row r="72" spans="1:43" s="1841" customFormat="1" ht="42.75" x14ac:dyDescent="0.2">
      <c r="A72" s="1859"/>
      <c r="B72" s="1860"/>
      <c r="C72" s="1861"/>
      <c r="D72" s="1860"/>
      <c r="E72" s="1860"/>
      <c r="F72" s="1861"/>
      <c r="G72" s="1866"/>
      <c r="H72" s="1860"/>
      <c r="I72" s="1861"/>
      <c r="J72" s="3938"/>
      <c r="K72" s="3941"/>
      <c r="L72" s="3944"/>
      <c r="M72" s="3944"/>
      <c r="N72" s="3944"/>
      <c r="O72" s="3944"/>
      <c r="P72" s="3941"/>
      <c r="Q72" s="3966"/>
      <c r="R72" s="3969"/>
      <c r="S72" s="3941"/>
      <c r="T72" s="3941"/>
      <c r="U72" s="1843" t="s">
        <v>1554</v>
      </c>
      <c r="V72" s="1867">
        <v>5000000</v>
      </c>
      <c r="W72" s="1840">
        <v>61</v>
      </c>
      <c r="X72" s="3944"/>
      <c r="Y72" s="3953"/>
      <c r="Z72" s="3953"/>
      <c r="AA72" s="3953"/>
      <c r="AB72" s="3953"/>
      <c r="AC72" s="3953"/>
      <c r="AD72" s="3953"/>
      <c r="AE72" s="3953"/>
      <c r="AF72" s="3953"/>
      <c r="AG72" s="3953"/>
      <c r="AH72" s="3953"/>
      <c r="AI72" s="3953"/>
      <c r="AJ72" s="3953"/>
      <c r="AK72" s="3953"/>
      <c r="AL72" s="3953"/>
      <c r="AM72" s="3953"/>
      <c r="AN72" s="3953"/>
      <c r="AO72" s="3972"/>
      <c r="AP72" s="3972"/>
      <c r="AQ72" s="3975"/>
    </row>
    <row r="73" spans="1:43" s="1841" customFormat="1" ht="42.75" x14ac:dyDescent="0.2">
      <c r="A73" s="1859"/>
      <c r="B73" s="1860"/>
      <c r="C73" s="1861"/>
      <c r="D73" s="1860"/>
      <c r="E73" s="1860"/>
      <c r="F73" s="1861"/>
      <c r="G73" s="1866"/>
      <c r="H73" s="1860"/>
      <c r="I73" s="1861"/>
      <c r="J73" s="3938"/>
      <c r="K73" s="3941"/>
      <c r="L73" s="3944"/>
      <c r="M73" s="3944"/>
      <c r="N73" s="3944"/>
      <c r="O73" s="3944"/>
      <c r="P73" s="3941"/>
      <c r="Q73" s="3966"/>
      <c r="R73" s="3969"/>
      <c r="S73" s="3941"/>
      <c r="T73" s="3941"/>
      <c r="U73" s="1843" t="s">
        <v>1555</v>
      </c>
      <c r="V73" s="1867">
        <v>5000000</v>
      </c>
      <c r="W73" s="1840">
        <v>61</v>
      </c>
      <c r="X73" s="3944"/>
      <c r="Y73" s="3953"/>
      <c r="Z73" s="3953"/>
      <c r="AA73" s="3953"/>
      <c r="AB73" s="3953"/>
      <c r="AC73" s="3953"/>
      <c r="AD73" s="3953"/>
      <c r="AE73" s="3953"/>
      <c r="AF73" s="3953"/>
      <c r="AG73" s="3953"/>
      <c r="AH73" s="3953"/>
      <c r="AI73" s="3953"/>
      <c r="AJ73" s="3953"/>
      <c r="AK73" s="3953"/>
      <c r="AL73" s="3953"/>
      <c r="AM73" s="3953"/>
      <c r="AN73" s="3953"/>
      <c r="AO73" s="3972"/>
      <c r="AP73" s="3972"/>
      <c r="AQ73" s="3975"/>
    </row>
    <row r="74" spans="1:43" s="1841" customFormat="1" ht="60" customHeight="1" x14ac:dyDescent="0.2">
      <c r="A74" s="1859"/>
      <c r="B74" s="1860"/>
      <c r="C74" s="1861"/>
      <c r="D74" s="1860"/>
      <c r="E74" s="1860"/>
      <c r="F74" s="1861"/>
      <c r="G74" s="1866"/>
      <c r="H74" s="1860"/>
      <c r="I74" s="1861"/>
      <c r="J74" s="3938"/>
      <c r="K74" s="3941"/>
      <c r="L74" s="3944"/>
      <c r="M74" s="3944"/>
      <c r="N74" s="3944"/>
      <c r="O74" s="3944"/>
      <c r="P74" s="3941"/>
      <c r="Q74" s="3966"/>
      <c r="R74" s="3969"/>
      <c r="S74" s="3941"/>
      <c r="T74" s="3941"/>
      <c r="U74" s="1843" t="s">
        <v>1556</v>
      </c>
      <c r="V74" s="1867">
        <v>5000000</v>
      </c>
      <c r="W74" s="1840">
        <v>61</v>
      </c>
      <c r="X74" s="3944"/>
      <c r="Y74" s="3953"/>
      <c r="Z74" s="3953"/>
      <c r="AA74" s="3953"/>
      <c r="AB74" s="3953"/>
      <c r="AC74" s="3953"/>
      <c r="AD74" s="3953"/>
      <c r="AE74" s="3953"/>
      <c r="AF74" s="3953"/>
      <c r="AG74" s="3953"/>
      <c r="AH74" s="3953"/>
      <c r="AI74" s="3953"/>
      <c r="AJ74" s="3953"/>
      <c r="AK74" s="3953"/>
      <c r="AL74" s="3953"/>
      <c r="AM74" s="3953"/>
      <c r="AN74" s="3953"/>
      <c r="AO74" s="3972"/>
      <c r="AP74" s="3972"/>
      <c r="AQ74" s="3975"/>
    </row>
    <row r="75" spans="1:43" s="1841" customFormat="1" ht="42.75" x14ac:dyDescent="0.2">
      <c r="A75" s="1859"/>
      <c r="B75" s="1860"/>
      <c r="C75" s="1861"/>
      <c r="D75" s="1860"/>
      <c r="E75" s="1860"/>
      <c r="F75" s="1861"/>
      <c r="G75" s="1866"/>
      <c r="H75" s="1860"/>
      <c r="I75" s="1861"/>
      <c r="J75" s="3938"/>
      <c r="K75" s="3941"/>
      <c r="L75" s="3944"/>
      <c r="M75" s="3944"/>
      <c r="N75" s="3944"/>
      <c r="O75" s="3944"/>
      <c r="P75" s="3941"/>
      <c r="Q75" s="3966"/>
      <c r="R75" s="3969"/>
      <c r="S75" s="3941"/>
      <c r="T75" s="3941"/>
      <c r="U75" s="1843" t="s">
        <v>1550</v>
      </c>
      <c r="V75" s="1867">
        <v>5000000</v>
      </c>
      <c r="W75" s="1840">
        <v>61</v>
      </c>
      <c r="X75" s="3944"/>
      <c r="Y75" s="3953"/>
      <c r="Z75" s="3953"/>
      <c r="AA75" s="3953"/>
      <c r="AB75" s="3953"/>
      <c r="AC75" s="3953"/>
      <c r="AD75" s="3953"/>
      <c r="AE75" s="3953"/>
      <c r="AF75" s="3953"/>
      <c r="AG75" s="3953"/>
      <c r="AH75" s="3953"/>
      <c r="AI75" s="3953"/>
      <c r="AJ75" s="3953"/>
      <c r="AK75" s="3953"/>
      <c r="AL75" s="3953"/>
      <c r="AM75" s="3953"/>
      <c r="AN75" s="3953"/>
      <c r="AO75" s="3972"/>
      <c r="AP75" s="3972"/>
      <c r="AQ75" s="3975"/>
    </row>
    <row r="76" spans="1:43" s="1841" customFormat="1" ht="57" customHeight="1" x14ac:dyDescent="0.2">
      <c r="A76" s="1859"/>
      <c r="B76" s="1860"/>
      <c r="C76" s="1861"/>
      <c r="D76" s="1860"/>
      <c r="E76" s="1860"/>
      <c r="F76" s="1861"/>
      <c r="G76" s="1866"/>
      <c r="H76" s="1860"/>
      <c r="I76" s="1861"/>
      <c r="J76" s="3938"/>
      <c r="K76" s="3941"/>
      <c r="L76" s="3944"/>
      <c r="M76" s="3944"/>
      <c r="N76" s="3944"/>
      <c r="O76" s="3944"/>
      <c r="P76" s="3941"/>
      <c r="Q76" s="3966"/>
      <c r="R76" s="3969"/>
      <c r="S76" s="3941"/>
      <c r="T76" s="3941"/>
      <c r="U76" s="1843" t="s">
        <v>1549</v>
      </c>
      <c r="V76" s="1867">
        <v>5000000</v>
      </c>
      <c r="W76" s="1840">
        <v>61</v>
      </c>
      <c r="X76" s="3944"/>
      <c r="Y76" s="3953"/>
      <c r="Z76" s="3953"/>
      <c r="AA76" s="3953"/>
      <c r="AB76" s="3953"/>
      <c r="AC76" s="3953"/>
      <c r="AD76" s="3953"/>
      <c r="AE76" s="3953"/>
      <c r="AF76" s="3953"/>
      <c r="AG76" s="3953"/>
      <c r="AH76" s="3953"/>
      <c r="AI76" s="3953"/>
      <c r="AJ76" s="3953"/>
      <c r="AK76" s="3953"/>
      <c r="AL76" s="3953"/>
      <c r="AM76" s="3953"/>
      <c r="AN76" s="3953"/>
      <c r="AO76" s="3972"/>
      <c r="AP76" s="3972"/>
      <c r="AQ76" s="3975"/>
    </row>
    <row r="77" spans="1:43" s="1841" customFormat="1" ht="57" customHeight="1" x14ac:dyDescent="0.2">
      <c r="A77" s="1859"/>
      <c r="B77" s="1860"/>
      <c r="C77" s="1861"/>
      <c r="D77" s="1860"/>
      <c r="E77" s="1860"/>
      <c r="F77" s="1861"/>
      <c r="G77" s="1866"/>
      <c r="H77" s="1860"/>
      <c r="I77" s="1861"/>
      <c r="J77" s="3939"/>
      <c r="K77" s="3942"/>
      <c r="L77" s="3945"/>
      <c r="M77" s="3945"/>
      <c r="N77" s="3944"/>
      <c r="O77" s="3944"/>
      <c r="P77" s="3941"/>
      <c r="Q77" s="3967"/>
      <c r="R77" s="3969"/>
      <c r="S77" s="3941"/>
      <c r="T77" s="3941"/>
      <c r="U77" s="1843" t="s">
        <v>1557</v>
      </c>
      <c r="V77" s="1865">
        <f>5000000+6000000</f>
        <v>11000000</v>
      </c>
      <c r="W77" s="1840">
        <v>61</v>
      </c>
      <c r="X77" s="3944"/>
      <c r="Y77" s="3953"/>
      <c r="Z77" s="3953"/>
      <c r="AA77" s="3953"/>
      <c r="AB77" s="3953"/>
      <c r="AC77" s="3953"/>
      <c r="AD77" s="3953"/>
      <c r="AE77" s="3953"/>
      <c r="AF77" s="3953"/>
      <c r="AG77" s="3953"/>
      <c r="AH77" s="3953"/>
      <c r="AI77" s="3953"/>
      <c r="AJ77" s="3953"/>
      <c r="AK77" s="3953"/>
      <c r="AL77" s="3953"/>
      <c r="AM77" s="3953"/>
      <c r="AN77" s="3953"/>
      <c r="AO77" s="3972"/>
      <c r="AP77" s="3972"/>
      <c r="AQ77" s="3975"/>
    </row>
    <row r="78" spans="1:43" s="1841" customFormat="1" ht="103.5" customHeight="1" x14ac:dyDescent="0.2">
      <c r="A78" s="1859"/>
      <c r="B78" s="1860"/>
      <c r="C78" s="1861"/>
      <c r="D78" s="1860"/>
      <c r="E78" s="1860"/>
      <c r="F78" s="1861"/>
      <c r="G78" s="1866"/>
      <c r="H78" s="1860"/>
      <c r="I78" s="1861"/>
      <c r="J78" s="3937">
        <v>135</v>
      </c>
      <c r="K78" s="3940" t="s">
        <v>1558</v>
      </c>
      <c r="L78" s="3943" t="s">
        <v>1482</v>
      </c>
      <c r="M78" s="3943">
        <v>12</v>
      </c>
      <c r="N78" s="3944"/>
      <c r="O78" s="3944"/>
      <c r="P78" s="3941"/>
      <c r="Q78" s="3965">
        <f>SUM(V78:V82)/R55</f>
        <v>0.19047619047619047</v>
      </c>
      <c r="R78" s="3969"/>
      <c r="S78" s="3941"/>
      <c r="T78" s="3941"/>
      <c r="U78" s="1843" t="s">
        <v>1559</v>
      </c>
      <c r="V78" s="1867">
        <v>8000000</v>
      </c>
      <c r="W78" s="1840">
        <v>61</v>
      </c>
      <c r="X78" s="3944"/>
      <c r="Y78" s="3953"/>
      <c r="Z78" s="3953"/>
      <c r="AA78" s="3953"/>
      <c r="AB78" s="3953"/>
      <c r="AC78" s="3953"/>
      <c r="AD78" s="3953"/>
      <c r="AE78" s="3953"/>
      <c r="AF78" s="3953"/>
      <c r="AG78" s="3953"/>
      <c r="AH78" s="3953"/>
      <c r="AI78" s="3953"/>
      <c r="AJ78" s="3953"/>
      <c r="AK78" s="3953"/>
      <c r="AL78" s="3953"/>
      <c r="AM78" s="3953"/>
      <c r="AN78" s="3953"/>
      <c r="AO78" s="3972"/>
      <c r="AP78" s="3972"/>
      <c r="AQ78" s="3975"/>
    </row>
    <row r="79" spans="1:43" s="1841" customFormat="1" ht="96" customHeight="1" x14ac:dyDescent="0.2">
      <c r="A79" s="1859"/>
      <c r="B79" s="1860"/>
      <c r="C79" s="1861"/>
      <c r="D79" s="1860"/>
      <c r="E79" s="1860"/>
      <c r="F79" s="1861"/>
      <c r="G79" s="1866"/>
      <c r="H79" s="1860"/>
      <c r="I79" s="1861"/>
      <c r="J79" s="3938"/>
      <c r="K79" s="3941"/>
      <c r="L79" s="3944"/>
      <c r="M79" s="3944"/>
      <c r="N79" s="3944"/>
      <c r="O79" s="3944"/>
      <c r="P79" s="3941"/>
      <c r="Q79" s="3966"/>
      <c r="R79" s="3969"/>
      <c r="S79" s="3941"/>
      <c r="T79" s="3941"/>
      <c r="U79" s="1843" t="s">
        <v>1560</v>
      </c>
      <c r="V79" s="1867">
        <v>10000000</v>
      </c>
      <c r="W79" s="1840">
        <v>61</v>
      </c>
      <c r="X79" s="3944"/>
      <c r="Y79" s="3953"/>
      <c r="Z79" s="3953"/>
      <c r="AA79" s="3953"/>
      <c r="AB79" s="3953"/>
      <c r="AC79" s="3953"/>
      <c r="AD79" s="3953"/>
      <c r="AE79" s="3953"/>
      <c r="AF79" s="3953"/>
      <c r="AG79" s="3953"/>
      <c r="AH79" s="3953"/>
      <c r="AI79" s="3953"/>
      <c r="AJ79" s="3953"/>
      <c r="AK79" s="3953"/>
      <c r="AL79" s="3953"/>
      <c r="AM79" s="3953"/>
      <c r="AN79" s="3953"/>
      <c r="AO79" s="3972"/>
      <c r="AP79" s="3972"/>
      <c r="AQ79" s="3975"/>
    </row>
    <row r="80" spans="1:43" s="1841" customFormat="1" ht="72" customHeight="1" x14ac:dyDescent="0.2">
      <c r="A80" s="1859"/>
      <c r="B80" s="1860"/>
      <c r="C80" s="1861"/>
      <c r="D80" s="1860"/>
      <c r="E80" s="1860"/>
      <c r="F80" s="1861"/>
      <c r="G80" s="1866"/>
      <c r="H80" s="1860"/>
      <c r="I80" s="1861"/>
      <c r="J80" s="3938"/>
      <c r="K80" s="3941"/>
      <c r="L80" s="3944"/>
      <c r="M80" s="3944"/>
      <c r="N80" s="3944"/>
      <c r="O80" s="3944"/>
      <c r="P80" s="3941"/>
      <c r="Q80" s="3966"/>
      <c r="R80" s="3969"/>
      <c r="S80" s="3941"/>
      <c r="T80" s="3941"/>
      <c r="U80" s="1843" t="s">
        <v>1561</v>
      </c>
      <c r="V80" s="1867">
        <v>4000000</v>
      </c>
      <c r="W80" s="1840">
        <v>61</v>
      </c>
      <c r="X80" s="3944"/>
      <c r="Y80" s="3953"/>
      <c r="Z80" s="3953"/>
      <c r="AA80" s="3953"/>
      <c r="AB80" s="3953"/>
      <c r="AC80" s="3953"/>
      <c r="AD80" s="3953"/>
      <c r="AE80" s="3953"/>
      <c r="AF80" s="3953"/>
      <c r="AG80" s="3953"/>
      <c r="AH80" s="3953"/>
      <c r="AI80" s="3953"/>
      <c r="AJ80" s="3953"/>
      <c r="AK80" s="3953"/>
      <c r="AL80" s="3953"/>
      <c r="AM80" s="3953"/>
      <c r="AN80" s="3953"/>
      <c r="AO80" s="3972"/>
      <c r="AP80" s="3972"/>
      <c r="AQ80" s="3975"/>
    </row>
    <row r="81" spans="1:43" s="1841" customFormat="1" ht="70.5" customHeight="1" x14ac:dyDescent="0.2">
      <c r="A81" s="1859"/>
      <c r="B81" s="1860"/>
      <c r="C81" s="1861"/>
      <c r="D81" s="1860"/>
      <c r="E81" s="1860"/>
      <c r="F81" s="1861"/>
      <c r="G81" s="1866"/>
      <c r="H81" s="1860"/>
      <c r="I81" s="1861"/>
      <c r="J81" s="3938"/>
      <c r="K81" s="3941"/>
      <c r="L81" s="3944"/>
      <c r="M81" s="3944"/>
      <c r="N81" s="3944"/>
      <c r="O81" s="3944"/>
      <c r="P81" s="3941"/>
      <c r="Q81" s="3966"/>
      <c r="R81" s="3969"/>
      <c r="S81" s="3941"/>
      <c r="T81" s="3941"/>
      <c r="U81" s="1843" t="s">
        <v>1562</v>
      </c>
      <c r="V81" s="1867">
        <v>6000000</v>
      </c>
      <c r="W81" s="1840">
        <v>61</v>
      </c>
      <c r="X81" s="3944"/>
      <c r="Y81" s="3953"/>
      <c r="Z81" s="3953"/>
      <c r="AA81" s="3953"/>
      <c r="AB81" s="3953"/>
      <c r="AC81" s="3953"/>
      <c r="AD81" s="3953"/>
      <c r="AE81" s="3953"/>
      <c r="AF81" s="3953"/>
      <c r="AG81" s="3953"/>
      <c r="AH81" s="3953"/>
      <c r="AI81" s="3953"/>
      <c r="AJ81" s="3953"/>
      <c r="AK81" s="3953"/>
      <c r="AL81" s="3953"/>
      <c r="AM81" s="3953"/>
      <c r="AN81" s="3953"/>
      <c r="AO81" s="3972"/>
      <c r="AP81" s="3972"/>
      <c r="AQ81" s="3975"/>
    </row>
    <row r="82" spans="1:43" s="1841" customFormat="1" ht="67.5" customHeight="1" x14ac:dyDescent="0.2">
      <c r="A82" s="1859"/>
      <c r="B82" s="1860"/>
      <c r="C82" s="1861"/>
      <c r="D82" s="1860"/>
      <c r="E82" s="1860"/>
      <c r="F82" s="1861"/>
      <c r="G82" s="1868"/>
      <c r="H82" s="1869"/>
      <c r="I82" s="1870"/>
      <c r="J82" s="3939"/>
      <c r="K82" s="3942"/>
      <c r="L82" s="3945"/>
      <c r="M82" s="3945"/>
      <c r="N82" s="3945"/>
      <c r="O82" s="3945"/>
      <c r="P82" s="3942"/>
      <c r="Q82" s="3967"/>
      <c r="R82" s="3970"/>
      <c r="S82" s="3942"/>
      <c r="T82" s="3942"/>
      <c r="U82" s="1843" t="s">
        <v>1563</v>
      </c>
      <c r="V82" s="1867">
        <v>4000000</v>
      </c>
      <c r="W82" s="1840">
        <v>61</v>
      </c>
      <c r="X82" s="3945"/>
      <c r="Y82" s="3954"/>
      <c r="Z82" s="3954"/>
      <c r="AA82" s="3954"/>
      <c r="AB82" s="3954"/>
      <c r="AC82" s="3954"/>
      <c r="AD82" s="3954"/>
      <c r="AE82" s="3954"/>
      <c r="AF82" s="3954"/>
      <c r="AG82" s="3954"/>
      <c r="AH82" s="3954"/>
      <c r="AI82" s="3954"/>
      <c r="AJ82" s="3954"/>
      <c r="AK82" s="3954"/>
      <c r="AL82" s="3954"/>
      <c r="AM82" s="3954"/>
      <c r="AN82" s="3954"/>
      <c r="AO82" s="3973"/>
      <c r="AP82" s="3973"/>
      <c r="AQ82" s="3976"/>
    </row>
    <row r="83" spans="1:43" ht="33" customHeight="1" x14ac:dyDescent="0.2">
      <c r="A83" s="1819"/>
      <c r="B83" s="1820"/>
      <c r="C83" s="1821"/>
      <c r="D83" s="1820"/>
      <c r="E83" s="1820"/>
      <c r="F83" s="1821"/>
      <c r="G83" s="1854">
        <v>38</v>
      </c>
      <c r="H83" s="1825" t="s">
        <v>1564</v>
      </c>
      <c r="I83" s="1825"/>
      <c r="J83" s="1825"/>
      <c r="K83" s="1826"/>
      <c r="L83" s="1825"/>
      <c r="M83" s="1825"/>
      <c r="N83" s="1827"/>
      <c r="O83" s="1825"/>
      <c r="P83" s="1826"/>
      <c r="Q83" s="1825"/>
      <c r="R83" s="1855"/>
      <c r="S83" s="1826"/>
      <c r="T83" s="1826"/>
      <c r="U83" s="1826"/>
      <c r="V83" s="1856"/>
      <c r="W83" s="1857"/>
      <c r="X83" s="1827"/>
      <c r="Y83" s="1827"/>
      <c r="Z83" s="1827"/>
      <c r="AA83" s="1827"/>
      <c r="AB83" s="1827"/>
      <c r="AC83" s="1827"/>
      <c r="AD83" s="1827"/>
      <c r="AE83" s="1827"/>
      <c r="AF83" s="1827"/>
      <c r="AG83" s="1827"/>
      <c r="AH83" s="1827"/>
      <c r="AI83" s="1827"/>
      <c r="AJ83" s="1827"/>
      <c r="AK83" s="1827"/>
      <c r="AL83" s="1827"/>
      <c r="AM83" s="1827"/>
      <c r="AN83" s="1827"/>
      <c r="AO83" s="1825"/>
      <c r="AP83" s="1825"/>
      <c r="AQ83" s="1832"/>
    </row>
    <row r="84" spans="1:43" s="1841" customFormat="1" ht="34.5" customHeight="1" x14ac:dyDescent="0.2">
      <c r="A84" s="1833"/>
      <c r="B84" s="1834"/>
      <c r="C84" s="1835"/>
      <c r="D84" s="1834"/>
      <c r="E84" s="1834"/>
      <c r="F84" s="1835"/>
      <c r="G84" s="1836"/>
      <c r="H84" s="1837"/>
      <c r="I84" s="1838"/>
      <c r="J84" s="3937">
        <v>136</v>
      </c>
      <c r="K84" s="3940" t="s">
        <v>1565</v>
      </c>
      <c r="L84" s="3943" t="s">
        <v>1482</v>
      </c>
      <c r="M84" s="3943">
        <v>12</v>
      </c>
      <c r="N84" s="3943" t="s">
        <v>1566</v>
      </c>
      <c r="O84" s="3943" t="s">
        <v>1567</v>
      </c>
      <c r="P84" s="3940" t="s">
        <v>1568</v>
      </c>
      <c r="Q84" s="3965">
        <f>SUM(V84:V94)/R84</f>
        <v>0.39130434782608697</v>
      </c>
      <c r="R84" s="3968">
        <f>SUM(V84:V104)</f>
        <v>138000000</v>
      </c>
      <c r="S84" s="3940" t="s">
        <v>1569</v>
      </c>
      <c r="T84" s="3940" t="s">
        <v>1570</v>
      </c>
      <c r="U84" s="3940" t="s">
        <v>1571</v>
      </c>
      <c r="V84" s="1865">
        <v>3000000</v>
      </c>
      <c r="W84" s="1840">
        <v>61</v>
      </c>
      <c r="X84" s="3943" t="s">
        <v>1536</v>
      </c>
      <c r="Y84" s="3943">
        <v>292684</v>
      </c>
      <c r="Z84" s="3943">
        <v>282326</v>
      </c>
      <c r="AA84" s="3943">
        <v>135912</v>
      </c>
      <c r="AB84" s="3943">
        <v>45122</v>
      </c>
      <c r="AC84" s="3943">
        <f>SUM(AC55)</f>
        <v>307101</v>
      </c>
      <c r="AD84" s="3943">
        <f>SUM(AD55)</f>
        <v>86875</v>
      </c>
      <c r="AE84" s="3943">
        <f>SUM(AE55)</f>
        <v>2145</v>
      </c>
      <c r="AF84" s="3943">
        <v>12718</v>
      </c>
      <c r="AG84" s="3943">
        <v>26</v>
      </c>
      <c r="AH84" s="3943">
        <v>37</v>
      </c>
      <c r="AI84" s="3943" t="s">
        <v>1489</v>
      </c>
      <c r="AJ84" s="3943" t="s">
        <v>1489</v>
      </c>
      <c r="AK84" s="3943">
        <v>53164</v>
      </c>
      <c r="AL84" s="3943">
        <v>16982</v>
      </c>
      <c r="AM84" s="3943">
        <v>60013</v>
      </c>
      <c r="AN84" s="3943">
        <f>+Y84+Z84+AA84+AB84+AC84+AD84+AE84+AF84+AG84+AH84+AK84+AL84+AM84</f>
        <v>1295105</v>
      </c>
      <c r="AO84" s="3971">
        <v>43467</v>
      </c>
      <c r="AP84" s="3971">
        <v>43830</v>
      </c>
      <c r="AQ84" s="3974" t="s">
        <v>1490</v>
      </c>
    </row>
    <row r="85" spans="1:43" s="1841" customFormat="1" ht="39" customHeight="1" x14ac:dyDescent="0.2">
      <c r="A85" s="1833"/>
      <c r="B85" s="1834"/>
      <c r="C85" s="1835"/>
      <c r="D85" s="1834"/>
      <c r="E85" s="1834"/>
      <c r="F85" s="1835"/>
      <c r="G85" s="1842"/>
      <c r="H85" s="1834"/>
      <c r="I85" s="1835"/>
      <c r="J85" s="3938"/>
      <c r="K85" s="3941"/>
      <c r="L85" s="3944"/>
      <c r="M85" s="3944"/>
      <c r="N85" s="3944"/>
      <c r="O85" s="3944"/>
      <c r="P85" s="3941"/>
      <c r="Q85" s="3966"/>
      <c r="R85" s="3969"/>
      <c r="S85" s="3941"/>
      <c r="T85" s="3941"/>
      <c r="U85" s="3942"/>
      <c r="V85" s="1865">
        <v>13000000</v>
      </c>
      <c r="W85" s="1840">
        <v>98</v>
      </c>
      <c r="X85" s="3944"/>
      <c r="Y85" s="3944"/>
      <c r="Z85" s="3944"/>
      <c r="AA85" s="3944"/>
      <c r="AB85" s="3944"/>
      <c r="AC85" s="3944"/>
      <c r="AD85" s="3944"/>
      <c r="AE85" s="3944"/>
      <c r="AF85" s="3944"/>
      <c r="AG85" s="3944"/>
      <c r="AH85" s="3944"/>
      <c r="AI85" s="3944"/>
      <c r="AJ85" s="3944"/>
      <c r="AK85" s="3944"/>
      <c r="AL85" s="3944"/>
      <c r="AM85" s="3944"/>
      <c r="AN85" s="3944"/>
      <c r="AO85" s="3972"/>
      <c r="AP85" s="3972"/>
      <c r="AQ85" s="3975"/>
    </row>
    <row r="86" spans="1:43" s="1841" customFormat="1" ht="32.25" customHeight="1" x14ac:dyDescent="0.2">
      <c r="A86" s="1833"/>
      <c r="B86" s="1834"/>
      <c r="C86" s="1835"/>
      <c r="D86" s="1834"/>
      <c r="E86" s="1834"/>
      <c r="F86" s="1835"/>
      <c r="G86" s="1842"/>
      <c r="H86" s="1834"/>
      <c r="I86" s="1835"/>
      <c r="J86" s="3938"/>
      <c r="K86" s="3941"/>
      <c r="L86" s="3944"/>
      <c r="M86" s="3944"/>
      <c r="N86" s="3944"/>
      <c r="O86" s="3944"/>
      <c r="P86" s="3941"/>
      <c r="Q86" s="3966"/>
      <c r="R86" s="3969"/>
      <c r="S86" s="3941"/>
      <c r="T86" s="3941"/>
      <c r="U86" s="3992" t="s">
        <v>1572</v>
      </c>
      <c r="V86" s="1865">
        <v>3000000</v>
      </c>
      <c r="W86" s="1840">
        <v>61</v>
      </c>
      <c r="X86" s="3944"/>
      <c r="Y86" s="3944"/>
      <c r="Z86" s="3944"/>
      <c r="AA86" s="3944"/>
      <c r="AB86" s="3944"/>
      <c r="AC86" s="3944"/>
      <c r="AD86" s="3944"/>
      <c r="AE86" s="3944"/>
      <c r="AF86" s="3944"/>
      <c r="AG86" s="3944"/>
      <c r="AH86" s="3944"/>
      <c r="AI86" s="3944"/>
      <c r="AJ86" s="3944"/>
      <c r="AK86" s="3944"/>
      <c r="AL86" s="3944"/>
      <c r="AM86" s="3944"/>
      <c r="AN86" s="3944"/>
      <c r="AO86" s="3972"/>
      <c r="AP86" s="3972"/>
      <c r="AQ86" s="3975"/>
    </row>
    <row r="87" spans="1:43" s="1841" customFormat="1" ht="44.25" customHeight="1" x14ac:dyDescent="0.2">
      <c r="A87" s="1833"/>
      <c r="B87" s="1834"/>
      <c r="C87" s="1835"/>
      <c r="D87" s="1834"/>
      <c r="E87" s="1834"/>
      <c r="F87" s="1835"/>
      <c r="G87" s="1842"/>
      <c r="H87" s="1834"/>
      <c r="I87" s="1835"/>
      <c r="J87" s="3938"/>
      <c r="K87" s="3941"/>
      <c r="L87" s="3944"/>
      <c r="M87" s="3944"/>
      <c r="N87" s="3944"/>
      <c r="O87" s="3944"/>
      <c r="P87" s="3941"/>
      <c r="Q87" s="3966"/>
      <c r="R87" s="3969"/>
      <c r="S87" s="3941"/>
      <c r="T87" s="3941"/>
      <c r="U87" s="3993"/>
      <c r="V87" s="1865">
        <v>13000000</v>
      </c>
      <c r="W87" s="1840">
        <v>98</v>
      </c>
      <c r="X87" s="3944"/>
      <c r="Y87" s="3944"/>
      <c r="Z87" s="3944"/>
      <c r="AA87" s="3944"/>
      <c r="AB87" s="3944"/>
      <c r="AC87" s="3944"/>
      <c r="AD87" s="3944"/>
      <c r="AE87" s="3944"/>
      <c r="AF87" s="3944"/>
      <c r="AG87" s="3944"/>
      <c r="AH87" s="3944"/>
      <c r="AI87" s="3944"/>
      <c r="AJ87" s="3944"/>
      <c r="AK87" s="3944"/>
      <c r="AL87" s="3944"/>
      <c r="AM87" s="3944"/>
      <c r="AN87" s="3944"/>
      <c r="AO87" s="3972"/>
      <c r="AP87" s="3972"/>
      <c r="AQ87" s="3975"/>
    </row>
    <row r="88" spans="1:43" s="1841" customFormat="1" ht="42.75" x14ac:dyDescent="0.2">
      <c r="A88" s="1833"/>
      <c r="B88" s="1834"/>
      <c r="C88" s="1835"/>
      <c r="D88" s="1834"/>
      <c r="E88" s="1834"/>
      <c r="F88" s="1835"/>
      <c r="G88" s="1842"/>
      <c r="H88" s="1834"/>
      <c r="I88" s="1835"/>
      <c r="J88" s="3938"/>
      <c r="K88" s="3941"/>
      <c r="L88" s="3944"/>
      <c r="M88" s="3944"/>
      <c r="N88" s="3944"/>
      <c r="O88" s="3944"/>
      <c r="P88" s="3941"/>
      <c r="Q88" s="3966"/>
      <c r="R88" s="3969"/>
      <c r="S88" s="3941"/>
      <c r="T88" s="3941"/>
      <c r="U88" s="1871" t="s">
        <v>1573</v>
      </c>
      <c r="V88" s="1865">
        <v>3000000</v>
      </c>
      <c r="W88" s="1840">
        <v>61</v>
      </c>
      <c r="X88" s="3944"/>
      <c r="Y88" s="3944"/>
      <c r="Z88" s="3944"/>
      <c r="AA88" s="3944"/>
      <c r="AB88" s="3944"/>
      <c r="AC88" s="3944"/>
      <c r="AD88" s="3944"/>
      <c r="AE88" s="3944"/>
      <c r="AF88" s="3944"/>
      <c r="AG88" s="3944"/>
      <c r="AH88" s="3944"/>
      <c r="AI88" s="3944"/>
      <c r="AJ88" s="3944"/>
      <c r="AK88" s="3944"/>
      <c r="AL88" s="3944"/>
      <c r="AM88" s="3944"/>
      <c r="AN88" s="3944"/>
      <c r="AO88" s="3972"/>
      <c r="AP88" s="3972"/>
      <c r="AQ88" s="3975"/>
    </row>
    <row r="89" spans="1:43" s="1841" customFormat="1" ht="42.75" x14ac:dyDescent="0.2">
      <c r="A89" s="1833"/>
      <c r="B89" s="1834"/>
      <c r="C89" s="1835"/>
      <c r="D89" s="1834"/>
      <c r="E89" s="1834"/>
      <c r="F89" s="1835"/>
      <c r="G89" s="1842"/>
      <c r="H89" s="1834"/>
      <c r="I89" s="1835"/>
      <c r="J89" s="3938"/>
      <c r="K89" s="3941"/>
      <c r="L89" s="3944"/>
      <c r="M89" s="3944"/>
      <c r="N89" s="3944"/>
      <c r="O89" s="3944"/>
      <c r="P89" s="3941"/>
      <c r="Q89" s="3966"/>
      <c r="R89" s="3969"/>
      <c r="S89" s="3941"/>
      <c r="T89" s="3941"/>
      <c r="U89" s="1871" t="s">
        <v>1574</v>
      </c>
      <c r="V89" s="1865">
        <v>3000000</v>
      </c>
      <c r="W89" s="1840">
        <v>61</v>
      </c>
      <c r="X89" s="3944"/>
      <c r="Y89" s="3944"/>
      <c r="Z89" s="3944"/>
      <c r="AA89" s="3944"/>
      <c r="AB89" s="3944"/>
      <c r="AC89" s="3944"/>
      <c r="AD89" s="3944"/>
      <c r="AE89" s="3944"/>
      <c r="AF89" s="3944"/>
      <c r="AG89" s="3944"/>
      <c r="AH89" s="3944"/>
      <c r="AI89" s="3944"/>
      <c r="AJ89" s="3944"/>
      <c r="AK89" s="3944"/>
      <c r="AL89" s="3944"/>
      <c r="AM89" s="3944"/>
      <c r="AN89" s="3944"/>
      <c r="AO89" s="3972"/>
      <c r="AP89" s="3972"/>
      <c r="AQ89" s="3975"/>
    </row>
    <row r="90" spans="1:43" s="1841" customFormat="1" ht="110.25" customHeight="1" x14ac:dyDescent="0.2">
      <c r="A90" s="1833"/>
      <c r="B90" s="1834"/>
      <c r="C90" s="1835"/>
      <c r="D90" s="1834"/>
      <c r="E90" s="1834"/>
      <c r="F90" s="1835"/>
      <c r="G90" s="1842"/>
      <c r="H90" s="1834"/>
      <c r="I90" s="1835"/>
      <c r="J90" s="3938"/>
      <c r="K90" s="3941"/>
      <c r="L90" s="3944"/>
      <c r="M90" s="3944"/>
      <c r="N90" s="3944"/>
      <c r="O90" s="3944"/>
      <c r="P90" s="3941"/>
      <c r="Q90" s="3966"/>
      <c r="R90" s="3969"/>
      <c r="S90" s="3941"/>
      <c r="T90" s="3941"/>
      <c r="U90" s="1871" t="s">
        <v>1575</v>
      </c>
      <c r="V90" s="1865">
        <v>3000000</v>
      </c>
      <c r="W90" s="1840">
        <v>61</v>
      </c>
      <c r="X90" s="3944"/>
      <c r="Y90" s="3944"/>
      <c r="Z90" s="3944"/>
      <c r="AA90" s="3944"/>
      <c r="AB90" s="3944"/>
      <c r="AC90" s="3944"/>
      <c r="AD90" s="3944"/>
      <c r="AE90" s="3944"/>
      <c r="AF90" s="3944"/>
      <c r="AG90" s="3944"/>
      <c r="AH90" s="3944"/>
      <c r="AI90" s="3944"/>
      <c r="AJ90" s="3944"/>
      <c r="AK90" s="3944"/>
      <c r="AL90" s="3944"/>
      <c r="AM90" s="3944"/>
      <c r="AN90" s="3944"/>
      <c r="AO90" s="3972"/>
      <c r="AP90" s="3972"/>
      <c r="AQ90" s="3975"/>
    </row>
    <row r="91" spans="1:43" s="1841" customFormat="1" ht="123" customHeight="1" x14ac:dyDescent="0.2">
      <c r="A91" s="1833"/>
      <c r="B91" s="1834"/>
      <c r="C91" s="1835"/>
      <c r="D91" s="1834"/>
      <c r="E91" s="1834"/>
      <c r="F91" s="1835"/>
      <c r="G91" s="1842"/>
      <c r="H91" s="1834"/>
      <c r="I91" s="1835"/>
      <c r="J91" s="3938"/>
      <c r="K91" s="3941"/>
      <c r="L91" s="3944"/>
      <c r="M91" s="3944"/>
      <c r="N91" s="3944"/>
      <c r="O91" s="3944"/>
      <c r="P91" s="3941"/>
      <c r="Q91" s="3966"/>
      <c r="R91" s="3969"/>
      <c r="S91" s="3941"/>
      <c r="T91" s="3941"/>
      <c r="U91" s="1871" t="s">
        <v>1576</v>
      </c>
      <c r="V91" s="1865">
        <v>3000000</v>
      </c>
      <c r="W91" s="1840">
        <v>61</v>
      </c>
      <c r="X91" s="3944"/>
      <c r="Y91" s="3944"/>
      <c r="Z91" s="3944"/>
      <c r="AA91" s="3944"/>
      <c r="AB91" s="3944"/>
      <c r="AC91" s="3944"/>
      <c r="AD91" s="3944"/>
      <c r="AE91" s="3944"/>
      <c r="AF91" s="3944"/>
      <c r="AG91" s="3944"/>
      <c r="AH91" s="3944"/>
      <c r="AI91" s="3944"/>
      <c r="AJ91" s="3944"/>
      <c r="AK91" s="3944"/>
      <c r="AL91" s="3944"/>
      <c r="AM91" s="3944"/>
      <c r="AN91" s="3944"/>
      <c r="AO91" s="3972"/>
      <c r="AP91" s="3972"/>
      <c r="AQ91" s="3975"/>
    </row>
    <row r="92" spans="1:43" s="1841" customFormat="1" ht="42.75" x14ac:dyDescent="0.2">
      <c r="A92" s="1833"/>
      <c r="B92" s="1834"/>
      <c r="C92" s="1835"/>
      <c r="D92" s="1834"/>
      <c r="E92" s="1834"/>
      <c r="F92" s="1835"/>
      <c r="G92" s="1842"/>
      <c r="H92" s="1834"/>
      <c r="I92" s="1835"/>
      <c r="J92" s="3938"/>
      <c r="K92" s="3941"/>
      <c r="L92" s="3944"/>
      <c r="M92" s="3944"/>
      <c r="N92" s="3944"/>
      <c r="O92" s="3944"/>
      <c r="P92" s="3941"/>
      <c r="Q92" s="3966"/>
      <c r="R92" s="3969"/>
      <c r="S92" s="3941"/>
      <c r="T92" s="3941"/>
      <c r="U92" s="1871" t="s">
        <v>1577</v>
      </c>
      <c r="V92" s="1865">
        <v>3000000</v>
      </c>
      <c r="W92" s="1840">
        <v>61</v>
      </c>
      <c r="X92" s="3944"/>
      <c r="Y92" s="3944"/>
      <c r="Z92" s="3944"/>
      <c r="AA92" s="3944"/>
      <c r="AB92" s="3944"/>
      <c r="AC92" s="3944"/>
      <c r="AD92" s="3944"/>
      <c r="AE92" s="3944"/>
      <c r="AF92" s="3944"/>
      <c r="AG92" s="3944"/>
      <c r="AH92" s="3944"/>
      <c r="AI92" s="3944"/>
      <c r="AJ92" s="3944"/>
      <c r="AK92" s="3944"/>
      <c r="AL92" s="3944"/>
      <c r="AM92" s="3944"/>
      <c r="AN92" s="3944"/>
      <c r="AO92" s="3972"/>
      <c r="AP92" s="3972"/>
      <c r="AQ92" s="3975"/>
    </row>
    <row r="93" spans="1:43" s="1841" customFormat="1" ht="28.5" x14ac:dyDescent="0.2">
      <c r="A93" s="1833"/>
      <c r="B93" s="1834"/>
      <c r="C93" s="1835"/>
      <c r="D93" s="1834"/>
      <c r="E93" s="1834"/>
      <c r="F93" s="1835"/>
      <c r="G93" s="1842"/>
      <c r="H93" s="1834"/>
      <c r="I93" s="1835"/>
      <c r="J93" s="3938"/>
      <c r="K93" s="3941"/>
      <c r="L93" s="3944"/>
      <c r="M93" s="3944"/>
      <c r="N93" s="3944"/>
      <c r="O93" s="3944"/>
      <c r="P93" s="3941"/>
      <c r="Q93" s="3966"/>
      <c r="R93" s="3969"/>
      <c r="S93" s="3941"/>
      <c r="T93" s="3941"/>
      <c r="U93" s="1871" t="s">
        <v>1578</v>
      </c>
      <c r="V93" s="1865">
        <v>3000000</v>
      </c>
      <c r="W93" s="1840">
        <v>61</v>
      </c>
      <c r="X93" s="3944"/>
      <c r="Y93" s="3944"/>
      <c r="Z93" s="3944"/>
      <c r="AA93" s="3944"/>
      <c r="AB93" s="3944"/>
      <c r="AC93" s="3944"/>
      <c r="AD93" s="3944"/>
      <c r="AE93" s="3944"/>
      <c r="AF93" s="3944"/>
      <c r="AG93" s="3944"/>
      <c r="AH93" s="3944"/>
      <c r="AI93" s="3944"/>
      <c r="AJ93" s="3944"/>
      <c r="AK93" s="3944"/>
      <c r="AL93" s="3944"/>
      <c r="AM93" s="3944"/>
      <c r="AN93" s="3944"/>
      <c r="AO93" s="3972"/>
      <c r="AP93" s="3972"/>
      <c r="AQ93" s="3975"/>
    </row>
    <row r="94" spans="1:43" s="1841" customFormat="1" ht="107.25" customHeight="1" x14ac:dyDescent="0.2">
      <c r="A94" s="1833"/>
      <c r="B94" s="1834"/>
      <c r="C94" s="1835"/>
      <c r="D94" s="1834"/>
      <c r="E94" s="1834"/>
      <c r="F94" s="1835"/>
      <c r="G94" s="1842"/>
      <c r="H94" s="1834"/>
      <c r="I94" s="1835"/>
      <c r="J94" s="3939"/>
      <c r="K94" s="3942"/>
      <c r="L94" s="3945"/>
      <c r="M94" s="3945"/>
      <c r="N94" s="3944"/>
      <c r="O94" s="3944"/>
      <c r="P94" s="3941"/>
      <c r="Q94" s="3967"/>
      <c r="R94" s="3969"/>
      <c r="S94" s="3941"/>
      <c r="T94" s="3942"/>
      <c r="U94" s="1871" t="s">
        <v>1579</v>
      </c>
      <c r="V94" s="1865">
        <v>4000000</v>
      </c>
      <c r="W94" s="1840">
        <v>61</v>
      </c>
      <c r="X94" s="3944"/>
      <c r="Y94" s="3944"/>
      <c r="Z94" s="3944"/>
      <c r="AA94" s="3944"/>
      <c r="AB94" s="3944"/>
      <c r="AC94" s="3944"/>
      <c r="AD94" s="3944"/>
      <c r="AE94" s="3944"/>
      <c r="AF94" s="3944"/>
      <c r="AG94" s="3944"/>
      <c r="AH94" s="3944"/>
      <c r="AI94" s="3944"/>
      <c r="AJ94" s="3944"/>
      <c r="AK94" s="3944"/>
      <c r="AL94" s="3944"/>
      <c r="AM94" s="3944"/>
      <c r="AN94" s="3944"/>
      <c r="AO94" s="3972"/>
      <c r="AP94" s="3972"/>
      <c r="AQ94" s="3975"/>
    </row>
    <row r="95" spans="1:43" s="1841" customFormat="1" ht="42.75" x14ac:dyDescent="0.2">
      <c r="A95" s="1833"/>
      <c r="B95" s="1834"/>
      <c r="C95" s="1835"/>
      <c r="D95" s="1834"/>
      <c r="E95" s="1834"/>
      <c r="F95" s="1835"/>
      <c r="G95" s="1842"/>
      <c r="H95" s="1834"/>
      <c r="I95" s="1835"/>
      <c r="J95" s="3937">
        <v>137</v>
      </c>
      <c r="K95" s="3940" t="s">
        <v>1580</v>
      </c>
      <c r="L95" s="3943" t="s">
        <v>1482</v>
      </c>
      <c r="M95" s="3943">
        <v>12</v>
      </c>
      <c r="N95" s="3944"/>
      <c r="O95" s="3944"/>
      <c r="P95" s="3941"/>
      <c r="Q95" s="3965">
        <f>SUM(V95:V99)/R84</f>
        <v>0.40579710144927539</v>
      </c>
      <c r="R95" s="3969"/>
      <c r="S95" s="3941"/>
      <c r="T95" s="3940" t="s">
        <v>1581</v>
      </c>
      <c r="U95" s="1871" t="s">
        <v>1582</v>
      </c>
      <c r="V95" s="1867">
        <v>11000000</v>
      </c>
      <c r="W95" s="1840">
        <v>61</v>
      </c>
      <c r="X95" s="3944"/>
      <c r="Y95" s="3944"/>
      <c r="Z95" s="3944"/>
      <c r="AA95" s="3944"/>
      <c r="AB95" s="3944"/>
      <c r="AC95" s="3944"/>
      <c r="AD95" s="3944"/>
      <c r="AE95" s="3944"/>
      <c r="AF95" s="3944"/>
      <c r="AG95" s="3944"/>
      <c r="AH95" s="3944"/>
      <c r="AI95" s="3944"/>
      <c r="AJ95" s="3944"/>
      <c r="AK95" s="3944"/>
      <c r="AL95" s="3944"/>
      <c r="AM95" s="3944"/>
      <c r="AN95" s="3944"/>
      <c r="AO95" s="3972"/>
      <c r="AP95" s="3972"/>
      <c r="AQ95" s="3975"/>
    </row>
    <row r="96" spans="1:43" s="1841" customFormat="1" ht="96" customHeight="1" x14ac:dyDescent="0.2">
      <c r="A96" s="1833"/>
      <c r="B96" s="1834"/>
      <c r="C96" s="1835"/>
      <c r="D96" s="1834"/>
      <c r="E96" s="1834"/>
      <c r="F96" s="1835"/>
      <c r="G96" s="1842"/>
      <c r="H96" s="1834"/>
      <c r="I96" s="1835"/>
      <c r="J96" s="3938"/>
      <c r="K96" s="3941"/>
      <c r="L96" s="3944"/>
      <c r="M96" s="3944"/>
      <c r="N96" s="3944"/>
      <c r="O96" s="3944"/>
      <c r="P96" s="3941"/>
      <c r="Q96" s="3966"/>
      <c r="R96" s="3969"/>
      <c r="S96" s="3941"/>
      <c r="T96" s="3941"/>
      <c r="U96" s="1871" t="s">
        <v>1583</v>
      </c>
      <c r="V96" s="1867">
        <v>11000000</v>
      </c>
      <c r="W96" s="1840">
        <v>61</v>
      </c>
      <c r="X96" s="3944"/>
      <c r="Y96" s="3944"/>
      <c r="Z96" s="3944"/>
      <c r="AA96" s="3944"/>
      <c r="AB96" s="3944"/>
      <c r="AC96" s="3944"/>
      <c r="AD96" s="3944"/>
      <c r="AE96" s="3944"/>
      <c r="AF96" s="3944"/>
      <c r="AG96" s="3944"/>
      <c r="AH96" s="3944"/>
      <c r="AI96" s="3944"/>
      <c r="AJ96" s="3944"/>
      <c r="AK96" s="3944"/>
      <c r="AL96" s="3944"/>
      <c r="AM96" s="3944"/>
      <c r="AN96" s="3944"/>
      <c r="AO96" s="3972"/>
      <c r="AP96" s="3972"/>
      <c r="AQ96" s="3975"/>
    </row>
    <row r="97" spans="1:285" s="1841" customFormat="1" ht="66.75" customHeight="1" x14ac:dyDescent="0.2">
      <c r="A97" s="1833"/>
      <c r="B97" s="1834"/>
      <c r="C97" s="1835"/>
      <c r="D97" s="1834"/>
      <c r="E97" s="1834"/>
      <c r="F97" s="1835"/>
      <c r="G97" s="1842"/>
      <c r="H97" s="1834"/>
      <c r="I97" s="1835"/>
      <c r="J97" s="3938"/>
      <c r="K97" s="3941"/>
      <c r="L97" s="3944"/>
      <c r="M97" s="3944"/>
      <c r="N97" s="3944"/>
      <c r="O97" s="3944"/>
      <c r="P97" s="3941"/>
      <c r="Q97" s="3966"/>
      <c r="R97" s="3969"/>
      <c r="S97" s="3941"/>
      <c r="T97" s="3941"/>
      <c r="U97" s="1871" t="s">
        <v>1584</v>
      </c>
      <c r="V97" s="1867">
        <v>11000000</v>
      </c>
      <c r="W97" s="1840">
        <v>61</v>
      </c>
      <c r="X97" s="3944"/>
      <c r="Y97" s="3944"/>
      <c r="Z97" s="3944"/>
      <c r="AA97" s="3944"/>
      <c r="AB97" s="3944"/>
      <c r="AC97" s="3944"/>
      <c r="AD97" s="3944"/>
      <c r="AE97" s="3944"/>
      <c r="AF97" s="3944"/>
      <c r="AG97" s="3944"/>
      <c r="AH97" s="3944"/>
      <c r="AI97" s="3944"/>
      <c r="AJ97" s="3944"/>
      <c r="AK97" s="3944"/>
      <c r="AL97" s="3944"/>
      <c r="AM97" s="3944"/>
      <c r="AN97" s="3944"/>
      <c r="AO97" s="3972"/>
      <c r="AP97" s="3972"/>
      <c r="AQ97" s="3975"/>
    </row>
    <row r="98" spans="1:285" s="1841" customFormat="1" ht="84" customHeight="1" x14ac:dyDescent="0.2">
      <c r="A98" s="1833"/>
      <c r="B98" s="1834"/>
      <c r="C98" s="1835"/>
      <c r="D98" s="1834"/>
      <c r="E98" s="1834"/>
      <c r="F98" s="1835"/>
      <c r="G98" s="1842"/>
      <c r="H98" s="1834"/>
      <c r="I98" s="1835"/>
      <c r="J98" s="3938"/>
      <c r="K98" s="3941"/>
      <c r="L98" s="3944"/>
      <c r="M98" s="3944"/>
      <c r="N98" s="3944"/>
      <c r="O98" s="3944"/>
      <c r="P98" s="3941"/>
      <c r="Q98" s="3966"/>
      <c r="R98" s="3969"/>
      <c r="S98" s="3941"/>
      <c r="T98" s="3941"/>
      <c r="U98" s="1871" t="s">
        <v>1585</v>
      </c>
      <c r="V98" s="1867">
        <v>11000000</v>
      </c>
      <c r="W98" s="1840">
        <v>61</v>
      </c>
      <c r="X98" s="3944"/>
      <c r="Y98" s="3944"/>
      <c r="Z98" s="3944"/>
      <c r="AA98" s="3944"/>
      <c r="AB98" s="3944"/>
      <c r="AC98" s="3944"/>
      <c r="AD98" s="3944"/>
      <c r="AE98" s="3944"/>
      <c r="AF98" s="3944"/>
      <c r="AG98" s="3944"/>
      <c r="AH98" s="3944"/>
      <c r="AI98" s="3944"/>
      <c r="AJ98" s="3944"/>
      <c r="AK98" s="3944"/>
      <c r="AL98" s="3944"/>
      <c r="AM98" s="3944"/>
      <c r="AN98" s="3944"/>
      <c r="AO98" s="3972"/>
      <c r="AP98" s="3972"/>
      <c r="AQ98" s="3975"/>
    </row>
    <row r="99" spans="1:285" s="1841" customFormat="1" ht="75" customHeight="1" x14ac:dyDescent="0.2">
      <c r="A99" s="1833"/>
      <c r="B99" s="1834"/>
      <c r="C99" s="1835"/>
      <c r="D99" s="1834"/>
      <c r="E99" s="1834"/>
      <c r="F99" s="1835"/>
      <c r="G99" s="1842"/>
      <c r="H99" s="1834"/>
      <c r="I99" s="1835"/>
      <c r="J99" s="3939"/>
      <c r="K99" s="3942"/>
      <c r="L99" s="3945"/>
      <c r="M99" s="3945"/>
      <c r="N99" s="3944"/>
      <c r="O99" s="3944"/>
      <c r="P99" s="3941"/>
      <c r="Q99" s="3967"/>
      <c r="R99" s="3969"/>
      <c r="S99" s="3941"/>
      <c r="T99" s="3942"/>
      <c r="U99" s="1871" t="s">
        <v>1586</v>
      </c>
      <c r="V99" s="1867">
        <v>12000000</v>
      </c>
      <c r="W99" s="1840">
        <v>61</v>
      </c>
      <c r="X99" s="3944"/>
      <c r="Y99" s="3944"/>
      <c r="Z99" s="3944"/>
      <c r="AA99" s="3944"/>
      <c r="AB99" s="3944"/>
      <c r="AC99" s="3944"/>
      <c r="AD99" s="3944"/>
      <c r="AE99" s="3944"/>
      <c r="AF99" s="3944"/>
      <c r="AG99" s="3944"/>
      <c r="AH99" s="3944"/>
      <c r="AI99" s="3944"/>
      <c r="AJ99" s="3944"/>
      <c r="AK99" s="3944"/>
      <c r="AL99" s="3944"/>
      <c r="AM99" s="3944"/>
      <c r="AN99" s="3944"/>
      <c r="AO99" s="3972"/>
      <c r="AP99" s="3972"/>
      <c r="AQ99" s="3975"/>
    </row>
    <row r="100" spans="1:285" s="1841" customFormat="1" ht="57" x14ac:dyDescent="0.2">
      <c r="A100" s="1833"/>
      <c r="B100" s="1834"/>
      <c r="C100" s="1835"/>
      <c r="D100" s="1834"/>
      <c r="E100" s="1834"/>
      <c r="F100" s="1835"/>
      <c r="G100" s="1842"/>
      <c r="H100" s="1834"/>
      <c r="I100" s="1835"/>
      <c r="J100" s="3983">
        <v>138</v>
      </c>
      <c r="K100" s="3986" t="s">
        <v>1587</v>
      </c>
      <c r="L100" s="3952" t="s">
        <v>1482</v>
      </c>
      <c r="M100" s="3952">
        <v>12</v>
      </c>
      <c r="N100" s="3944"/>
      <c r="O100" s="3944"/>
      <c r="P100" s="3941"/>
      <c r="Q100" s="3989">
        <f>SUM(V100:V104)/R84</f>
        <v>0.20289855072463769</v>
      </c>
      <c r="R100" s="3969"/>
      <c r="S100" s="3941"/>
      <c r="T100" s="3986" t="s">
        <v>1588</v>
      </c>
      <c r="U100" s="1872" t="s">
        <v>1589</v>
      </c>
      <c r="V100" s="1867">
        <v>5000000</v>
      </c>
      <c r="W100" s="1840">
        <v>61</v>
      </c>
      <c r="X100" s="3944"/>
      <c r="Y100" s="3944"/>
      <c r="Z100" s="3944"/>
      <c r="AA100" s="3944"/>
      <c r="AB100" s="3944"/>
      <c r="AC100" s="3944"/>
      <c r="AD100" s="3944"/>
      <c r="AE100" s="3944"/>
      <c r="AF100" s="3944"/>
      <c r="AG100" s="3944"/>
      <c r="AH100" s="3944"/>
      <c r="AI100" s="3944"/>
      <c r="AJ100" s="3944"/>
      <c r="AK100" s="3944"/>
      <c r="AL100" s="3944"/>
      <c r="AM100" s="3944"/>
      <c r="AN100" s="3944"/>
      <c r="AO100" s="3972"/>
      <c r="AP100" s="3972"/>
      <c r="AQ100" s="3975"/>
    </row>
    <row r="101" spans="1:285" s="1841" customFormat="1" ht="60" customHeight="1" x14ac:dyDescent="0.2">
      <c r="A101" s="1833"/>
      <c r="B101" s="1834"/>
      <c r="C101" s="1835"/>
      <c r="D101" s="1834"/>
      <c r="E101" s="1834"/>
      <c r="F101" s="1835"/>
      <c r="G101" s="1842"/>
      <c r="H101" s="1834"/>
      <c r="I101" s="1835"/>
      <c r="J101" s="3984"/>
      <c r="K101" s="3987"/>
      <c r="L101" s="3953"/>
      <c r="M101" s="3953"/>
      <c r="N101" s="3944"/>
      <c r="O101" s="3944"/>
      <c r="P101" s="3941"/>
      <c r="Q101" s="3990"/>
      <c r="R101" s="3969"/>
      <c r="S101" s="3941"/>
      <c r="T101" s="3987"/>
      <c r="U101" s="1872" t="s">
        <v>1590</v>
      </c>
      <c r="V101" s="1867">
        <v>5000000</v>
      </c>
      <c r="W101" s="1840">
        <v>61</v>
      </c>
      <c r="X101" s="3944"/>
      <c r="Y101" s="3944"/>
      <c r="Z101" s="3944"/>
      <c r="AA101" s="3944"/>
      <c r="AB101" s="3944"/>
      <c r="AC101" s="3944"/>
      <c r="AD101" s="3944"/>
      <c r="AE101" s="3944"/>
      <c r="AF101" s="3944"/>
      <c r="AG101" s="3944"/>
      <c r="AH101" s="3944"/>
      <c r="AI101" s="3944"/>
      <c r="AJ101" s="3944"/>
      <c r="AK101" s="3944"/>
      <c r="AL101" s="3944"/>
      <c r="AM101" s="3944"/>
      <c r="AN101" s="3944"/>
      <c r="AO101" s="3972"/>
      <c r="AP101" s="3972"/>
      <c r="AQ101" s="3975"/>
    </row>
    <row r="102" spans="1:285" s="1841" customFormat="1" ht="57" customHeight="1" x14ac:dyDescent="0.2">
      <c r="A102" s="1833"/>
      <c r="B102" s="1834"/>
      <c r="C102" s="1835"/>
      <c r="D102" s="1834"/>
      <c r="E102" s="1834"/>
      <c r="F102" s="1835"/>
      <c r="G102" s="1842"/>
      <c r="H102" s="1834"/>
      <c r="I102" s="1835"/>
      <c r="J102" s="3984"/>
      <c r="K102" s="3987"/>
      <c r="L102" s="3953"/>
      <c r="M102" s="3953"/>
      <c r="N102" s="3944"/>
      <c r="O102" s="3944"/>
      <c r="P102" s="3941"/>
      <c r="Q102" s="3990"/>
      <c r="R102" s="3969"/>
      <c r="S102" s="3941"/>
      <c r="T102" s="3987"/>
      <c r="U102" s="1872" t="s">
        <v>1591</v>
      </c>
      <c r="V102" s="1867">
        <v>5000000</v>
      </c>
      <c r="W102" s="1840">
        <v>61</v>
      </c>
      <c r="X102" s="3944"/>
      <c r="Y102" s="3944"/>
      <c r="Z102" s="3944"/>
      <c r="AA102" s="3944"/>
      <c r="AB102" s="3944"/>
      <c r="AC102" s="3944"/>
      <c r="AD102" s="3944"/>
      <c r="AE102" s="3944"/>
      <c r="AF102" s="3944"/>
      <c r="AG102" s="3944"/>
      <c r="AH102" s="3944"/>
      <c r="AI102" s="3944"/>
      <c r="AJ102" s="3944"/>
      <c r="AK102" s="3944"/>
      <c r="AL102" s="3944"/>
      <c r="AM102" s="3944"/>
      <c r="AN102" s="3944"/>
      <c r="AO102" s="3972"/>
      <c r="AP102" s="3972"/>
      <c r="AQ102" s="3975"/>
    </row>
    <row r="103" spans="1:285" s="1841" customFormat="1" ht="70.5" customHeight="1" x14ac:dyDescent="0.2">
      <c r="A103" s="1833"/>
      <c r="B103" s="1834"/>
      <c r="C103" s="1835"/>
      <c r="D103" s="1834"/>
      <c r="E103" s="1834"/>
      <c r="F103" s="1835"/>
      <c r="G103" s="1842"/>
      <c r="H103" s="1834"/>
      <c r="I103" s="1835"/>
      <c r="J103" s="3984"/>
      <c r="K103" s="3987"/>
      <c r="L103" s="3953"/>
      <c r="M103" s="3953"/>
      <c r="N103" s="3944"/>
      <c r="O103" s="3944"/>
      <c r="P103" s="3941"/>
      <c r="Q103" s="3990"/>
      <c r="R103" s="3969"/>
      <c r="S103" s="3941"/>
      <c r="T103" s="3987"/>
      <c r="U103" s="1872" t="s">
        <v>1592</v>
      </c>
      <c r="V103" s="1867">
        <v>5000000</v>
      </c>
      <c r="W103" s="1840">
        <v>61</v>
      </c>
      <c r="X103" s="3944"/>
      <c r="Y103" s="3944"/>
      <c r="Z103" s="3944"/>
      <c r="AA103" s="3944"/>
      <c r="AB103" s="3944"/>
      <c r="AC103" s="3944"/>
      <c r="AD103" s="3944"/>
      <c r="AE103" s="3944"/>
      <c r="AF103" s="3944"/>
      <c r="AG103" s="3944"/>
      <c r="AH103" s="3944"/>
      <c r="AI103" s="3944"/>
      <c r="AJ103" s="3944"/>
      <c r="AK103" s="3944"/>
      <c r="AL103" s="3944"/>
      <c r="AM103" s="3944"/>
      <c r="AN103" s="3944"/>
      <c r="AO103" s="3972"/>
      <c r="AP103" s="3972"/>
      <c r="AQ103" s="3975"/>
    </row>
    <row r="104" spans="1:285" s="1874" customFormat="1" ht="75" customHeight="1" x14ac:dyDescent="0.2">
      <c r="A104" s="1833"/>
      <c r="B104" s="1834"/>
      <c r="C104" s="1835"/>
      <c r="D104" s="1834"/>
      <c r="E104" s="1834"/>
      <c r="F104" s="1835"/>
      <c r="G104" s="1846"/>
      <c r="H104" s="1844"/>
      <c r="I104" s="1845"/>
      <c r="J104" s="3985"/>
      <c r="K104" s="3988"/>
      <c r="L104" s="3954"/>
      <c r="M104" s="3954"/>
      <c r="N104" s="3944"/>
      <c r="O104" s="3945"/>
      <c r="P104" s="3942"/>
      <c r="Q104" s="3991"/>
      <c r="R104" s="3970"/>
      <c r="S104" s="3942"/>
      <c r="T104" s="3988"/>
      <c r="U104" s="1872" t="s">
        <v>1593</v>
      </c>
      <c r="V104" s="1867">
        <v>8000000</v>
      </c>
      <c r="W104" s="1840">
        <v>61</v>
      </c>
      <c r="X104" s="3945"/>
      <c r="Y104" s="3945"/>
      <c r="Z104" s="3945"/>
      <c r="AA104" s="3945"/>
      <c r="AB104" s="3945"/>
      <c r="AC104" s="3945"/>
      <c r="AD104" s="3945"/>
      <c r="AE104" s="3945"/>
      <c r="AF104" s="3945"/>
      <c r="AG104" s="3945"/>
      <c r="AH104" s="3945"/>
      <c r="AI104" s="3945"/>
      <c r="AJ104" s="3945"/>
      <c r="AK104" s="3945"/>
      <c r="AL104" s="3945"/>
      <c r="AM104" s="3945"/>
      <c r="AN104" s="3945"/>
      <c r="AO104" s="3973"/>
      <c r="AP104" s="3973"/>
      <c r="AQ104" s="3976"/>
      <c r="AR104" s="1873"/>
      <c r="AS104" s="1873"/>
      <c r="AT104" s="1873"/>
      <c r="AU104" s="1873"/>
      <c r="AV104" s="1873"/>
      <c r="AW104" s="1873"/>
      <c r="AX104" s="1873"/>
      <c r="AY104" s="1873"/>
      <c r="AZ104" s="1873"/>
      <c r="BA104" s="1873"/>
      <c r="BB104" s="1873"/>
      <c r="BC104" s="1873"/>
      <c r="BD104" s="1873"/>
      <c r="BE104" s="1873"/>
      <c r="BF104" s="1873"/>
      <c r="BG104" s="1873"/>
      <c r="BH104" s="1873"/>
      <c r="BI104" s="1873"/>
      <c r="BJ104" s="1873"/>
      <c r="BK104" s="1873"/>
      <c r="BL104" s="1873"/>
      <c r="BM104" s="1873"/>
      <c r="BN104" s="1873"/>
      <c r="BO104" s="1873"/>
      <c r="BP104" s="1873"/>
      <c r="BQ104" s="1873"/>
      <c r="BR104" s="1873"/>
      <c r="BS104" s="1873"/>
      <c r="BT104" s="1873"/>
      <c r="BU104" s="1873"/>
      <c r="BV104" s="1873"/>
      <c r="BW104" s="1873"/>
      <c r="BX104" s="1873"/>
      <c r="BY104" s="1873"/>
      <c r="BZ104" s="1873"/>
      <c r="CA104" s="1873"/>
      <c r="CB104" s="1873"/>
      <c r="CC104" s="1873"/>
      <c r="CD104" s="1873"/>
      <c r="CE104" s="1873"/>
      <c r="CF104" s="1873"/>
      <c r="CG104" s="1873"/>
      <c r="CH104" s="1873"/>
      <c r="CI104" s="1873"/>
      <c r="CJ104" s="1873"/>
      <c r="CK104" s="1873"/>
      <c r="CL104" s="1873"/>
      <c r="CM104" s="1873"/>
      <c r="CN104" s="1873"/>
      <c r="CO104" s="1873"/>
      <c r="CP104" s="1873"/>
      <c r="CQ104" s="1873"/>
      <c r="CR104" s="1873"/>
      <c r="CS104" s="1873"/>
      <c r="CT104" s="1873"/>
      <c r="CU104" s="1873"/>
      <c r="CV104" s="1873"/>
      <c r="CW104" s="1873"/>
      <c r="CX104" s="1873"/>
      <c r="CY104" s="1873"/>
      <c r="CZ104" s="1873"/>
      <c r="DA104" s="1873"/>
      <c r="DB104" s="1873"/>
      <c r="DC104" s="1873"/>
      <c r="DD104" s="1873"/>
      <c r="DE104" s="1873"/>
      <c r="DF104" s="1873"/>
      <c r="DG104" s="1873"/>
      <c r="DH104" s="1873"/>
      <c r="DI104" s="1873"/>
      <c r="DJ104" s="1873"/>
      <c r="DK104" s="1873"/>
      <c r="DL104" s="1873"/>
      <c r="DM104" s="1873"/>
      <c r="DN104" s="1873"/>
      <c r="DO104" s="1873"/>
      <c r="DP104" s="1873"/>
      <c r="DQ104" s="1873"/>
      <c r="DR104" s="1873"/>
      <c r="DS104" s="1873"/>
      <c r="DT104" s="1873"/>
      <c r="DU104" s="1873"/>
      <c r="DV104" s="1873"/>
      <c r="DW104" s="1873"/>
      <c r="DX104" s="1873"/>
      <c r="DY104" s="1873"/>
      <c r="DZ104" s="1873"/>
      <c r="EA104" s="1873"/>
      <c r="EB104" s="1873"/>
      <c r="EC104" s="1873"/>
      <c r="ED104" s="1873"/>
      <c r="EE104" s="1873"/>
      <c r="EF104" s="1873"/>
      <c r="EG104" s="1873"/>
      <c r="EH104" s="1873"/>
      <c r="EI104" s="1873"/>
      <c r="EJ104" s="1873"/>
      <c r="EK104" s="1873"/>
      <c r="EL104" s="1873"/>
      <c r="EM104" s="1873"/>
      <c r="EN104" s="1873"/>
      <c r="EO104" s="1873"/>
      <c r="EP104" s="1873"/>
      <c r="EQ104" s="1873"/>
      <c r="ER104" s="1873"/>
      <c r="ES104" s="1873"/>
      <c r="ET104" s="1873"/>
      <c r="EU104" s="1873"/>
      <c r="EV104" s="1873"/>
      <c r="EW104" s="1873"/>
      <c r="EX104" s="1873"/>
      <c r="EY104" s="1873"/>
      <c r="EZ104" s="1873"/>
      <c r="FA104" s="1873"/>
      <c r="FB104" s="1873"/>
      <c r="FC104" s="1873"/>
      <c r="FD104" s="1873"/>
      <c r="FE104" s="1873"/>
      <c r="FF104" s="1873"/>
      <c r="FG104" s="1873"/>
      <c r="FH104" s="1873"/>
      <c r="FI104" s="1873"/>
      <c r="FJ104" s="1873"/>
      <c r="FK104" s="1873"/>
      <c r="FL104" s="1873"/>
      <c r="FM104" s="1873"/>
      <c r="FN104" s="1873"/>
      <c r="FO104" s="1873"/>
      <c r="FP104" s="1873"/>
      <c r="FQ104" s="1873"/>
      <c r="FR104" s="1873"/>
      <c r="FS104" s="1873"/>
      <c r="FT104" s="1873"/>
      <c r="FU104" s="1873"/>
      <c r="FV104" s="1873"/>
      <c r="FW104" s="1873"/>
      <c r="FX104" s="1873"/>
      <c r="FY104" s="1873"/>
      <c r="FZ104" s="1873"/>
      <c r="GA104" s="1873"/>
      <c r="GB104" s="1873"/>
      <c r="GC104" s="1873"/>
      <c r="GD104" s="1873"/>
      <c r="GE104" s="1873"/>
      <c r="GF104" s="1873"/>
      <c r="GG104" s="1873"/>
      <c r="GH104" s="1873"/>
      <c r="GI104" s="1873"/>
      <c r="GJ104" s="1873"/>
      <c r="GK104" s="1873"/>
      <c r="GL104" s="1873"/>
      <c r="GM104" s="1873"/>
      <c r="GN104" s="1873"/>
      <c r="GO104" s="1873"/>
      <c r="GP104" s="1873"/>
      <c r="GQ104" s="1873"/>
      <c r="GR104" s="1873"/>
      <c r="GS104" s="1873"/>
      <c r="GT104" s="1873"/>
      <c r="GU104" s="1873"/>
      <c r="GV104" s="1873"/>
      <c r="GW104" s="1873"/>
      <c r="GX104" s="1873"/>
      <c r="GY104" s="1873"/>
      <c r="GZ104" s="1873"/>
      <c r="HA104" s="1873"/>
      <c r="HB104" s="1873"/>
      <c r="HC104" s="1873"/>
      <c r="HD104" s="1873"/>
      <c r="HE104" s="1873"/>
      <c r="HF104" s="1873"/>
      <c r="HG104" s="1873"/>
      <c r="HH104" s="1873"/>
      <c r="HI104" s="1873"/>
      <c r="HJ104" s="1873"/>
      <c r="HK104" s="1873"/>
      <c r="HL104" s="1873"/>
      <c r="HM104" s="1873"/>
      <c r="HN104" s="1873"/>
      <c r="HO104" s="1873"/>
      <c r="HP104" s="1873"/>
      <c r="HQ104" s="1873"/>
      <c r="HR104" s="1873"/>
      <c r="HS104" s="1873"/>
      <c r="HT104" s="1873"/>
      <c r="HU104" s="1873"/>
      <c r="HV104" s="1873"/>
      <c r="HW104" s="1873"/>
      <c r="HX104" s="1873"/>
      <c r="HY104" s="1873"/>
      <c r="HZ104" s="1873"/>
      <c r="IA104" s="1873"/>
      <c r="IB104" s="1873"/>
      <c r="IC104" s="1873"/>
      <c r="ID104" s="1873"/>
      <c r="IE104" s="1873"/>
      <c r="IF104" s="1873"/>
      <c r="IG104" s="1873"/>
      <c r="IH104" s="1873"/>
      <c r="II104" s="1873"/>
      <c r="IJ104" s="1873"/>
      <c r="IK104" s="1873"/>
      <c r="IL104" s="1873"/>
      <c r="IM104" s="1873"/>
      <c r="IN104" s="1873"/>
      <c r="IO104" s="1873"/>
      <c r="IP104" s="1873"/>
      <c r="IQ104" s="1873"/>
      <c r="IR104" s="1873"/>
      <c r="IS104" s="1873"/>
      <c r="IT104" s="1873"/>
      <c r="IU104" s="1873"/>
      <c r="IV104" s="1873"/>
      <c r="IW104" s="1873"/>
      <c r="IX104" s="1873"/>
      <c r="IY104" s="1873"/>
      <c r="IZ104" s="1873"/>
      <c r="JA104" s="1873"/>
      <c r="JB104" s="1873"/>
      <c r="JC104" s="1873"/>
      <c r="JD104" s="1873"/>
      <c r="JE104" s="1873"/>
      <c r="JF104" s="1873"/>
      <c r="JG104" s="1873"/>
      <c r="JH104" s="1873"/>
      <c r="JI104" s="1873"/>
      <c r="JJ104" s="1873"/>
      <c r="JK104" s="1873"/>
      <c r="JL104" s="1873"/>
      <c r="JM104" s="1873"/>
      <c r="JN104" s="1873"/>
      <c r="JO104" s="1873"/>
      <c r="JP104" s="1873"/>
      <c r="JQ104" s="1873"/>
      <c r="JR104" s="1873"/>
      <c r="JS104" s="1873"/>
      <c r="JT104" s="1873"/>
      <c r="JU104" s="1873"/>
      <c r="JV104" s="1873"/>
      <c r="JW104" s="1873"/>
      <c r="JX104" s="1873"/>
      <c r="JY104" s="1873"/>
    </row>
    <row r="105" spans="1:285" ht="36" customHeight="1" x14ac:dyDescent="0.2">
      <c r="A105" s="1819"/>
      <c r="B105" s="1820"/>
      <c r="C105" s="1821"/>
      <c r="D105" s="1820"/>
      <c r="E105" s="1820"/>
      <c r="F105" s="1821"/>
      <c r="G105" s="1854">
        <v>39</v>
      </c>
      <c r="H105" s="1825" t="s">
        <v>1594</v>
      </c>
      <c r="I105" s="1825"/>
      <c r="J105" s="1825"/>
      <c r="K105" s="1826"/>
      <c r="L105" s="1825"/>
      <c r="M105" s="1825"/>
      <c r="N105" s="1827"/>
      <c r="O105" s="1825"/>
      <c r="P105" s="1826"/>
      <c r="Q105" s="1825"/>
      <c r="R105" s="1855"/>
      <c r="S105" s="1826"/>
      <c r="T105" s="1826"/>
      <c r="U105" s="1826"/>
      <c r="V105" s="1856"/>
      <c r="W105" s="1857"/>
      <c r="X105" s="1827"/>
      <c r="Y105" s="1827"/>
      <c r="Z105" s="1827"/>
      <c r="AA105" s="1827"/>
      <c r="AB105" s="1827"/>
      <c r="AC105" s="1827"/>
      <c r="AD105" s="1827"/>
      <c r="AE105" s="1827"/>
      <c r="AF105" s="1827"/>
      <c r="AG105" s="1827"/>
      <c r="AH105" s="1827"/>
      <c r="AI105" s="1827"/>
      <c r="AJ105" s="1827"/>
      <c r="AK105" s="1827"/>
      <c r="AL105" s="1827"/>
      <c r="AM105" s="1827"/>
      <c r="AN105" s="1827"/>
      <c r="AO105" s="1827"/>
      <c r="AP105" s="1825"/>
      <c r="AQ105" s="1832"/>
    </row>
    <row r="106" spans="1:285" s="1873" customFormat="1" ht="71.25" x14ac:dyDescent="0.2">
      <c r="A106" s="1875"/>
      <c r="B106" s="1876"/>
      <c r="C106" s="1877"/>
      <c r="D106" s="1876"/>
      <c r="E106" s="1876"/>
      <c r="F106" s="1877"/>
      <c r="G106" s="1878"/>
      <c r="H106" s="1879"/>
      <c r="I106" s="1880"/>
      <c r="J106" s="3983">
        <v>139</v>
      </c>
      <c r="K106" s="3986" t="s">
        <v>1595</v>
      </c>
      <c r="L106" s="3952" t="s">
        <v>1482</v>
      </c>
      <c r="M106" s="3952">
        <v>1</v>
      </c>
      <c r="N106" s="3952" t="s">
        <v>1596</v>
      </c>
      <c r="O106" s="3952" t="s">
        <v>1597</v>
      </c>
      <c r="P106" s="3986" t="s">
        <v>1598</v>
      </c>
      <c r="Q106" s="3989">
        <f>SUM(V106:V110)/R106</f>
        <v>0.65300546448087426</v>
      </c>
      <c r="R106" s="3994">
        <f>SUM(V106:V118)</f>
        <v>183000000</v>
      </c>
      <c r="S106" s="3986" t="s">
        <v>1599</v>
      </c>
      <c r="T106" s="3986" t="s">
        <v>1600</v>
      </c>
      <c r="U106" s="1843" t="s">
        <v>1601</v>
      </c>
      <c r="V106" s="1867">
        <v>28000000</v>
      </c>
      <c r="W106" s="1881">
        <v>61</v>
      </c>
      <c r="X106" s="3952" t="s">
        <v>1536</v>
      </c>
      <c r="Y106" s="3952">
        <v>292684</v>
      </c>
      <c r="Z106" s="3952">
        <v>282326</v>
      </c>
      <c r="AA106" s="3952">
        <v>135912</v>
      </c>
      <c r="AB106" s="3952">
        <v>45122</v>
      </c>
      <c r="AC106" s="3952">
        <f>SUM(AC84)</f>
        <v>307101</v>
      </c>
      <c r="AD106" s="3952">
        <f>SUM(AD84)</f>
        <v>86875</v>
      </c>
      <c r="AE106" s="3952">
        <f>SUM(AE84)</f>
        <v>2145</v>
      </c>
      <c r="AF106" s="3952">
        <v>12718</v>
      </c>
      <c r="AG106" s="3952">
        <v>26</v>
      </c>
      <c r="AH106" s="3952">
        <v>37</v>
      </c>
      <c r="AI106" s="3952" t="s">
        <v>1489</v>
      </c>
      <c r="AJ106" s="3952" t="s">
        <v>1489</v>
      </c>
      <c r="AK106" s="3952">
        <v>53164</v>
      </c>
      <c r="AL106" s="3952">
        <v>16982</v>
      </c>
      <c r="AM106" s="3952">
        <v>60013</v>
      </c>
      <c r="AN106" s="3952">
        <v>575010</v>
      </c>
      <c r="AO106" s="4000">
        <v>43467</v>
      </c>
      <c r="AP106" s="4000">
        <v>43830</v>
      </c>
      <c r="AQ106" s="3997" t="s">
        <v>1490</v>
      </c>
    </row>
    <row r="107" spans="1:285" s="1873" customFormat="1" ht="40.5" customHeight="1" x14ac:dyDescent="0.2">
      <c r="A107" s="1875"/>
      <c r="B107" s="1876"/>
      <c r="C107" s="1877"/>
      <c r="D107" s="1876"/>
      <c r="E107" s="1876"/>
      <c r="F107" s="1877"/>
      <c r="G107" s="1882"/>
      <c r="H107" s="1876"/>
      <c r="I107" s="1877"/>
      <c r="J107" s="3984"/>
      <c r="K107" s="3987"/>
      <c r="L107" s="3953"/>
      <c r="M107" s="3953"/>
      <c r="N107" s="3953"/>
      <c r="O107" s="3953"/>
      <c r="P107" s="3987"/>
      <c r="Q107" s="3990"/>
      <c r="R107" s="3995"/>
      <c r="S107" s="3987"/>
      <c r="T107" s="3987"/>
      <c r="U107" s="3963" t="s">
        <v>1602</v>
      </c>
      <c r="V107" s="1867">
        <v>28000000</v>
      </c>
      <c r="W107" s="1881">
        <v>61</v>
      </c>
      <c r="X107" s="3953"/>
      <c r="Y107" s="3953"/>
      <c r="Z107" s="3953"/>
      <c r="AA107" s="3953"/>
      <c r="AB107" s="3953"/>
      <c r="AC107" s="3953"/>
      <c r="AD107" s="3953"/>
      <c r="AE107" s="3953"/>
      <c r="AF107" s="3953"/>
      <c r="AG107" s="3953"/>
      <c r="AH107" s="3953"/>
      <c r="AI107" s="3953"/>
      <c r="AJ107" s="3953"/>
      <c r="AK107" s="3953"/>
      <c r="AL107" s="3953"/>
      <c r="AM107" s="3953"/>
      <c r="AN107" s="3953"/>
      <c r="AO107" s="4001"/>
      <c r="AP107" s="4001"/>
      <c r="AQ107" s="3998"/>
    </row>
    <row r="108" spans="1:285" s="1873" customFormat="1" ht="38.25" customHeight="1" x14ac:dyDescent="0.2">
      <c r="A108" s="1875"/>
      <c r="B108" s="1876"/>
      <c r="C108" s="1877"/>
      <c r="D108" s="1876"/>
      <c r="E108" s="1876"/>
      <c r="F108" s="1877"/>
      <c r="G108" s="1882"/>
      <c r="H108" s="1876"/>
      <c r="I108" s="1877"/>
      <c r="J108" s="3984"/>
      <c r="K108" s="3987"/>
      <c r="L108" s="3953"/>
      <c r="M108" s="3953"/>
      <c r="N108" s="3953"/>
      <c r="O108" s="3953"/>
      <c r="P108" s="3987"/>
      <c r="Q108" s="3990"/>
      <c r="R108" s="3995"/>
      <c r="S108" s="3987"/>
      <c r="T108" s="3987"/>
      <c r="U108" s="3964"/>
      <c r="V108" s="1865">
        <v>7500000</v>
      </c>
      <c r="W108" s="1883">
        <v>98</v>
      </c>
      <c r="X108" s="3953"/>
      <c r="Y108" s="3953"/>
      <c r="Z108" s="3953"/>
      <c r="AA108" s="3953"/>
      <c r="AB108" s="3953"/>
      <c r="AC108" s="3953"/>
      <c r="AD108" s="3953"/>
      <c r="AE108" s="3953"/>
      <c r="AF108" s="3953"/>
      <c r="AG108" s="3953"/>
      <c r="AH108" s="3953"/>
      <c r="AI108" s="3953"/>
      <c r="AJ108" s="3953"/>
      <c r="AK108" s="3953"/>
      <c r="AL108" s="3953"/>
      <c r="AM108" s="3953"/>
      <c r="AN108" s="3953"/>
      <c r="AO108" s="4001"/>
      <c r="AP108" s="4001"/>
      <c r="AQ108" s="3998"/>
    </row>
    <row r="109" spans="1:285" s="1873" customFormat="1" ht="57" x14ac:dyDescent="0.2">
      <c r="A109" s="1875"/>
      <c r="B109" s="1876"/>
      <c r="C109" s="1877"/>
      <c r="D109" s="1876"/>
      <c r="E109" s="1876"/>
      <c r="F109" s="1877"/>
      <c r="G109" s="1882"/>
      <c r="H109" s="1876"/>
      <c r="I109" s="1877"/>
      <c r="J109" s="3984"/>
      <c r="K109" s="3987"/>
      <c r="L109" s="3953"/>
      <c r="M109" s="3953"/>
      <c r="N109" s="3953"/>
      <c r="O109" s="3953"/>
      <c r="P109" s="3987"/>
      <c r="Q109" s="3990"/>
      <c r="R109" s="3995"/>
      <c r="S109" s="3987"/>
      <c r="T109" s="3987"/>
      <c r="U109" s="1843" t="s">
        <v>1603</v>
      </c>
      <c r="V109" s="1867">
        <v>28000000</v>
      </c>
      <c r="W109" s="1881">
        <v>61</v>
      </c>
      <c r="X109" s="3953"/>
      <c r="Y109" s="3953"/>
      <c r="Z109" s="3953"/>
      <c r="AA109" s="3953"/>
      <c r="AB109" s="3953"/>
      <c r="AC109" s="3953"/>
      <c r="AD109" s="3953"/>
      <c r="AE109" s="3953"/>
      <c r="AF109" s="3953"/>
      <c r="AG109" s="3953"/>
      <c r="AH109" s="3953"/>
      <c r="AI109" s="3953"/>
      <c r="AJ109" s="3953"/>
      <c r="AK109" s="3953"/>
      <c r="AL109" s="3953"/>
      <c r="AM109" s="3953"/>
      <c r="AN109" s="3953"/>
      <c r="AO109" s="4001"/>
      <c r="AP109" s="4001"/>
      <c r="AQ109" s="3998"/>
    </row>
    <row r="110" spans="1:285" s="1873" customFormat="1" ht="57" x14ac:dyDescent="0.2">
      <c r="A110" s="1875"/>
      <c r="B110" s="1876"/>
      <c r="C110" s="1877"/>
      <c r="D110" s="1876"/>
      <c r="E110" s="1876"/>
      <c r="F110" s="1877"/>
      <c r="G110" s="1882"/>
      <c r="H110" s="1876"/>
      <c r="I110" s="1877"/>
      <c r="J110" s="3985"/>
      <c r="K110" s="3988"/>
      <c r="L110" s="3954"/>
      <c r="M110" s="3954"/>
      <c r="N110" s="3953"/>
      <c r="O110" s="3953"/>
      <c r="P110" s="3987"/>
      <c r="Q110" s="3991"/>
      <c r="R110" s="3995"/>
      <c r="S110" s="3987"/>
      <c r="T110" s="3988"/>
      <c r="U110" s="1843" t="s">
        <v>1604</v>
      </c>
      <c r="V110" s="1867">
        <v>28000000</v>
      </c>
      <c r="W110" s="1881">
        <v>61</v>
      </c>
      <c r="X110" s="3953"/>
      <c r="Y110" s="3953"/>
      <c r="Z110" s="3953"/>
      <c r="AA110" s="3953"/>
      <c r="AB110" s="3953"/>
      <c r="AC110" s="3953"/>
      <c r="AD110" s="3953"/>
      <c r="AE110" s="3953"/>
      <c r="AF110" s="3953"/>
      <c r="AG110" s="3953"/>
      <c r="AH110" s="3953"/>
      <c r="AI110" s="3953"/>
      <c r="AJ110" s="3953"/>
      <c r="AK110" s="3953"/>
      <c r="AL110" s="3953"/>
      <c r="AM110" s="3953"/>
      <c r="AN110" s="3953"/>
      <c r="AO110" s="4001"/>
      <c r="AP110" s="4001"/>
      <c r="AQ110" s="3998"/>
    </row>
    <row r="111" spans="1:285" s="1873" customFormat="1" ht="42.75" x14ac:dyDescent="0.2">
      <c r="A111" s="1875"/>
      <c r="B111" s="1876"/>
      <c r="C111" s="1877"/>
      <c r="D111" s="1876"/>
      <c r="E111" s="1876"/>
      <c r="F111" s="1877"/>
      <c r="G111" s="1882"/>
      <c r="H111" s="1876"/>
      <c r="I111" s="1877"/>
      <c r="J111" s="3983">
        <v>140</v>
      </c>
      <c r="K111" s="3986" t="s">
        <v>1605</v>
      </c>
      <c r="L111" s="3952" t="s">
        <v>1482</v>
      </c>
      <c r="M111" s="3952">
        <v>1</v>
      </c>
      <c r="N111" s="3953"/>
      <c r="O111" s="3953"/>
      <c r="P111" s="3987"/>
      <c r="Q111" s="3989">
        <f>SUM(V111:V114)/R106</f>
        <v>0.15300546448087432</v>
      </c>
      <c r="R111" s="3995"/>
      <c r="S111" s="3987"/>
      <c r="T111" s="3986" t="s">
        <v>1606</v>
      </c>
      <c r="U111" s="1843" t="s">
        <v>1607</v>
      </c>
      <c r="V111" s="1867">
        <v>7000000</v>
      </c>
      <c r="W111" s="1881">
        <v>61</v>
      </c>
      <c r="X111" s="3953"/>
      <c r="Y111" s="3953"/>
      <c r="Z111" s="3953"/>
      <c r="AA111" s="3953"/>
      <c r="AB111" s="3953"/>
      <c r="AC111" s="3953"/>
      <c r="AD111" s="3953"/>
      <c r="AE111" s="3953"/>
      <c r="AF111" s="3953"/>
      <c r="AG111" s="3953"/>
      <c r="AH111" s="3953"/>
      <c r="AI111" s="3953"/>
      <c r="AJ111" s="3953"/>
      <c r="AK111" s="3953"/>
      <c r="AL111" s="3953"/>
      <c r="AM111" s="3953"/>
      <c r="AN111" s="3953"/>
      <c r="AO111" s="4001"/>
      <c r="AP111" s="4001"/>
      <c r="AQ111" s="3998"/>
    </row>
    <row r="112" spans="1:285" s="1873" customFormat="1" ht="71.25" x14ac:dyDescent="0.2">
      <c r="A112" s="1875"/>
      <c r="B112" s="1876"/>
      <c r="C112" s="1877"/>
      <c r="D112" s="1876"/>
      <c r="E112" s="1876"/>
      <c r="F112" s="1877"/>
      <c r="G112" s="1882"/>
      <c r="H112" s="1876"/>
      <c r="I112" s="1877"/>
      <c r="J112" s="3984"/>
      <c r="K112" s="3987"/>
      <c r="L112" s="3953"/>
      <c r="M112" s="3953"/>
      <c r="N112" s="3953"/>
      <c r="O112" s="3953"/>
      <c r="P112" s="3987"/>
      <c r="Q112" s="3990"/>
      <c r="R112" s="3995"/>
      <c r="S112" s="3987"/>
      <c r="T112" s="3987"/>
      <c r="U112" s="1843" t="s">
        <v>1608</v>
      </c>
      <c r="V112" s="1867">
        <v>7000000</v>
      </c>
      <c r="W112" s="1881">
        <v>61</v>
      </c>
      <c r="X112" s="3953"/>
      <c r="Y112" s="3953"/>
      <c r="Z112" s="3953"/>
      <c r="AA112" s="3953"/>
      <c r="AB112" s="3953"/>
      <c r="AC112" s="3953"/>
      <c r="AD112" s="3953"/>
      <c r="AE112" s="3953"/>
      <c r="AF112" s="3953"/>
      <c r="AG112" s="3953"/>
      <c r="AH112" s="3953"/>
      <c r="AI112" s="3953"/>
      <c r="AJ112" s="3953"/>
      <c r="AK112" s="3953"/>
      <c r="AL112" s="3953"/>
      <c r="AM112" s="3953"/>
      <c r="AN112" s="3953"/>
      <c r="AO112" s="4001"/>
      <c r="AP112" s="4001"/>
      <c r="AQ112" s="3998"/>
    </row>
    <row r="113" spans="1:43" s="1873" customFormat="1" ht="28.5" x14ac:dyDescent="0.2">
      <c r="A113" s="1875"/>
      <c r="B113" s="1876"/>
      <c r="C113" s="1877"/>
      <c r="D113" s="1876"/>
      <c r="E113" s="1876"/>
      <c r="F113" s="1877"/>
      <c r="G113" s="1882"/>
      <c r="H113" s="1876"/>
      <c r="I113" s="1877"/>
      <c r="J113" s="3984"/>
      <c r="K113" s="3987"/>
      <c r="L113" s="3953"/>
      <c r="M113" s="3953"/>
      <c r="N113" s="3953"/>
      <c r="O113" s="3953"/>
      <c r="P113" s="3987"/>
      <c r="Q113" s="3990"/>
      <c r="R113" s="3995"/>
      <c r="S113" s="3987"/>
      <c r="T113" s="3987"/>
      <c r="U113" s="1843" t="s">
        <v>1609</v>
      </c>
      <c r="V113" s="1867">
        <v>7000000</v>
      </c>
      <c r="W113" s="1881">
        <v>61</v>
      </c>
      <c r="X113" s="3953"/>
      <c r="Y113" s="3953"/>
      <c r="Z113" s="3953"/>
      <c r="AA113" s="3953"/>
      <c r="AB113" s="3953"/>
      <c r="AC113" s="3953"/>
      <c r="AD113" s="3953"/>
      <c r="AE113" s="3953"/>
      <c r="AF113" s="3953"/>
      <c r="AG113" s="3953"/>
      <c r="AH113" s="3953"/>
      <c r="AI113" s="3953"/>
      <c r="AJ113" s="3953"/>
      <c r="AK113" s="3953"/>
      <c r="AL113" s="3953"/>
      <c r="AM113" s="3953"/>
      <c r="AN113" s="3953"/>
      <c r="AO113" s="4001"/>
      <c r="AP113" s="4001"/>
      <c r="AQ113" s="3998"/>
    </row>
    <row r="114" spans="1:43" s="1873" customFormat="1" ht="80.25" customHeight="1" x14ac:dyDescent="0.2">
      <c r="A114" s="1875"/>
      <c r="B114" s="1876"/>
      <c r="C114" s="1877"/>
      <c r="D114" s="1876"/>
      <c r="E114" s="1876"/>
      <c r="F114" s="1877"/>
      <c r="G114" s="1882"/>
      <c r="H114" s="1876"/>
      <c r="I114" s="1877"/>
      <c r="J114" s="3985"/>
      <c r="K114" s="3988"/>
      <c r="L114" s="3954"/>
      <c r="M114" s="3954"/>
      <c r="N114" s="3953"/>
      <c r="O114" s="3953"/>
      <c r="P114" s="3987"/>
      <c r="Q114" s="3991"/>
      <c r="R114" s="3995"/>
      <c r="S114" s="3987"/>
      <c r="T114" s="3988"/>
      <c r="U114" s="1843" t="s">
        <v>1610</v>
      </c>
      <c r="V114" s="1867">
        <v>7000000</v>
      </c>
      <c r="W114" s="1881">
        <v>61</v>
      </c>
      <c r="X114" s="3953"/>
      <c r="Y114" s="3953"/>
      <c r="Z114" s="3953"/>
      <c r="AA114" s="3953"/>
      <c r="AB114" s="3953"/>
      <c r="AC114" s="3953"/>
      <c r="AD114" s="3953"/>
      <c r="AE114" s="3953"/>
      <c r="AF114" s="3953"/>
      <c r="AG114" s="3953"/>
      <c r="AH114" s="3953"/>
      <c r="AI114" s="3953"/>
      <c r="AJ114" s="3953"/>
      <c r="AK114" s="3953"/>
      <c r="AL114" s="3953"/>
      <c r="AM114" s="3953"/>
      <c r="AN114" s="3953"/>
      <c r="AO114" s="4001"/>
      <c r="AP114" s="4001"/>
      <c r="AQ114" s="3998"/>
    </row>
    <row r="115" spans="1:43" s="1873" customFormat="1" ht="62.25" customHeight="1" x14ac:dyDescent="0.2">
      <c r="A115" s="1875"/>
      <c r="B115" s="1876"/>
      <c r="C115" s="1877"/>
      <c r="D115" s="1876"/>
      <c r="E115" s="1876"/>
      <c r="F115" s="1877"/>
      <c r="G115" s="1882"/>
      <c r="H115" s="1876"/>
      <c r="I115" s="1877"/>
      <c r="J115" s="3983">
        <v>141</v>
      </c>
      <c r="K115" s="3986" t="s">
        <v>1611</v>
      </c>
      <c r="L115" s="3952" t="s">
        <v>1482</v>
      </c>
      <c r="M115" s="3952">
        <v>1</v>
      </c>
      <c r="N115" s="3953"/>
      <c r="O115" s="3953"/>
      <c r="P115" s="3987"/>
      <c r="Q115" s="3989">
        <f>SUM(V115:V118)/R106</f>
        <v>0.19398907103825136</v>
      </c>
      <c r="R115" s="3995"/>
      <c r="S115" s="3987"/>
      <c r="T115" s="3986" t="s">
        <v>1612</v>
      </c>
      <c r="U115" s="1843" t="s">
        <v>1613</v>
      </c>
      <c r="V115" s="1867">
        <v>10000000</v>
      </c>
      <c r="W115" s="1881">
        <v>61</v>
      </c>
      <c r="X115" s="3953"/>
      <c r="Y115" s="3953"/>
      <c r="Z115" s="3953"/>
      <c r="AA115" s="3953"/>
      <c r="AB115" s="3953"/>
      <c r="AC115" s="3953"/>
      <c r="AD115" s="3953"/>
      <c r="AE115" s="3953"/>
      <c r="AF115" s="3953"/>
      <c r="AG115" s="3953"/>
      <c r="AH115" s="3953"/>
      <c r="AI115" s="3953"/>
      <c r="AJ115" s="3953"/>
      <c r="AK115" s="3953"/>
      <c r="AL115" s="3953"/>
      <c r="AM115" s="3953"/>
      <c r="AN115" s="3953"/>
      <c r="AO115" s="4001"/>
      <c r="AP115" s="4001"/>
      <c r="AQ115" s="3998"/>
    </row>
    <row r="116" spans="1:43" s="1873" customFormat="1" ht="124.5" customHeight="1" x14ac:dyDescent="0.2">
      <c r="A116" s="1875"/>
      <c r="B116" s="1876"/>
      <c r="C116" s="1877"/>
      <c r="D116" s="1876"/>
      <c r="E116" s="1876"/>
      <c r="F116" s="1877"/>
      <c r="G116" s="1882"/>
      <c r="H116" s="1876"/>
      <c r="I116" s="1877"/>
      <c r="J116" s="3984"/>
      <c r="K116" s="3987"/>
      <c r="L116" s="3953"/>
      <c r="M116" s="3953"/>
      <c r="N116" s="3953"/>
      <c r="O116" s="3953"/>
      <c r="P116" s="3987"/>
      <c r="Q116" s="3990"/>
      <c r="R116" s="3995"/>
      <c r="S116" s="3987"/>
      <c r="T116" s="3987"/>
      <c r="U116" s="1843" t="s">
        <v>1614</v>
      </c>
      <c r="V116" s="1867">
        <v>10000000</v>
      </c>
      <c r="W116" s="1881">
        <v>61</v>
      </c>
      <c r="X116" s="3953"/>
      <c r="Y116" s="3953"/>
      <c r="Z116" s="3953"/>
      <c r="AA116" s="3953"/>
      <c r="AB116" s="3953"/>
      <c r="AC116" s="3953"/>
      <c r="AD116" s="3953"/>
      <c r="AE116" s="3953"/>
      <c r="AF116" s="3953"/>
      <c r="AG116" s="3953"/>
      <c r="AH116" s="3953"/>
      <c r="AI116" s="3953"/>
      <c r="AJ116" s="3953"/>
      <c r="AK116" s="3953"/>
      <c r="AL116" s="3953"/>
      <c r="AM116" s="3953"/>
      <c r="AN116" s="3953"/>
      <c r="AO116" s="4001"/>
      <c r="AP116" s="4001"/>
      <c r="AQ116" s="3998"/>
    </row>
    <row r="117" spans="1:43" s="1873" customFormat="1" ht="44.25" customHeight="1" x14ac:dyDescent="0.2">
      <c r="A117" s="1875"/>
      <c r="B117" s="1876"/>
      <c r="C117" s="1877"/>
      <c r="D117" s="1876"/>
      <c r="E117" s="1876"/>
      <c r="F117" s="1877"/>
      <c r="G117" s="1882"/>
      <c r="H117" s="1876"/>
      <c r="I117" s="1877"/>
      <c r="J117" s="3984"/>
      <c r="K117" s="3987"/>
      <c r="L117" s="3953"/>
      <c r="M117" s="3953"/>
      <c r="N117" s="3953"/>
      <c r="O117" s="3953"/>
      <c r="P117" s="3987"/>
      <c r="Q117" s="3990"/>
      <c r="R117" s="3995"/>
      <c r="S117" s="3987"/>
      <c r="T117" s="3987"/>
      <c r="U117" s="3963" t="s">
        <v>1615</v>
      </c>
      <c r="V117" s="1865">
        <v>7500000</v>
      </c>
      <c r="W117" s="1883">
        <v>98</v>
      </c>
      <c r="X117" s="3953"/>
      <c r="Y117" s="3953"/>
      <c r="Z117" s="3953"/>
      <c r="AA117" s="3953"/>
      <c r="AB117" s="3953"/>
      <c r="AC117" s="3953"/>
      <c r="AD117" s="3953"/>
      <c r="AE117" s="3953"/>
      <c r="AF117" s="3953"/>
      <c r="AG117" s="3953"/>
      <c r="AH117" s="3953"/>
      <c r="AI117" s="3953"/>
      <c r="AJ117" s="3953"/>
      <c r="AK117" s="3953"/>
      <c r="AL117" s="3953"/>
      <c r="AM117" s="3953"/>
      <c r="AN117" s="3953"/>
      <c r="AO117" s="4001"/>
      <c r="AP117" s="4001"/>
      <c r="AQ117" s="3998"/>
    </row>
    <row r="118" spans="1:43" s="1873" customFormat="1" ht="37.5" customHeight="1" x14ac:dyDescent="0.2">
      <c r="A118" s="1875"/>
      <c r="B118" s="1876"/>
      <c r="C118" s="1877"/>
      <c r="D118" s="1876"/>
      <c r="E118" s="1876"/>
      <c r="F118" s="1877"/>
      <c r="G118" s="1884"/>
      <c r="H118" s="1885"/>
      <c r="I118" s="1886"/>
      <c r="J118" s="3985"/>
      <c r="K118" s="3988"/>
      <c r="L118" s="3954"/>
      <c r="M118" s="3954"/>
      <c r="N118" s="3954"/>
      <c r="O118" s="3954"/>
      <c r="P118" s="3988"/>
      <c r="Q118" s="3991"/>
      <c r="R118" s="3996"/>
      <c r="S118" s="3988"/>
      <c r="T118" s="3988"/>
      <c r="U118" s="3964"/>
      <c r="V118" s="1867">
        <v>8000000</v>
      </c>
      <c r="W118" s="1881">
        <v>61</v>
      </c>
      <c r="X118" s="3954"/>
      <c r="Y118" s="3954"/>
      <c r="Z118" s="3954"/>
      <c r="AA118" s="3954"/>
      <c r="AB118" s="3954"/>
      <c r="AC118" s="3954"/>
      <c r="AD118" s="3954"/>
      <c r="AE118" s="3954"/>
      <c r="AF118" s="3954"/>
      <c r="AG118" s="3954"/>
      <c r="AH118" s="3954"/>
      <c r="AI118" s="3954"/>
      <c r="AJ118" s="3954"/>
      <c r="AK118" s="3954"/>
      <c r="AL118" s="3954"/>
      <c r="AM118" s="3954"/>
      <c r="AN118" s="3954"/>
      <c r="AO118" s="4002"/>
      <c r="AP118" s="4002"/>
      <c r="AQ118" s="3999"/>
    </row>
    <row r="119" spans="1:43" ht="36" customHeight="1" x14ac:dyDescent="0.2">
      <c r="A119" s="1819"/>
      <c r="B119" s="1820"/>
      <c r="C119" s="1821"/>
      <c r="D119" s="1820"/>
      <c r="E119" s="1820"/>
      <c r="F119" s="1821"/>
      <c r="G119" s="1854">
        <v>40</v>
      </c>
      <c r="H119" s="1825" t="s">
        <v>1616</v>
      </c>
      <c r="I119" s="1825"/>
      <c r="J119" s="1825"/>
      <c r="K119" s="1826"/>
      <c r="L119" s="1825"/>
      <c r="M119" s="1825"/>
      <c r="N119" s="1827"/>
      <c r="O119" s="1825"/>
      <c r="P119" s="1826"/>
      <c r="Q119" s="1825"/>
      <c r="R119" s="1855"/>
      <c r="S119" s="1826"/>
      <c r="T119" s="1826"/>
      <c r="U119" s="1826"/>
      <c r="V119" s="1856"/>
      <c r="W119" s="1857"/>
      <c r="X119" s="1887"/>
      <c r="Y119" s="1827"/>
      <c r="Z119" s="1827"/>
      <c r="AA119" s="1827"/>
      <c r="AB119" s="1827"/>
      <c r="AC119" s="1827"/>
      <c r="AD119" s="1827"/>
      <c r="AE119" s="1827"/>
      <c r="AF119" s="1827"/>
      <c r="AG119" s="1827"/>
      <c r="AH119" s="1827"/>
      <c r="AI119" s="1827"/>
      <c r="AJ119" s="1827"/>
      <c r="AK119" s="1827"/>
      <c r="AL119" s="1827"/>
      <c r="AM119" s="1827"/>
      <c r="AN119" s="1827"/>
      <c r="AO119" s="1827"/>
      <c r="AP119" s="1825"/>
      <c r="AQ119" s="1832"/>
    </row>
    <row r="120" spans="1:43" ht="60" customHeight="1" x14ac:dyDescent="0.2">
      <c r="A120" s="1859"/>
      <c r="B120" s="1860"/>
      <c r="C120" s="1861"/>
      <c r="D120" s="1860"/>
      <c r="E120" s="1860"/>
      <c r="F120" s="1861"/>
      <c r="G120" s="1862"/>
      <c r="H120" s="1863"/>
      <c r="I120" s="1864"/>
      <c r="J120" s="3937">
        <v>142</v>
      </c>
      <c r="K120" s="3940" t="s">
        <v>1617</v>
      </c>
      <c r="L120" s="3943" t="s">
        <v>1482</v>
      </c>
      <c r="M120" s="3943">
        <v>12</v>
      </c>
      <c r="N120" s="3943" t="s">
        <v>1618</v>
      </c>
      <c r="O120" s="3943" t="s">
        <v>1619</v>
      </c>
      <c r="P120" s="3940" t="s">
        <v>1620</v>
      </c>
      <c r="Q120" s="4009">
        <f>SUM(V120:V124)/R120</f>
        <v>0.74584771050059628</v>
      </c>
      <c r="R120" s="3968">
        <f>SUM(V120:V129)</f>
        <v>151105914</v>
      </c>
      <c r="S120" s="3940" t="s">
        <v>1621</v>
      </c>
      <c r="T120" s="3940" t="s">
        <v>1622</v>
      </c>
      <c r="U120" s="1888" t="s">
        <v>1623</v>
      </c>
      <c r="V120" s="1839">
        <v>25000000</v>
      </c>
      <c r="W120" s="1889">
        <v>61</v>
      </c>
      <c r="X120" s="4011" t="s">
        <v>1624</v>
      </c>
      <c r="Y120" s="4003" t="s">
        <v>1489</v>
      </c>
      <c r="Z120" s="4003" t="s">
        <v>1489</v>
      </c>
      <c r="AA120" s="3960">
        <v>64149</v>
      </c>
      <c r="AB120" s="4006" t="s">
        <v>1489</v>
      </c>
      <c r="AC120" s="4006" t="s">
        <v>1489</v>
      </c>
      <c r="AD120" s="4006" t="s">
        <v>1489</v>
      </c>
      <c r="AE120" s="4006" t="s">
        <v>1489</v>
      </c>
      <c r="AF120" s="4006" t="s">
        <v>1489</v>
      </c>
      <c r="AG120" s="4006" t="s">
        <v>1489</v>
      </c>
      <c r="AH120" s="4006" t="s">
        <v>1489</v>
      </c>
      <c r="AI120" s="4006" t="s">
        <v>1489</v>
      </c>
      <c r="AJ120" s="4006" t="s">
        <v>1489</v>
      </c>
      <c r="AK120" s="4006" t="s">
        <v>1489</v>
      </c>
      <c r="AL120" s="4006" t="s">
        <v>1489</v>
      </c>
      <c r="AM120" s="4006" t="s">
        <v>1489</v>
      </c>
      <c r="AN120" s="3960">
        <v>64149</v>
      </c>
      <c r="AO120" s="3971">
        <v>43467</v>
      </c>
      <c r="AP120" s="3971">
        <v>43830</v>
      </c>
      <c r="AQ120" s="3974" t="s">
        <v>1490</v>
      </c>
    </row>
    <row r="121" spans="1:43" ht="42.75" x14ac:dyDescent="0.2">
      <c r="A121" s="1859"/>
      <c r="B121" s="1860"/>
      <c r="C121" s="1861"/>
      <c r="D121" s="1860"/>
      <c r="E121" s="1860"/>
      <c r="F121" s="1861"/>
      <c r="G121" s="1866"/>
      <c r="H121" s="1860"/>
      <c r="I121" s="1861"/>
      <c r="J121" s="3938"/>
      <c r="K121" s="3941"/>
      <c r="L121" s="3944"/>
      <c r="M121" s="3944"/>
      <c r="N121" s="3944"/>
      <c r="O121" s="3944"/>
      <c r="P121" s="3941"/>
      <c r="Q121" s="4009"/>
      <c r="R121" s="3969"/>
      <c r="S121" s="3941"/>
      <c r="T121" s="3941"/>
      <c r="U121" s="1888" t="s">
        <v>1625</v>
      </c>
      <c r="V121" s="1890">
        <v>25000000</v>
      </c>
      <c r="W121" s="1889">
        <v>61</v>
      </c>
      <c r="X121" s="4012"/>
      <c r="Y121" s="4004"/>
      <c r="Z121" s="4004"/>
      <c r="AA121" s="3961"/>
      <c r="AB121" s="4007"/>
      <c r="AC121" s="4007"/>
      <c r="AD121" s="4007"/>
      <c r="AE121" s="4007"/>
      <c r="AF121" s="4007"/>
      <c r="AG121" s="4007"/>
      <c r="AH121" s="4007"/>
      <c r="AI121" s="4007"/>
      <c r="AJ121" s="4007"/>
      <c r="AK121" s="4007"/>
      <c r="AL121" s="4007"/>
      <c r="AM121" s="4007"/>
      <c r="AN121" s="3961"/>
      <c r="AO121" s="3972"/>
      <c r="AP121" s="3972"/>
      <c r="AQ121" s="3975"/>
    </row>
    <row r="122" spans="1:43" ht="77.25" customHeight="1" x14ac:dyDescent="0.2">
      <c r="A122" s="1859"/>
      <c r="B122" s="1860"/>
      <c r="C122" s="1861"/>
      <c r="D122" s="1860"/>
      <c r="E122" s="1860"/>
      <c r="F122" s="1861"/>
      <c r="G122" s="1866"/>
      <c r="H122" s="1860"/>
      <c r="I122" s="1861"/>
      <c r="J122" s="3938"/>
      <c r="K122" s="3941"/>
      <c r="L122" s="3944"/>
      <c r="M122" s="3944"/>
      <c r="N122" s="3944"/>
      <c r="O122" s="3944"/>
      <c r="P122" s="3941"/>
      <c r="Q122" s="4009"/>
      <c r="R122" s="3969"/>
      <c r="S122" s="3941"/>
      <c r="T122" s="3941"/>
      <c r="U122" s="1888" t="s">
        <v>1626</v>
      </c>
      <c r="V122" s="1890">
        <v>25000000</v>
      </c>
      <c r="W122" s="1889">
        <v>61</v>
      </c>
      <c r="X122" s="4012"/>
      <c r="Y122" s="4004"/>
      <c r="Z122" s="4004"/>
      <c r="AA122" s="3961"/>
      <c r="AB122" s="4007"/>
      <c r="AC122" s="4007"/>
      <c r="AD122" s="4007"/>
      <c r="AE122" s="4007"/>
      <c r="AF122" s="4007"/>
      <c r="AG122" s="4007"/>
      <c r="AH122" s="4007"/>
      <c r="AI122" s="4007"/>
      <c r="AJ122" s="4007"/>
      <c r="AK122" s="4007"/>
      <c r="AL122" s="4007"/>
      <c r="AM122" s="4007"/>
      <c r="AN122" s="3961"/>
      <c r="AO122" s="3972"/>
      <c r="AP122" s="3972"/>
      <c r="AQ122" s="3975"/>
    </row>
    <row r="123" spans="1:43" ht="40.5" customHeight="1" x14ac:dyDescent="0.2">
      <c r="A123" s="1859"/>
      <c r="B123" s="1860"/>
      <c r="C123" s="1861"/>
      <c r="D123" s="1860"/>
      <c r="E123" s="1860"/>
      <c r="F123" s="1861"/>
      <c r="G123" s="1866"/>
      <c r="H123" s="1860"/>
      <c r="I123" s="1861"/>
      <c r="J123" s="3938"/>
      <c r="K123" s="3941"/>
      <c r="L123" s="3944"/>
      <c r="M123" s="3944"/>
      <c r="N123" s="3944"/>
      <c r="O123" s="3944"/>
      <c r="P123" s="3941"/>
      <c r="Q123" s="4009"/>
      <c r="R123" s="3969"/>
      <c r="S123" s="3941"/>
      <c r="T123" s="3941"/>
      <c r="U123" s="3940" t="s">
        <v>1627</v>
      </c>
      <c r="V123" s="1890">
        <v>28702000</v>
      </c>
      <c r="W123" s="1889">
        <v>61</v>
      </c>
      <c r="X123" s="4012"/>
      <c r="Y123" s="4004"/>
      <c r="Z123" s="4004"/>
      <c r="AA123" s="3961"/>
      <c r="AB123" s="4007"/>
      <c r="AC123" s="4007"/>
      <c r="AD123" s="4007"/>
      <c r="AE123" s="4007"/>
      <c r="AF123" s="4007"/>
      <c r="AG123" s="4007"/>
      <c r="AH123" s="4007"/>
      <c r="AI123" s="4007"/>
      <c r="AJ123" s="4007"/>
      <c r="AK123" s="4007"/>
      <c r="AL123" s="4007"/>
      <c r="AM123" s="4007"/>
      <c r="AN123" s="3961"/>
      <c r="AO123" s="3972"/>
      <c r="AP123" s="3972"/>
      <c r="AQ123" s="3975"/>
    </row>
    <row r="124" spans="1:43" ht="36.75" customHeight="1" x14ac:dyDescent="0.2">
      <c r="A124" s="1859"/>
      <c r="B124" s="1860"/>
      <c r="C124" s="1861"/>
      <c r="D124" s="1860"/>
      <c r="E124" s="1860"/>
      <c r="F124" s="1861"/>
      <c r="G124" s="1866"/>
      <c r="H124" s="1860"/>
      <c r="I124" s="1861"/>
      <c r="J124" s="3939"/>
      <c r="K124" s="3942"/>
      <c r="L124" s="3945"/>
      <c r="M124" s="3945"/>
      <c r="N124" s="3944"/>
      <c r="O124" s="3944"/>
      <c r="P124" s="3941"/>
      <c r="Q124" s="4009"/>
      <c r="R124" s="3969"/>
      <c r="S124" s="3941"/>
      <c r="T124" s="3942"/>
      <c r="U124" s="3942"/>
      <c r="V124" s="1890">
        <v>9000000</v>
      </c>
      <c r="W124" s="1889">
        <v>161</v>
      </c>
      <c r="X124" s="4012"/>
      <c r="Y124" s="4004"/>
      <c r="Z124" s="4004"/>
      <c r="AA124" s="3961"/>
      <c r="AB124" s="4007"/>
      <c r="AC124" s="4007"/>
      <c r="AD124" s="4007"/>
      <c r="AE124" s="4007"/>
      <c r="AF124" s="4007"/>
      <c r="AG124" s="4007"/>
      <c r="AH124" s="4007"/>
      <c r="AI124" s="4007"/>
      <c r="AJ124" s="4007"/>
      <c r="AK124" s="4007"/>
      <c r="AL124" s="4007"/>
      <c r="AM124" s="4007"/>
      <c r="AN124" s="3961"/>
      <c r="AO124" s="3972"/>
      <c r="AP124" s="3972"/>
      <c r="AQ124" s="3975"/>
    </row>
    <row r="125" spans="1:43" ht="33" customHeight="1" x14ac:dyDescent="0.2">
      <c r="A125" s="1859"/>
      <c r="B125" s="1860"/>
      <c r="C125" s="1861"/>
      <c r="D125" s="1860"/>
      <c r="E125" s="1860"/>
      <c r="F125" s="1861"/>
      <c r="G125" s="1866"/>
      <c r="H125" s="1860"/>
      <c r="I125" s="1861"/>
      <c r="J125" s="3937">
        <v>143</v>
      </c>
      <c r="K125" s="4010" t="s">
        <v>1628</v>
      </c>
      <c r="L125" s="3943" t="s">
        <v>1482</v>
      </c>
      <c r="M125" s="3943">
        <v>1</v>
      </c>
      <c r="N125" s="3944"/>
      <c r="O125" s="3944"/>
      <c r="P125" s="3941"/>
      <c r="Q125" s="3989">
        <f>SUM(V125:V129)/R120</f>
        <v>0.25415228949940372</v>
      </c>
      <c r="R125" s="3969"/>
      <c r="S125" s="3941"/>
      <c r="T125" s="4010" t="s">
        <v>1629</v>
      </c>
      <c r="U125" s="3940" t="s">
        <v>1630</v>
      </c>
      <c r="V125" s="1890">
        <v>2500000</v>
      </c>
      <c r="W125" s="1889">
        <v>20</v>
      </c>
      <c r="X125" s="4012"/>
      <c r="Y125" s="4004"/>
      <c r="Z125" s="4004"/>
      <c r="AA125" s="3961"/>
      <c r="AB125" s="4007"/>
      <c r="AC125" s="4007"/>
      <c r="AD125" s="4007"/>
      <c r="AE125" s="4007"/>
      <c r="AF125" s="4007"/>
      <c r="AG125" s="4007"/>
      <c r="AH125" s="4007"/>
      <c r="AI125" s="4007"/>
      <c r="AJ125" s="4007"/>
      <c r="AK125" s="4007"/>
      <c r="AL125" s="4007"/>
      <c r="AM125" s="4007"/>
      <c r="AN125" s="3961"/>
      <c r="AO125" s="3972"/>
      <c r="AP125" s="3972"/>
      <c r="AQ125" s="3975"/>
    </row>
    <row r="126" spans="1:43" ht="31.5" customHeight="1" x14ac:dyDescent="0.2">
      <c r="A126" s="1859"/>
      <c r="B126" s="1860"/>
      <c r="C126" s="1861"/>
      <c r="D126" s="1860"/>
      <c r="E126" s="1860"/>
      <c r="F126" s="1861"/>
      <c r="G126" s="1866"/>
      <c r="H126" s="1860"/>
      <c r="I126" s="1861"/>
      <c r="J126" s="3938"/>
      <c r="K126" s="4010"/>
      <c r="L126" s="3944"/>
      <c r="M126" s="3944"/>
      <c r="N126" s="3944"/>
      <c r="O126" s="3944"/>
      <c r="P126" s="3941"/>
      <c r="Q126" s="3990"/>
      <c r="R126" s="3969"/>
      <c r="S126" s="3941"/>
      <c r="T126" s="4010"/>
      <c r="U126" s="3942"/>
      <c r="V126" s="1890">
        <v>28403914</v>
      </c>
      <c r="W126" s="1889">
        <v>161</v>
      </c>
      <c r="X126" s="4012"/>
      <c r="Y126" s="4004"/>
      <c r="Z126" s="4004"/>
      <c r="AA126" s="3961"/>
      <c r="AB126" s="4007"/>
      <c r="AC126" s="4007"/>
      <c r="AD126" s="4007"/>
      <c r="AE126" s="4007"/>
      <c r="AF126" s="4007"/>
      <c r="AG126" s="4007"/>
      <c r="AH126" s="4007"/>
      <c r="AI126" s="4007"/>
      <c r="AJ126" s="4007"/>
      <c r="AK126" s="4007"/>
      <c r="AL126" s="4007"/>
      <c r="AM126" s="4007"/>
      <c r="AN126" s="3961"/>
      <c r="AO126" s="3972"/>
      <c r="AP126" s="3972"/>
      <c r="AQ126" s="3975"/>
    </row>
    <row r="127" spans="1:43" ht="64.5" customHeight="1" x14ac:dyDescent="0.2">
      <c r="A127" s="1859"/>
      <c r="B127" s="1860"/>
      <c r="C127" s="1861"/>
      <c r="D127" s="1860"/>
      <c r="E127" s="1860"/>
      <c r="F127" s="1861"/>
      <c r="G127" s="1866"/>
      <c r="H127" s="1860"/>
      <c r="I127" s="1861"/>
      <c r="J127" s="3938"/>
      <c r="K127" s="4010"/>
      <c r="L127" s="3944"/>
      <c r="M127" s="3944"/>
      <c r="N127" s="3944"/>
      <c r="O127" s="3944"/>
      <c r="P127" s="3941"/>
      <c r="Q127" s="3990"/>
      <c r="R127" s="3969"/>
      <c r="S127" s="3941"/>
      <c r="T127" s="4010"/>
      <c r="U127" s="1871" t="s">
        <v>1631</v>
      </c>
      <c r="V127" s="1890">
        <v>2500000</v>
      </c>
      <c r="W127" s="1889">
        <v>20</v>
      </c>
      <c r="X127" s="4012"/>
      <c r="Y127" s="4004"/>
      <c r="Z127" s="4004"/>
      <c r="AA127" s="3961"/>
      <c r="AB127" s="4007"/>
      <c r="AC127" s="4007"/>
      <c r="AD127" s="4007"/>
      <c r="AE127" s="4007"/>
      <c r="AF127" s="4007"/>
      <c r="AG127" s="4007"/>
      <c r="AH127" s="4007"/>
      <c r="AI127" s="4007"/>
      <c r="AJ127" s="4007"/>
      <c r="AK127" s="4007"/>
      <c r="AL127" s="4007"/>
      <c r="AM127" s="4007"/>
      <c r="AN127" s="3961"/>
      <c r="AO127" s="3972"/>
      <c r="AP127" s="3972"/>
      <c r="AQ127" s="3975"/>
    </row>
    <row r="128" spans="1:43" ht="99" customHeight="1" x14ac:dyDescent="0.2">
      <c r="A128" s="1859"/>
      <c r="B128" s="1860"/>
      <c r="C128" s="1861"/>
      <c r="D128" s="1860"/>
      <c r="E128" s="1860"/>
      <c r="F128" s="1861"/>
      <c r="G128" s="1866"/>
      <c r="H128" s="1860"/>
      <c r="I128" s="1861"/>
      <c r="J128" s="3938"/>
      <c r="K128" s="4010"/>
      <c r="L128" s="3944"/>
      <c r="M128" s="3944"/>
      <c r="N128" s="3944"/>
      <c r="O128" s="3944"/>
      <c r="P128" s="3941"/>
      <c r="Q128" s="3990"/>
      <c r="R128" s="3969"/>
      <c r="S128" s="3941"/>
      <c r="T128" s="4010"/>
      <c r="U128" s="1871" t="s">
        <v>1632</v>
      </c>
      <c r="V128" s="1890">
        <v>2500000</v>
      </c>
      <c r="W128" s="1889">
        <v>20</v>
      </c>
      <c r="X128" s="4012"/>
      <c r="Y128" s="4004"/>
      <c r="Z128" s="4004"/>
      <c r="AA128" s="3961"/>
      <c r="AB128" s="4007"/>
      <c r="AC128" s="4007"/>
      <c r="AD128" s="4007"/>
      <c r="AE128" s="4007"/>
      <c r="AF128" s="4007"/>
      <c r="AG128" s="4007"/>
      <c r="AH128" s="4007"/>
      <c r="AI128" s="4007"/>
      <c r="AJ128" s="4007"/>
      <c r="AK128" s="4007"/>
      <c r="AL128" s="4007"/>
      <c r="AM128" s="4007"/>
      <c r="AN128" s="3961"/>
      <c r="AO128" s="3972"/>
      <c r="AP128" s="3972"/>
      <c r="AQ128" s="3975"/>
    </row>
    <row r="129" spans="1:43" ht="78" customHeight="1" x14ac:dyDescent="0.2">
      <c r="A129" s="1859"/>
      <c r="B129" s="1860"/>
      <c r="C129" s="1861"/>
      <c r="D129" s="1860"/>
      <c r="E129" s="1860"/>
      <c r="F129" s="1861"/>
      <c r="G129" s="1866"/>
      <c r="H129" s="1860"/>
      <c r="I129" s="1861"/>
      <c r="J129" s="3939"/>
      <c r="K129" s="4010"/>
      <c r="L129" s="3945"/>
      <c r="M129" s="3945"/>
      <c r="N129" s="3945"/>
      <c r="O129" s="3945"/>
      <c r="P129" s="3941"/>
      <c r="Q129" s="3990"/>
      <c r="R129" s="3970"/>
      <c r="S129" s="3942"/>
      <c r="T129" s="4010"/>
      <c r="U129" s="1871" t="s">
        <v>1633</v>
      </c>
      <c r="V129" s="1839">
        <v>2500000</v>
      </c>
      <c r="W129" s="1889">
        <v>20</v>
      </c>
      <c r="X129" s="4013"/>
      <c r="Y129" s="4005"/>
      <c r="Z129" s="4005"/>
      <c r="AA129" s="3962"/>
      <c r="AB129" s="4008"/>
      <c r="AC129" s="4008"/>
      <c r="AD129" s="4008"/>
      <c r="AE129" s="4008"/>
      <c r="AF129" s="4008"/>
      <c r="AG129" s="4008"/>
      <c r="AH129" s="4008"/>
      <c r="AI129" s="4008"/>
      <c r="AJ129" s="4008"/>
      <c r="AK129" s="4008"/>
      <c r="AL129" s="4008"/>
      <c r="AM129" s="4008"/>
      <c r="AN129" s="3962"/>
      <c r="AO129" s="3973"/>
      <c r="AP129" s="3973"/>
      <c r="AQ129" s="3976"/>
    </row>
    <row r="130" spans="1:43" s="1897" customFormat="1" ht="36" customHeight="1" x14ac:dyDescent="0.2">
      <c r="A130" s="1891"/>
      <c r="B130" s="1892"/>
      <c r="C130" s="1893"/>
      <c r="D130" s="1892"/>
      <c r="E130" s="1892"/>
      <c r="F130" s="1893"/>
      <c r="G130" s="1894"/>
      <c r="H130" s="1892"/>
      <c r="I130" s="1893"/>
      <c r="J130" s="3983">
        <v>144</v>
      </c>
      <c r="K130" s="4014" t="s">
        <v>1634</v>
      </c>
      <c r="L130" s="3983" t="s">
        <v>1482</v>
      </c>
      <c r="M130" s="3983">
        <v>5</v>
      </c>
      <c r="N130" s="3937" t="s">
        <v>1635</v>
      </c>
      <c r="O130" s="4017" t="s">
        <v>1636</v>
      </c>
      <c r="P130" s="4026" t="s">
        <v>1637</v>
      </c>
      <c r="Q130" s="4028">
        <f>SUM(V130:V145)/R130</f>
        <v>0.79586170296807968</v>
      </c>
      <c r="R130" s="4030">
        <f>SUM(V130:V153)</f>
        <v>571611313</v>
      </c>
      <c r="S130" s="4020" t="s">
        <v>1638</v>
      </c>
      <c r="T130" s="4014" t="s">
        <v>1639</v>
      </c>
      <c r="U130" s="4033" t="s">
        <v>1640</v>
      </c>
      <c r="V130" s="1895">
        <f>242840543+9693675</f>
        <v>252534218</v>
      </c>
      <c r="W130" s="1896">
        <v>111</v>
      </c>
      <c r="X130" s="4052" t="s">
        <v>1641</v>
      </c>
      <c r="Y130" s="4023">
        <v>292684</v>
      </c>
      <c r="Z130" s="4023">
        <v>282326</v>
      </c>
      <c r="AA130" s="4023">
        <v>135912</v>
      </c>
      <c r="AB130" s="4023">
        <v>45122</v>
      </c>
      <c r="AC130" s="4023">
        <v>307101</v>
      </c>
      <c r="AD130" s="4023">
        <v>86875</v>
      </c>
      <c r="AE130" s="4023">
        <v>2145</v>
      </c>
      <c r="AF130" s="4023">
        <v>12718</v>
      </c>
      <c r="AG130" s="4023">
        <v>26</v>
      </c>
      <c r="AH130" s="4023">
        <v>37</v>
      </c>
      <c r="AI130" s="4023" t="s">
        <v>1489</v>
      </c>
      <c r="AJ130" s="4023" t="s">
        <v>1489</v>
      </c>
      <c r="AK130" s="4023">
        <v>53164</v>
      </c>
      <c r="AL130" s="4023">
        <v>16982</v>
      </c>
      <c r="AM130" s="4023">
        <v>60013</v>
      </c>
      <c r="AN130" s="4023">
        <v>575010</v>
      </c>
      <c r="AO130" s="4038">
        <v>43467</v>
      </c>
      <c r="AP130" s="4038">
        <v>43830</v>
      </c>
      <c r="AQ130" s="4040" t="s">
        <v>1490</v>
      </c>
    </row>
    <row r="131" spans="1:43" s="1897" customFormat="1" ht="42" customHeight="1" x14ac:dyDescent="0.2">
      <c r="A131" s="1891"/>
      <c r="B131" s="1892"/>
      <c r="C131" s="1893"/>
      <c r="D131" s="1892"/>
      <c r="E131" s="1892"/>
      <c r="F131" s="1893"/>
      <c r="G131" s="1894"/>
      <c r="H131" s="1892"/>
      <c r="I131" s="1893"/>
      <c r="J131" s="3984"/>
      <c r="K131" s="4015"/>
      <c r="L131" s="3984"/>
      <c r="M131" s="3984"/>
      <c r="N131" s="3938"/>
      <c r="O131" s="4018"/>
      <c r="P131" s="4026"/>
      <c r="Q131" s="4028"/>
      <c r="R131" s="4031"/>
      <c r="S131" s="4021"/>
      <c r="T131" s="4015"/>
      <c r="U131" s="4034"/>
      <c r="V131" s="1898">
        <v>80200000</v>
      </c>
      <c r="W131" s="1899">
        <v>61</v>
      </c>
      <c r="X131" s="4053"/>
      <c r="Y131" s="4024"/>
      <c r="Z131" s="4024"/>
      <c r="AA131" s="4024"/>
      <c r="AB131" s="4024"/>
      <c r="AC131" s="4024"/>
      <c r="AD131" s="4024"/>
      <c r="AE131" s="4024"/>
      <c r="AF131" s="4024"/>
      <c r="AG131" s="4024"/>
      <c r="AH131" s="4024"/>
      <c r="AI131" s="4024"/>
      <c r="AJ131" s="4024"/>
      <c r="AK131" s="4024"/>
      <c r="AL131" s="4024"/>
      <c r="AM131" s="4024"/>
      <c r="AN131" s="4024"/>
      <c r="AO131" s="4039"/>
      <c r="AP131" s="4039"/>
      <c r="AQ131" s="4041"/>
    </row>
    <row r="132" spans="1:43" s="1897" customFormat="1" ht="42" customHeight="1" x14ac:dyDescent="0.2">
      <c r="A132" s="1891"/>
      <c r="B132" s="1892"/>
      <c r="C132" s="1893"/>
      <c r="D132" s="1892"/>
      <c r="E132" s="1892"/>
      <c r="F132" s="1893"/>
      <c r="G132" s="1894"/>
      <c r="H132" s="1892"/>
      <c r="I132" s="1893"/>
      <c r="J132" s="3984"/>
      <c r="K132" s="4015"/>
      <c r="L132" s="3984"/>
      <c r="M132" s="3984"/>
      <c r="N132" s="3938"/>
      <c r="O132" s="4018"/>
      <c r="P132" s="4026"/>
      <c r="Q132" s="4028"/>
      <c r="R132" s="4031"/>
      <c r="S132" s="4021"/>
      <c r="T132" s="4015"/>
      <c r="U132" s="4035"/>
      <c r="V132" s="1900">
        <f>0+4271940</f>
        <v>4271940</v>
      </c>
      <c r="W132" s="1901">
        <v>107</v>
      </c>
      <c r="X132" s="4053"/>
      <c r="Y132" s="4024"/>
      <c r="Z132" s="4024"/>
      <c r="AA132" s="4024"/>
      <c r="AB132" s="4024"/>
      <c r="AC132" s="4024"/>
      <c r="AD132" s="4024"/>
      <c r="AE132" s="4024"/>
      <c r="AF132" s="4024"/>
      <c r="AG132" s="4024"/>
      <c r="AH132" s="4024"/>
      <c r="AI132" s="4024"/>
      <c r="AJ132" s="4024"/>
      <c r="AK132" s="4024"/>
      <c r="AL132" s="4024"/>
      <c r="AM132" s="4024"/>
      <c r="AN132" s="4024"/>
      <c r="AO132" s="4039"/>
      <c r="AP132" s="4039"/>
      <c r="AQ132" s="4041"/>
    </row>
    <row r="133" spans="1:43" s="1897" customFormat="1" ht="51" customHeight="1" x14ac:dyDescent="0.2">
      <c r="A133" s="1891"/>
      <c r="B133" s="1892"/>
      <c r="C133" s="1893"/>
      <c r="D133" s="1892"/>
      <c r="E133" s="1892"/>
      <c r="F133" s="1893"/>
      <c r="G133" s="1894"/>
      <c r="H133" s="1892"/>
      <c r="I133" s="1893"/>
      <c r="J133" s="3984"/>
      <c r="K133" s="4015"/>
      <c r="L133" s="3984"/>
      <c r="M133" s="3984"/>
      <c r="N133" s="3938"/>
      <c r="O133" s="4018"/>
      <c r="P133" s="4026"/>
      <c r="Q133" s="4028"/>
      <c r="R133" s="4031"/>
      <c r="S133" s="4021"/>
      <c r="T133" s="4015"/>
      <c r="U133" s="4035"/>
      <c r="V133" s="1900">
        <v>9557695</v>
      </c>
      <c r="W133" s="1901">
        <v>147</v>
      </c>
      <c r="X133" s="4053"/>
      <c r="Y133" s="4024"/>
      <c r="Z133" s="4024"/>
      <c r="AA133" s="4024"/>
      <c r="AB133" s="4024"/>
      <c r="AC133" s="4024"/>
      <c r="AD133" s="4024"/>
      <c r="AE133" s="4024"/>
      <c r="AF133" s="4024"/>
      <c r="AG133" s="4024"/>
      <c r="AH133" s="4024"/>
      <c r="AI133" s="4024"/>
      <c r="AJ133" s="4024"/>
      <c r="AK133" s="4024"/>
      <c r="AL133" s="4024"/>
      <c r="AM133" s="4024"/>
      <c r="AN133" s="4024"/>
      <c r="AO133" s="4039"/>
      <c r="AP133" s="4039"/>
      <c r="AQ133" s="4041"/>
    </row>
    <row r="134" spans="1:43" s="1897" customFormat="1" ht="33.75" customHeight="1" x14ac:dyDescent="0.2">
      <c r="A134" s="1891"/>
      <c r="B134" s="1892"/>
      <c r="C134" s="1893"/>
      <c r="D134" s="1892"/>
      <c r="E134" s="1892"/>
      <c r="F134" s="1893"/>
      <c r="G134" s="1894"/>
      <c r="H134" s="1892"/>
      <c r="I134" s="1893"/>
      <c r="J134" s="3984"/>
      <c r="K134" s="4015"/>
      <c r="L134" s="3984"/>
      <c r="M134" s="3984"/>
      <c r="N134" s="3938"/>
      <c r="O134" s="4018"/>
      <c r="P134" s="4026"/>
      <c r="Q134" s="4028"/>
      <c r="R134" s="4031"/>
      <c r="S134" s="4021"/>
      <c r="T134" s="4032"/>
      <c r="U134" s="4043" t="s">
        <v>1642</v>
      </c>
      <c r="V134" s="1902">
        <v>7000000</v>
      </c>
      <c r="W134" s="1903">
        <v>61</v>
      </c>
      <c r="X134" s="4053"/>
      <c r="Y134" s="4024"/>
      <c r="Z134" s="4024"/>
      <c r="AA134" s="4024"/>
      <c r="AB134" s="4024"/>
      <c r="AC134" s="4024"/>
      <c r="AD134" s="4024"/>
      <c r="AE134" s="4024"/>
      <c r="AF134" s="4024"/>
      <c r="AG134" s="4024"/>
      <c r="AH134" s="4024"/>
      <c r="AI134" s="4024"/>
      <c r="AJ134" s="4024"/>
      <c r="AK134" s="4024"/>
      <c r="AL134" s="4024"/>
      <c r="AM134" s="4024"/>
      <c r="AN134" s="4024"/>
      <c r="AO134" s="4039"/>
      <c r="AP134" s="4039"/>
      <c r="AQ134" s="4041"/>
    </row>
    <row r="135" spans="1:43" s="1897" customFormat="1" ht="28.5" customHeight="1" x14ac:dyDescent="0.2">
      <c r="A135" s="1891"/>
      <c r="B135" s="1892"/>
      <c r="C135" s="1893"/>
      <c r="D135" s="1892"/>
      <c r="E135" s="1892"/>
      <c r="F135" s="1893"/>
      <c r="G135" s="1894"/>
      <c r="H135" s="1892"/>
      <c r="I135" s="1893"/>
      <c r="J135" s="3984"/>
      <c r="K135" s="4015"/>
      <c r="L135" s="3984"/>
      <c r="M135" s="3984"/>
      <c r="N135" s="3938"/>
      <c r="O135" s="4018"/>
      <c r="P135" s="4026"/>
      <c r="Q135" s="4028"/>
      <c r="R135" s="4031"/>
      <c r="S135" s="4021"/>
      <c r="T135" s="4032"/>
      <c r="U135" s="4044"/>
      <c r="V135" s="4046">
        <f>0+4271940</f>
        <v>4271940</v>
      </c>
      <c r="W135" s="4048">
        <v>107</v>
      </c>
      <c r="X135" s="4053"/>
      <c r="Y135" s="4024"/>
      <c r="Z135" s="4024"/>
      <c r="AA135" s="4024"/>
      <c r="AB135" s="4024"/>
      <c r="AC135" s="4024"/>
      <c r="AD135" s="4024"/>
      <c r="AE135" s="4024"/>
      <c r="AF135" s="4024"/>
      <c r="AG135" s="4024"/>
      <c r="AH135" s="4024"/>
      <c r="AI135" s="4024"/>
      <c r="AJ135" s="4024"/>
      <c r="AK135" s="4024"/>
      <c r="AL135" s="4024"/>
      <c r="AM135" s="4024"/>
      <c r="AN135" s="4024"/>
      <c r="AO135" s="4039"/>
      <c r="AP135" s="4039"/>
      <c r="AQ135" s="4041"/>
    </row>
    <row r="136" spans="1:43" s="1897" customFormat="1" ht="24" customHeight="1" x14ac:dyDescent="0.2">
      <c r="A136" s="1891"/>
      <c r="B136" s="1892"/>
      <c r="C136" s="1893"/>
      <c r="D136" s="1892"/>
      <c r="E136" s="1892"/>
      <c r="F136" s="1893"/>
      <c r="G136" s="1894"/>
      <c r="H136" s="1892"/>
      <c r="I136" s="1893"/>
      <c r="J136" s="3984"/>
      <c r="K136" s="4015"/>
      <c r="L136" s="3984"/>
      <c r="M136" s="3984"/>
      <c r="N136" s="3938"/>
      <c r="O136" s="4018"/>
      <c r="P136" s="4026"/>
      <c r="Q136" s="4028"/>
      <c r="R136" s="4031"/>
      <c r="S136" s="4021"/>
      <c r="T136" s="4032"/>
      <c r="U136" s="4045"/>
      <c r="V136" s="4047"/>
      <c r="W136" s="4049"/>
      <c r="X136" s="4053"/>
      <c r="Y136" s="4024"/>
      <c r="Z136" s="4024"/>
      <c r="AA136" s="4024"/>
      <c r="AB136" s="4024"/>
      <c r="AC136" s="4024"/>
      <c r="AD136" s="4024"/>
      <c r="AE136" s="4024"/>
      <c r="AF136" s="4024"/>
      <c r="AG136" s="4024"/>
      <c r="AH136" s="4024"/>
      <c r="AI136" s="4024"/>
      <c r="AJ136" s="4024"/>
      <c r="AK136" s="4024"/>
      <c r="AL136" s="4024"/>
      <c r="AM136" s="4024"/>
      <c r="AN136" s="4024"/>
      <c r="AO136" s="4039"/>
      <c r="AP136" s="4039"/>
      <c r="AQ136" s="4041"/>
    </row>
    <row r="137" spans="1:43" s="1897" customFormat="1" ht="28.5" customHeight="1" x14ac:dyDescent="0.2">
      <c r="A137" s="1891"/>
      <c r="B137" s="1892"/>
      <c r="C137" s="1893"/>
      <c r="D137" s="1892"/>
      <c r="E137" s="1892"/>
      <c r="F137" s="1893"/>
      <c r="G137" s="1894"/>
      <c r="H137" s="1892"/>
      <c r="I137" s="1893"/>
      <c r="J137" s="3984"/>
      <c r="K137" s="4015"/>
      <c r="L137" s="3984"/>
      <c r="M137" s="3984"/>
      <c r="N137" s="3938"/>
      <c r="O137" s="4018"/>
      <c r="P137" s="4026"/>
      <c r="Q137" s="4028"/>
      <c r="R137" s="4031"/>
      <c r="S137" s="4021"/>
      <c r="T137" s="4015"/>
      <c r="U137" s="4034" t="s">
        <v>1643</v>
      </c>
      <c r="V137" s="1904">
        <v>10000000</v>
      </c>
      <c r="W137" s="1905">
        <v>61</v>
      </c>
      <c r="X137" s="4053"/>
      <c r="Y137" s="4024"/>
      <c r="Z137" s="4024"/>
      <c r="AA137" s="4024"/>
      <c r="AB137" s="4024"/>
      <c r="AC137" s="4024"/>
      <c r="AD137" s="4024"/>
      <c r="AE137" s="4024"/>
      <c r="AF137" s="4024"/>
      <c r="AG137" s="4024"/>
      <c r="AH137" s="4024"/>
      <c r="AI137" s="4024"/>
      <c r="AJ137" s="4024"/>
      <c r="AK137" s="4024"/>
      <c r="AL137" s="4024"/>
      <c r="AM137" s="4024"/>
      <c r="AN137" s="4024"/>
      <c r="AO137" s="4039"/>
      <c r="AP137" s="4039"/>
      <c r="AQ137" s="4041"/>
    </row>
    <row r="138" spans="1:43" s="1897" customFormat="1" ht="24.75" customHeight="1" x14ac:dyDescent="0.2">
      <c r="A138" s="1891"/>
      <c r="B138" s="1892"/>
      <c r="C138" s="1893"/>
      <c r="D138" s="1892"/>
      <c r="E138" s="1892"/>
      <c r="F138" s="1893"/>
      <c r="G138" s="1894"/>
      <c r="H138" s="1892"/>
      <c r="I138" s="1893"/>
      <c r="J138" s="3984"/>
      <c r="K138" s="4015"/>
      <c r="L138" s="3984"/>
      <c r="M138" s="3984"/>
      <c r="N138" s="3938"/>
      <c r="O138" s="4018"/>
      <c r="P138" s="4026"/>
      <c r="Q138" s="4028"/>
      <c r="R138" s="4031"/>
      <c r="S138" s="4021"/>
      <c r="T138" s="4015"/>
      <c r="U138" s="4034"/>
      <c r="V138" s="1858">
        <v>10000000</v>
      </c>
      <c r="W138" s="1883">
        <v>20</v>
      </c>
      <c r="X138" s="4053"/>
      <c r="Y138" s="4024"/>
      <c r="Z138" s="4024"/>
      <c r="AA138" s="4024"/>
      <c r="AB138" s="4024"/>
      <c r="AC138" s="4024"/>
      <c r="AD138" s="4024"/>
      <c r="AE138" s="4024"/>
      <c r="AF138" s="4024"/>
      <c r="AG138" s="4024"/>
      <c r="AH138" s="4024"/>
      <c r="AI138" s="4024"/>
      <c r="AJ138" s="4024"/>
      <c r="AK138" s="4024"/>
      <c r="AL138" s="4024"/>
      <c r="AM138" s="4024"/>
      <c r="AN138" s="4024"/>
      <c r="AO138" s="4039"/>
      <c r="AP138" s="4039"/>
      <c r="AQ138" s="4041"/>
    </row>
    <row r="139" spans="1:43" s="1897" customFormat="1" ht="26.25" customHeight="1" x14ac:dyDescent="0.2">
      <c r="A139" s="1891"/>
      <c r="B139" s="1892"/>
      <c r="C139" s="1893"/>
      <c r="D139" s="1892"/>
      <c r="E139" s="1892"/>
      <c r="F139" s="1893"/>
      <c r="G139" s="1894"/>
      <c r="H139" s="1892"/>
      <c r="I139" s="1893"/>
      <c r="J139" s="3984"/>
      <c r="K139" s="4015"/>
      <c r="L139" s="3984"/>
      <c r="M139" s="3984"/>
      <c r="N139" s="3938"/>
      <c r="O139" s="4018"/>
      <c r="P139" s="4026"/>
      <c r="Q139" s="4028"/>
      <c r="R139" s="4031"/>
      <c r="S139" s="4021"/>
      <c r="T139" s="4015"/>
      <c r="U139" s="4050"/>
      <c r="V139" s="1858">
        <f>0+4271940</f>
        <v>4271940</v>
      </c>
      <c r="W139" s="1883">
        <v>107</v>
      </c>
      <c r="X139" s="4053"/>
      <c r="Y139" s="4024"/>
      <c r="Z139" s="4024"/>
      <c r="AA139" s="4024"/>
      <c r="AB139" s="4024"/>
      <c r="AC139" s="4024"/>
      <c r="AD139" s="4024"/>
      <c r="AE139" s="4024"/>
      <c r="AF139" s="4024"/>
      <c r="AG139" s="4024"/>
      <c r="AH139" s="4024"/>
      <c r="AI139" s="4024"/>
      <c r="AJ139" s="4024"/>
      <c r="AK139" s="4024"/>
      <c r="AL139" s="4024"/>
      <c r="AM139" s="4024"/>
      <c r="AN139" s="4024"/>
      <c r="AO139" s="4039"/>
      <c r="AP139" s="4039"/>
      <c r="AQ139" s="4041"/>
    </row>
    <row r="140" spans="1:43" s="1897" customFormat="1" ht="43.5" customHeight="1" x14ac:dyDescent="0.2">
      <c r="A140" s="1891"/>
      <c r="B140" s="1892"/>
      <c r="C140" s="1893"/>
      <c r="D140" s="1892"/>
      <c r="E140" s="1892"/>
      <c r="F140" s="1893"/>
      <c r="G140" s="1894"/>
      <c r="H140" s="1892"/>
      <c r="I140" s="1893"/>
      <c r="J140" s="3984"/>
      <c r="K140" s="4015"/>
      <c r="L140" s="3984"/>
      <c r="M140" s="3984"/>
      <c r="N140" s="3938"/>
      <c r="O140" s="4018"/>
      <c r="P140" s="4026"/>
      <c r="Q140" s="4028"/>
      <c r="R140" s="4031"/>
      <c r="S140" s="4021"/>
      <c r="T140" s="4015"/>
      <c r="U140" s="4033" t="s">
        <v>1644</v>
      </c>
      <c r="V140" s="1858">
        <v>20000000</v>
      </c>
      <c r="W140" s="1883">
        <v>20</v>
      </c>
      <c r="X140" s="4053"/>
      <c r="Y140" s="4024"/>
      <c r="Z140" s="4024"/>
      <c r="AA140" s="4024"/>
      <c r="AB140" s="4024"/>
      <c r="AC140" s="4024"/>
      <c r="AD140" s="4024"/>
      <c r="AE140" s="4024"/>
      <c r="AF140" s="4024"/>
      <c r="AG140" s="4024"/>
      <c r="AH140" s="4024"/>
      <c r="AI140" s="4024"/>
      <c r="AJ140" s="4024"/>
      <c r="AK140" s="4024"/>
      <c r="AL140" s="4024"/>
      <c r="AM140" s="4024"/>
      <c r="AN140" s="4024"/>
      <c r="AO140" s="4039"/>
      <c r="AP140" s="4039"/>
      <c r="AQ140" s="4041"/>
    </row>
    <row r="141" spans="1:43" s="1897" customFormat="1" ht="45.75" customHeight="1" x14ac:dyDescent="0.2">
      <c r="A141" s="1891"/>
      <c r="B141" s="1892"/>
      <c r="C141" s="1893"/>
      <c r="D141" s="1892"/>
      <c r="E141" s="1892"/>
      <c r="F141" s="1893"/>
      <c r="G141" s="1894"/>
      <c r="H141" s="1892"/>
      <c r="I141" s="1893"/>
      <c r="J141" s="3984"/>
      <c r="K141" s="4015"/>
      <c r="L141" s="3984"/>
      <c r="M141" s="3984"/>
      <c r="N141" s="3938"/>
      <c r="O141" s="4018"/>
      <c r="P141" s="4026"/>
      <c r="Q141" s="4028"/>
      <c r="R141" s="4031"/>
      <c r="S141" s="4021"/>
      <c r="T141" s="4015"/>
      <c r="U141" s="4050"/>
      <c r="V141" s="1858">
        <f>0+4271940</f>
        <v>4271940</v>
      </c>
      <c r="W141" s="1883">
        <v>107</v>
      </c>
      <c r="X141" s="4053"/>
      <c r="Y141" s="4024"/>
      <c r="Z141" s="4024"/>
      <c r="AA141" s="4024"/>
      <c r="AB141" s="4024"/>
      <c r="AC141" s="4024"/>
      <c r="AD141" s="4024"/>
      <c r="AE141" s="4024"/>
      <c r="AF141" s="4024"/>
      <c r="AG141" s="4024"/>
      <c r="AH141" s="4024"/>
      <c r="AI141" s="4024"/>
      <c r="AJ141" s="4024"/>
      <c r="AK141" s="4024"/>
      <c r="AL141" s="4024"/>
      <c r="AM141" s="4024"/>
      <c r="AN141" s="4024"/>
      <c r="AO141" s="4039"/>
      <c r="AP141" s="4039"/>
      <c r="AQ141" s="4041"/>
    </row>
    <row r="142" spans="1:43" s="1897" customFormat="1" ht="51" customHeight="1" x14ac:dyDescent="0.2">
      <c r="A142" s="1891"/>
      <c r="B142" s="1892"/>
      <c r="C142" s="1893"/>
      <c r="D142" s="1892"/>
      <c r="E142" s="1892"/>
      <c r="F142" s="1893"/>
      <c r="G142" s="1894"/>
      <c r="H142" s="1892"/>
      <c r="I142" s="1893"/>
      <c r="J142" s="3984"/>
      <c r="K142" s="4015"/>
      <c r="L142" s="3984"/>
      <c r="M142" s="3984"/>
      <c r="N142" s="3938"/>
      <c r="O142" s="4018"/>
      <c r="P142" s="4026"/>
      <c r="Q142" s="4028"/>
      <c r="R142" s="4031"/>
      <c r="S142" s="4021"/>
      <c r="T142" s="4015"/>
      <c r="U142" s="4033" t="s">
        <v>1645</v>
      </c>
      <c r="V142" s="1858">
        <v>20000000</v>
      </c>
      <c r="W142" s="1883">
        <v>20</v>
      </c>
      <c r="X142" s="4053"/>
      <c r="Y142" s="4024"/>
      <c r="Z142" s="4024"/>
      <c r="AA142" s="4024"/>
      <c r="AB142" s="4024"/>
      <c r="AC142" s="4024"/>
      <c r="AD142" s="4024"/>
      <c r="AE142" s="4024"/>
      <c r="AF142" s="4024"/>
      <c r="AG142" s="4024"/>
      <c r="AH142" s="4024"/>
      <c r="AI142" s="4024"/>
      <c r="AJ142" s="4024"/>
      <c r="AK142" s="4024"/>
      <c r="AL142" s="4024"/>
      <c r="AM142" s="4024"/>
      <c r="AN142" s="4024"/>
      <c r="AO142" s="4039"/>
      <c r="AP142" s="4039"/>
      <c r="AQ142" s="4041"/>
    </row>
    <row r="143" spans="1:43" s="1897" customFormat="1" ht="38.25" customHeight="1" x14ac:dyDescent="0.2">
      <c r="A143" s="1891"/>
      <c r="B143" s="1892"/>
      <c r="C143" s="1893"/>
      <c r="D143" s="1892"/>
      <c r="E143" s="1892"/>
      <c r="F143" s="1893"/>
      <c r="G143" s="1894"/>
      <c r="H143" s="1892"/>
      <c r="I143" s="1893"/>
      <c r="J143" s="3984"/>
      <c r="K143" s="4015"/>
      <c r="L143" s="3984"/>
      <c r="M143" s="3984"/>
      <c r="N143" s="3938"/>
      <c r="O143" s="4018"/>
      <c r="P143" s="4026"/>
      <c r="Q143" s="4028"/>
      <c r="R143" s="4031"/>
      <c r="S143" s="4021"/>
      <c r="T143" s="4015"/>
      <c r="U143" s="4050"/>
      <c r="V143" s="1858">
        <f>0+4271940</f>
        <v>4271940</v>
      </c>
      <c r="W143" s="1883">
        <v>107</v>
      </c>
      <c r="X143" s="4053"/>
      <c r="Y143" s="4024"/>
      <c r="Z143" s="4024"/>
      <c r="AA143" s="4024"/>
      <c r="AB143" s="4024"/>
      <c r="AC143" s="4024"/>
      <c r="AD143" s="4024"/>
      <c r="AE143" s="4024"/>
      <c r="AF143" s="4024"/>
      <c r="AG143" s="4024"/>
      <c r="AH143" s="4024"/>
      <c r="AI143" s="4024"/>
      <c r="AJ143" s="4024"/>
      <c r="AK143" s="4024"/>
      <c r="AL143" s="4024"/>
      <c r="AM143" s="4024"/>
      <c r="AN143" s="4024"/>
      <c r="AO143" s="4039"/>
      <c r="AP143" s="4039"/>
      <c r="AQ143" s="4041"/>
    </row>
    <row r="144" spans="1:43" s="1897" customFormat="1" ht="42.75" customHeight="1" x14ac:dyDescent="0.2">
      <c r="A144" s="1891"/>
      <c r="B144" s="1892"/>
      <c r="C144" s="1893"/>
      <c r="D144" s="1892"/>
      <c r="E144" s="1892"/>
      <c r="F144" s="1893"/>
      <c r="G144" s="1894"/>
      <c r="H144" s="1892"/>
      <c r="I144" s="1893"/>
      <c r="J144" s="3984"/>
      <c r="K144" s="4015"/>
      <c r="L144" s="3984"/>
      <c r="M144" s="3984"/>
      <c r="N144" s="3938"/>
      <c r="O144" s="4018"/>
      <c r="P144" s="4026"/>
      <c r="Q144" s="4028"/>
      <c r="R144" s="4031"/>
      <c r="S144" s="4021"/>
      <c r="T144" s="4015"/>
      <c r="U144" s="4033" t="s">
        <v>1646</v>
      </c>
      <c r="V144" s="1858">
        <v>20000000</v>
      </c>
      <c r="W144" s="1883">
        <v>20</v>
      </c>
      <c r="X144" s="4053"/>
      <c r="Y144" s="4024"/>
      <c r="Z144" s="4024"/>
      <c r="AA144" s="4024"/>
      <c r="AB144" s="4024"/>
      <c r="AC144" s="4024"/>
      <c r="AD144" s="4024"/>
      <c r="AE144" s="4024"/>
      <c r="AF144" s="4024"/>
      <c r="AG144" s="4024"/>
      <c r="AH144" s="4024"/>
      <c r="AI144" s="4024"/>
      <c r="AJ144" s="4024"/>
      <c r="AK144" s="4024"/>
      <c r="AL144" s="4024"/>
      <c r="AM144" s="4024"/>
      <c r="AN144" s="4024"/>
      <c r="AO144" s="4039"/>
      <c r="AP144" s="4039"/>
      <c r="AQ144" s="4041"/>
    </row>
    <row r="145" spans="1:43" s="1897" customFormat="1" ht="48" customHeight="1" x14ac:dyDescent="0.2">
      <c r="A145" s="1891"/>
      <c r="B145" s="1892"/>
      <c r="C145" s="1893"/>
      <c r="D145" s="1892"/>
      <c r="E145" s="1892"/>
      <c r="F145" s="1893"/>
      <c r="G145" s="1894"/>
      <c r="H145" s="1892"/>
      <c r="I145" s="1893"/>
      <c r="J145" s="3985"/>
      <c r="K145" s="4016"/>
      <c r="L145" s="3985"/>
      <c r="M145" s="3985"/>
      <c r="N145" s="3938"/>
      <c r="O145" s="4018"/>
      <c r="P145" s="4026"/>
      <c r="Q145" s="4029"/>
      <c r="R145" s="4031"/>
      <c r="S145" s="4021"/>
      <c r="T145" s="4016"/>
      <c r="U145" s="4050"/>
      <c r="V145" s="1906">
        <f>0+4271940</f>
        <v>4271940</v>
      </c>
      <c r="W145" s="1899">
        <v>107</v>
      </c>
      <c r="X145" s="4053"/>
      <c r="Y145" s="4024"/>
      <c r="Z145" s="4024"/>
      <c r="AA145" s="4024"/>
      <c r="AB145" s="4024"/>
      <c r="AC145" s="4024"/>
      <c r="AD145" s="4024"/>
      <c r="AE145" s="4024"/>
      <c r="AF145" s="4024"/>
      <c r="AG145" s="4024"/>
      <c r="AH145" s="4024"/>
      <c r="AI145" s="4024"/>
      <c r="AJ145" s="4024"/>
      <c r="AK145" s="4024"/>
      <c r="AL145" s="4024"/>
      <c r="AM145" s="4024"/>
      <c r="AN145" s="4024"/>
      <c r="AO145" s="4039"/>
      <c r="AP145" s="4039"/>
      <c r="AQ145" s="4041"/>
    </row>
    <row r="146" spans="1:43" ht="27.75" customHeight="1" x14ac:dyDescent="0.2">
      <c r="A146" s="1907"/>
      <c r="B146" s="1908"/>
      <c r="C146" s="1909"/>
      <c r="D146" s="1908"/>
      <c r="E146" s="1908"/>
      <c r="F146" s="1909"/>
      <c r="G146" s="1910"/>
      <c r="H146" s="1908"/>
      <c r="I146" s="1909"/>
      <c r="J146" s="3937">
        <v>145</v>
      </c>
      <c r="K146" s="4020" t="s">
        <v>1647</v>
      </c>
      <c r="L146" s="3937" t="s">
        <v>1482</v>
      </c>
      <c r="M146" s="3937">
        <v>1</v>
      </c>
      <c r="N146" s="3938"/>
      <c r="O146" s="4018"/>
      <c r="P146" s="4027"/>
      <c r="Q146" s="4036">
        <f>SUM(V146:V153)/R130</f>
        <v>0.20413829703192035</v>
      </c>
      <c r="R146" s="4031"/>
      <c r="S146" s="4021"/>
      <c r="T146" s="3940" t="s">
        <v>1648</v>
      </c>
      <c r="U146" s="4051" t="s">
        <v>1649</v>
      </c>
      <c r="V146" s="1902">
        <v>33000000</v>
      </c>
      <c r="W146" s="1903">
        <v>61</v>
      </c>
      <c r="X146" s="4053"/>
      <c r="Y146" s="4024"/>
      <c r="Z146" s="4024"/>
      <c r="AA146" s="4024"/>
      <c r="AB146" s="4024"/>
      <c r="AC146" s="4024"/>
      <c r="AD146" s="4024"/>
      <c r="AE146" s="4024"/>
      <c r="AF146" s="4024"/>
      <c r="AG146" s="4024"/>
      <c r="AH146" s="4024"/>
      <c r="AI146" s="4024"/>
      <c r="AJ146" s="4024"/>
      <c r="AK146" s="4024"/>
      <c r="AL146" s="4024"/>
      <c r="AM146" s="4024"/>
      <c r="AN146" s="4024"/>
      <c r="AO146" s="4039"/>
      <c r="AP146" s="4039"/>
      <c r="AQ146" s="4041"/>
    </row>
    <row r="147" spans="1:43" ht="31.5" customHeight="1" x14ac:dyDescent="0.2">
      <c r="A147" s="1907"/>
      <c r="B147" s="1908"/>
      <c r="C147" s="1909"/>
      <c r="D147" s="1908"/>
      <c r="E147" s="1908"/>
      <c r="F147" s="1909"/>
      <c r="G147" s="1910"/>
      <c r="H147" s="1908"/>
      <c r="I147" s="1909"/>
      <c r="J147" s="3938"/>
      <c r="K147" s="4021"/>
      <c r="L147" s="3938"/>
      <c r="M147" s="3938"/>
      <c r="N147" s="3938"/>
      <c r="O147" s="4018"/>
      <c r="P147" s="4027"/>
      <c r="Q147" s="4036"/>
      <c r="R147" s="4031"/>
      <c r="S147" s="4021"/>
      <c r="T147" s="3941"/>
      <c r="U147" s="4037"/>
      <c r="V147" s="1902">
        <f>0+4271940</f>
        <v>4271940</v>
      </c>
      <c r="W147" s="1903">
        <v>107</v>
      </c>
      <c r="X147" s="4053"/>
      <c r="Y147" s="4024"/>
      <c r="Z147" s="4024"/>
      <c r="AA147" s="4024"/>
      <c r="AB147" s="4024"/>
      <c r="AC147" s="4024"/>
      <c r="AD147" s="4024"/>
      <c r="AE147" s="4024"/>
      <c r="AF147" s="4024"/>
      <c r="AG147" s="4024"/>
      <c r="AH147" s="4024"/>
      <c r="AI147" s="4024"/>
      <c r="AJ147" s="4024"/>
      <c r="AK147" s="4024"/>
      <c r="AL147" s="4024"/>
      <c r="AM147" s="4024"/>
      <c r="AN147" s="4024"/>
      <c r="AO147" s="4039"/>
      <c r="AP147" s="4039"/>
      <c r="AQ147" s="4041"/>
    </row>
    <row r="148" spans="1:43" ht="31.5" customHeight="1" x14ac:dyDescent="0.2">
      <c r="A148" s="1907"/>
      <c r="B148" s="1908"/>
      <c r="C148" s="1909"/>
      <c r="D148" s="1908"/>
      <c r="E148" s="1908"/>
      <c r="F148" s="1909"/>
      <c r="G148" s="1910"/>
      <c r="H148" s="1908"/>
      <c r="I148" s="1909"/>
      <c r="J148" s="3938"/>
      <c r="K148" s="4021"/>
      <c r="L148" s="3938"/>
      <c r="M148" s="3938"/>
      <c r="N148" s="3938"/>
      <c r="O148" s="4018"/>
      <c r="P148" s="4027"/>
      <c r="Q148" s="4036"/>
      <c r="R148" s="4031"/>
      <c r="S148" s="4021"/>
      <c r="T148" s="3941"/>
      <c r="U148" s="3963" t="s">
        <v>1650</v>
      </c>
      <c r="V148" s="1911">
        <v>33000000</v>
      </c>
      <c r="W148" s="1912">
        <v>61</v>
      </c>
      <c r="X148" s="4053"/>
      <c r="Y148" s="4024"/>
      <c r="Z148" s="4024"/>
      <c r="AA148" s="4024"/>
      <c r="AB148" s="4024"/>
      <c r="AC148" s="4024"/>
      <c r="AD148" s="4024"/>
      <c r="AE148" s="4024"/>
      <c r="AF148" s="4024"/>
      <c r="AG148" s="4024"/>
      <c r="AH148" s="4024"/>
      <c r="AI148" s="4024"/>
      <c r="AJ148" s="4024"/>
      <c r="AK148" s="4024"/>
      <c r="AL148" s="4024"/>
      <c r="AM148" s="4024"/>
      <c r="AN148" s="4024"/>
      <c r="AO148" s="4039"/>
      <c r="AP148" s="4039"/>
      <c r="AQ148" s="4041"/>
    </row>
    <row r="149" spans="1:43" ht="34.5" customHeight="1" x14ac:dyDescent="0.2">
      <c r="A149" s="1907"/>
      <c r="B149" s="1908"/>
      <c r="C149" s="1909"/>
      <c r="D149" s="1908"/>
      <c r="E149" s="1908"/>
      <c r="F149" s="1909"/>
      <c r="G149" s="1910"/>
      <c r="H149" s="1908"/>
      <c r="I149" s="1909"/>
      <c r="J149" s="3938"/>
      <c r="K149" s="4021"/>
      <c r="L149" s="3938"/>
      <c r="M149" s="3938"/>
      <c r="N149" s="3938"/>
      <c r="O149" s="4018"/>
      <c r="P149" s="4027"/>
      <c r="Q149" s="4036"/>
      <c r="R149" s="4031"/>
      <c r="S149" s="4021"/>
      <c r="T149" s="3941"/>
      <c r="U149" s="4037"/>
      <c r="V149" s="1858">
        <f>0+4271940</f>
        <v>4271940</v>
      </c>
      <c r="W149" s="1883">
        <v>107</v>
      </c>
      <c r="X149" s="4053"/>
      <c r="Y149" s="4024"/>
      <c r="Z149" s="4024"/>
      <c r="AA149" s="4024"/>
      <c r="AB149" s="4024"/>
      <c r="AC149" s="4024"/>
      <c r="AD149" s="4024"/>
      <c r="AE149" s="4024"/>
      <c r="AF149" s="4024"/>
      <c r="AG149" s="4024"/>
      <c r="AH149" s="4024"/>
      <c r="AI149" s="4024"/>
      <c r="AJ149" s="4024"/>
      <c r="AK149" s="4024"/>
      <c r="AL149" s="4024"/>
      <c r="AM149" s="4024"/>
      <c r="AN149" s="4024"/>
      <c r="AO149" s="4039"/>
      <c r="AP149" s="4039"/>
      <c r="AQ149" s="4041"/>
    </row>
    <row r="150" spans="1:43" ht="24" customHeight="1" x14ac:dyDescent="0.2">
      <c r="A150" s="1907"/>
      <c r="B150" s="1908"/>
      <c r="C150" s="1909"/>
      <c r="D150" s="1908"/>
      <c r="E150" s="1908"/>
      <c r="F150" s="1909"/>
      <c r="G150" s="1910"/>
      <c r="H150" s="1908"/>
      <c r="I150" s="1909"/>
      <c r="J150" s="3938"/>
      <c r="K150" s="4021"/>
      <c r="L150" s="3938"/>
      <c r="M150" s="3938"/>
      <c r="N150" s="3938"/>
      <c r="O150" s="4018"/>
      <c r="P150" s="4027"/>
      <c r="Q150" s="4036"/>
      <c r="R150" s="4031"/>
      <c r="S150" s="4021"/>
      <c r="T150" s="3941"/>
      <c r="U150" s="3963" t="s">
        <v>1651</v>
      </c>
      <c r="V150" s="1865">
        <v>600000</v>
      </c>
      <c r="W150" s="1883">
        <v>61</v>
      </c>
      <c r="X150" s="4053"/>
      <c r="Y150" s="4024"/>
      <c r="Z150" s="4024"/>
      <c r="AA150" s="4024"/>
      <c r="AB150" s="4024"/>
      <c r="AC150" s="4024"/>
      <c r="AD150" s="4024"/>
      <c r="AE150" s="4024"/>
      <c r="AF150" s="4024"/>
      <c r="AG150" s="4024"/>
      <c r="AH150" s="4024"/>
      <c r="AI150" s="4024"/>
      <c r="AJ150" s="4024"/>
      <c r="AK150" s="4024"/>
      <c r="AL150" s="4024"/>
      <c r="AM150" s="4024"/>
      <c r="AN150" s="4024"/>
      <c r="AO150" s="4039"/>
      <c r="AP150" s="4039"/>
      <c r="AQ150" s="4041"/>
    </row>
    <row r="151" spans="1:43" ht="27.75" customHeight="1" x14ac:dyDescent="0.2">
      <c r="A151" s="1907"/>
      <c r="B151" s="1908"/>
      <c r="C151" s="1909"/>
      <c r="D151" s="1908"/>
      <c r="E151" s="1908"/>
      <c r="F151" s="1909"/>
      <c r="G151" s="1910"/>
      <c r="H151" s="1908"/>
      <c r="I151" s="1909"/>
      <c r="J151" s="3938"/>
      <c r="K151" s="4021"/>
      <c r="L151" s="3938"/>
      <c r="M151" s="3938"/>
      <c r="N151" s="3938"/>
      <c r="O151" s="4018"/>
      <c r="P151" s="4027"/>
      <c r="Q151" s="4036"/>
      <c r="R151" s="4031"/>
      <c r="S151" s="4021"/>
      <c r="T151" s="3941"/>
      <c r="U151" s="3964"/>
      <c r="V151" s="1858">
        <f>0+4271940</f>
        <v>4271940</v>
      </c>
      <c r="W151" s="1883">
        <v>107</v>
      </c>
      <c r="X151" s="4053"/>
      <c r="Y151" s="4024"/>
      <c r="Z151" s="4024"/>
      <c r="AA151" s="4024"/>
      <c r="AB151" s="4024"/>
      <c r="AC151" s="4024"/>
      <c r="AD151" s="4024"/>
      <c r="AE151" s="4024"/>
      <c r="AF151" s="4024"/>
      <c r="AG151" s="4024"/>
      <c r="AH151" s="4024"/>
      <c r="AI151" s="4024"/>
      <c r="AJ151" s="4024"/>
      <c r="AK151" s="4024"/>
      <c r="AL151" s="4024"/>
      <c r="AM151" s="4024"/>
      <c r="AN151" s="4024"/>
      <c r="AO151" s="4039"/>
      <c r="AP151" s="4039"/>
      <c r="AQ151" s="4041"/>
    </row>
    <row r="152" spans="1:43" ht="33.75" customHeight="1" x14ac:dyDescent="0.2">
      <c r="A152" s="1907"/>
      <c r="B152" s="1908"/>
      <c r="C152" s="1909"/>
      <c r="D152" s="1908"/>
      <c r="E152" s="1908"/>
      <c r="F152" s="1909"/>
      <c r="G152" s="1910"/>
      <c r="H152" s="1908"/>
      <c r="I152" s="1909"/>
      <c r="J152" s="3938"/>
      <c r="K152" s="4021"/>
      <c r="L152" s="3938"/>
      <c r="M152" s="3938"/>
      <c r="N152" s="3938"/>
      <c r="O152" s="4018"/>
      <c r="P152" s="4027"/>
      <c r="Q152" s="4036"/>
      <c r="R152" s="4031"/>
      <c r="S152" s="4021"/>
      <c r="T152" s="3941"/>
      <c r="U152" s="3940" t="s">
        <v>1652</v>
      </c>
      <c r="V152" s="1865">
        <v>33000000</v>
      </c>
      <c r="W152" s="1883">
        <v>61</v>
      </c>
      <c r="X152" s="4053"/>
      <c r="Y152" s="4024"/>
      <c r="Z152" s="4024"/>
      <c r="AA152" s="4024"/>
      <c r="AB152" s="4024"/>
      <c r="AC152" s="4024"/>
      <c r="AD152" s="4024"/>
      <c r="AE152" s="4024"/>
      <c r="AF152" s="4024"/>
      <c r="AG152" s="4024"/>
      <c r="AH152" s="4024"/>
      <c r="AI152" s="4024"/>
      <c r="AJ152" s="4024"/>
      <c r="AK152" s="4024"/>
      <c r="AL152" s="4024"/>
      <c r="AM152" s="4024"/>
      <c r="AN152" s="4024"/>
      <c r="AO152" s="4039"/>
      <c r="AP152" s="4039"/>
      <c r="AQ152" s="4041"/>
    </row>
    <row r="153" spans="1:43" ht="35.25" customHeight="1" x14ac:dyDescent="0.2">
      <c r="A153" s="1907"/>
      <c r="B153" s="1908"/>
      <c r="C153" s="1909"/>
      <c r="D153" s="1908"/>
      <c r="E153" s="1908"/>
      <c r="F153" s="1909"/>
      <c r="G153" s="1910"/>
      <c r="H153" s="1908"/>
      <c r="I153" s="1909"/>
      <c r="J153" s="3939"/>
      <c r="K153" s="4022"/>
      <c r="L153" s="3939"/>
      <c r="M153" s="3939"/>
      <c r="N153" s="3939"/>
      <c r="O153" s="4019"/>
      <c r="P153" s="4027"/>
      <c r="Q153" s="4036"/>
      <c r="R153" s="4031"/>
      <c r="S153" s="4021"/>
      <c r="T153" s="3942"/>
      <c r="U153" s="3942"/>
      <c r="V153" s="1906">
        <f>0+4271940</f>
        <v>4271940</v>
      </c>
      <c r="W153" s="1899">
        <v>107</v>
      </c>
      <c r="X153" s="4054"/>
      <c r="Y153" s="4025"/>
      <c r="Z153" s="4025"/>
      <c r="AA153" s="4025"/>
      <c r="AB153" s="4025"/>
      <c r="AC153" s="4025"/>
      <c r="AD153" s="4025"/>
      <c r="AE153" s="4025"/>
      <c r="AF153" s="4025"/>
      <c r="AG153" s="4025"/>
      <c r="AH153" s="4025"/>
      <c r="AI153" s="4025"/>
      <c r="AJ153" s="4025"/>
      <c r="AK153" s="4025"/>
      <c r="AL153" s="4025"/>
      <c r="AM153" s="4025"/>
      <c r="AN153" s="4025"/>
      <c r="AO153" s="4039"/>
      <c r="AP153" s="4039"/>
      <c r="AQ153" s="4042"/>
    </row>
    <row r="154" spans="1:43" ht="33.75" customHeight="1" x14ac:dyDescent="0.2">
      <c r="A154" s="1907"/>
      <c r="B154" s="1908"/>
      <c r="C154" s="1909"/>
      <c r="D154" s="1908"/>
      <c r="E154" s="1908"/>
      <c r="F154" s="1909"/>
      <c r="G154" s="1910"/>
      <c r="H154" s="1908"/>
      <c r="I154" s="1909"/>
      <c r="J154" s="3937">
        <v>146</v>
      </c>
      <c r="K154" s="4020" t="s">
        <v>1653</v>
      </c>
      <c r="L154" s="3937" t="s">
        <v>1482</v>
      </c>
      <c r="M154" s="3937">
        <v>1</v>
      </c>
      <c r="N154" s="1913"/>
      <c r="O154" s="3937" t="s">
        <v>1654</v>
      </c>
      <c r="P154" s="3941" t="s">
        <v>1655</v>
      </c>
      <c r="Q154" s="4055">
        <v>1</v>
      </c>
      <c r="R154" s="4057">
        <f>SUM(V154:V177)</f>
        <v>218028925</v>
      </c>
      <c r="S154" s="4060" t="s">
        <v>1656</v>
      </c>
      <c r="T154" s="4061" t="s">
        <v>1657</v>
      </c>
      <c r="U154" s="4051" t="s">
        <v>1658</v>
      </c>
      <c r="V154" s="1914">
        <v>10000000</v>
      </c>
      <c r="W154" s="1883">
        <v>61</v>
      </c>
      <c r="X154" s="3937" t="s">
        <v>1659</v>
      </c>
      <c r="Y154" s="3937">
        <v>292684</v>
      </c>
      <c r="Z154" s="3937">
        <v>282326</v>
      </c>
      <c r="AA154" s="3937">
        <v>135912</v>
      </c>
      <c r="AB154" s="3937">
        <v>45122</v>
      </c>
      <c r="AC154" s="3937">
        <v>307101</v>
      </c>
      <c r="AD154" s="3937">
        <v>86875</v>
      </c>
      <c r="AE154" s="3937">
        <v>2145</v>
      </c>
      <c r="AF154" s="3937">
        <v>12718</v>
      </c>
      <c r="AG154" s="3937">
        <v>26</v>
      </c>
      <c r="AH154" s="3937">
        <v>37</v>
      </c>
      <c r="AI154" s="3937" t="s">
        <v>1489</v>
      </c>
      <c r="AJ154" s="3937" t="s">
        <v>1489</v>
      </c>
      <c r="AK154" s="3937">
        <v>53164</v>
      </c>
      <c r="AL154" s="3937">
        <v>16982</v>
      </c>
      <c r="AM154" s="3937">
        <v>60013</v>
      </c>
      <c r="AN154" s="3937">
        <v>575010</v>
      </c>
      <c r="AO154" s="4065">
        <v>43467</v>
      </c>
      <c r="AP154" s="4065">
        <v>43830</v>
      </c>
      <c r="AQ154" s="4040" t="s">
        <v>1490</v>
      </c>
    </row>
    <row r="155" spans="1:43" ht="45" customHeight="1" x14ac:dyDescent="0.2">
      <c r="A155" s="1907"/>
      <c r="B155" s="1908"/>
      <c r="C155" s="1909"/>
      <c r="D155" s="1908"/>
      <c r="E155" s="1908"/>
      <c r="F155" s="1909"/>
      <c r="G155" s="1910"/>
      <c r="H155" s="1908"/>
      <c r="I155" s="1909"/>
      <c r="J155" s="3938"/>
      <c r="K155" s="4021"/>
      <c r="L155" s="3938"/>
      <c r="M155" s="3938"/>
      <c r="N155" s="1915"/>
      <c r="O155" s="3938"/>
      <c r="P155" s="3941"/>
      <c r="Q155" s="4055"/>
      <c r="R155" s="4058"/>
      <c r="S155" s="4060"/>
      <c r="T155" s="4062"/>
      <c r="U155" s="4064"/>
      <c r="V155" s="1914">
        <f>40000000-4541103</f>
        <v>35458897</v>
      </c>
      <c r="W155" s="1883">
        <v>113</v>
      </c>
      <c r="X155" s="3938"/>
      <c r="Y155" s="3938"/>
      <c r="Z155" s="3938"/>
      <c r="AA155" s="3938"/>
      <c r="AB155" s="3938"/>
      <c r="AC155" s="3938"/>
      <c r="AD155" s="3938"/>
      <c r="AE155" s="3938"/>
      <c r="AF155" s="3938"/>
      <c r="AG155" s="3938"/>
      <c r="AH155" s="3938"/>
      <c r="AI155" s="3938"/>
      <c r="AJ155" s="3938"/>
      <c r="AK155" s="3938"/>
      <c r="AL155" s="3938"/>
      <c r="AM155" s="3938"/>
      <c r="AN155" s="3938"/>
      <c r="AO155" s="4065"/>
      <c r="AP155" s="4065"/>
      <c r="AQ155" s="4041"/>
    </row>
    <row r="156" spans="1:43" ht="28.5" customHeight="1" x14ac:dyDescent="0.2">
      <c r="A156" s="1907"/>
      <c r="B156" s="1908"/>
      <c r="C156" s="1909"/>
      <c r="D156" s="1908"/>
      <c r="E156" s="1908"/>
      <c r="F156" s="1909"/>
      <c r="G156" s="1910"/>
      <c r="H156" s="1908"/>
      <c r="I156" s="1909"/>
      <c r="J156" s="3938"/>
      <c r="K156" s="4021"/>
      <c r="L156" s="3938"/>
      <c r="M156" s="3938"/>
      <c r="N156" s="1915"/>
      <c r="O156" s="3938"/>
      <c r="P156" s="3941"/>
      <c r="Q156" s="4055"/>
      <c r="R156" s="4058"/>
      <c r="S156" s="4060"/>
      <c r="T156" s="4062"/>
      <c r="U156" s="4037"/>
      <c r="V156" s="1914">
        <v>4000000</v>
      </c>
      <c r="W156" s="1883">
        <v>114</v>
      </c>
      <c r="X156" s="3938"/>
      <c r="Y156" s="3938"/>
      <c r="Z156" s="3938"/>
      <c r="AA156" s="3938"/>
      <c r="AB156" s="3938"/>
      <c r="AC156" s="3938"/>
      <c r="AD156" s="3938"/>
      <c r="AE156" s="3938"/>
      <c r="AF156" s="3938"/>
      <c r="AG156" s="3938"/>
      <c r="AH156" s="3938"/>
      <c r="AI156" s="3938"/>
      <c r="AJ156" s="3938"/>
      <c r="AK156" s="3938"/>
      <c r="AL156" s="3938"/>
      <c r="AM156" s="3938"/>
      <c r="AN156" s="3938"/>
      <c r="AO156" s="4065"/>
      <c r="AP156" s="4065"/>
      <c r="AQ156" s="4041"/>
    </row>
    <row r="157" spans="1:43" ht="33.75" customHeight="1" x14ac:dyDescent="0.2">
      <c r="A157" s="1907"/>
      <c r="B157" s="1908"/>
      <c r="C157" s="1909"/>
      <c r="D157" s="1908"/>
      <c r="E157" s="1908"/>
      <c r="F157" s="1909"/>
      <c r="G157" s="1910"/>
      <c r="H157" s="1908"/>
      <c r="I157" s="1909"/>
      <c r="J157" s="3938"/>
      <c r="K157" s="4021"/>
      <c r="L157" s="3938"/>
      <c r="M157" s="3938"/>
      <c r="N157" s="1915"/>
      <c r="O157" s="3938"/>
      <c r="P157" s="3941"/>
      <c r="Q157" s="4055"/>
      <c r="R157" s="4058"/>
      <c r="S157" s="4060"/>
      <c r="T157" s="4062"/>
      <c r="U157" s="4051" t="s">
        <v>1660</v>
      </c>
      <c r="V157" s="1914">
        <v>1750000</v>
      </c>
      <c r="W157" s="1883">
        <v>61</v>
      </c>
      <c r="X157" s="3938"/>
      <c r="Y157" s="3938"/>
      <c r="Z157" s="3938"/>
      <c r="AA157" s="3938"/>
      <c r="AB157" s="3938"/>
      <c r="AC157" s="3938"/>
      <c r="AD157" s="3938"/>
      <c r="AE157" s="3938"/>
      <c r="AF157" s="3938"/>
      <c r="AG157" s="3938"/>
      <c r="AH157" s="3938"/>
      <c r="AI157" s="3938"/>
      <c r="AJ157" s="3938"/>
      <c r="AK157" s="3938"/>
      <c r="AL157" s="3938"/>
      <c r="AM157" s="3938"/>
      <c r="AN157" s="3938"/>
      <c r="AO157" s="4065"/>
      <c r="AP157" s="4065"/>
      <c r="AQ157" s="4041"/>
    </row>
    <row r="158" spans="1:43" ht="33.75" customHeight="1" x14ac:dyDescent="0.2">
      <c r="A158" s="1907"/>
      <c r="B158" s="1908"/>
      <c r="C158" s="1909"/>
      <c r="D158" s="1908"/>
      <c r="E158" s="1908"/>
      <c r="F158" s="1909"/>
      <c r="G158" s="1910"/>
      <c r="H158" s="1908"/>
      <c r="I158" s="1909"/>
      <c r="J158" s="3938"/>
      <c r="K158" s="4021"/>
      <c r="L158" s="3938"/>
      <c r="M158" s="3938"/>
      <c r="N158" s="1915"/>
      <c r="O158" s="3938"/>
      <c r="P158" s="3941"/>
      <c r="Q158" s="4055"/>
      <c r="R158" s="4058"/>
      <c r="S158" s="4060"/>
      <c r="T158" s="4062"/>
      <c r="U158" s="4064"/>
      <c r="V158" s="1914">
        <v>3000000</v>
      </c>
      <c r="W158" s="1883">
        <v>113</v>
      </c>
      <c r="X158" s="3938"/>
      <c r="Y158" s="3938"/>
      <c r="Z158" s="3938"/>
      <c r="AA158" s="3938"/>
      <c r="AB158" s="3938"/>
      <c r="AC158" s="3938"/>
      <c r="AD158" s="3938"/>
      <c r="AE158" s="3938"/>
      <c r="AF158" s="3938"/>
      <c r="AG158" s="3938"/>
      <c r="AH158" s="3938"/>
      <c r="AI158" s="3938"/>
      <c r="AJ158" s="3938"/>
      <c r="AK158" s="3938"/>
      <c r="AL158" s="3938"/>
      <c r="AM158" s="3938"/>
      <c r="AN158" s="3938"/>
      <c r="AO158" s="4065"/>
      <c r="AP158" s="4065"/>
      <c r="AQ158" s="4041"/>
    </row>
    <row r="159" spans="1:43" ht="33.75" customHeight="1" x14ac:dyDescent="0.2">
      <c r="A159" s="1907"/>
      <c r="B159" s="1908"/>
      <c r="C159" s="1909"/>
      <c r="D159" s="1908"/>
      <c r="E159" s="1908"/>
      <c r="F159" s="1909"/>
      <c r="G159" s="1910"/>
      <c r="H159" s="1908"/>
      <c r="I159" s="1909"/>
      <c r="J159" s="3938"/>
      <c r="K159" s="4021"/>
      <c r="L159" s="3938"/>
      <c r="M159" s="3938"/>
      <c r="N159" s="1915"/>
      <c r="O159" s="3938"/>
      <c r="P159" s="3941"/>
      <c r="Q159" s="4055"/>
      <c r="R159" s="4058"/>
      <c r="S159" s="4060"/>
      <c r="T159" s="4062"/>
      <c r="U159" s="4064"/>
      <c r="V159" s="1916">
        <v>250000</v>
      </c>
      <c r="W159" s="1883">
        <v>114</v>
      </c>
      <c r="X159" s="3938"/>
      <c r="Y159" s="3938"/>
      <c r="Z159" s="3938"/>
      <c r="AA159" s="3938"/>
      <c r="AB159" s="3938"/>
      <c r="AC159" s="3938"/>
      <c r="AD159" s="3938"/>
      <c r="AE159" s="3938"/>
      <c r="AF159" s="3938"/>
      <c r="AG159" s="3938"/>
      <c r="AH159" s="3938"/>
      <c r="AI159" s="3938"/>
      <c r="AJ159" s="3938"/>
      <c r="AK159" s="3938"/>
      <c r="AL159" s="3938"/>
      <c r="AM159" s="3938"/>
      <c r="AN159" s="3938"/>
      <c r="AO159" s="4065"/>
      <c r="AP159" s="4065"/>
      <c r="AQ159" s="4041"/>
    </row>
    <row r="160" spans="1:43" ht="33.75" customHeight="1" x14ac:dyDescent="0.2">
      <c r="A160" s="1907"/>
      <c r="B160" s="1908"/>
      <c r="C160" s="1909"/>
      <c r="D160" s="1908"/>
      <c r="E160" s="1908"/>
      <c r="F160" s="1909"/>
      <c r="G160" s="1910"/>
      <c r="H160" s="1908"/>
      <c r="I160" s="1909"/>
      <c r="J160" s="3938"/>
      <c r="K160" s="4021"/>
      <c r="L160" s="3938"/>
      <c r="M160" s="3938"/>
      <c r="N160" s="1915"/>
      <c r="O160" s="3938"/>
      <c r="P160" s="3941"/>
      <c r="Q160" s="4055"/>
      <c r="R160" s="4058"/>
      <c r="S160" s="4060"/>
      <c r="T160" s="4062"/>
      <c r="U160" s="4037"/>
      <c r="V160" s="1916">
        <v>3000000</v>
      </c>
      <c r="W160" s="1883">
        <v>98</v>
      </c>
      <c r="X160" s="3938"/>
      <c r="Y160" s="3938"/>
      <c r="Z160" s="3938"/>
      <c r="AA160" s="3938"/>
      <c r="AB160" s="3938"/>
      <c r="AC160" s="3938"/>
      <c r="AD160" s="3938"/>
      <c r="AE160" s="3938"/>
      <c r="AF160" s="3938"/>
      <c r="AG160" s="3938"/>
      <c r="AH160" s="3938"/>
      <c r="AI160" s="3938"/>
      <c r="AJ160" s="3938"/>
      <c r="AK160" s="3938"/>
      <c r="AL160" s="3938"/>
      <c r="AM160" s="3938"/>
      <c r="AN160" s="3938"/>
      <c r="AO160" s="4065"/>
      <c r="AP160" s="4065"/>
      <c r="AQ160" s="4041"/>
    </row>
    <row r="161" spans="1:43" ht="33.75" customHeight="1" x14ac:dyDescent="0.2">
      <c r="A161" s="1907"/>
      <c r="B161" s="1908"/>
      <c r="C161" s="1909"/>
      <c r="D161" s="1908"/>
      <c r="E161" s="1908"/>
      <c r="F161" s="1909"/>
      <c r="G161" s="1910"/>
      <c r="H161" s="1908"/>
      <c r="I161" s="1909"/>
      <c r="J161" s="3938"/>
      <c r="K161" s="4021"/>
      <c r="L161" s="3938"/>
      <c r="M161" s="3938"/>
      <c r="N161" s="1917" t="s">
        <v>1661</v>
      </c>
      <c r="O161" s="3938"/>
      <c r="P161" s="3941"/>
      <c r="Q161" s="4055"/>
      <c r="R161" s="4058"/>
      <c r="S161" s="4060"/>
      <c r="T161" s="4062"/>
      <c r="U161" s="1918" t="s">
        <v>1662</v>
      </c>
      <c r="V161" s="1916">
        <v>8000000</v>
      </c>
      <c r="W161" s="1883">
        <v>113</v>
      </c>
      <c r="X161" s="3938"/>
      <c r="Y161" s="3938"/>
      <c r="Z161" s="3938"/>
      <c r="AA161" s="3938"/>
      <c r="AB161" s="3938"/>
      <c r="AC161" s="3938"/>
      <c r="AD161" s="3938"/>
      <c r="AE161" s="3938"/>
      <c r="AF161" s="3938"/>
      <c r="AG161" s="3938"/>
      <c r="AH161" s="3938"/>
      <c r="AI161" s="3938"/>
      <c r="AJ161" s="3938"/>
      <c r="AK161" s="3938"/>
      <c r="AL161" s="3938"/>
      <c r="AM161" s="3938"/>
      <c r="AN161" s="3938"/>
      <c r="AO161" s="4065"/>
      <c r="AP161" s="4065"/>
      <c r="AQ161" s="4041"/>
    </row>
    <row r="162" spans="1:43" ht="42" customHeight="1" x14ac:dyDescent="0.2">
      <c r="A162" s="1907"/>
      <c r="B162" s="1908"/>
      <c r="C162" s="1909"/>
      <c r="D162" s="1908"/>
      <c r="E162" s="1908"/>
      <c r="F162" s="1909"/>
      <c r="G162" s="1910"/>
      <c r="H162" s="1908"/>
      <c r="I162" s="1909"/>
      <c r="J162" s="3938"/>
      <c r="K162" s="4021"/>
      <c r="L162" s="3938"/>
      <c r="M162" s="3938"/>
      <c r="N162" s="1917" t="s">
        <v>1663</v>
      </c>
      <c r="O162" s="3938"/>
      <c r="P162" s="3941"/>
      <c r="Q162" s="4055"/>
      <c r="R162" s="4058"/>
      <c r="S162" s="4060"/>
      <c r="T162" s="4062"/>
      <c r="U162" s="4051" t="s">
        <v>1664</v>
      </c>
      <c r="V162" s="1916">
        <v>500000</v>
      </c>
      <c r="W162" s="1883">
        <v>61</v>
      </c>
      <c r="X162" s="3938"/>
      <c r="Y162" s="3938"/>
      <c r="Z162" s="3938"/>
      <c r="AA162" s="3938"/>
      <c r="AB162" s="3938"/>
      <c r="AC162" s="3938"/>
      <c r="AD162" s="3938"/>
      <c r="AE162" s="3938"/>
      <c r="AF162" s="3938"/>
      <c r="AG162" s="3938"/>
      <c r="AH162" s="3938"/>
      <c r="AI162" s="3938"/>
      <c r="AJ162" s="3938"/>
      <c r="AK162" s="3938"/>
      <c r="AL162" s="3938"/>
      <c r="AM162" s="3938"/>
      <c r="AN162" s="3938"/>
      <c r="AO162" s="4065"/>
      <c r="AP162" s="4065"/>
      <c r="AQ162" s="4041"/>
    </row>
    <row r="163" spans="1:43" ht="24" customHeight="1" x14ac:dyDescent="0.2">
      <c r="A163" s="1907"/>
      <c r="B163" s="1908"/>
      <c r="C163" s="1909"/>
      <c r="D163" s="1908"/>
      <c r="E163" s="1908"/>
      <c r="F163" s="1909"/>
      <c r="G163" s="1910"/>
      <c r="H163" s="1908"/>
      <c r="I163" s="1909"/>
      <c r="J163" s="3938"/>
      <c r="K163" s="4021"/>
      <c r="L163" s="3938"/>
      <c r="M163" s="3938"/>
      <c r="N163" s="1917"/>
      <c r="O163" s="3938"/>
      <c r="P163" s="3941"/>
      <c r="Q163" s="4055"/>
      <c r="R163" s="4058"/>
      <c r="S163" s="4060"/>
      <c r="T163" s="4062"/>
      <c r="U163" s="4064"/>
      <c r="V163" s="1916">
        <v>1911543</v>
      </c>
      <c r="W163" s="1883">
        <v>113</v>
      </c>
      <c r="X163" s="3938"/>
      <c r="Y163" s="3938"/>
      <c r="Z163" s="3938"/>
      <c r="AA163" s="3938"/>
      <c r="AB163" s="3938"/>
      <c r="AC163" s="3938"/>
      <c r="AD163" s="3938"/>
      <c r="AE163" s="3938"/>
      <c r="AF163" s="3938"/>
      <c r="AG163" s="3938"/>
      <c r="AH163" s="3938"/>
      <c r="AI163" s="3938"/>
      <c r="AJ163" s="3938"/>
      <c r="AK163" s="3938"/>
      <c r="AL163" s="3938"/>
      <c r="AM163" s="3938"/>
      <c r="AN163" s="3938"/>
      <c r="AO163" s="4065"/>
      <c r="AP163" s="4065"/>
      <c r="AQ163" s="4041"/>
    </row>
    <row r="164" spans="1:43" ht="24.75" customHeight="1" x14ac:dyDescent="0.2">
      <c r="A164" s="1907"/>
      <c r="B164" s="1908"/>
      <c r="C164" s="1909"/>
      <c r="D164" s="1908"/>
      <c r="E164" s="1908"/>
      <c r="F164" s="1909"/>
      <c r="G164" s="1910"/>
      <c r="H164" s="1908"/>
      <c r="I164" s="1909"/>
      <c r="J164" s="3938"/>
      <c r="K164" s="4021"/>
      <c r="L164" s="3938"/>
      <c r="M164" s="3938"/>
      <c r="N164" s="1917"/>
      <c r="O164" s="3938"/>
      <c r="P164" s="3941"/>
      <c r="Q164" s="4055"/>
      <c r="R164" s="4058"/>
      <c r="S164" s="4060"/>
      <c r="T164" s="4063"/>
      <c r="U164" s="4037"/>
      <c r="V164" s="1916">
        <v>193819</v>
      </c>
      <c r="W164" s="1883">
        <v>114</v>
      </c>
      <c r="X164" s="3938"/>
      <c r="Y164" s="3938"/>
      <c r="Z164" s="3938"/>
      <c r="AA164" s="3938"/>
      <c r="AB164" s="3938"/>
      <c r="AC164" s="3938"/>
      <c r="AD164" s="3938"/>
      <c r="AE164" s="3938"/>
      <c r="AF164" s="3938"/>
      <c r="AG164" s="3938"/>
      <c r="AH164" s="3938"/>
      <c r="AI164" s="3938"/>
      <c r="AJ164" s="3938"/>
      <c r="AK164" s="3938"/>
      <c r="AL164" s="3938"/>
      <c r="AM164" s="3938"/>
      <c r="AN164" s="3938"/>
      <c r="AO164" s="4065"/>
      <c r="AP164" s="4065"/>
      <c r="AQ164" s="4041"/>
    </row>
    <row r="165" spans="1:43" ht="28.5" customHeight="1" x14ac:dyDescent="0.2">
      <c r="A165" s="1907"/>
      <c r="B165" s="1908"/>
      <c r="C165" s="1909"/>
      <c r="D165" s="1908"/>
      <c r="E165" s="1908"/>
      <c r="F165" s="1909"/>
      <c r="G165" s="1910"/>
      <c r="H165" s="1908"/>
      <c r="I165" s="1909"/>
      <c r="J165" s="3938"/>
      <c r="K165" s="4021"/>
      <c r="L165" s="3938"/>
      <c r="M165" s="3938"/>
      <c r="N165" s="1919" t="s">
        <v>1665</v>
      </c>
      <c r="O165" s="3938"/>
      <c r="P165" s="3941"/>
      <c r="Q165" s="4055"/>
      <c r="R165" s="4058"/>
      <c r="S165" s="4060"/>
      <c r="T165" s="4061" t="s">
        <v>1666</v>
      </c>
      <c r="U165" s="4051" t="s">
        <v>1667</v>
      </c>
      <c r="V165" s="1916">
        <v>1750000</v>
      </c>
      <c r="W165" s="1883">
        <v>61</v>
      </c>
      <c r="X165" s="3938"/>
      <c r="Y165" s="3938"/>
      <c r="Z165" s="3938"/>
      <c r="AA165" s="3938"/>
      <c r="AB165" s="3938"/>
      <c r="AC165" s="3938"/>
      <c r="AD165" s="3938"/>
      <c r="AE165" s="3938"/>
      <c r="AF165" s="3938"/>
      <c r="AG165" s="3938"/>
      <c r="AH165" s="3938"/>
      <c r="AI165" s="3938"/>
      <c r="AJ165" s="3938"/>
      <c r="AK165" s="3938"/>
      <c r="AL165" s="3938"/>
      <c r="AM165" s="3938"/>
      <c r="AN165" s="3938"/>
      <c r="AO165" s="4065"/>
      <c r="AP165" s="4065"/>
      <c r="AQ165" s="4041"/>
    </row>
    <row r="166" spans="1:43" ht="30" customHeight="1" x14ac:dyDescent="0.2">
      <c r="A166" s="1907"/>
      <c r="B166" s="1908"/>
      <c r="C166" s="1909"/>
      <c r="D166" s="1908"/>
      <c r="E166" s="1908"/>
      <c r="F166" s="1909"/>
      <c r="G166" s="1910"/>
      <c r="H166" s="1908"/>
      <c r="I166" s="1909"/>
      <c r="J166" s="3938"/>
      <c r="K166" s="4021"/>
      <c r="L166" s="3938"/>
      <c r="M166" s="3938"/>
      <c r="N166" s="1919"/>
      <c r="O166" s="3938"/>
      <c r="P166" s="3941"/>
      <c r="Q166" s="4055"/>
      <c r="R166" s="4058"/>
      <c r="S166" s="4060"/>
      <c r="T166" s="4062"/>
      <c r="U166" s="4064"/>
      <c r="V166" s="1916">
        <v>3000000</v>
      </c>
      <c r="W166" s="1883">
        <v>113</v>
      </c>
      <c r="X166" s="3938"/>
      <c r="Y166" s="3938"/>
      <c r="Z166" s="3938"/>
      <c r="AA166" s="3938"/>
      <c r="AB166" s="3938"/>
      <c r="AC166" s="3938"/>
      <c r="AD166" s="3938"/>
      <c r="AE166" s="3938"/>
      <c r="AF166" s="3938"/>
      <c r="AG166" s="3938"/>
      <c r="AH166" s="3938"/>
      <c r="AI166" s="3938"/>
      <c r="AJ166" s="3938"/>
      <c r="AK166" s="3938"/>
      <c r="AL166" s="3938"/>
      <c r="AM166" s="3938"/>
      <c r="AN166" s="3938"/>
      <c r="AO166" s="4065"/>
      <c r="AP166" s="4065"/>
      <c r="AQ166" s="4041"/>
    </row>
    <row r="167" spans="1:43" ht="27" customHeight="1" x14ac:dyDescent="0.2">
      <c r="A167" s="1907"/>
      <c r="B167" s="1908"/>
      <c r="C167" s="1909"/>
      <c r="D167" s="1908"/>
      <c r="E167" s="1908"/>
      <c r="F167" s="1909"/>
      <c r="G167" s="1910"/>
      <c r="H167" s="1908"/>
      <c r="I167" s="1909"/>
      <c r="J167" s="3938"/>
      <c r="K167" s="4021"/>
      <c r="L167" s="3938"/>
      <c r="M167" s="3938"/>
      <c r="N167" s="1919" t="s">
        <v>1668</v>
      </c>
      <c r="O167" s="3938"/>
      <c r="P167" s="3941"/>
      <c r="Q167" s="4055"/>
      <c r="R167" s="4058"/>
      <c r="S167" s="4060"/>
      <c r="T167" s="4062"/>
      <c r="U167" s="4037"/>
      <c r="V167" s="1916">
        <v>250000</v>
      </c>
      <c r="W167" s="1883">
        <v>114</v>
      </c>
      <c r="X167" s="3938"/>
      <c r="Y167" s="3938"/>
      <c r="Z167" s="3938"/>
      <c r="AA167" s="3938"/>
      <c r="AB167" s="3938"/>
      <c r="AC167" s="3938"/>
      <c r="AD167" s="3938"/>
      <c r="AE167" s="3938"/>
      <c r="AF167" s="3938"/>
      <c r="AG167" s="3938"/>
      <c r="AH167" s="3938"/>
      <c r="AI167" s="3938"/>
      <c r="AJ167" s="3938"/>
      <c r="AK167" s="3938"/>
      <c r="AL167" s="3938"/>
      <c r="AM167" s="3938"/>
      <c r="AN167" s="3938"/>
      <c r="AO167" s="4065"/>
      <c r="AP167" s="4065"/>
      <c r="AQ167" s="4041"/>
    </row>
    <row r="168" spans="1:43" ht="27.75" customHeight="1" x14ac:dyDescent="0.2">
      <c r="A168" s="1907"/>
      <c r="B168" s="1908"/>
      <c r="C168" s="1909"/>
      <c r="D168" s="1908"/>
      <c r="E168" s="1908"/>
      <c r="F168" s="1909"/>
      <c r="G168" s="1910"/>
      <c r="H168" s="1908"/>
      <c r="I168" s="1909"/>
      <c r="J168" s="3938"/>
      <c r="K168" s="4021"/>
      <c r="L168" s="3938"/>
      <c r="M168" s="3938"/>
      <c r="N168" s="1915"/>
      <c r="O168" s="3938"/>
      <c r="P168" s="3941"/>
      <c r="Q168" s="4055"/>
      <c r="R168" s="4058"/>
      <c r="S168" s="4060"/>
      <c r="T168" s="4062"/>
      <c r="U168" s="4051" t="s">
        <v>1669</v>
      </c>
      <c r="V168" s="1916">
        <v>10000000</v>
      </c>
      <c r="W168" s="1883">
        <v>61</v>
      </c>
      <c r="X168" s="3938"/>
      <c r="Y168" s="3938"/>
      <c r="Z168" s="3938"/>
      <c r="AA168" s="3938"/>
      <c r="AB168" s="3938"/>
      <c r="AC168" s="3938"/>
      <c r="AD168" s="3938"/>
      <c r="AE168" s="3938"/>
      <c r="AF168" s="3938"/>
      <c r="AG168" s="3938"/>
      <c r="AH168" s="3938"/>
      <c r="AI168" s="3938"/>
      <c r="AJ168" s="3938"/>
      <c r="AK168" s="3938"/>
      <c r="AL168" s="3938"/>
      <c r="AM168" s="3938"/>
      <c r="AN168" s="3938"/>
      <c r="AO168" s="4065"/>
      <c r="AP168" s="4065"/>
      <c r="AQ168" s="4041"/>
    </row>
    <row r="169" spans="1:43" ht="24" customHeight="1" x14ac:dyDescent="0.2">
      <c r="A169" s="1907"/>
      <c r="B169" s="1908"/>
      <c r="C169" s="1909"/>
      <c r="D169" s="1908"/>
      <c r="E169" s="1908"/>
      <c r="F169" s="1909"/>
      <c r="G169" s="1910"/>
      <c r="H169" s="1908"/>
      <c r="I169" s="1909"/>
      <c r="J169" s="3938"/>
      <c r="K169" s="4021"/>
      <c r="L169" s="3938"/>
      <c r="M169" s="3938"/>
      <c r="N169" s="1915"/>
      <c r="O169" s="3938"/>
      <c r="P169" s="3941"/>
      <c r="Q169" s="4055"/>
      <c r="R169" s="4058"/>
      <c r="S169" s="4060"/>
      <c r="T169" s="4062"/>
      <c r="U169" s="4064"/>
      <c r="V169" s="1916">
        <v>40000000</v>
      </c>
      <c r="W169" s="1883">
        <v>113</v>
      </c>
      <c r="X169" s="3938"/>
      <c r="Y169" s="3938"/>
      <c r="Z169" s="3938"/>
      <c r="AA169" s="3938"/>
      <c r="AB169" s="3938"/>
      <c r="AC169" s="3938"/>
      <c r="AD169" s="3938"/>
      <c r="AE169" s="3938"/>
      <c r="AF169" s="3938"/>
      <c r="AG169" s="3938"/>
      <c r="AH169" s="3938"/>
      <c r="AI169" s="3938"/>
      <c r="AJ169" s="3938"/>
      <c r="AK169" s="3938"/>
      <c r="AL169" s="3938"/>
      <c r="AM169" s="3938"/>
      <c r="AN169" s="3938"/>
      <c r="AO169" s="4065"/>
      <c r="AP169" s="4065"/>
      <c r="AQ169" s="4041"/>
    </row>
    <row r="170" spans="1:43" ht="25.5" customHeight="1" x14ac:dyDescent="0.2">
      <c r="A170" s="1907"/>
      <c r="B170" s="1908"/>
      <c r="C170" s="1909"/>
      <c r="D170" s="1908"/>
      <c r="E170" s="1908"/>
      <c r="F170" s="1909"/>
      <c r="G170" s="1910"/>
      <c r="H170" s="1908"/>
      <c r="I170" s="1909"/>
      <c r="J170" s="3938"/>
      <c r="K170" s="4021"/>
      <c r="L170" s="3938"/>
      <c r="M170" s="3938"/>
      <c r="N170" s="1915"/>
      <c r="O170" s="3938"/>
      <c r="P170" s="3941"/>
      <c r="Q170" s="4055"/>
      <c r="R170" s="4058"/>
      <c r="S170" s="4060"/>
      <c r="T170" s="4063"/>
      <c r="U170" s="4037"/>
      <c r="V170" s="1916">
        <v>4000000</v>
      </c>
      <c r="W170" s="1883">
        <v>114</v>
      </c>
      <c r="X170" s="3938"/>
      <c r="Y170" s="3938"/>
      <c r="Z170" s="3938"/>
      <c r="AA170" s="3938"/>
      <c r="AB170" s="3938"/>
      <c r="AC170" s="3938"/>
      <c r="AD170" s="3938"/>
      <c r="AE170" s="3938"/>
      <c r="AF170" s="3938"/>
      <c r="AG170" s="3938"/>
      <c r="AH170" s="3938"/>
      <c r="AI170" s="3938"/>
      <c r="AJ170" s="3938"/>
      <c r="AK170" s="3938"/>
      <c r="AL170" s="3938"/>
      <c r="AM170" s="3938"/>
      <c r="AN170" s="3938"/>
      <c r="AO170" s="4065"/>
      <c r="AP170" s="4065"/>
      <c r="AQ170" s="4041"/>
    </row>
    <row r="171" spans="1:43" ht="58.5" customHeight="1" x14ac:dyDescent="0.2">
      <c r="A171" s="1907"/>
      <c r="B171" s="1908"/>
      <c r="C171" s="1909"/>
      <c r="D171" s="1908"/>
      <c r="E171" s="1908"/>
      <c r="F171" s="1909"/>
      <c r="G171" s="1910"/>
      <c r="H171" s="1908"/>
      <c r="I171" s="1909"/>
      <c r="J171" s="3938"/>
      <c r="K171" s="4021"/>
      <c r="L171" s="3938"/>
      <c r="M171" s="3938"/>
      <c r="N171" s="1915"/>
      <c r="O171" s="3938"/>
      <c r="P171" s="3941"/>
      <c r="Q171" s="4055"/>
      <c r="R171" s="4058"/>
      <c r="S171" s="4060"/>
      <c r="T171" s="4061" t="s">
        <v>1670</v>
      </c>
      <c r="U171" s="1918" t="s">
        <v>1671</v>
      </c>
      <c r="V171" s="1916">
        <v>18000000</v>
      </c>
      <c r="W171" s="1883">
        <v>113</v>
      </c>
      <c r="X171" s="3938"/>
      <c r="Y171" s="3938"/>
      <c r="Z171" s="3938"/>
      <c r="AA171" s="3938"/>
      <c r="AB171" s="3938"/>
      <c r="AC171" s="3938"/>
      <c r="AD171" s="3938"/>
      <c r="AE171" s="3938"/>
      <c r="AF171" s="3938"/>
      <c r="AG171" s="3938"/>
      <c r="AH171" s="3938"/>
      <c r="AI171" s="3938"/>
      <c r="AJ171" s="3938"/>
      <c r="AK171" s="3938"/>
      <c r="AL171" s="3938"/>
      <c r="AM171" s="3938"/>
      <c r="AN171" s="3938"/>
      <c r="AO171" s="4065"/>
      <c r="AP171" s="4065"/>
      <c r="AQ171" s="4041"/>
    </row>
    <row r="172" spans="1:43" ht="27.75" customHeight="1" x14ac:dyDescent="0.2">
      <c r="A172" s="1907"/>
      <c r="B172" s="1908"/>
      <c r="C172" s="1909"/>
      <c r="D172" s="1908"/>
      <c r="E172" s="1908"/>
      <c r="F172" s="1909"/>
      <c r="G172" s="1910"/>
      <c r="H172" s="1908"/>
      <c r="I172" s="1909"/>
      <c r="J172" s="3938"/>
      <c r="K172" s="4021"/>
      <c r="L172" s="3938"/>
      <c r="M172" s="3938"/>
      <c r="N172" s="1915"/>
      <c r="O172" s="3938"/>
      <c r="P172" s="3941"/>
      <c r="Q172" s="4055"/>
      <c r="R172" s="4058"/>
      <c r="S172" s="4060"/>
      <c r="T172" s="4062"/>
      <c r="U172" s="4051" t="s">
        <v>1672</v>
      </c>
      <c r="V172" s="1916">
        <v>9000000</v>
      </c>
      <c r="W172" s="1883">
        <v>61</v>
      </c>
      <c r="X172" s="3938"/>
      <c r="Y172" s="3938"/>
      <c r="Z172" s="3938"/>
      <c r="AA172" s="3938"/>
      <c r="AB172" s="3938"/>
      <c r="AC172" s="3938"/>
      <c r="AD172" s="3938"/>
      <c r="AE172" s="3938"/>
      <c r="AF172" s="3938"/>
      <c r="AG172" s="3938"/>
      <c r="AH172" s="3938"/>
      <c r="AI172" s="3938"/>
      <c r="AJ172" s="3938"/>
      <c r="AK172" s="3938"/>
      <c r="AL172" s="3938"/>
      <c r="AM172" s="3938"/>
      <c r="AN172" s="3938"/>
      <c r="AO172" s="4065"/>
      <c r="AP172" s="4065"/>
      <c r="AQ172" s="4041"/>
    </row>
    <row r="173" spans="1:43" ht="26.25" customHeight="1" x14ac:dyDescent="0.2">
      <c r="A173" s="1907"/>
      <c r="B173" s="1908"/>
      <c r="C173" s="1909"/>
      <c r="D173" s="1908"/>
      <c r="E173" s="1908"/>
      <c r="F173" s="1909"/>
      <c r="G173" s="1910"/>
      <c r="H173" s="1908"/>
      <c r="I173" s="1909"/>
      <c r="J173" s="3938"/>
      <c r="K173" s="4021"/>
      <c r="L173" s="3938"/>
      <c r="M173" s="3938"/>
      <c r="N173" s="1915"/>
      <c r="O173" s="3938"/>
      <c r="P173" s="3941"/>
      <c r="Q173" s="4055"/>
      <c r="R173" s="4058"/>
      <c r="S173" s="4060"/>
      <c r="T173" s="4062"/>
      <c r="U173" s="4064"/>
      <c r="V173" s="1916">
        <v>21000000</v>
      </c>
      <c r="W173" s="1883">
        <v>113</v>
      </c>
      <c r="X173" s="3938"/>
      <c r="Y173" s="3938"/>
      <c r="Z173" s="3938"/>
      <c r="AA173" s="3938"/>
      <c r="AB173" s="3938"/>
      <c r="AC173" s="3938"/>
      <c r="AD173" s="3938"/>
      <c r="AE173" s="3938"/>
      <c r="AF173" s="3938"/>
      <c r="AG173" s="3938"/>
      <c r="AH173" s="3938"/>
      <c r="AI173" s="3938"/>
      <c r="AJ173" s="3938"/>
      <c r="AK173" s="3938"/>
      <c r="AL173" s="3938"/>
      <c r="AM173" s="3938"/>
      <c r="AN173" s="3938"/>
      <c r="AO173" s="4065"/>
      <c r="AP173" s="4065"/>
      <c r="AQ173" s="4041"/>
    </row>
    <row r="174" spans="1:43" ht="22.5" customHeight="1" x14ac:dyDescent="0.2">
      <c r="A174" s="1907"/>
      <c r="B174" s="1908"/>
      <c r="C174" s="1909"/>
      <c r="D174" s="1908"/>
      <c r="E174" s="1908"/>
      <c r="F174" s="1909"/>
      <c r="G174" s="1910"/>
      <c r="H174" s="1908"/>
      <c r="I174" s="1909"/>
      <c r="J174" s="3938"/>
      <c r="K174" s="4021"/>
      <c r="L174" s="3938"/>
      <c r="M174" s="3938"/>
      <c r="N174" s="1915"/>
      <c r="O174" s="3938"/>
      <c r="P174" s="3941"/>
      <c r="Q174" s="4055"/>
      <c r="R174" s="4058"/>
      <c r="S174" s="4060"/>
      <c r="T174" s="4062"/>
      <c r="U174" s="4037"/>
      <c r="V174" s="1916">
        <f>7500000-2035334</f>
        <v>5464666</v>
      </c>
      <c r="W174" s="1883">
        <v>114</v>
      </c>
      <c r="X174" s="3938"/>
      <c r="Y174" s="3938"/>
      <c r="Z174" s="3938"/>
      <c r="AA174" s="3938"/>
      <c r="AB174" s="3938"/>
      <c r="AC174" s="3938"/>
      <c r="AD174" s="3938"/>
      <c r="AE174" s="3938"/>
      <c r="AF174" s="3938"/>
      <c r="AG174" s="3938"/>
      <c r="AH174" s="3938"/>
      <c r="AI174" s="3938"/>
      <c r="AJ174" s="3938"/>
      <c r="AK174" s="3938"/>
      <c r="AL174" s="3938"/>
      <c r="AM174" s="3938"/>
      <c r="AN174" s="3938"/>
      <c r="AO174" s="4065"/>
      <c r="AP174" s="4065"/>
      <c r="AQ174" s="4041"/>
    </row>
    <row r="175" spans="1:43" ht="31.5" customHeight="1" x14ac:dyDescent="0.2">
      <c r="A175" s="1907"/>
      <c r="B175" s="1908"/>
      <c r="C175" s="1909"/>
      <c r="D175" s="1908"/>
      <c r="E175" s="1908"/>
      <c r="F175" s="1909"/>
      <c r="G175" s="1910"/>
      <c r="H175" s="1908"/>
      <c r="I175" s="1909"/>
      <c r="J175" s="3938"/>
      <c r="K175" s="4021"/>
      <c r="L175" s="3938"/>
      <c r="M175" s="3938"/>
      <c r="N175" s="1915"/>
      <c r="O175" s="3938"/>
      <c r="P175" s="3941"/>
      <c r="Q175" s="4055"/>
      <c r="R175" s="4058"/>
      <c r="S175" s="4060"/>
      <c r="T175" s="4062"/>
      <c r="U175" s="4051" t="s">
        <v>1673</v>
      </c>
      <c r="V175" s="1916">
        <v>9000000</v>
      </c>
      <c r="W175" s="1883">
        <v>61</v>
      </c>
      <c r="X175" s="3938"/>
      <c r="Y175" s="3938"/>
      <c r="Z175" s="3938"/>
      <c r="AA175" s="3938"/>
      <c r="AB175" s="3938"/>
      <c r="AC175" s="3938"/>
      <c r="AD175" s="3938"/>
      <c r="AE175" s="3938"/>
      <c r="AF175" s="3938"/>
      <c r="AG175" s="3938"/>
      <c r="AH175" s="3938"/>
      <c r="AI175" s="3938"/>
      <c r="AJ175" s="3938"/>
      <c r="AK175" s="3938"/>
      <c r="AL175" s="3938"/>
      <c r="AM175" s="3938"/>
      <c r="AN175" s="3938"/>
      <c r="AO175" s="4065"/>
      <c r="AP175" s="4065"/>
      <c r="AQ175" s="4041"/>
    </row>
    <row r="176" spans="1:43" ht="38.25" customHeight="1" x14ac:dyDescent="0.2">
      <c r="A176" s="1907"/>
      <c r="B176" s="1908"/>
      <c r="C176" s="1909"/>
      <c r="D176" s="1908"/>
      <c r="E176" s="1908"/>
      <c r="F176" s="1909"/>
      <c r="G176" s="1910"/>
      <c r="H176" s="1908"/>
      <c r="I176" s="1909"/>
      <c r="J176" s="3938"/>
      <c r="K176" s="4021"/>
      <c r="L176" s="3938"/>
      <c r="M176" s="3938"/>
      <c r="N176" s="1915"/>
      <c r="O176" s="3938"/>
      <c r="P176" s="3941"/>
      <c r="Q176" s="4055"/>
      <c r="R176" s="4058"/>
      <c r="S176" s="4060"/>
      <c r="T176" s="4062"/>
      <c r="U176" s="4064"/>
      <c r="V176" s="1916">
        <v>21000000</v>
      </c>
      <c r="W176" s="1883">
        <v>113</v>
      </c>
      <c r="X176" s="3938"/>
      <c r="Y176" s="3938"/>
      <c r="Z176" s="3938"/>
      <c r="AA176" s="3938"/>
      <c r="AB176" s="3938"/>
      <c r="AC176" s="3938"/>
      <c r="AD176" s="3938"/>
      <c r="AE176" s="3938"/>
      <c r="AF176" s="3938"/>
      <c r="AG176" s="3938"/>
      <c r="AH176" s="3938"/>
      <c r="AI176" s="3938"/>
      <c r="AJ176" s="3938"/>
      <c r="AK176" s="3938"/>
      <c r="AL176" s="3938"/>
      <c r="AM176" s="3938"/>
      <c r="AN176" s="3938"/>
      <c r="AO176" s="4065"/>
      <c r="AP176" s="4065"/>
      <c r="AQ176" s="4041"/>
    </row>
    <row r="177" spans="1:43" ht="28.5" customHeight="1" x14ac:dyDescent="0.2">
      <c r="A177" s="1907"/>
      <c r="B177" s="1908"/>
      <c r="C177" s="1909"/>
      <c r="D177" s="1908"/>
      <c r="E177" s="1908"/>
      <c r="F177" s="1909"/>
      <c r="G177" s="1920"/>
      <c r="H177" s="1921"/>
      <c r="I177" s="1922"/>
      <c r="J177" s="3939"/>
      <c r="K177" s="4022"/>
      <c r="L177" s="3939"/>
      <c r="M177" s="3939"/>
      <c r="N177" s="1923"/>
      <c r="O177" s="3939"/>
      <c r="P177" s="3942"/>
      <c r="Q177" s="4056"/>
      <c r="R177" s="4059"/>
      <c r="S177" s="4060"/>
      <c r="T177" s="4063"/>
      <c r="U177" s="4037"/>
      <c r="V177" s="1916">
        <v>7500000</v>
      </c>
      <c r="W177" s="1883">
        <v>114</v>
      </c>
      <c r="X177" s="3939"/>
      <c r="Y177" s="3939"/>
      <c r="Z177" s="3939"/>
      <c r="AA177" s="3939"/>
      <c r="AB177" s="3939"/>
      <c r="AC177" s="3939"/>
      <c r="AD177" s="3939"/>
      <c r="AE177" s="3939"/>
      <c r="AF177" s="3939"/>
      <c r="AG177" s="3939"/>
      <c r="AH177" s="3939"/>
      <c r="AI177" s="3939"/>
      <c r="AJ177" s="3939"/>
      <c r="AK177" s="3939"/>
      <c r="AL177" s="3939"/>
      <c r="AM177" s="3939"/>
      <c r="AN177" s="3939"/>
      <c r="AO177" s="4065"/>
      <c r="AP177" s="4065"/>
      <c r="AQ177" s="4042"/>
    </row>
    <row r="178" spans="1:43" ht="38.25" customHeight="1" x14ac:dyDescent="0.2">
      <c r="A178" s="1819"/>
      <c r="B178" s="1820"/>
      <c r="C178" s="1821"/>
      <c r="D178" s="1820"/>
      <c r="E178" s="1820"/>
      <c r="F178" s="1821"/>
      <c r="G178" s="1854">
        <v>41</v>
      </c>
      <c r="H178" s="1825" t="s">
        <v>1674</v>
      </c>
      <c r="I178" s="1825"/>
      <c r="J178" s="1825"/>
      <c r="K178" s="1826"/>
      <c r="L178" s="1825"/>
      <c r="M178" s="1825"/>
      <c r="N178" s="1827"/>
      <c r="O178" s="1825"/>
      <c r="P178" s="1826"/>
      <c r="Q178" s="1825"/>
      <c r="R178" s="1855"/>
      <c r="S178" s="1924"/>
      <c r="T178" s="1826"/>
      <c r="U178" s="1826"/>
      <c r="V178" s="4069"/>
      <c r="W178" s="4069"/>
      <c r="X178" s="4069"/>
      <c r="Y178" s="1827"/>
      <c r="Z178" s="1827"/>
      <c r="AA178" s="1827"/>
      <c r="AB178" s="1827"/>
      <c r="AC178" s="1827"/>
      <c r="AD178" s="1827"/>
      <c r="AE178" s="1827"/>
      <c r="AF178" s="1827"/>
      <c r="AG178" s="1827"/>
      <c r="AH178" s="1827"/>
      <c r="AI178" s="1827"/>
      <c r="AJ178" s="1827"/>
      <c r="AK178" s="1827"/>
      <c r="AL178" s="1827"/>
      <c r="AM178" s="1827"/>
      <c r="AN178" s="1827"/>
      <c r="AO178" s="1825"/>
      <c r="AP178" s="1825"/>
      <c r="AQ178" s="1832"/>
    </row>
    <row r="179" spans="1:43" ht="27.75" customHeight="1" x14ac:dyDescent="0.2">
      <c r="A179" s="1833"/>
      <c r="B179" s="1834"/>
      <c r="C179" s="1835"/>
      <c r="D179" s="1834"/>
      <c r="E179" s="1834"/>
      <c r="F179" s="1835"/>
      <c r="G179" s="1836"/>
      <c r="H179" s="1837"/>
      <c r="I179" s="1838"/>
      <c r="J179" s="3937">
        <v>147</v>
      </c>
      <c r="K179" s="3940" t="s">
        <v>1675</v>
      </c>
      <c r="L179" s="3943" t="s">
        <v>1482</v>
      </c>
      <c r="M179" s="3943">
        <v>14</v>
      </c>
      <c r="N179" s="3943" t="s">
        <v>1676</v>
      </c>
      <c r="O179" s="3943" t="s">
        <v>1677</v>
      </c>
      <c r="P179" s="3940" t="s">
        <v>1678</v>
      </c>
      <c r="Q179" s="3965">
        <f>SUM(V179:V182)/R179</f>
        <v>0.48275862068965519</v>
      </c>
      <c r="R179" s="3968">
        <f>SUM(V179:V187)</f>
        <v>29000000</v>
      </c>
      <c r="S179" s="3940" t="s">
        <v>1679</v>
      </c>
      <c r="T179" s="3940" t="s">
        <v>1680</v>
      </c>
      <c r="U179" s="4051" t="s">
        <v>1681</v>
      </c>
      <c r="V179" s="1916">
        <v>6000000</v>
      </c>
      <c r="W179" s="1840">
        <v>61</v>
      </c>
      <c r="X179" s="3943" t="s">
        <v>1682</v>
      </c>
      <c r="Y179" s="4066">
        <v>292684</v>
      </c>
      <c r="Z179" s="3943">
        <v>282326</v>
      </c>
      <c r="AA179" s="4006">
        <v>135912</v>
      </c>
      <c r="AB179" s="4006">
        <v>45122</v>
      </c>
      <c r="AC179" s="4006">
        <f>AC154</f>
        <v>307101</v>
      </c>
      <c r="AD179" s="4006">
        <f>AD154</f>
        <v>86875</v>
      </c>
      <c r="AE179" s="4006">
        <v>2145</v>
      </c>
      <c r="AF179" s="4006">
        <v>12718</v>
      </c>
      <c r="AG179" s="4006">
        <v>26</v>
      </c>
      <c r="AH179" s="4006">
        <v>37</v>
      </c>
      <c r="AI179" s="4006" t="s">
        <v>1489</v>
      </c>
      <c r="AJ179" s="4006" t="s">
        <v>1489</v>
      </c>
      <c r="AK179" s="4006">
        <v>53164</v>
      </c>
      <c r="AL179" s="4006">
        <v>16982</v>
      </c>
      <c r="AM179" s="4006">
        <v>60013</v>
      </c>
      <c r="AN179" s="4006">
        <v>575010</v>
      </c>
      <c r="AO179" s="3971">
        <v>43467</v>
      </c>
      <c r="AP179" s="3971">
        <v>43830</v>
      </c>
      <c r="AQ179" s="3974" t="s">
        <v>1490</v>
      </c>
    </row>
    <row r="180" spans="1:43" ht="24" customHeight="1" x14ac:dyDescent="0.2">
      <c r="A180" s="1833"/>
      <c r="B180" s="1834"/>
      <c r="C180" s="1835"/>
      <c r="D180" s="1834"/>
      <c r="E180" s="1834"/>
      <c r="F180" s="1835"/>
      <c r="G180" s="1842"/>
      <c r="H180" s="1834"/>
      <c r="I180" s="1835"/>
      <c r="J180" s="3938"/>
      <c r="K180" s="3941"/>
      <c r="L180" s="3944"/>
      <c r="M180" s="3944"/>
      <c r="N180" s="3944"/>
      <c r="O180" s="3944"/>
      <c r="P180" s="3941"/>
      <c r="Q180" s="3966"/>
      <c r="R180" s="3969"/>
      <c r="S180" s="3941"/>
      <c r="T180" s="3941"/>
      <c r="U180" s="4037"/>
      <c r="V180" s="1916">
        <v>4000000</v>
      </c>
      <c r="W180" s="1925">
        <v>98</v>
      </c>
      <c r="X180" s="3944"/>
      <c r="Y180" s="4067"/>
      <c r="Z180" s="3944"/>
      <c r="AA180" s="4007"/>
      <c r="AB180" s="4007"/>
      <c r="AC180" s="4007"/>
      <c r="AD180" s="4007"/>
      <c r="AE180" s="4007"/>
      <c r="AF180" s="4007"/>
      <c r="AG180" s="4007"/>
      <c r="AH180" s="4007"/>
      <c r="AI180" s="4007"/>
      <c r="AJ180" s="4007"/>
      <c r="AK180" s="4007"/>
      <c r="AL180" s="4007"/>
      <c r="AM180" s="4007"/>
      <c r="AN180" s="4007"/>
      <c r="AO180" s="3972"/>
      <c r="AP180" s="3972"/>
      <c r="AQ180" s="3975"/>
    </row>
    <row r="181" spans="1:43" ht="42.75" x14ac:dyDescent="0.2">
      <c r="A181" s="1833"/>
      <c r="B181" s="1834"/>
      <c r="C181" s="1835"/>
      <c r="D181" s="1834"/>
      <c r="E181" s="1834"/>
      <c r="F181" s="1835"/>
      <c r="G181" s="1842"/>
      <c r="H181" s="1834"/>
      <c r="I181" s="1835"/>
      <c r="J181" s="3938"/>
      <c r="K181" s="3941"/>
      <c r="L181" s="3944"/>
      <c r="M181" s="3944"/>
      <c r="N181" s="3944"/>
      <c r="O181" s="3944"/>
      <c r="P181" s="3941"/>
      <c r="Q181" s="3966"/>
      <c r="R181" s="3969"/>
      <c r="S181" s="3941"/>
      <c r="T181" s="3941"/>
      <c r="U181" s="1918" t="s">
        <v>1683</v>
      </c>
      <c r="V181" s="1916">
        <v>2000000</v>
      </c>
      <c r="W181" s="1925">
        <v>61</v>
      </c>
      <c r="X181" s="3944"/>
      <c r="Y181" s="4067"/>
      <c r="Z181" s="3944"/>
      <c r="AA181" s="4007"/>
      <c r="AB181" s="4007"/>
      <c r="AC181" s="4007"/>
      <c r="AD181" s="4007"/>
      <c r="AE181" s="4007"/>
      <c r="AF181" s="4007"/>
      <c r="AG181" s="4007"/>
      <c r="AH181" s="4007"/>
      <c r="AI181" s="4007"/>
      <c r="AJ181" s="4007"/>
      <c r="AK181" s="4007"/>
      <c r="AL181" s="4007"/>
      <c r="AM181" s="4007"/>
      <c r="AN181" s="4007"/>
      <c r="AO181" s="3972"/>
      <c r="AP181" s="3972"/>
      <c r="AQ181" s="3975"/>
    </row>
    <row r="182" spans="1:43" ht="28.5" x14ac:dyDescent="0.2">
      <c r="A182" s="1833"/>
      <c r="B182" s="1834"/>
      <c r="C182" s="1835"/>
      <c r="D182" s="1834"/>
      <c r="E182" s="1834"/>
      <c r="F182" s="1835"/>
      <c r="G182" s="1842"/>
      <c r="H182" s="1834"/>
      <c r="I182" s="1835"/>
      <c r="J182" s="3939"/>
      <c r="K182" s="3942"/>
      <c r="L182" s="3945"/>
      <c r="M182" s="3945"/>
      <c r="N182" s="3944"/>
      <c r="O182" s="3944"/>
      <c r="P182" s="3941"/>
      <c r="Q182" s="3967"/>
      <c r="R182" s="3969"/>
      <c r="S182" s="3941"/>
      <c r="T182" s="3942"/>
      <c r="U182" s="1918" t="s">
        <v>1684</v>
      </c>
      <c r="V182" s="1916">
        <v>2000000</v>
      </c>
      <c r="W182" s="1925">
        <v>61</v>
      </c>
      <c r="X182" s="3944"/>
      <c r="Y182" s="4067"/>
      <c r="Z182" s="3944"/>
      <c r="AA182" s="4007"/>
      <c r="AB182" s="4007"/>
      <c r="AC182" s="4007"/>
      <c r="AD182" s="4007"/>
      <c r="AE182" s="4007"/>
      <c r="AF182" s="4007"/>
      <c r="AG182" s="4007"/>
      <c r="AH182" s="4007"/>
      <c r="AI182" s="4007"/>
      <c r="AJ182" s="4007"/>
      <c r="AK182" s="4007"/>
      <c r="AL182" s="4007"/>
      <c r="AM182" s="4007"/>
      <c r="AN182" s="4007"/>
      <c r="AO182" s="3972"/>
      <c r="AP182" s="3972"/>
      <c r="AQ182" s="3975"/>
    </row>
    <row r="183" spans="1:43" ht="34.5" customHeight="1" x14ac:dyDescent="0.2">
      <c r="A183" s="1833"/>
      <c r="B183" s="1834"/>
      <c r="C183" s="1835"/>
      <c r="D183" s="1834"/>
      <c r="E183" s="1834"/>
      <c r="F183" s="1835"/>
      <c r="G183" s="1842"/>
      <c r="H183" s="1834"/>
      <c r="I183" s="1835"/>
      <c r="J183" s="3937">
        <v>148</v>
      </c>
      <c r="K183" s="3940" t="s">
        <v>1685</v>
      </c>
      <c r="L183" s="3943" t="s">
        <v>1482</v>
      </c>
      <c r="M183" s="3943">
        <v>11</v>
      </c>
      <c r="N183" s="3944"/>
      <c r="O183" s="3944"/>
      <c r="P183" s="3941"/>
      <c r="Q183" s="3965">
        <f>SUM(V183:V187)/R179</f>
        <v>0.51724137931034486</v>
      </c>
      <c r="R183" s="3969"/>
      <c r="S183" s="3941"/>
      <c r="T183" s="3940" t="s">
        <v>1686</v>
      </c>
      <c r="U183" s="4051" t="s">
        <v>1687</v>
      </c>
      <c r="V183" s="1916">
        <v>7000000</v>
      </c>
      <c r="W183" s="1925">
        <v>61</v>
      </c>
      <c r="X183" s="3944"/>
      <c r="Y183" s="4067"/>
      <c r="Z183" s="3944"/>
      <c r="AA183" s="4007"/>
      <c r="AB183" s="4007"/>
      <c r="AC183" s="4007"/>
      <c r="AD183" s="4007"/>
      <c r="AE183" s="4007"/>
      <c r="AF183" s="4007"/>
      <c r="AG183" s="4007"/>
      <c r="AH183" s="4007"/>
      <c r="AI183" s="4007"/>
      <c r="AJ183" s="4007"/>
      <c r="AK183" s="4007"/>
      <c r="AL183" s="4007"/>
      <c r="AM183" s="4007"/>
      <c r="AN183" s="4007"/>
      <c r="AO183" s="3972"/>
      <c r="AP183" s="3972"/>
      <c r="AQ183" s="3975"/>
    </row>
    <row r="184" spans="1:43" ht="39" customHeight="1" x14ac:dyDescent="0.2">
      <c r="A184" s="1833"/>
      <c r="B184" s="1834"/>
      <c r="C184" s="1835"/>
      <c r="D184" s="1834"/>
      <c r="E184" s="1834"/>
      <c r="F184" s="1835"/>
      <c r="G184" s="1842"/>
      <c r="H184" s="1834"/>
      <c r="I184" s="1835"/>
      <c r="J184" s="3938"/>
      <c r="K184" s="3941"/>
      <c r="L184" s="3944"/>
      <c r="M184" s="3944"/>
      <c r="N184" s="3944"/>
      <c r="O184" s="3944"/>
      <c r="P184" s="3941"/>
      <c r="Q184" s="3966"/>
      <c r="R184" s="3969"/>
      <c r="S184" s="3941"/>
      <c r="T184" s="3941"/>
      <c r="U184" s="4037"/>
      <c r="V184" s="1916">
        <v>5000000</v>
      </c>
      <c r="W184" s="1925">
        <v>98</v>
      </c>
      <c r="X184" s="3944"/>
      <c r="Y184" s="4067"/>
      <c r="Z184" s="3944"/>
      <c r="AA184" s="4007"/>
      <c r="AB184" s="4007"/>
      <c r="AC184" s="4007"/>
      <c r="AD184" s="4007"/>
      <c r="AE184" s="4007"/>
      <c r="AF184" s="4007"/>
      <c r="AG184" s="4007"/>
      <c r="AH184" s="4007"/>
      <c r="AI184" s="4007"/>
      <c r="AJ184" s="4007"/>
      <c r="AK184" s="4007"/>
      <c r="AL184" s="4007"/>
      <c r="AM184" s="4007"/>
      <c r="AN184" s="4007"/>
      <c r="AO184" s="3972"/>
      <c r="AP184" s="3972"/>
      <c r="AQ184" s="3975"/>
    </row>
    <row r="185" spans="1:43" ht="28.5" x14ac:dyDescent="0.2">
      <c r="A185" s="1833"/>
      <c r="B185" s="1834"/>
      <c r="C185" s="1835"/>
      <c r="D185" s="1834"/>
      <c r="E185" s="1834"/>
      <c r="F185" s="1835"/>
      <c r="G185" s="1842"/>
      <c r="H185" s="1834"/>
      <c r="I185" s="1835"/>
      <c r="J185" s="3938"/>
      <c r="K185" s="3941"/>
      <c r="L185" s="3944"/>
      <c r="M185" s="3944"/>
      <c r="N185" s="3944"/>
      <c r="O185" s="3944"/>
      <c r="P185" s="3941"/>
      <c r="Q185" s="3966"/>
      <c r="R185" s="3969"/>
      <c r="S185" s="3941"/>
      <c r="T185" s="3941"/>
      <c r="U185" s="1918" t="s">
        <v>1688</v>
      </c>
      <c r="V185" s="1916">
        <v>1000000</v>
      </c>
      <c r="W185" s="1840">
        <v>61</v>
      </c>
      <c r="X185" s="3944"/>
      <c r="Y185" s="4067"/>
      <c r="Z185" s="3944"/>
      <c r="AA185" s="4007"/>
      <c r="AB185" s="4007"/>
      <c r="AC185" s="4007"/>
      <c r="AD185" s="4007"/>
      <c r="AE185" s="4007"/>
      <c r="AF185" s="4007"/>
      <c r="AG185" s="4007"/>
      <c r="AH185" s="4007"/>
      <c r="AI185" s="4007"/>
      <c r="AJ185" s="4007"/>
      <c r="AK185" s="4007"/>
      <c r="AL185" s="4007"/>
      <c r="AM185" s="4007"/>
      <c r="AN185" s="4007"/>
      <c r="AO185" s="3972"/>
      <c r="AP185" s="3972"/>
      <c r="AQ185" s="3975"/>
    </row>
    <row r="186" spans="1:43" ht="42.75" x14ac:dyDescent="0.2">
      <c r="A186" s="1833"/>
      <c r="B186" s="1834"/>
      <c r="C186" s="1835"/>
      <c r="D186" s="1834"/>
      <c r="E186" s="1834"/>
      <c r="F186" s="1835"/>
      <c r="G186" s="1842"/>
      <c r="H186" s="1834"/>
      <c r="I186" s="1835"/>
      <c r="J186" s="3938"/>
      <c r="K186" s="3941"/>
      <c r="L186" s="3944"/>
      <c r="M186" s="3944"/>
      <c r="N186" s="3944"/>
      <c r="O186" s="3944"/>
      <c r="P186" s="3941"/>
      <c r="Q186" s="3966"/>
      <c r="R186" s="3969"/>
      <c r="S186" s="3941"/>
      <c r="T186" s="3941"/>
      <c r="U186" s="1918" t="s">
        <v>1689</v>
      </c>
      <c r="V186" s="1916">
        <v>1000000</v>
      </c>
      <c r="W186" s="1840">
        <v>61</v>
      </c>
      <c r="X186" s="3944"/>
      <c r="Y186" s="4067"/>
      <c r="Z186" s="3944"/>
      <c r="AA186" s="4007"/>
      <c r="AB186" s="4007"/>
      <c r="AC186" s="4007"/>
      <c r="AD186" s="4007"/>
      <c r="AE186" s="4007"/>
      <c r="AF186" s="4007"/>
      <c r="AG186" s="4007"/>
      <c r="AH186" s="4007"/>
      <c r="AI186" s="4007"/>
      <c r="AJ186" s="4007"/>
      <c r="AK186" s="4007"/>
      <c r="AL186" s="4007"/>
      <c r="AM186" s="4007"/>
      <c r="AN186" s="4007"/>
      <c r="AO186" s="3972"/>
      <c r="AP186" s="3972"/>
      <c r="AQ186" s="3975"/>
    </row>
    <row r="187" spans="1:43" ht="42.75" x14ac:dyDescent="0.2">
      <c r="A187" s="1833"/>
      <c r="B187" s="1834"/>
      <c r="C187" s="1835"/>
      <c r="D187" s="1834"/>
      <c r="E187" s="1834"/>
      <c r="F187" s="1835"/>
      <c r="G187" s="1846"/>
      <c r="H187" s="1844"/>
      <c r="I187" s="1845"/>
      <c r="J187" s="3939"/>
      <c r="K187" s="3942"/>
      <c r="L187" s="3945"/>
      <c r="M187" s="3945"/>
      <c r="N187" s="3945"/>
      <c r="O187" s="3945"/>
      <c r="P187" s="3942"/>
      <c r="Q187" s="3967"/>
      <c r="R187" s="3970"/>
      <c r="S187" s="3942"/>
      <c r="T187" s="3942"/>
      <c r="U187" s="1918" t="s">
        <v>1690</v>
      </c>
      <c r="V187" s="1916">
        <v>1000000</v>
      </c>
      <c r="W187" s="1840">
        <v>61</v>
      </c>
      <c r="X187" s="3945"/>
      <c r="Y187" s="4068"/>
      <c r="Z187" s="3945"/>
      <c r="AA187" s="4008"/>
      <c r="AB187" s="4008"/>
      <c r="AC187" s="4008"/>
      <c r="AD187" s="4008"/>
      <c r="AE187" s="4008"/>
      <c r="AF187" s="4008"/>
      <c r="AG187" s="4008"/>
      <c r="AH187" s="4008"/>
      <c r="AI187" s="4008"/>
      <c r="AJ187" s="4008"/>
      <c r="AK187" s="4008"/>
      <c r="AL187" s="4008"/>
      <c r="AM187" s="4008"/>
      <c r="AN187" s="4008"/>
      <c r="AO187" s="3973"/>
      <c r="AP187" s="3973"/>
      <c r="AQ187" s="3976"/>
    </row>
    <row r="188" spans="1:43" ht="36" customHeight="1" x14ac:dyDescent="0.2">
      <c r="A188" s="1819"/>
      <c r="B188" s="1820"/>
      <c r="C188" s="1821"/>
      <c r="D188" s="1820"/>
      <c r="E188" s="1820"/>
      <c r="F188" s="1821"/>
      <c r="G188" s="1854">
        <v>42</v>
      </c>
      <c r="H188" s="1825" t="s">
        <v>1691</v>
      </c>
      <c r="I188" s="1825"/>
      <c r="J188" s="1825"/>
      <c r="K188" s="1826"/>
      <c r="L188" s="1825"/>
      <c r="M188" s="1825"/>
      <c r="N188" s="1827"/>
      <c r="O188" s="1825"/>
      <c r="P188" s="1826"/>
      <c r="Q188" s="1825"/>
      <c r="R188" s="1855"/>
      <c r="S188" s="1826"/>
      <c r="T188" s="1826"/>
      <c r="U188" s="1826"/>
      <c r="V188" s="1926"/>
      <c r="W188" s="1927"/>
      <c r="X188" s="1928"/>
      <c r="Y188" s="1827"/>
      <c r="Z188" s="1827"/>
      <c r="AA188" s="1827"/>
      <c r="AB188" s="1827"/>
      <c r="AC188" s="1827"/>
      <c r="AD188" s="1827"/>
      <c r="AE188" s="1827"/>
      <c r="AF188" s="1827"/>
      <c r="AG188" s="1827"/>
      <c r="AH188" s="1827"/>
      <c r="AI188" s="1827"/>
      <c r="AJ188" s="1827"/>
      <c r="AK188" s="1827"/>
      <c r="AL188" s="1827"/>
      <c r="AM188" s="1827"/>
      <c r="AN188" s="1827"/>
      <c r="AO188" s="1825"/>
      <c r="AP188" s="1825"/>
      <c r="AQ188" s="1832"/>
    </row>
    <row r="189" spans="1:43" ht="81" customHeight="1" x14ac:dyDescent="0.2">
      <c r="A189" s="1833"/>
      <c r="B189" s="1834"/>
      <c r="C189" s="1835"/>
      <c r="D189" s="1834"/>
      <c r="E189" s="1834"/>
      <c r="F189" s="1835"/>
      <c r="G189" s="1836"/>
      <c r="H189" s="1837"/>
      <c r="I189" s="1838"/>
      <c r="J189" s="3937">
        <v>149</v>
      </c>
      <c r="K189" s="3940" t="s">
        <v>1692</v>
      </c>
      <c r="L189" s="3943" t="s">
        <v>1482</v>
      </c>
      <c r="M189" s="3943">
        <v>8</v>
      </c>
      <c r="N189" s="3943" t="s">
        <v>1693</v>
      </c>
      <c r="O189" s="3943" t="s">
        <v>1694</v>
      </c>
      <c r="P189" s="3940" t="s">
        <v>1695</v>
      </c>
      <c r="Q189" s="3965">
        <f>SUM(V189:V194)/R189</f>
        <v>0.63157894736842102</v>
      </c>
      <c r="R189" s="3968">
        <f>SUM(V189:V199)</f>
        <v>76000000</v>
      </c>
      <c r="S189" s="3940" t="s">
        <v>1696</v>
      </c>
      <c r="T189" s="3940" t="s">
        <v>1697</v>
      </c>
      <c r="U189" s="1918" t="s">
        <v>1698</v>
      </c>
      <c r="V189" s="1914">
        <v>8000000</v>
      </c>
      <c r="W189" s="1840">
        <v>61</v>
      </c>
      <c r="X189" s="3943" t="s">
        <v>1699</v>
      </c>
      <c r="Y189" s="3943">
        <v>292684</v>
      </c>
      <c r="Z189" s="3943">
        <v>282326</v>
      </c>
      <c r="AA189" s="3943">
        <v>135912</v>
      </c>
      <c r="AB189" s="3943">
        <v>45122</v>
      </c>
      <c r="AC189" s="3943">
        <v>307101</v>
      </c>
      <c r="AD189" s="3943">
        <v>86875</v>
      </c>
      <c r="AE189" s="3943">
        <v>2145</v>
      </c>
      <c r="AF189" s="3943">
        <v>12718</v>
      </c>
      <c r="AG189" s="3943">
        <v>26</v>
      </c>
      <c r="AH189" s="3943">
        <v>37</v>
      </c>
      <c r="AI189" s="3943" t="s">
        <v>1489</v>
      </c>
      <c r="AJ189" s="3943" t="s">
        <v>1489</v>
      </c>
      <c r="AK189" s="3943">
        <v>53164</v>
      </c>
      <c r="AL189" s="3943">
        <v>16982</v>
      </c>
      <c r="AM189" s="3943">
        <v>60013</v>
      </c>
      <c r="AN189" s="3943">
        <v>575010</v>
      </c>
      <c r="AO189" s="3971">
        <v>43467</v>
      </c>
      <c r="AP189" s="3971">
        <v>43830</v>
      </c>
      <c r="AQ189" s="3974" t="s">
        <v>1490</v>
      </c>
    </row>
    <row r="190" spans="1:43" ht="42.75" x14ac:dyDescent="0.2">
      <c r="A190" s="1833"/>
      <c r="B190" s="1834"/>
      <c r="C190" s="1835"/>
      <c r="D190" s="1834"/>
      <c r="E190" s="1834"/>
      <c r="F190" s="1835"/>
      <c r="G190" s="1842"/>
      <c r="H190" s="1834"/>
      <c r="I190" s="1835"/>
      <c r="J190" s="3938"/>
      <c r="K190" s="3941"/>
      <c r="L190" s="3944"/>
      <c r="M190" s="3944"/>
      <c r="N190" s="3944"/>
      <c r="O190" s="3944"/>
      <c r="P190" s="3941"/>
      <c r="Q190" s="3966"/>
      <c r="R190" s="3969"/>
      <c r="S190" s="3941"/>
      <c r="T190" s="3941"/>
      <c r="U190" s="1918" t="s">
        <v>1700</v>
      </c>
      <c r="V190" s="1914">
        <v>8000000</v>
      </c>
      <c r="W190" s="1840">
        <v>61</v>
      </c>
      <c r="X190" s="3944"/>
      <c r="Y190" s="3944"/>
      <c r="Z190" s="3944"/>
      <c r="AA190" s="3944"/>
      <c r="AB190" s="3944"/>
      <c r="AC190" s="3944"/>
      <c r="AD190" s="3944"/>
      <c r="AE190" s="3944"/>
      <c r="AF190" s="3944"/>
      <c r="AG190" s="3944"/>
      <c r="AH190" s="3944"/>
      <c r="AI190" s="3944"/>
      <c r="AJ190" s="3944"/>
      <c r="AK190" s="3944"/>
      <c r="AL190" s="3944"/>
      <c r="AM190" s="3944"/>
      <c r="AN190" s="3944"/>
      <c r="AO190" s="3972"/>
      <c r="AP190" s="3972"/>
      <c r="AQ190" s="3975"/>
    </row>
    <row r="191" spans="1:43" ht="42.75" x14ac:dyDescent="0.2">
      <c r="A191" s="1833"/>
      <c r="B191" s="1834"/>
      <c r="C191" s="1835"/>
      <c r="D191" s="1834"/>
      <c r="E191" s="1834"/>
      <c r="F191" s="1835"/>
      <c r="G191" s="1842"/>
      <c r="H191" s="1834"/>
      <c r="I191" s="1835"/>
      <c r="J191" s="3938"/>
      <c r="K191" s="3941"/>
      <c r="L191" s="3944"/>
      <c r="M191" s="3944"/>
      <c r="N191" s="3944"/>
      <c r="O191" s="3944"/>
      <c r="P191" s="3941"/>
      <c r="Q191" s="3966"/>
      <c r="R191" s="3969"/>
      <c r="S191" s="3941"/>
      <c r="T191" s="3941"/>
      <c r="U191" s="1918" t="s">
        <v>1701</v>
      </c>
      <c r="V191" s="1914">
        <v>8000000</v>
      </c>
      <c r="W191" s="1840">
        <v>61</v>
      </c>
      <c r="X191" s="3944"/>
      <c r="Y191" s="3944"/>
      <c r="Z191" s="3944"/>
      <c r="AA191" s="3944"/>
      <c r="AB191" s="3944"/>
      <c r="AC191" s="3944"/>
      <c r="AD191" s="3944"/>
      <c r="AE191" s="3944"/>
      <c r="AF191" s="3944"/>
      <c r="AG191" s="3944"/>
      <c r="AH191" s="3944"/>
      <c r="AI191" s="3944"/>
      <c r="AJ191" s="3944"/>
      <c r="AK191" s="3944"/>
      <c r="AL191" s="3944"/>
      <c r="AM191" s="3944"/>
      <c r="AN191" s="3944"/>
      <c r="AO191" s="3972"/>
      <c r="AP191" s="3972"/>
      <c r="AQ191" s="3975"/>
    </row>
    <row r="192" spans="1:43" ht="42.75" x14ac:dyDescent="0.2">
      <c r="A192" s="1833"/>
      <c r="B192" s="1834"/>
      <c r="C192" s="1835"/>
      <c r="D192" s="1834"/>
      <c r="E192" s="1834"/>
      <c r="F192" s="1835"/>
      <c r="G192" s="1842"/>
      <c r="H192" s="1834"/>
      <c r="I192" s="1835"/>
      <c r="J192" s="3938"/>
      <c r="K192" s="3941"/>
      <c r="L192" s="3944"/>
      <c r="M192" s="3944"/>
      <c r="N192" s="3944"/>
      <c r="O192" s="3944"/>
      <c r="P192" s="3941"/>
      <c r="Q192" s="3966"/>
      <c r="R192" s="3969"/>
      <c r="S192" s="3941"/>
      <c r="T192" s="3941"/>
      <c r="U192" s="1918" t="s">
        <v>1702</v>
      </c>
      <c r="V192" s="1914">
        <v>8000000</v>
      </c>
      <c r="W192" s="1840">
        <v>61</v>
      </c>
      <c r="X192" s="3944"/>
      <c r="Y192" s="3944"/>
      <c r="Z192" s="3944"/>
      <c r="AA192" s="3944"/>
      <c r="AB192" s="3944"/>
      <c r="AC192" s="3944"/>
      <c r="AD192" s="3944"/>
      <c r="AE192" s="3944"/>
      <c r="AF192" s="3944"/>
      <c r="AG192" s="3944"/>
      <c r="AH192" s="3944"/>
      <c r="AI192" s="3944"/>
      <c r="AJ192" s="3944"/>
      <c r="AK192" s="3944"/>
      <c r="AL192" s="3944"/>
      <c r="AM192" s="3944"/>
      <c r="AN192" s="3944"/>
      <c r="AO192" s="3972"/>
      <c r="AP192" s="3972"/>
      <c r="AQ192" s="3975"/>
    </row>
    <row r="193" spans="1:43" ht="42.75" x14ac:dyDescent="0.2">
      <c r="A193" s="1833"/>
      <c r="B193" s="1834"/>
      <c r="C193" s="1835"/>
      <c r="D193" s="1834"/>
      <c r="E193" s="1834"/>
      <c r="F193" s="1835"/>
      <c r="G193" s="1842"/>
      <c r="H193" s="1834"/>
      <c r="I193" s="1835"/>
      <c r="J193" s="3938"/>
      <c r="K193" s="3941"/>
      <c r="L193" s="3944"/>
      <c r="M193" s="3944"/>
      <c r="N193" s="3944"/>
      <c r="O193" s="3944"/>
      <c r="P193" s="3941"/>
      <c r="Q193" s="3966"/>
      <c r="R193" s="3969"/>
      <c r="S193" s="3941"/>
      <c r="T193" s="3941"/>
      <c r="U193" s="1918" t="s">
        <v>1703</v>
      </c>
      <c r="V193" s="1914">
        <v>8000000</v>
      </c>
      <c r="W193" s="1840">
        <v>61</v>
      </c>
      <c r="X193" s="3944"/>
      <c r="Y193" s="3944"/>
      <c r="Z193" s="3944"/>
      <c r="AA193" s="3944"/>
      <c r="AB193" s="3944"/>
      <c r="AC193" s="3944"/>
      <c r="AD193" s="3944"/>
      <c r="AE193" s="3944"/>
      <c r="AF193" s="3944"/>
      <c r="AG193" s="3944"/>
      <c r="AH193" s="3944"/>
      <c r="AI193" s="3944"/>
      <c r="AJ193" s="3944"/>
      <c r="AK193" s="3944"/>
      <c r="AL193" s="3944"/>
      <c r="AM193" s="3944"/>
      <c r="AN193" s="3944"/>
      <c r="AO193" s="3972"/>
      <c r="AP193" s="3972"/>
      <c r="AQ193" s="3975"/>
    </row>
    <row r="194" spans="1:43" ht="67.5" customHeight="1" x14ac:dyDescent="0.2">
      <c r="A194" s="1833"/>
      <c r="B194" s="1834"/>
      <c r="C194" s="1835"/>
      <c r="D194" s="1834"/>
      <c r="E194" s="1834"/>
      <c r="F194" s="1835"/>
      <c r="G194" s="1842"/>
      <c r="H194" s="1834"/>
      <c r="I194" s="1835"/>
      <c r="J194" s="3939"/>
      <c r="K194" s="3942"/>
      <c r="L194" s="3945"/>
      <c r="M194" s="3945"/>
      <c r="N194" s="3944"/>
      <c r="O194" s="3944"/>
      <c r="P194" s="3941"/>
      <c r="Q194" s="3967"/>
      <c r="R194" s="3969"/>
      <c r="S194" s="3941"/>
      <c r="T194" s="3942"/>
      <c r="U194" s="1918" t="s">
        <v>1704</v>
      </c>
      <c r="V194" s="1914">
        <v>8000000</v>
      </c>
      <c r="W194" s="1840">
        <v>61</v>
      </c>
      <c r="X194" s="3944"/>
      <c r="Y194" s="3944"/>
      <c r="Z194" s="3944"/>
      <c r="AA194" s="3944"/>
      <c r="AB194" s="3944"/>
      <c r="AC194" s="3944"/>
      <c r="AD194" s="3944"/>
      <c r="AE194" s="3944"/>
      <c r="AF194" s="3944"/>
      <c r="AG194" s="3944"/>
      <c r="AH194" s="3944"/>
      <c r="AI194" s="3944"/>
      <c r="AJ194" s="3944"/>
      <c r="AK194" s="3944"/>
      <c r="AL194" s="3944"/>
      <c r="AM194" s="3944"/>
      <c r="AN194" s="3944"/>
      <c r="AO194" s="3972"/>
      <c r="AP194" s="3972"/>
      <c r="AQ194" s="3975"/>
    </row>
    <row r="195" spans="1:43" ht="42.75" x14ac:dyDescent="0.2">
      <c r="A195" s="1833"/>
      <c r="B195" s="1834"/>
      <c r="C195" s="1835"/>
      <c r="D195" s="1834"/>
      <c r="E195" s="1834"/>
      <c r="F195" s="1835"/>
      <c r="G195" s="1842"/>
      <c r="H195" s="1834"/>
      <c r="I195" s="1835"/>
      <c r="J195" s="3937">
        <v>150</v>
      </c>
      <c r="K195" s="3940" t="s">
        <v>1705</v>
      </c>
      <c r="L195" s="3943" t="s">
        <v>1482</v>
      </c>
      <c r="M195" s="3943">
        <v>14</v>
      </c>
      <c r="N195" s="3944"/>
      <c r="O195" s="3944"/>
      <c r="P195" s="3941"/>
      <c r="Q195" s="3965">
        <f>(V195+V198+V199+V196+V197)/R189</f>
        <v>0.36842105263157893</v>
      </c>
      <c r="R195" s="3969"/>
      <c r="S195" s="3941"/>
      <c r="T195" s="3940" t="s">
        <v>1706</v>
      </c>
      <c r="U195" s="1918" t="s">
        <v>1707</v>
      </c>
      <c r="V195" s="1914">
        <v>5000000</v>
      </c>
      <c r="W195" s="1840">
        <v>61</v>
      </c>
      <c r="X195" s="3944"/>
      <c r="Y195" s="3944"/>
      <c r="Z195" s="3944"/>
      <c r="AA195" s="3944"/>
      <c r="AB195" s="3944"/>
      <c r="AC195" s="3944"/>
      <c r="AD195" s="3944"/>
      <c r="AE195" s="3944"/>
      <c r="AF195" s="3944"/>
      <c r="AG195" s="3944"/>
      <c r="AH195" s="3944"/>
      <c r="AI195" s="3944"/>
      <c r="AJ195" s="3944"/>
      <c r="AK195" s="3944"/>
      <c r="AL195" s="3944"/>
      <c r="AM195" s="3944"/>
      <c r="AN195" s="3944"/>
      <c r="AO195" s="3972"/>
      <c r="AP195" s="3972"/>
      <c r="AQ195" s="3975"/>
    </row>
    <row r="196" spans="1:43" ht="42.75" x14ac:dyDescent="0.2">
      <c r="A196" s="1833"/>
      <c r="B196" s="1834"/>
      <c r="C196" s="1835"/>
      <c r="D196" s="1834"/>
      <c r="E196" s="1834"/>
      <c r="F196" s="1835"/>
      <c r="G196" s="1842"/>
      <c r="H196" s="1834"/>
      <c r="I196" s="1835"/>
      <c r="J196" s="3938"/>
      <c r="K196" s="3941"/>
      <c r="L196" s="3944"/>
      <c r="M196" s="3944"/>
      <c r="N196" s="3944"/>
      <c r="O196" s="3944"/>
      <c r="P196" s="3941"/>
      <c r="Q196" s="3966"/>
      <c r="R196" s="3969"/>
      <c r="S196" s="3941"/>
      <c r="T196" s="3941"/>
      <c r="U196" s="1918" t="s">
        <v>1708</v>
      </c>
      <c r="V196" s="1914">
        <v>5000000</v>
      </c>
      <c r="W196" s="1840">
        <v>61</v>
      </c>
      <c r="X196" s="3944"/>
      <c r="Y196" s="3944"/>
      <c r="Z196" s="3944"/>
      <c r="AA196" s="3944"/>
      <c r="AB196" s="3944"/>
      <c r="AC196" s="3944"/>
      <c r="AD196" s="3944"/>
      <c r="AE196" s="3944"/>
      <c r="AF196" s="3944"/>
      <c r="AG196" s="3944"/>
      <c r="AH196" s="3944"/>
      <c r="AI196" s="3944"/>
      <c r="AJ196" s="3944"/>
      <c r="AK196" s="3944"/>
      <c r="AL196" s="3944"/>
      <c r="AM196" s="3944"/>
      <c r="AN196" s="3944"/>
      <c r="AO196" s="3972"/>
      <c r="AP196" s="3972"/>
      <c r="AQ196" s="3975"/>
    </row>
    <row r="197" spans="1:43" ht="57" x14ac:dyDescent="0.2">
      <c r="A197" s="1833"/>
      <c r="B197" s="1834"/>
      <c r="C197" s="1835"/>
      <c r="D197" s="1834"/>
      <c r="E197" s="1834"/>
      <c r="F197" s="1835"/>
      <c r="G197" s="1842"/>
      <c r="H197" s="1834"/>
      <c r="I197" s="1835"/>
      <c r="J197" s="3938"/>
      <c r="K197" s="3941"/>
      <c r="L197" s="3944"/>
      <c r="M197" s="3944"/>
      <c r="N197" s="3944"/>
      <c r="O197" s="3944"/>
      <c r="P197" s="3941"/>
      <c r="Q197" s="3966"/>
      <c r="R197" s="3969"/>
      <c r="S197" s="3941"/>
      <c r="T197" s="3941"/>
      <c r="U197" s="1918" t="s">
        <v>1709</v>
      </c>
      <c r="V197" s="1914">
        <v>5000000</v>
      </c>
      <c r="W197" s="1840">
        <v>61</v>
      </c>
      <c r="X197" s="3944"/>
      <c r="Y197" s="3944"/>
      <c r="Z197" s="3944"/>
      <c r="AA197" s="3944"/>
      <c r="AB197" s="3944"/>
      <c r="AC197" s="3944"/>
      <c r="AD197" s="3944"/>
      <c r="AE197" s="3944"/>
      <c r="AF197" s="3944"/>
      <c r="AG197" s="3944"/>
      <c r="AH197" s="3944"/>
      <c r="AI197" s="3944"/>
      <c r="AJ197" s="3944"/>
      <c r="AK197" s="3944"/>
      <c r="AL197" s="3944"/>
      <c r="AM197" s="3944"/>
      <c r="AN197" s="3944"/>
      <c r="AO197" s="3972"/>
      <c r="AP197" s="3972"/>
      <c r="AQ197" s="3975"/>
    </row>
    <row r="198" spans="1:43" ht="58.5" customHeight="1" x14ac:dyDescent="0.2">
      <c r="A198" s="1833"/>
      <c r="B198" s="1834"/>
      <c r="C198" s="1835"/>
      <c r="D198" s="1834"/>
      <c r="E198" s="1834"/>
      <c r="F198" s="1835"/>
      <c r="G198" s="1842"/>
      <c r="H198" s="1834"/>
      <c r="I198" s="1835"/>
      <c r="J198" s="3938"/>
      <c r="K198" s="3941"/>
      <c r="L198" s="3944"/>
      <c r="M198" s="3944"/>
      <c r="N198" s="3944"/>
      <c r="O198" s="3944"/>
      <c r="P198" s="3941"/>
      <c r="Q198" s="3966"/>
      <c r="R198" s="3969"/>
      <c r="S198" s="3941"/>
      <c r="T198" s="3941"/>
      <c r="U198" s="1918" t="s">
        <v>1710</v>
      </c>
      <c r="V198" s="1914">
        <v>5000000</v>
      </c>
      <c r="W198" s="1840">
        <v>61</v>
      </c>
      <c r="X198" s="3944"/>
      <c r="Y198" s="3944"/>
      <c r="Z198" s="3944"/>
      <c r="AA198" s="3944"/>
      <c r="AB198" s="3944"/>
      <c r="AC198" s="3944"/>
      <c r="AD198" s="3944"/>
      <c r="AE198" s="3944"/>
      <c r="AF198" s="3944"/>
      <c r="AG198" s="3944"/>
      <c r="AH198" s="3944"/>
      <c r="AI198" s="3944"/>
      <c r="AJ198" s="3944"/>
      <c r="AK198" s="3944"/>
      <c r="AL198" s="3944"/>
      <c r="AM198" s="3944"/>
      <c r="AN198" s="3944"/>
      <c r="AO198" s="3972"/>
      <c r="AP198" s="3972"/>
      <c r="AQ198" s="3975"/>
    </row>
    <row r="199" spans="1:43" ht="28.5" x14ac:dyDescent="0.2">
      <c r="A199" s="1833"/>
      <c r="B199" s="1834"/>
      <c r="C199" s="1835"/>
      <c r="D199" s="1834"/>
      <c r="E199" s="1834"/>
      <c r="F199" s="1835"/>
      <c r="G199" s="1846"/>
      <c r="H199" s="1844"/>
      <c r="I199" s="1845"/>
      <c r="J199" s="3939"/>
      <c r="K199" s="3942"/>
      <c r="L199" s="3945"/>
      <c r="M199" s="3945"/>
      <c r="N199" s="3945"/>
      <c r="O199" s="3945"/>
      <c r="P199" s="3942"/>
      <c r="Q199" s="3967"/>
      <c r="R199" s="3970"/>
      <c r="S199" s="3942"/>
      <c r="T199" s="3942"/>
      <c r="U199" s="1918" t="s">
        <v>1711</v>
      </c>
      <c r="V199" s="1914">
        <v>8000000</v>
      </c>
      <c r="W199" s="1840">
        <v>61</v>
      </c>
      <c r="X199" s="3945"/>
      <c r="Y199" s="3945"/>
      <c r="Z199" s="3945"/>
      <c r="AA199" s="3945"/>
      <c r="AB199" s="3945"/>
      <c r="AC199" s="3945"/>
      <c r="AD199" s="3945"/>
      <c r="AE199" s="3945"/>
      <c r="AF199" s="3945"/>
      <c r="AG199" s="3945"/>
      <c r="AH199" s="3945"/>
      <c r="AI199" s="3945"/>
      <c r="AJ199" s="3945"/>
      <c r="AK199" s="3945"/>
      <c r="AL199" s="3945"/>
      <c r="AM199" s="3945"/>
      <c r="AN199" s="3945"/>
      <c r="AO199" s="3973"/>
      <c r="AP199" s="3973"/>
      <c r="AQ199" s="3976"/>
    </row>
    <row r="200" spans="1:43" ht="36" customHeight="1" x14ac:dyDescent="0.2">
      <c r="A200" s="1819"/>
      <c r="B200" s="1820"/>
      <c r="C200" s="1821"/>
      <c r="D200" s="1820"/>
      <c r="E200" s="1820"/>
      <c r="F200" s="1821"/>
      <c r="G200" s="1854">
        <v>43</v>
      </c>
      <c r="H200" s="1825" t="s">
        <v>1712</v>
      </c>
      <c r="I200" s="1825"/>
      <c r="J200" s="1825"/>
      <c r="K200" s="1826"/>
      <c r="L200" s="1825"/>
      <c r="M200" s="1825"/>
      <c r="N200" s="1827"/>
      <c r="O200" s="1825"/>
      <c r="P200" s="1826"/>
      <c r="Q200" s="1825"/>
      <c r="R200" s="1855"/>
      <c r="S200" s="1826"/>
      <c r="T200" s="1826"/>
      <c r="U200" s="1826"/>
      <c r="V200" s="1926"/>
      <c r="W200" s="1927"/>
      <c r="X200" s="1928"/>
      <c r="Y200" s="1827"/>
      <c r="Z200" s="1827"/>
      <c r="AA200" s="1827"/>
      <c r="AB200" s="1827"/>
      <c r="AC200" s="1827"/>
      <c r="AD200" s="1827"/>
      <c r="AE200" s="1827"/>
      <c r="AF200" s="1827"/>
      <c r="AG200" s="1827"/>
      <c r="AH200" s="1827"/>
      <c r="AI200" s="1827"/>
      <c r="AJ200" s="1827"/>
      <c r="AK200" s="1827"/>
      <c r="AL200" s="1827"/>
      <c r="AM200" s="1827"/>
      <c r="AN200" s="1827"/>
      <c r="AO200" s="1825"/>
      <c r="AP200" s="1825"/>
      <c r="AQ200" s="1832"/>
    </row>
    <row r="201" spans="1:43" ht="81.75" customHeight="1" x14ac:dyDescent="0.2">
      <c r="A201" s="1859"/>
      <c r="B201" s="1860"/>
      <c r="C201" s="1861"/>
      <c r="D201" s="1860"/>
      <c r="E201" s="1860"/>
      <c r="F201" s="1861"/>
      <c r="G201" s="1862"/>
      <c r="H201" s="1863"/>
      <c r="I201" s="1864"/>
      <c r="J201" s="3937">
        <v>151</v>
      </c>
      <c r="K201" s="4020" t="s">
        <v>1713</v>
      </c>
      <c r="L201" s="4070" t="s">
        <v>1482</v>
      </c>
      <c r="M201" s="4070">
        <v>12</v>
      </c>
      <c r="N201" s="1929"/>
      <c r="O201" s="3943" t="s">
        <v>1714</v>
      </c>
      <c r="P201" s="3940" t="s">
        <v>1715</v>
      </c>
      <c r="Q201" s="3965">
        <f>SUM(V201:V205)/R201</f>
        <v>7.1805462249808105E-2</v>
      </c>
      <c r="R201" s="3968">
        <f>SUM(V201:V215)</f>
        <v>1615475987</v>
      </c>
      <c r="S201" s="3940" t="s">
        <v>1716</v>
      </c>
      <c r="T201" s="3940" t="s">
        <v>1717</v>
      </c>
      <c r="U201" s="1918" t="s">
        <v>1718</v>
      </c>
      <c r="V201" s="1916">
        <v>15000000</v>
      </c>
      <c r="W201" s="1840">
        <v>61</v>
      </c>
      <c r="X201" s="3943" t="s">
        <v>1719</v>
      </c>
      <c r="Y201" s="3952">
        <v>292684</v>
      </c>
      <c r="Z201" s="3952">
        <v>282326</v>
      </c>
      <c r="AA201" s="3952">
        <v>135912</v>
      </c>
      <c r="AB201" s="3952">
        <v>45122</v>
      </c>
      <c r="AC201" s="3952">
        <v>307101</v>
      </c>
      <c r="AD201" s="3952">
        <v>86875</v>
      </c>
      <c r="AE201" s="3952">
        <v>2145</v>
      </c>
      <c r="AF201" s="3952">
        <v>12718</v>
      </c>
      <c r="AG201" s="3952">
        <v>26</v>
      </c>
      <c r="AH201" s="3952">
        <v>37</v>
      </c>
      <c r="AI201" s="3952" t="s">
        <v>1489</v>
      </c>
      <c r="AJ201" s="3952" t="s">
        <v>1489</v>
      </c>
      <c r="AK201" s="3952">
        <v>53164</v>
      </c>
      <c r="AL201" s="3952">
        <v>16982</v>
      </c>
      <c r="AM201" s="3952">
        <v>60013</v>
      </c>
      <c r="AN201" s="3952">
        <v>575010</v>
      </c>
      <c r="AO201" s="4075">
        <f>+AO189</f>
        <v>43467</v>
      </c>
      <c r="AP201" s="4075">
        <v>43830</v>
      </c>
      <c r="AQ201" s="3974" t="s">
        <v>1490</v>
      </c>
    </row>
    <row r="202" spans="1:43" ht="29.25" customHeight="1" x14ac:dyDescent="0.2">
      <c r="A202" s="1859"/>
      <c r="B202" s="1860"/>
      <c r="C202" s="1861"/>
      <c r="D202" s="1860"/>
      <c r="E202" s="1860"/>
      <c r="F202" s="1861"/>
      <c r="G202" s="1866"/>
      <c r="H202" s="1860"/>
      <c r="I202" s="1861"/>
      <c r="J202" s="3938"/>
      <c r="K202" s="4021"/>
      <c r="L202" s="4070"/>
      <c r="M202" s="4070"/>
      <c r="N202" s="1930"/>
      <c r="O202" s="3944"/>
      <c r="P202" s="3941"/>
      <c r="Q202" s="3966"/>
      <c r="R202" s="3969"/>
      <c r="S202" s="3941"/>
      <c r="T202" s="3941"/>
      <c r="U202" s="4051" t="s">
        <v>1720</v>
      </c>
      <c r="V202" s="1916">
        <v>9000000</v>
      </c>
      <c r="W202" s="1840">
        <v>61</v>
      </c>
      <c r="X202" s="3944"/>
      <c r="Y202" s="3953"/>
      <c r="Z202" s="3953"/>
      <c r="AA202" s="3953"/>
      <c r="AB202" s="3953"/>
      <c r="AC202" s="3953"/>
      <c r="AD202" s="3953"/>
      <c r="AE202" s="3953"/>
      <c r="AF202" s="3953"/>
      <c r="AG202" s="3953"/>
      <c r="AH202" s="3953"/>
      <c r="AI202" s="3953"/>
      <c r="AJ202" s="3953"/>
      <c r="AK202" s="3953"/>
      <c r="AL202" s="3953"/>
      <c r="AM202" s="3953"/>
      <c r="AN202" s="3953"/>
      <c r="AO202" s="4076"/>
      <c r="AP202" s="4076"/>
      <c r="AQ202" s="3975"/>
    </row>
    <row r="203" spans="1:43" ht="30" customHeight="1" x14ac:dyDescent="0.2">
      <c r="A203" s="1859"/>
      <c r="B203" s="1860"/>
      <c r="C203" s="1861"/>
      <c r="D203" s="1860"/>
      <c r="E203" s="1860"/>
      <c r="F203" s="1861"/>
      <c r="G203" s="1866"/>
      <c r="H203" s="1860"/>
      <c r="I203" s="1861"/>
      <c r="J203" s="3938"/>
      <c r="K203" s="4021"/>
      <c r="L203" s="4070"/>
      <c r="M203" s="4070"/>
      <c r="N203" s="1930"/>
      <c r="O203" s="3944"/>
      <c r="P203" s="3941"/>
      <c r="Q203" s="3966"/>
      <c r="R203" s="3969"/>
      <c r="S203" s="3941"/>
      <c r="T203" s="3941"/>
      <c r="U203" s="4064"/>
      <c r="V203" s="1916">
        <v>36000000</v>
      </c>
      <c r="W203" s="1840">
        <v>20</v>
      </c>
      <c r="X203" s="3944"/>
      <c r="Y203" s="3953"/>
      <c r="Z203" s="3953"/>
      <c r="AA203" s="3953"/>
      <c r="AB203" s="3953"/>
      <c r="AC203" s="3953"/>
      <c r="AD203" s="3953"/>
      <c r="AE203" s="3953"/>
      <c r="AF203" s="3953"/>
      <c r="AG203" s="3953"/>
      <c r="AH203" s="3953"/>
      <c r="AI203" s="3953"/>
      <c r="AJ203" s="3953"/>
      <c r="AK203" s="3953"/>
      <c r="AL203" s="3953"/>
      <c r="AM203" s="3953"/>
      <c r="AN203" s="3953"/>
      <c r="AO203" s="4076"/>
      <c r="AP203" s="4076"/>
      <c r="AQ203" s="3975"/>
    </row>
    <row r="204" spans="1:43" ht="36" customHeight="1" x14ac:dyDescent="0.2">
      <c r="A204" s="1859"/>
      <c r="B204" s="1860"/>
      <c r="C204" s="1861"/>
      <c r="D204" s="1860"/>
      <c r="E204" s="1860"/>
      <c r="F204" s="1861"/>
      <c r="G204" s="1866"/>
      <c r="H204" s="1860"/>
      <c r="I204" s="1861"/>
      <c r="J204" s="3938"/>
      <c r="K204" s="4021"/>
      <c r="L204" s="4070"/>
      <c r="M204" s="4070"/>
      <c r="N204" s="1930"/>
      <c r="O204" s="3944"/>
      <c r="P204" s="3941"/>
      <c r="Q204" s="3966"/>
      <c r="R204" s="3969"/>
      <c r="S204" s="3941"/>
      <c r="T204" s="3941"/>
      <c r="U204" s="4037"/>
      <c r="V204" s="1916">
        <v>32000000</v>
      </c>
      <c r="W204" s="1840">
        <v>98</v>
      </c>
      <c r="X204" s="3944"/>
      <c r="Y204" s="3953"/>
      <c r="Z204" s="3953"/>
      <c r="AA204" s="3953"/>
      <c r="AB204" s="3953"/>
      <c r="AC204" s="3953"/>
      <c r="AD204" s="3953"/>
      <c r="AE204" s="3953"/>
      <c r="AF204" s="3953"/>
      <c r="AG204" s="3953"/>
      <c r="AH204" s="3953"/>
      <c r="AI204" s="3953"/>
      <c r="AJ204" s="3953"/>
      <c r="AK204" s="3953"/>
      <c r="AL204" s="3953"/>
      <c r="AM204" s="3953"/>
      <c r="AN204" s="3953"/>
      <c r="AO204" s="4076"/>
      <c r="AP204" s="4076"/>
      <c r="AQ204" s="3975"/>
    </row>
    <row r="205" spans="1:43" ht="57" x14ac:dyDescent="0.2">
      <c r="A205" s="1859"/>
      <c r="B205" s="1860"/>
      <c r="C205" s="1861"/>
      <c r="D205" s="1860"/>
      <c r="E205" s="1860"/>
      <c r="F205" s="1861"/>
      <c r="G205" s="1866"/>
      <c r="H205" s="1860"/>
      <c r="I205" s="1861"/>
      <c r="J205" s="3938"/>
      <c r="K205" s="4021"/>
      <c r="L205" s="3943"/>
      <c r="M205" s="3943"/>
      <c r="N205" s="1930"/>
      <c r="O205" s="3944"/>
      <c r="P205" s="3941"/>
      <c r="Q205" s="3967"/>
      <c r="R205" s="3969"/>
      <c r="S205" s="3941"/>
      <c r="T205" s="3942"/>
      <c r="U205" s="1918" t="s">
        <v>1721</v>
      </c>
      <c r="V205" s="1916">
        <v>24000000</v>
      </c>
      <c r="W205" s="1840">
        <v>61</v>
      </c>
      <c r="X205" s="3944"/>
      <c r="Y205" s="3953"/>
      <c r="Z205" s="3953"/>
      <c r="AA205" s="3953"/>
      <c r="AB205" s="3953"/>
      <c r="AC205" s="3953"/>
      <c r="AD205" s="3953"/>
      <c r="AE205" s="3953"/>
      <c r="AF205" s="3953"/>
      <c r="AG205" s="3953"/>
      <c r="AH205" s="3953"/>
      <c r="AI205" s="3953"/>
      <c r="AJ205" s="3953"/>
      <c r="AK205" s="3953"/>
      <c r="AL205" s="3953"/>
      <c r="AM205" s="3953"/>
      <c r="AN205" s="3953"/>
      <c r="AO205" s="4076"/>
      <c r="AP205" s="4076"/>
      <c r="AQ205" s="3975"/>
    </row>
    <row r="206" spans="1:43" ht="43.5" customHeight="1" x14ac:dyDescent="0.2">
      <c r="A206" s="1859"/>
      <c r="B206" s="1860"/>
      <c r="C206" s="1861"/>
      <c r="D206" s="1860"/>
      <c r="E206" s="1860"/>
      <c r="F206" s="1861"/>
      <c r="G206" s="1866"/>
      <c r="H206" s="1860"/>
      <c r="I206" s="1860"/>
      <c r="J206" s="4071">
        <v>152</v>
      </c>
      <c r="K206" s="4072" t="s">
        <v>1722</v>
      </c>
      <c r="L206" s="4073" t="s">
        <v>1482</v>
      </c>
      <c r="M206" s="4073">
        <v>1</v>
      </c>
      <c r="N206" s="1931" t="s">
        <v>1723</v>
      </c>
      <c r="O206" s="3944"/>
      <c r="P206" s="3941"/>
      <c r="Q206" s="3965">
        <f>SUM(V206:V207)/R201</f>
        <v>4.0854831969718411E-2</v>
      </c>
      <c r="R206" s="3969"/>
      <c r="S206" s="3941"/>
      <c r="T206" s="3940" t="s">
        <v>1724</v>
      </c>
      <c r="U206" s="4051" t="s">
        <v>1725</v>
      </c>
      <c r="V206" s="1914">
        <v>48000000</v>
      </c>
      <c r="W206" s="1840">
        <v>61</v>
      </c>
      <c r="X206" s="3944"/>
      <c r="Y206" s="3953"/>
      <c r="Z206" s="3953"/>
      <c r="AA206" s="3953"/>
      <c r="AB206" s="3953"/>
      <c r="AC206" s="3953"/>
      <c r="AD206" s="3953"/>
      <c r="AE206" s="3953"/>
      <c r="AF206" s="3953"/>
      <c r="AG206" s="3953"/>
      <c r="AH206" s="3953"/>
      <c r="AI206" s="3953"/>
      <c r="AJ206" s="3953"/>
      <c r="AK206" s="3953"/>
      <c r="AL206" s="3953"/>
      <c r="AM206" s="3953"/>
      <c r="AN206" s="3953"/>
      <c r="AO206" s="4076"/>
      <c r="AP206" s="4076"/>
      <c r="AQ206" s="3975"/>
    </row>
    <row r="207" spans="1:43" ht="54.75" customHeight="1" x14ac:dyDescent="0.2">
      <c r="A207" s="1859"/>
      <c r="B207" s="1860"/>
      <c r="C207" s="1861"/>
      <c r="D207" s="1860"/>
      <c r="E207" s="1860"/>
      <c r="F207" s="1861"/>
      <c r="G207" s="1866"/>
      <c r="H207" s="1860"/>
      <c r="I207" s="1860"/>
      <c r="J207" s="4071"/>
      <c r="K207" s="4072"/>
      <c r="L207" s="4073"/>
      <c r="M207" s="4073"/>
      <c r="N207" s="1931"/>
      <c r="O207" s="3944"/>
      <c r="P207" s="3941"/>
      <c r="Q207" s="3967"/>
      <c r="R207" s="3969"/>
      <c r="S207" s="3941"/>
      <c r="T207" s="3941"/>
      <c r="U207" s="4037"/>
      <c r="V207" s="1914">
        <v>18000000</v>
      </c>
      <c r="W207" s="1840">
        <v>98</v>
      </c>
      <c r="X207" s="3944"/>
      <c r="Y207" s="3953"/>
      <c r="Z207" s="3953"/>
      <c r="AA207" s="3953"/>
      <c r="AB207" s="3953"/>
      <c r="AC207" s="3953"/>
      <c r="AD207" s="3953"/>
      <c r="AE207" s="3953"/>
      <c r="AF207" s="3953"/>
      <c r="AG207" s="3953"/>
      <c r="AH207" s="3953"/>
      <c r="AI207" s="3953"/>
      <c r="AJ207" s="3953"/>
      <c r="AK207" s="3953"/>
      <c r="AL207" s="3953"/>
      <c r="AM207" s="3953"/>
      <c r="AN207" s="3953"/>
      <c r="AO207" s="4076"/>
      <c r="AP207" s="4076"/>
      <c r="AQ207" s="3975"/>
    </row>
    <row r="208" spans="1:43" ht="42.75" x14ac:dyDescent="0.2">
      <c r="A208" s="1859"/>
      <c r="B208" s="1860"/>
      <c r="C208" s="1861"/>
      <c r="D208" s="1860"/>
      <c r="E208" s="1860"/>
      <c r="F208" s="1861"/>
      <c r="G208" s="1866"/>
      <c r="H208" s="1860"/>
      <c r="I208" s="1861"/>
      <c r="J208" s="4074">
        <v>153</v>
      </c>
      <c r="K208" s="4021" t="s">
        <v>1726</v>
      </c>
      <c r="L208" s="3944" t="s">
        <v>1482</v>
      </c>
      <c r="M208" s="3944">
        <v>150</v>
      </c>
      <c r="N208" s="1930" t="s">
        <v>1727</v>
      </c>
      <c r="O208" s="3944"/>
      <c r="P208" s="3941"/>
      <c r="Q208" s="3965">
        <f>SUM(V208:V215)/R201</f>
        <v>0.8873397057804735</v>
      </c>
      <c r="R208" s="3969"/>
      <c r="S208" s="3941"/>
      <c r="T208" s="3941"/>
      <c r="U208" s="1932" t="s">
        <v>1728</v>
      </c>
      <c r="V208" s="1914">
        <v>24000000</v>
      </c>
      <c r="W208" s="1840">
        <v>63</v>
      </c>
      <c r="X208" s="3944"/>
      <c r="Y208" s="3953"/>
      <c r="Z208" s="3953"/>
      <c r="AA208" s="3953"/>
      <c r="AB208" s="3953"/>
      <c r="AC208" s="3953"/>
      <c r="AD208" s="3953"/>
      <c r="AE208" s="3953"/>
      <c r="AF208" s="3953"/>
      <c r="AG208" s="3953"/>
      <c r="AH208" s="3953"/>
      <c r="AI208" s="3953"/>
      <c r="AJ208" s="3953"/>
      <c r="AK208" s="3953"/>
      <c r="AL208" s="3953"/>
      <c r="AM208" s="3953"/>
      <c r="AN208" s="3953"/>
      <c r="AO208" s="4076"/>
      <c r="AP208" s="4076"/>
      <c r="AQ208" s="3975"/>
    </row>
    <row r="209" spans="1:43" ht="33.75" customHeight="1" x14ac:dyDescent="0.2">
      <c r="A209" s="1859"/>
      <c r="B209" s="1860"/>
      <c r="C209" s="1861"/>
      <c r="D209" s="1860"/>
      <c r="E209" s="1860"/>
      <c r="F209" s="1861"/>
      <c r="G209" s="1866"/>
      <c r="H209" s="1860"/>
      <c r="I209" s="1861"/>
      <c r="J209" s="3938"/>
      <c r="K209" s="4021"/>
      <c r="L209" s="3944"/>
      <c r="M209" s="3944"/>
      <c r="N209" s="1930"/>
      <c r="O209" s="3944"/>
      <c r="P209" s="3941"/>
      <c r="Q209" s="3966"/>
      <c r="R209" s="3969"/>
      <c r="S209" s="3941"/>
      <c r="T209" s="3941"/>
      <c r="U209" s="4078" t="s">
        <v>1729</v>
      </c>
      <c r="V209" s="1914">
        <v>718800528</v>
      </c>
      <c r="W209" s="1840">
        <v>63</v>
      </c>
      <c r="X209" s="3944"/>
      <c r="Y209" s="3953"/>
      <c r="Z209" s="3953"/>
      <c r="AA209" s="3953"/>
      <c r="AB209" s="3953"/>
      <c r="AC209" s="3953"/>
      <c r="AD209" s="3953"/>
      <c r="AE209" s="3953"/>
      <c r="AF209" s="3953"/>
      <c r="AG209" s="3953"/>
      <c r="AH209" s="3953"/>
      <c r="AI209" s="3953"/>
      <c r="AJ209" s="3953"/>
      <c r="AK209" s="3953"/>
      <c r="AL209" s="3953"/>
      <c r="AM209" s="3953"/>
      <c r="AN209" s="3953"/>
      <c r="AO209" s="4076"/>
      <c r="AP209" s="4076"/>
      <c r="AQ209" s="3975"/>
    </row>
    <row r="210" spans="1:43" ht="45" customHeight="1" x14ac:dyDescent="0.2">
      <c r="A210" s="1859"/>
      <c r="B210" s="1860"/>
      <c r="C210" s="1861"/>
      <c r="D210" s="1860"/>
      <c r="E210" s="1860"/>
      <c r="F210" s="1861"/>
      <c r="G210" s="1866"/>
      <c r="H210" s="1860"/>
      <c r="I210" s="1861"/>
      <c r="J210" s="3938"/>
      <c r="K210" s="4021"/>
      <c r="L210" s="3944"/>
      <c r="M210" s="3944"/>
      <c r="N210" s="1930" t="s">
        <v>1730</v>
      </c>
      <c r="O210" s="3944"/>
      <c r="P210" s="3941"/>
      <c r="Q210" s="3966"/>
      <c r="R210" s="3969"/>
      <c r="S210" s="3941"/>
      <c r="T210" s="3941"/>
      <c r="U210" s="4079"/>
      <c r="V210" s="1916">
        <v>590675459</v>
      </c>
      <c r="W210" s="1840">
        <v>99</v>
      </c>
      <c r="X210" s="3944"/>
      <c r="Y210" s="3953"/>
      <c r="Z210" s="3953"/>
      <c r="AA210" s="3953"/>
      <c r="AB210" s="3953"/>
      <c r="AC210" s="3953"/>
      <c r="AD210" s="3953"/>
      <c r="AE210" s="3953"/>
      <c r="AF210" s="3953"/>
      <c r="AG210" s="3953"/>
      <c r="AH210" s="3953"/>
      <c r="AI210" s="3953"/>
      <c r="AJ210" s="3953"/>
      <c r="AK210" s="3953"/>
      <c r="AL210" s="3953"/>
      <c r="AM210" s="3953"/>
      <c r="AN210" s="3953"/>
      <c r="AO210" s="4076"/>
      <c r="AP210" s="4076"/>
      <c r="AQ210" s="3975"/>
    </row>
    <row r="211" spans="1:43" ht="28.5" x14ac:dyDescent="0.2">
      <c r="A211" s="1859"/>
      <c r="B211" s="1860"/>
      <c r="C211" s="1861"/>
      <c r="D211" s="1860"/>
      <c r="E211" s="1860"/>
      <c r="F211" s="1861"/>
      <c r="G211" s="1866"/>
      <c r="H211" s="1860"/>
      <c r="I211" s="1861"/>
      <c r="J211" s="3938"/>
      <c r="K211" s="4021"/>
      <c r="L211" s="3944"/>
      <c r="M211" s="3944"/>
      <c r="N211" s="1930" t="s">
        <v>1731</v>
      </c>
      <c r="O211" s="3944"/>
      <c r="P211" s="3941"/>
      <c r="Q211" s="3966"/>
      <c r="R211" s="3969"/>
      <c r="S211" s="3941"/>
      <c r="T211" s="3941"/>
      <c r="U211" s="1933" t="s">
        <v>1732</v>
      </c>
      <c r="V211" s="1914">
        <v>20000000</v>
      </c>
      <c r="W211" s="1840">
        <v>63</v>
      </c>
      <c r="X211" s="3944"/>
      <c r="Y211" s="3953"/>
      <c r="Z211" s="3953"/>
      <c r="AA211" s="3953"/>
      <c r="AB211" s="3953"/>
      <c r="AC211" s="3953"/>
      <c r="AD211" s="3953"/>
      <c r="AE211" s="3953"/>
      <c r="AF211" s="3953"/>
      <c r="AG211" s="3953"/>
      <c r="AH211" s="3953"/>
      <c r="AI211" s="3953"/>
      <c r="AJ211" s="3953"/>
      <c r="AK211" s="3953"/>
      <c r="AL211" s="3953"/>
      <c r="AM211" s="3953"/>
      <c r="AN211" s="3953"/>
      <c r="AO211" s="4076"/>
      <c r="AP211" s="4076"/>
      <c r="AQ211" s="3975"/>
    </row>
    <row r="212" spans="1:43" ht="42.75" x14ac:dyDescent="0.2">
      <c r="A212" s="1859"/>
      <c r="B212" s="1860"/>
      <c r="C212" s="1861"/>
      <c r="D212" s="1860"/>
      <c r="E212" s="1860"/>
      <c r="F212" s="1861"/>
      <c r="G212" s="1866"/>
      <c r="H212" s="1860"/>
      <c r="I212" s="1861"/>
      <c r="J212" s="3938"/>
      <c r="K212" s="4021"/>
      <c r="L212" s="3944"/>
      <c r="M212" s="3944"/>
      <c r="N212" s="1931" t="s">
        <v>1733</v>
      </c>
      <c r="O212" s="3944"/>
      <c r="P212" s="3941"/>
      <c r="Q212" s="3966"/>
      <c r="R212" s="3969"/>
      <c r="S212" s="3941"/>
      <c r="T212" s="3941"/>
      <c r="U212" s="1918" t="s">
        <v>1734</v>
      </c>
      <c r="V212" s="1914">
        <v>20000000</v>
      </c>
      <c r="W212" s="1840">
        <v>63</v>
      </c>
      <c r="X212" s="3944"/>
      <c r="Y212" s="3953"/>
      <c r="Z212" s="3953"/>
      <c r="AA212" s="3953"/>
      <c r="AB212" s="3953"/>
      <c r="AC212" s="3953"/>
      <c r="AD212" s="3953"/>
      <c r="AE212" s="3953"/>
      <c r="AF212" s="3953"/>
      <c r="AG212" s="3953"/>
      <c r="AH212" s="3953"/>
      <c r="AI212" s="3953"/>
      <c r="AJ212" s="3953"/>
      <c r="AK212" s="3953"/>
      <c r="AL212" s="3953"/>
      <c r="AM212" s="3953"/>
      <c r="AN212" s="3953"/>
      <c r="AO212" s="4076"/>
      <c r="AP212" s="4076"/>
      <c r="AQ212" s="3975"/>
    </row>
    <row r="213" spans="1:43" ht="42.75" x14ac:dyDescent="0.2">
      <c r="A213" s="1859"/>
      <c r="B213" s="1860"/>
      <c r="C213" s="1861"/>
      <c r="D213" s="1860"/>
      <c r="E213" s="1860"/>
      <c r="F213" s="1861"/>
      <c r="G213" s="1866"/>
      <c r="H213" s="1860"/>
      <c r="I213" s="1861"/>
      <c r="J213" s="3938"/>
      <c r="K213" s="4021"/>
      <c r="L213" s="3944"/>
      <c r="M213" s="3944"/>
      <c r="N213" s="1934"/>
      <c r="O213" s="3944"/>
      <c r="P213" s="3941"/>
      <c r="Q213" s="3966"/>
      <c r="R213" s="3969"/>
      <c r="S213" s="3941"/>
      <c r="T213" s="3941"/>
      <c r="U213" s="1918" t="s">
        <v>1735</v>
      </c>
      <c r="V213" s="1914">
        <v>20000000</v>
      </c>
      <c r="W213" s="1840">
        <v>63</v>
      </c>
      <c r="X213" s="3944"/>
      <c r="Y213" s="3953"/>
      <c r="Z213" s="3953"/>
      <c r="AA213" s="3953"/>
      <c r="AB213" s="3953"/>
      <c r="AC213" s="3953"/>
      <c r="AD213" s="3953"/>
      <c r="AE213" s="3953"/>
      <c r="AF213" s="3953"/>
      <c r="AG213" s="3953"/>
      <c r="AH213" s="3953"/>
      <c r="AI213" s="3953"/>
      <c r="AJ213" s="3953"/>
      <c r="AK213" s="3953"/>
      <c r="AL213" s="3953"/>
      <c r="AM213" s="3953"/>
      <c r="AN213" s="3953"/>
      <c r="AO213" s="4076"/>
      <c r="AP213" s="4076"/>
      <c r="AQ213" s="3975"/>
    </row>
    <row r="214" spans="1:43" ht="45" customHeight="1" x14ac:dyDescent="0.2">
      <c r="A214" s="1859"/>
      <c r="B214" s="1860"/>
      <c r="C214" s="1861"/>
      <c r="D214" s="1860"/>
      <c r="E214" s="1860"/>
      <c r="F214" s="1861"/>
      <c r="G214" s="1866"/>
      <c r="H214" s="1860"/>
      <c r="I214" s="1861"/>
      <c r="J214" s="3938"/>
      <c r="K214" s="4021"/>
      <c r="L214" s="3944"/>
      <c r="M214" s="3944"/>
      <c r="O214" s="3944"/>
      <c r="P214" s="3941"/>
      <c r="Q214" s="3966"/>
      <c r="R214" s="3969"/>
      <c r="S214" s="3941"/>
      <c r="T214" s="3941"/>
      <c r="U214" s="1918" t="s">
        <v>1736</v>
      </c>
      <c r="V214" s="1914">
        <v>20000000</v>
      </c>
      <c r="W214" s="1840">
        <v>63</v>
      </c>
      <c r="X214" s="3944"/>
      <c r="Y214" s="3953"/>
      <c r="Z214" s="3953"/>
      <c r="AA214" s="3953"/>
      <c r="AB214" s="3953"/>
      <c r="AC214" s="3953"/>
      <c r="AD214" s="3953"/>
      <c r="AE214" s="3953"/>
      <c r="AF214" s="3953"/>
      <c r="AG214" s="3953"/>
      <c r="AH214" s="3953"/>
      <c r="AI214" s="3953"/>
      <c r="AJ214" s="3953"/>
      <c r="AK214" s="3953"/>
      <c r="AL214" s="3953"/>
      <c r="AM214" s="3953"/>
      <c r="AN214" s="3953"/>
      <c r="AO214" s="4076"/>
      <c r="AP214" s="4076"/>
      <c r="AQ214" s="3975"/>
    </row>
    <row r="215" spans="1:43" ht="81" customHeight="1" x14ac:dyDescent="0.2">
      <c r="A215" s="1833"/>
      <c r="B215" s="1834"/>
      <c r="C215" s="1835"/>
      <c r="D215" s="1834"/>
      <c r="E215" s="1834"/>
      <c r="F215" s="1835"/>
      <c r="G215" s="1846"/>
      <c r="H215" s="1844"/>
      <c r="I215" s="1845"/>
      <c r="J215" s="3939"/>
      <c r="K215" s="4022"/>
      <c r="L215" s="3945"/>
      <c r="M215" s="3945"/>
      <c r="N215" s="1936"/>
      <c r="O215" s="3945"/>
      <c r="P215" s="3942"/>
      <c r="Q215" s="3967"/>
      <c r="R215" s="3970"/>
      <c r="S215" s="3942"/>
      <c r="T215" s="3942"/>
      <c r="U215" s="1918" t="s">
        <v>1737</v>
      </c>
      <c r="V215" s="1914">
        <v>20000000</v>
      </c>
      <c r="W215" s="1840">
        <v>61</v>
      </c>
      <c r="X215" s="3945"/>
      <c r="Y215" s="3954"/>
      <c r="Z215" s="3954"/>
      <c r="AA215" s="3954"/>
      <c r="AB215" s="3954"/>
      <c r="AC215" s="3954"/>
      <c r="AD215" s="3954"/>
      <c r="AE215" s="3954"/>
      <c r="AF215" s="3954"/>
      <c r="AG215" s="3954"/>
      <c r="AH215" s="3954"/>
      <c r="AI215" s="3954"/>
      <c r="AJ215" s="3954"/>
      <c r="AK215" s="3954"/>
      <c r="AL215" s="3954"/>
      <c r="AM215" s="3954"/>
      <c r="AN215" s="3954"/>
      <c r="AO215" s="4077"/>
      <c r="AP215" s="4077"/>
      <c r="AQ215" s="3976"/>
    </row>
    <row r="216" spans="1:43" ht="36" customHeight="1" x14ac:dyDescent="0.2">
      <c r="A216" s="1819"/>
      <c r="B216" s="1820"/>
      <c r="C216" s="1821"/>
      <c r="D216" s="1820"/>
      <c r="E216" s="1820"/>
      <c r="F216" s="1821"/>
      <c r="G216" s="1854">
        <v>44</v>
      </c>
      <c r="H216" s="1825" t="s">
        <v>1738</v>
      </c>
      <c r="I216" s="1825"/>
      <c r="J216" s="1825"/>
      <c r="K216" s="1826"/>
      <c r="L216" s="1825"/>
      <c r="M216" s="1825"/>
      <c r="N216" s="1827"/>
      <c r="O216" s="1825"/>
      <c r="P216" s="1826"/>
      <c r="Q216" s="1825"/>
      <c r="R216" s="1855"/>
      <c r="S216" s="1826"/>
      <c r="T216" s="1826"/>
      <c r="U216" s="1826"/>
      <c r="V216" s="1937"/>
      <c r="W216" s="1927"/>
      <c r="X216" s="1928"/>
      <c r="Y216" s="1827"/>
      <c r="Z216" s="1827"/>
      <c r="AA216" s="1827"/>
      <c r="AB216" s="1827"/>
      <c r="AC216" s="1827"/>
      <c r="AD216" s="1827"/>
      <c r="AE216" s="1827"/>
      <c r="AF216" s="1827"/>
      <c r="AG216" s="1827"/>
      <c r="AH216" s="1827"/>
      <c r="AI216" s="1827"/>
      <c r="AJ216" s="1827"/>
      <c r="AK216" s="1827"/>
      <c r="AL216" s="1827"/>
      <c r="AM216" s="1827"/>
      <c r="AN216" s="1827"/>
      <c r="AO216" s="1827"/>
      <c r="AP216" s="1825"/>
      <c r="AQ216" s="1832"/>
    </row>
    <row r="217" spans="1:43" ht="70.5" customHeight="1" x14ac:dyDescent="0.2">
      <c r="A217" s="1833"/>
      <c r="B217" s="1834"/>
      <c r="C217" s="1835"/>
      <c r="D217" s="1834"/>
      <c r="E217" s="1834"/>
      <c r="F217" s="1835"/>
      <c r="G217" s="1836"/>
      <c r="H217" s="1837"/>
      <c r="I217" s="1838"/>
      <c r="J217" s="3937">
        <v>154</v>
      </c>
      <c r="K217" s="3940" t="s">
        <v>1739</v>
      </c>
      <c r="L217" s="3943" t="s">
        <v>1482</v>
      </c>
      <c r="M217" s="3943">
        <v>5</v>
      </c>
      <c r="N217" s="3943" t="s">
        <v>1740</v>
      </c>
      <c r="O217" s="3943" t="s">
        <v>1741</v>
      </c>
      <c r="P217" s="3940" t="s">
        <v>1742</v>
      </c>
      <c r="Q217" s="3965">
        <f>SUM(V217:V223)/R217</f>
        <v>0.18272536398900383</v>
      </c>
      <c r="R217" s="3968">
        <f>SUM(V217:V247)</f>
        <v>317416251</v>
      </c>
      <c r="S217" s="3940" t="s">
        <v>1743</v>
      </c>
      <c r="T217" s="3940" t="s">
        <v>1744</v>
      </c>
      <c r="U217" s="1918" t="s">
        <v>1745</v>
      </c>
      <c r="V217" s="1916">
        <v>4000000</v>
      </c>
      <c r="W217" s="1840">
        <v>61</v>
      </c>
      <c r="X217" s="3943" t="s">
        <v>1746</v>
      </c>
      <c r="Y217" s="4080">
        <v>292684</v>
      </c>
      <c r="Z217" s="4080">
        <v>292686</v>
      </c>
      <c r="AA217" s="4080">
        <v>292688</v>
      </c>
      <c r="AB217" s="4080">
        <v>292690</v>
      </c>
      <c r="AC217" s="4080">
        <v>292692</v>
      </c>
      <c r="AD217" s="4080">
        <v>292694</v>
      </c>
      <c r="AE217" s="4080">
        <v>292696</v>
      </c>
      <c r="AF217" s="4080">
        <v>292698</v>
      </c>
      <c r="AG217" s="4080">
        <v>292700</v>
      </c>
      <c r="AH217" s="4080">
        <v>292702</v>
      </c>
      <c r="AI217" s="4080">
        <v>292704</v>
      </c>
      <c r="AJ217" s="4080">
        <v>292706</v>
      </c>
      <c r="AK217" s="4080">
        <v>292708</v>
      </c>
      <c r="AL217" s="4080">
        <v>292710</v>
      </c>
      <c r="AM217" s="4080">
        <v>292712</v>
      </c>
      <c r="AN217" s="4080">
        <v>292714</v>
      </c>
      <c r="AO217" s="4075">
        <v>43467</v>
      </c>
      <c r="AP217" s="4075">
        <v>43830</v>
      </c>
      <c r="AQ217" s="4083" t="s">
        <v>1490</v>
      </c>
    </row>
    <row r="218" spans="1:43" ht="28.5" customHeight="1" x14ac:dyDescent="0.2">
      <c r="A218" s="1833"/>
      <c r="B218" s="1834"/>
      <c r="C218" s="1835"/>
      <c r="D218" s="1834"/>
      <c r="E218" s="1834"/>
      <c r="F218" s="1835"/>
      <c r="G218" s="1842"/>
      <c r="H218" s="1834"/>
      <c r="I218" s="1835"/>
      <c r="J218" s="3938"/>
      <c r="K218" s="3941"/>
      <c r="L218" s="3944"/>
      <c r="M218" s="3944"/>
      <c r="N218" s="3944"/>
      <c r="O218" s="3944"/>
      <c r="P218" s="3941"/>
      <c r="Q218" s="3966"/>
      <c r="R218" s="3969"/>
      <c r="S218" s="3941"/>
      <c r="T218" s="3941"/>
      <c r="U218" s="1918" t="s">
        <v>1747</v>
      </c>
      <c r="V218" s="1916">
        <v>3000000</v>
      </c>
      <c r="W218" s="1840">
        <v>61</v>
      </c>
      <c r="X218" s="3944"/>
      <c r="Y218" s="4081"/>
      <c r="Z218" s="4081"/>
      <c r="AA218" s="4081"/>
      <c r="AB218" s="4081"/>
      <c r="AC218" s="4081"/>
      <c r="AD218" s="4081"/>
      <c r="AE218" s="4081"/>
      <c r="AF218" s="4081"/>
      <c r="AG218" s="4081"/>
      <c r="AH218" s="4081"/>
      <c r="AI218" s="4081"/>
      <c r="AJ218" s="4081"/>
      <c r="AK218" s="4081"/>
      <c r="AL218" s="4081"/>
      <c r="AM218" s="4081"/>
      <c r="AN218" s="4081"/>
      <c r="AO218" s="4076"/>
      <c r="AP218" s="4076"/>
      <c r="AQ218" s="4084"/>
    </row>
    <row r="219" spans="1:43" ht="48" customHeight="1" x14ac:dyDescent="0.2">
      <c r="A219" s="1833"/>
      <c r="B219" s="1834"/>
      <c r="C219" s="1835"/>
      <c r="D219" s="1834"/>
      <c r="E219" s="1834"/>
      <c r="F219" s="1835"/>
      <c r="G219" s="1842"/>
      <c r="H219" s="1834"/>
      <c r="I219" s="1835"/>
      <c r="J219" s="3938"/>
      <c r="K219" s="3941"/>
      <c r="L219" s="3944"/>
      <c r="M219" s="3944"/>
      <c r="N219" s="3944"/>
      <c r="O219" s="3944"/>
      <c r="P219" s="3941"/>
      <c r="Q219" s="3966"/>
      <c r="R219" s="3969"/>
      <c r="S219" s="3941"/>
      <c r="T219" s="3941"/>
      <c r="U219" s="1918" t="s">
        <v>1748</v>
      </c>
      <c r="V219" s="1916">
        <v>16000000</v>
      </c>
      <c r="W219" s="1840">
        <v>61</v>
      </c>
      <c r="X219" s="3944"/>
      <c r="Y219" s="4081"/>
      <c r="Z219" s="4081"/>
      <c r="AA219" s="4081"/>
      <c r="AB219" s="4081"/>
      <c r="AC219" s="4081"/>
      <c r="AD219" s="4081"/>
      <c r="AE219" s="4081"/>
      <c r="AF219" s="4081"/>
      <c r="AG219" s="4081"/>
      <c r="AH219" s="4081"/>
      <c r="AI219" s="4081"/>
      <c r="AJ219" s="4081"/>
      <c r="AK219" s="4081"/>
      <c r="AL219" s="4081"/>
      <c r="AM219" s="4081"/>
      <c r="AN219" s="4081"/>
      <c r="AO219" s="4076"/>
      <c r="AP219" s="4076"/>
      <c r="AQ219" s="4084"/>
    </row>
    <row r="220" spans="1:43" ht="32.25" customHeight="1" x14ac:dyDescent="0.2">
      <c r="A220" s="1833"/>
      <c r="B220" s="1834"/>
      <c r="C220" s="1835"/>
      <c r="D220" s="1834"/>
      <c r="E220" s="1834"/>
      <c r="F220" s="1835"/>
      <c r="G220" s="1842"/>
      <c r="H220" s="1834"/>
      <c r="I220" s="1835"/>
      <c r="J220" s="3938"/>
      <c r="K220" s="3941"/>
      <c r="L220" s="3944"/>
      <c r="M220" s="3944"/>
      <c r="N220" s="3944"/>
      <c r="O220" s="3944"/>
      <c r="P220" s="3941"/>
      <c r="Q220" s="3966"/>
      <c r="R220" s="3969"/>
      <c r="S220" s="3941"/>
      <c r="T220" s="3941"/>
      <c r="U220" s="1918" t="s">
        <v>1749</v>
      </c>
      <c r="V220" s="1916">
        <v>6000000</v>
      </c>
      <c r="W220" s="1840">
        <v>61</v>
      </c>
      <c r="X220" s="3944"/>
      <c r="Y220" s="4081"/>
      <c r="Z220" s="4081"/>
      <c r="AA220" s="4081"/>
      <c r="AB220" s="4081"/>
      <c r="AC220" s="4081"/>
      <c r="AD220" s="4081"/>
      <c r="AE220" s="4081"/>
      <c r="AF220" s="4081"/>
      <c r="AG220" s="4081"/>
      <c r="AH220" s="4081"/>
      <c r="AI220" s="4081"/>
      <c r="AJ220" s="4081"/>
      <c r="AK220" s="4081"/>
      <c r="AL220" s="4081"/>
      <c r="AM220" s="4081"/>
      <c r="AN220" s="4081"/>
      <c r="AO220" s="4076"/>
      <c r="AP220" s="4076"/>
      <c r="AQ220" s="4084"/>
    </row>
    <row r="221" spans="1:43" ht="111.75" customHeight="1" x14ac:dyDescent="0.2">
      <c r="A221" s="1833"/>
      <c r="B221" s="1834"/>
      <c r="C221" s="1835"/>
      <c r="D221" s="1834"/>
      <c r="E221" s="1834"/>
      <c r="F221" s="1835"/>
      <c r="G221" s="1842"/>
      <c r="H221" s="1834"/>
      <c r="I221" s="1835"/>
      <c r="J221" s="3938"/>
      <c r="K221" s="3941"/>
      <c r="L221" s="3944"/>
      <c r="M221" s="3944"/>
      <c r="N221" s="3944"/>
      <c r="O221" s="3944"/>
      <c r="P221" s="3941"/>
      <c r="Q221" s="3966"/>
      <c r="R221" s="3969"/>
      <c r="S221" s="3941"/>
      <c r="T221" s="3941"/>
      <c r="U221" s="1918" t="s">
        <v>1750</v>
      </c>
      <c r="V221" s="1916">
        <v>3000000</v>
      </c>
      <c r="W221" s="1840">
        <v>61</v>
      </c>
      <c r="X221" s="3944"/>
      <c r="Y221" s="4081"/>
      <c r="Z221" s="4081"/>
      <c r="AA221" s="4081"/>
      <c r="AB221" s="4081"/>
      <c r="AC221" s="4081"/>
      <c r="AD221" s="4081"/>
      <c r="AE221" s="4081"/>
      <c r="AF221" s="4081"/>
      <c r="AG221" s="4081"/>
      <c r="AH221" s="4081"/>
      <c r="AI221" s="4081"/>
      <c r="AJ221" s="4081"/>
      <c r="AK221" s="4081"/>
      <c r="AL221" s="4081"/>
      <c r="AM221" s="4081"/>
      <c r="AN221" s="4081"/>
      <c r="AO221" s="4076"/>
      <c r="AP221" s="4076"/>
      <c r="AQ221" s="4084"/>
    </row>
    <row r="222" spans="1:43" ht="32.25" customHeight="1" x14ac:dyDescent="0.2">
      <c r="A222" s="1833"/>
      <c r="B222" s="1834"/>
      <c r="C222" s="1835"/>
      <c r="D222" s="1834"/>
      <c r="E222" s="1834"/>
      <c r="F222" s="1835"/>
      <c r="G222" s="1842"/>
      <c r="H222" s="1834"/>
      <c r="I222" s="1835"/>
      <c r="J222" s="3938"/>
      <c r="K222" s="3941"/>
      <c r="L222" s="3944"/>
      <c r="M222" s="3944"/>
      <c r="N222" s="3944"/>
      <c r="O222" s="3944"/>
      <c r="P222" s="3941"/>
      <c r="Q222" s="3966"/>
      <c r="R222" s="3969"/>
      <c r="S222" s="3941"/>
      <c r="T222" s="3941"/>
      <c r="U222" s="4051" t="s">
        <v>1751</v>
      </c>
      <c r="V222" s="1916">
        <v>12000000</v>
      </c>
      <c r="W222" s="1840">
        <v>61</v>
      </c>
      <c r="X222" s="3944"/>
      <c r="Y222" s="4081"/>
      <c r="Z222" s="4081"/>
      <c r="AA222" s="4081"/>
      <c r="AB222" s="4081"/>
      <c r="AC222" s="4081"/>
      <c r="AD222" s="4081"/>
      <c r="AE222" s="4081"/>
      <c r="AF222" s="4081"/>
      <c r="AG222" s="4081"/>
      <c r="AH222" s="4081"/>
      <c r="AI222" s="4081"/>
      <c r="AJ222" s="4081"/>
      <c r="AK222" s="4081"/>
      <c r="AL222" s="4081"/>
      <c r="AM222" s="4081"/>
      <c r="AN222" s="4081"/>
      <c r="AO222" s="4076"/>
      <c r="AP222" s="4076"/>
      <c r="AQ222" s="4084"/>
    </row>
    <row r="223" spans="1:43" ht="54.75" customHeight="1" x14ac:dyDescent="0.2">
      <c r="A223" s="1833"/>
      <c r="B223" s="1834"/>
      <c r="C223" s="1835"/>
      <c r="D223" s="1834"/>
      <c r="E223" s="1834"/>
      <c r="F223" s="1835"/>
      <c r="G223" s="1842"/>
      <c r="H223" s="1834"/>
      <c r="I223" s="1835"/>
      <c r="J223" s="3939"/>
      <c r="K223" s="3942"/>
      <c r="L223" s="3945"/>
      <c r="M223" s="3945"/>
      <c r="N223" s="3944"/>
      <c r="O223" s="3944"/>
      <c r="P223" s="3941"/>
      <c r="Q223" s="3967"/>
      <c r="R223" s="3969"/>
      <c r="S223" s="3941"/>
      <c r="T223" s="3942"/>
      <c r="U223" s="4037"/>
      <c r="V223" s="1916">
        <v>14000000</v>
      </c>
      <c r="W223" s="1840">
        <v>98</v>
      </c>
      <c r="X223" s="3944"/>
      <c r="Y223" s="4081"/>
      <c r="Z223" s="4081"/>
      <c r="AA223" s="4081"/>
      <c r="AB223" s="4081"/>
      <c r="AC223" s="4081"/>
      <c r="AD223" s="4081"/>
      <c r="AE223" s="4081"/>
      <c r="AF223" s="4081"/>
      <c r="AG223" s="4081"/>
      <c r="AH223" s="4081"/>
      <c r="AI223" s="4081"/>
      <c r="AJ223" s="4081"/>
      <c r="AK223" s="4081"/>
      <c r="AL223" s="4081"/>
      <c r="AM223" s="4081"/>
      <c r="AN223" s="4081"/>
      <c r="AO223" s="4076"/>
      <c r="AP223" s="4076"/>
      <c r="AQ223" s="4084"/>
    </row>
    <row r="224" spans="1:43" ht="61.5" customHeight="1" x14ac:dyDescent="0.2">
      <c r="A224" s="1833"/>
      <c r="B224" s="1834"/>
      <c r="C224" s="1835"/>
      <c r="D224" s="1834"/>
      <c r="E224" s="1834"/>
      <c r="F224" s="1835"/>
      <c r="G224" s="1842"/>
      <c r="H224" s="1834"/>
      <c r="I224" s="1835"/>
      <c r="J224" s="3937">
        <v>155</v>
      </c>
      <c r="K224" s="3940" t="s">
        <v>1752</v>
      </c>
      <c r="L224" s="3943" t="s">
        <v>1482</v>
      </c>
      <c r="M224" s="3943">
        <v>1</v>
      </c>
      <c r="N224" s="3944"/>
      <c r="O224" s="3944"/>
      <c r="P224" s="3941"/>
      <c r="Q224" s="3965">
        <f>SUM(V224:V232)/R217</f>
        <v>0.31346851236044621</v>
      </c>
      <c r="R224" s="3969"/>
      <c r="S224" s="3941"/>
      <c r="T224" s="3940" t="s">
        <v>1753</v>
      </c>
      <c r="U224" s="1918" t="s">
        <v>1754</v>
      </c>
      <c r="V224" s="1916">
        <v>1000000</v>
      </c>
      <c r="W224" s="1840">
        <v>61</v>
      </c>
      <c r="X224" s="3944"/>
      <c r="Y224" s="4081"/>
      <c r="Z224" s="4081"/>
      <c r="AA224" s="4081"/>
      <c r="AB224" s="4081"/>
      <c r="AC224" s="4081"/>
      <c r="AD224" s="4081"/>
      <c r="AE224" s="4081"/>
      <c r="AF224" s="4081"/>
      <c r="AG224" s="4081"/>
      <c r="AH224" s="4081"/>
      <c r="AI224" s="4081"/>
      <c r="AJ224" s="4081"/>
      <c r="AK224" s="4081"/>
      <c r="AL224" s="4081"/>
      <c r="AM224" s="4081"/>
      <c r="AN224" s="4081"/>
      <c r="AO224" s="4076"/>
      <c r="AP224" s="4076"/>
      <c r="AQ224" s="4084"/>
    </row>
    <row r="225" spans="1:43" ht="71.25" x14ac:dyDescent="0.2">
      <c r="A225" s="1833"/>
      <c r="B225" s="1834"/>
      <c r="C225" s="1835"/>
      <c r="D225" s="1834"/>
      <c r="E225" s="1834"/>
      <c r="F225" s="1835"/>
      <c r="G225" s="1842"/>
      <c r="H225" s="1834"/>
      <c r="I225" s="1835"/>
      <c r="J225" s="3938"/>
      <c r="K225" s="3941"/>
      <c r="L225" s="3944"/>
      <c r="M225" s="3944"/>
      <c r="N225" s="3944"/>
      <c r="O225" s="3944"/>
      <c r="P225" s="3941"/>
      <c r="Q225" s="3966"/>
      <c r="R225" s="3969"/>
      <c r="S225" s="3941"/>
      <c r="T225" s="3941"/>
      <c r="U225" s="1918" t="s">
        <v>1755</v>
      </c>
      <c r="V225" s="1916">
        <v>18000000</v>
      </c>
      <c r="W225" s="1840">
        <v>61</v>
      </c>
      <c r="X225" s="3944"/>
      <c r="Y225" s="4081"/>
      <c r="Z225" s="4081"/>
      <c r="AA225" s="4081"/>
      <c r="AB225" s="4081"/>
      <c r="AC225" s="4081"/>
      <c r="AD225" s="4081"/>
      <c r="AE225" s="4081"/>
      <c r="AF225" s="4081"/>
      <c r="AG225" s="4081"/>
      <c r="AH225" s="4081"/>
      <c r="AI225" s="4081"/>
      <c r="AJ225" s="4081"/>
      <c r="AK225" s="4081"/>
      <c r="AL225" s="4081"/>
      <c r="AM225" s="4081"/>
      <c r="AN225" s="4081"/>
      <c r="AO225" s="4076"/>
      <c r="AP225" s="4076"/>
      <c r="AQ225" s="4084"/>
    </row>
    <row r="226" spans="1:43" ht="26.25" customHeight="1" x14ac:dyDescent="0.2">
      <c r="A226" s="1833"/>
      <c r="B226" s="1834"/>
      <c r="C226" s="1835"/>
      <c r="D226" s="1834"/>
      <c r="E226" s="1834"/>
      <c r="F226" s="1835"/>
      <c r="G226" s="1842"/>
      <c r="H226" s="1834"/>
      <c r="I226" s="1835"/>
      <c r="J226" s="3938"/>
      <c r="K226" s="3941"/>
      <c r="L226" s="3944"/>
      <c r="M226" s="3944"/>
      <c r="N226" s="3944"/>
      <c r="O226" s="3944"/>
      <c r="P226" s="3941"/>
      <c r="Q226" s="3966"/>
      <c r="R226" s="3969"/>
      <c r="S226" s="3941"/>
      <c r="T226" s="3941"/>
      <c r="U226" s="4051" t="s">
        <v>1756</v>
      </c>
      <c r="V226" s="1916">
        <v>45000000</v>
      </c>
      <c r="W226" s="1840">
        <v>61</v>
      </c>
      <c r="X226" s="3944"/>
      <c r="Y226" s="4081"/>
      <c r="Z226" s="4081"/>
      <c r="AA226" s="4081"/>
      <c r="AB226" s="4081"/>
      <c r="AC226" s="4081"/>
      <c r="AD226" s="4081"/>
      <c r="AE226" s="4081"/>
      <c r="AF226" s="4081"/>
      <c r="AG226" s="4081"/>
      <c r="AH226" s="4081"/>
      <c r="AI226" s="4081"/>
      <c r="AJ226" s="4081"/>
      <c r="AK226" s="4081"/>
      <c r="AL226" s="4081"/>
      <c r="AM226" s="4081"/>
      <c r="AN226" s="4081"/>
      <c r="AO226" s="4076"/>
      <c r="AP226" s="4076"/>
      <c r="AQ226" s="4084"/>
    </row>
    <row r="227" spans="1:43" ht="27.75" customHeight="1" x14ac:dyDescent="0.2">
      <c r="A227" s="1833"/>
      <c r="B227" s="1834"/>
      <c r="C227" s="1835"/>
      <c r="D227" s="1834"/>
      <c r="E227" s="1834"/>
      <c r="F227" s="1835"/>
      <c r="G227" s="1842"/>
      <c r="H227" s="1834"/>
      <c r="I227" s="1835"/>
      <c r="J227" s="3938"/>
      <c r="K227" s="3941"/>
      <c r="L227" s="3944"/>
      <c r="M227" s="3944"/>
      <c r="N227" s="3944"/>
      <c r="O227" s="3944"/>
      <c r="P227" s="3941"/>
      <c r="Q227" s="3966"/>
      <c r="R227" s="3969"/>
      <c r="S227" s="3941"/>
      <c r="T227" s="3941"/>
      <c r="U227" s="4037"/>
      <c r="V227" s="1916">
        <v>15500000</v>
      </c>
      <c r="W227" s="1925">
        <v>98</v>
      </c>
      <c r="X227" s="3944"/>
      <c r="Y227" s="4081"/>
      <c r="Z227" s="4081"/>
      <c r="AA227" s="4081"/>
      <c r="AB227" s="4081"/>
      <c r="AC227" s="4081"/>
      <c r="AD227" s="4081"/>
      <c r="AE227" s="4081"/>
      <c r="AF227" s="4081"/>
      <c r="AG227" s="4081"/>
      <c r="AH227" s="4081"/>
      <c r="AI227" s="4081"/>
      <c r="AJ227" s="4081"/>
      <c r="AK227" s="4081"/>
      <c r="AL227" s="4081"/>
      <c r="AM227" s="4081"/>
      <c r="AN227" s="4081"/>
      <c r="AO227" s="4076"/>
      <c r="AP227" s="4076"/>
      <c r="AQ227" s="4084"/>
    </row>
    <row r="228" spans="1:43" ht="57" customHeight="1" x14ac:dyDescent="0.2">
      <c r="A228" s="1833"/>
      <c r="B228" s="1834"/>
      <c r="C228" s="1835"/>
      <c r="D228" s="1834"/>
      <c r="E228" s="1834"/>
      <c r="F228" s="1835"/>
      <c r="G228" s="1842"/>
      <c r="H228" s="1834"/>
      <c r="I228" s="1835"/>
      <c r="J228" s="3938"/>
      <c r="K228" s="3941"/>
      <c r="L228" s="3944"/>
      <c r="M228" s="3944"/>
      <c r="N228" s="3944"/>
      <c r="O228" s="3944"/>
      <c r="P228" s="3941"/>
      <c r="Q228" s="3966"/>
      <c r="R228" s="3969"/>
      <c r="S228" s="3941"/>
      <c r="T228" s="3941"/>
      <c r="U228" s="1918" t="s">
        <v>1757</v>
      </c>
      <c r="V228" s="1916">
        <v>1000000</v>
      </c>
      <c r="W228" s="1840">
        <v>61</v>
      </c>
      <c r="X228" s="3944"/>
      <c r="Y228" s="4081"/>
      <c r="Z228" s="4081"/>
      <c r="AA228" s="4081"/>
      <c r="AB228" s="4081"/>
      <c r="AC228" s="4081"/>
      <c r="AD228" s="4081"/>
      <c r="AE228" s="4081"/>
      <c r="AF228" s="4081"/>
      <c r="AG228" s="4081"/>
      <c r="AH228" s="4081"/>
      <c r="AI228" s="4081"/>
      <c r="AJ228" s="4081"/>
      <c r="AK228" s="4081"/>
      <c r="AL228" s="4081"/>
      <c r="AM228" s="4081"/>
      <c r="AN228" s="4081"/>
      <c r="AO228" s="4076"/>
      <c r="AP228" s="4076"/>
      <c r="AQ228" s="4084"/>
    </row>
    <row r="229" spans="1:43" ht="42.75" x14ac:dyDescent="0.2">
      <c r="A229" s="1833"/>
      <c r="B229" s="1834"/>
      <c r="C229" s="1835"/>
      <c r="D229" s="1834"/>
      <c r="E229" s="1834"/>
      <c r="F229" s="1835"/>
      <c r="G229" s="1842"/>
      <c r="H229" s="1834"/>
      <c r="I229" s="1835"/>
      <c r="J229" s="3938"/>
      <c r="K229" s="3941"/>
      <c r="L229" s="3944"/>
      <c r="M229" s="3944"/>
      <c r="N229" s="3944"/>
      <c r="O229" s="3944"/>
      <c r="P229" s="3941"/>
      <c r="Q229" s="3966"/>
      <c r="R229" s="3969"/>
      <c r="S229" s="3941"/>
      <c r="T229" s="3941"/>
      <c r="U229" s="1918" t="s">
        <v>1758</v>
      </c>
      <c r="V229" s="1916">
        <v>1000000</v>
      </c>
      <c r="W229" s="1840">
        <v>61</v>
      </c>
      <c r="X229" s="3944"/>
      <c r="Y229" s="4081"/>
      <c r="Z229" s="4081"/>
      <c r="AA229" s="4081"/>
      <c r="AB229" s="4081"/>
      <c r="AC229" s="4081"/>
      <c r="AD229" s="4081"/>
      <c r="AE229" s="4081"/>
      <c r="AF229" s="4081"/>
      <c r="AG229" s="4081"/>
      <c r="AH229" s="4081"/>
      <c r="AI229" s="4081"/>
      <c r="AJ229" s="4081"/>
      <c r="AK229" s="4081"/>
      <c r="AL229" s="4081"/>
      <c r="AM229" s="4081"/>
      <c r="AN229" s="4081"/>
      <c r="AO229" s="4076"/>
      <c r="AP229" s="4076"/>
      <c r="AQ229" s="4084"/>
    </row>
    <row r="230" spans="1:43" ht="42.75" x14ac:dyDescent="0.2">
      <c r="A230" s="1833"/>
      <c r="B230" s="1834"/>
      <c r="C230" s="1835"/>
      <c r="D230" s="1834"/>
      <c r="E230" s="1834"/>
      <c r="F230" s="1835"/>
      <c r="G230" s="1842"/>
      <c r="H230" s="1834"/>
      <c r="I230" s="1835"/>
      <c r="J230" s="3938"/>
      <c r="K230" s="3941"/>
      <c r="L230" s="3944"/>
      <c r="M230" s="3944"/>
      <c r="N230" s="3944"/>
      <c r="O230" s="3944"/>
      <c r="P230" s="3941"/>
      <c r="Q230" s="3966"/>
      <c r="R230" s="3969"/>
      <c r="S230" s="3941"/>
      <c r="T230" s="3941"/>
      <c r="U230" s="1918" t="s">
        <v>1759</v>
      </c>
      <c r="V230" s="1916">
        <v>13500000</v>
      </c>
      <c r="W230" s="1840">
        <v>61</v>
      </c>
      <c r="X230" s="3944"/>
      <c r="Y230" s="4081"/>
      <c r="Z230" s="4081"/>
      <c r="AA230" s="4081"/>
      <c r="AB230" s="4081"/>
      <c r="AC230" s="4081"/>
      <c r="AD230" s="4081"/>
      <c r="AE230" s="4081"/>
      <c r="AF230" s="4081"/>
      <c r="AG230" s="4081"/>
      <c r="AH230" s="4081"/>
      <c r="AI230" s="4081"/>
      <c r="AJ230" s="4081"/>
      <c r="AK230" s="4081"/>
      <c r="AL230" s="4081"/>
      <c r="AM230" s="4081"/>
      <c r="AN230" s="4081"/>
      <c r="AO230" s="4076"/>
      <c r="AP230" s="4076"/>
      <c r="AQ230" s="4084"/>
    </row>
    <row r="231" spans="1:43" ht="28.5" x14ac:dyDescent="0.2">
      <c r="A231" s="1833"/>
      <c r="B231" s="1834"/>
      <c r="C231" s="1835"/>
      <c r="D231" s="1834"/>
      <c r="E231" s="1834"/>
      <c r="F231" s="1835"/>
      <c r="G231" s="1842"/>
      <c r="H231" s="1834"/>
      <c r="I231" s="1835"/>
      <c r="J231" s="3938"/>
      <c r="K231" s="3941"/>
      <c r="L231" s="3944"/>
      <c r="M231" s="3944"/>
      <c r="N231" s="3944"/>
      <c r="O231" s="3944"/>
      <c r="P231" s="3941"/>
      <c r="Q231" s="3966"/>
      <c r="R231" s="3969"/>
      <c r="S231" s="3941"/>
      <c r="T231" s="3941"/>
      <c r="U231" s="1918" t="s">
        <v>1760</v>
      </c>
      <c r="V231" s="1916">
        <v>3500000</v>
      </c>
      <c r="W231" s="1840">
        <v>61</v>
      </c>
      <c r="X231" s="3944"/>
      <c r="Y231" s="4081"/>
      <c r="Z231" s="4081"/>
      <c r="AA231" s="4081"/>
      <c r="AB231" s="4081"/>
      <c r="AC231" s="4081"/>
      <c r="AD231" s="4081"/>
      <c r="AE231" s="4081"/>
      <c r="AF231" s="4081"/>
      <c r="AG231" s="4081"/>
      <c r="AH231" s="4081"/>
      <c r="AI231" s="4081"/>
      <c r="AJ231" s="4081"/>
      <c r="AK231" s="4081"/>
      <c r="AL231" s="4081"/>
      <c r="AM231" s="4081"/>
      <c r="AN231" s="4081"/>
      <c r="AO231" s="4076"/>
      <c r="AP231" s="4076"/>
      <c r="AQ231" s="4084"/>
    </row>
    <row r="232" spans="1:43" ht="28.5" x14ac:dyDescent="0.2">
      <c r="A232" s="1833"/>
      <c r="B232" s="1834"/>
      <c r="C232" s="1835"/>
      <c r="D232" s="1834"/>
      <c r="E232" s="1834"/>
      <c r="F232" s="1835"/>
      <c r="G232" s="1842"/>
      <c r="H232" s="1834"/>
      <c r="I232" s="1835"/>
      <c r="J232" s="3939"/>
      <c r="K232" s="3942"/>
      <c r="L232" s="3945"/>
      <c r="M232" s="3945"/>
      <c r="N232" s="3944"/>
      <c r="O232" s="3944"/>
      <c r="P232" s="3941"/>
      <c r="Q232" s="3967"/>
      <c r="R232" s="3969"/>
      <c r="S232" s="3941"/>
      <c r="T232" s="3942"/>
      <c r="U232" s="1918" t="s">
        <v>1761</v>
      </c>
      <c r="V232" s="1916">
        <v>1000000</v>
      </c>
      <c r="W232" s="1840">
        <v>61</v>
      </c>
      <c r="X232" s="3944"/>
      <c r="Y232" s="4081"/>
      <c r="Z232" s="4081"/>
      <c r="AA232" s="4081"/>
      <c r="AB232" s="4081"/>
      <c r="AC232" s="4081"/>
      <c r="AD232" s="4081"/>
      <c r="AE232" s="4081"/>
      <c r="AF232" s="4081"/>
      <c r="AG232" s="4081"/>
      <c r="AH232" s="4081"/>
      <c r="AI232" s="4081"/>
      <c r="AJ232" s="4081"/>
      <c r="AK232" s="4081"/>
      <c r="AL232" s="4081"/>
      <c r="AM232" s="4081"/>
      <c r="AN232" s="4081"/>
      <c r="AO232" s="4076"/>
      <c r="AP232" s="4076"/>
      <c r="AQ232" s="4084"/>
    </row>
    <row r="233" spans="1:43" ht="68.25" customHeight="1" x14ac:dyDescent="0.2">
      <c r="A233" s="1833"/>
      <c r="B233" s="1834"/>
      <c r="C233" s="1835"/>
      <c r="D233" s="1834"/>
      <c r="E233" s="1834"/>
      <c r="F233" s="1835"/>
      <c r="G233" s="1842"/>
      <c r="H233" s="1834"/>
      <c r="I233" s="1835"/>
      <c r="J233" s="3937">
        <v>156</v>
      </c>
      <c r="K233" s="3940" t="s">
        <v>1762</v>
      </c>
      <c r="L233" s="3943" t="s">
        <v>1482</v>
      </c>
      <c r="M233" s="3943">
        <v>12</v>
      </c>
      <c r="N233" s="3944"/>
      <c r="O233" s="3944"/>
      <c r="P233" s="3941"/>
      <c r="Q233" s="3965">
        <f>SUM(V233:V239)/R217</f>
        <v>0.32738163428185663</v>
      </c>
      <c r="R233" s="3969"/>
      <c r="S233" s="3941"/>
      <c r="T233" s="3940" t="s">
        <v>1763</v>
      </c>
      <c r="U233" s="1918" t="s">
        <v>1764</v>
      </c>
      <c r="V233" s="1916">
        <v>20000000</v>
      </c>
      <c r="W233" s="1840">
        <v>61</v>
      </c>
      <c r="X233" s="3944"/>
      <c r="Y233" s="4081"/>
      <c r="Z233" s="4081"/>
      <c r="AA233" s="4081"/>
      <c r="AB233" s="4081"/>
      <c r="AC233" s="4081"/>
      <c r="AD233" s="4081"/>
      <c r="AE233" s="4081"/>
      <c r="AF233" s="4081"/>
      <c r="AG233" s="4081"/>
      <c r="AH233" s="4081"/>
      <c r="AI233" s="4081"/>
      <c r="AJ233" s="4081"/>
      <c r="AK233" s="4081"/>
      <c r="AL233" s="4081"/>
      <c r="AM233" s="4081"/>
      <c r="AN233" s="4081"/>
      <c r="AO233" s="4076"/>
      <c r="AP233" s="4076"/>
      <c r="AQ233" s="4084"/>
    </row>
    <row r="234" spans="1:43" ht="69.75" customHeight="1" x14ac:dyDescent="0.2">
      <c r="A234" s="1833"/>
      <c r="B234" s="1834"/>
      <c r="C234" s="1835"/>
      <c r="D234" s="1834"/>
      <c r="E234" s="1834"/>
      <c r="F234" s="1835"/>
      <c r="G234" s="1842"/>
      <c r="H234" s="1834"/>
      <c r="I234" s="1835"/>
      <c r="J234" s="3938"/>
      <c r="K234" s="3941"/>
      <c r="L234" s="3944"/>
      <c r="M234" s="3944"/>
      <c r="N234" s="3944"/>
      <c r="O234" s="3944"/>
      <c r="P234" s="3941"/>
      <c r="Q234" s="3966"/>
      <c r="R234" s="3969"/>
      <c r="S234" s="3941"/>
      <c r="T234" s="3941"/>
      <c r="U234" s="1918" t="s">
        <v>1765</v>
      </c>
      <c r="V234" s="1916">
        <v>20000000</v>
      </c>
      <c r="W234" s="1840">
        <v>61</v>
      </c>
      <c r="X234" s="3944"/>
      <c r="Y234" s="4081"/>
      <c r="Z234" s="4081"/>
      <c r="AA234" s="4081"/>
      <c r="AB234" s="4081"/>
      <c r="AC234" s="4081"/>
      <c r="AD234" s="4081"/>
      <c r="AE234" s="4081"/>
      <c r="AF234" s="4081"/>
      <c r="AG234" s="4081"/>
      <c r="AH234" s="4081"/>
      <c r="AI234" s="4081"/>
      <c r="AJ234" s="4081"/>
      <c r="AK234" s="4081"/>
      <c r="AL234" s="4081"/>
      <c r="AM234" s="4081"/>
      <c r="AN234" s="4081"/>
      <c r="AO234" s="4076"/>
      <c r="AP234" s="4076"/>
      <c r="AQ234" s="4084"/>
    </row>
    <row r="235" spans="1:43" ht="42.75" x14ac:dyDescent="0.2">
      <c r="A235" s="1833"/>
      <c r="B235" s="1834"/>
      <c r="C235" s="1835"/>
      <c r="D235" s="1834"/>
      <c r="E235" s="1834"/>
      <c r="F235" s="1835"/>
      <c r="G235" s="1842"/>
      <c r="H235" s="1834"/>
      <c r="I235" s="1835"/>
      <c r="J235" s="3938"/>
      <c r="K235" s="3941"/>
      <c r="L235" s="3944"/>
      <c r="M235" s="3944"/>
      <c r="N235" s="3944"/>
      <c r="O235" s="3944"/>
      <c r="P235" s="3941"/>
      <c r="Q235" s="3966"/>
      <c r="R235" s="3969"/>
      <c r="S235" s="3941"/>
      <c r="T235" s="3941"/>
      <c r="U235" s="1918" t="s">
        <v>1766</v>
      </c>
      <c r="V235" s="1916">
        <v>4000000</v>
      </c>
      <c r="W235" s="1840">
        <v>61</v>
      </c>
      <c r="X235" s="3944"/>
      <c r="Y235" s="4081"/>
      <c r="Z235" s="4081"/>
      <c r="AA235" s="4081"/>
      <c r="AB235" s="4081"/>
      <c r="AC235" s="4081"/>
      <c r="AD235" s="4081"/>
      <c r="AE235" s="4081"/>
      <c r="AF235" s="4081"/>
      <c r="AG235" s="4081"/>
      <c r="AH235" s="4081"/>
      <c r="AI235" s="4081"/>
      <c r="AJ235" s="4081"/>
      <c r="AK235" s="4081"/>
      <c r="AL235" s="4081"/>
      <c r="AM235" s="4081"/>
      <c r="AN235" s="4081"/>
      <c r="AO235" s="4076"/>
      <c r="AP235" s="4076"/>
      <c r="AQ235" s="4084"/>
    </row>
    <row r="236" spans="1:43" ht="57" customHeight="1" x14ac:dyDescent="0.2">
      <c r="A236" s="1833"/>
      <c r="B236" s="1834"/>
      <c r="C236" s="1835"/>
      <c r="D236" s="1834"/>
      <c r="E236" s="1834"/>
      <c r="F236" s="1835"/>
      <c r="G236" s="1842"/>
      <c r="H236" s="1834"/>
      <c r="I236" s="1835"/>
      <c r="J236" s="3938"/>
      <c r="K236" s="3941"/>
      <c r="L236" s="3944"/>
      <c r="M236" s="3944"/>
      <c r="N236" s="3944"/>
      <c r="O236" s="3944"/>
      <c r="P236" s="3941"/>
      <c r="Q236" s="3966"/>
      <c r="R236" s="3969"/>
      <c r="S236" s="3941"/>
      <c r="T236" s="3941"/>
      <c r="U236" s="4051" t="s">
        <v>1767</v>
      </c>
      <c r="V236" s="1916">
        <v>16000000</v>
      </c>
      <c r="W236" s="1840">
        <v>61</v>
      </c>
      <c r="X236" s="3944"/>
      <c r="Y236" s="4081"/>
      <c r="Z236" s="4081"/>
      <c r="AA236" s="4081"/>
      <c r="AB236" s="4081"/>
      <c r="AC236" s="4081"/>
      <c r="AD236" s="4081"/>
      <c r="AE236" s="4081"/>
      <c r="AF236" s="4081"/>
      <c r="AG236" s="4081"/>
      <c r="AH236" s="4081"/>
      <c r="AI236" s="4081"/>
      <c r="AJ236" s="4081"/>
      <c r="AK236" s="4081"/>
      <c r="AL236" s="4081"/>
      <c r="AM236" s="4081"/>
      <c r="AN236" s="4081"/>
      <c r="AO236" s="4076"/>
      <c r="AP236" s="4076"/>
      <c r="AQ236" s="4084"/>
    </row>
    <row r="237" spans="1:43" ht="27.75" customHeight="1" x14ac:dyDescent="0.2">
      <c r="A237" s="1833"/>
      <c r="B237" s="1834"/>
      <c r="C237" s="1835"/>
      <c r="D237" s="1834"/>
      <c r="E237" s="1834"/>
      <c r="F237" s="1835"/>
      <c r="G237" s="1842"/>
      <c r="H237" s="1834"/>
      <c r="I237" s="1835"/>
      <c r="J237" s="3938"/>
      <c r="K237" s="3941"/>
      <c r="L237" s="3944"/>
      <c r="M237" s="3944"/>
      <c r="N237" s="3944"/>
      <c r="O237" s="3944"/>
      <c r="P237" s="3941"/>
      <c r="Q237" s="3966"/>
      <c r="R237" s="3969"/>
      <c r="S237" s="3941"/>
      <c r="T237" s="3941"/>
      <c r="U237" s="4037"/>
      <c r="V237" s="1916">
        <v>11916251</v>
      </c>
      <c r="W237" s="1925">
        <v>98</v>
      </c>
      <c r="X237" s="3944"/>
      <c r="Y237" s="4081"/>
      <c r="Z237" s="4081"/>
      <c r="AA237" s="4081"/>
      <c r="AB237" s="4081"/>
      <c r="AC237" s="4081"/>
      <c r="AD237" s="4081"/>
      <c r="AE237" s="4081"/>
      <c r="AF237" s="4081"/>
      <c r="AG237" s="4081"/>
      <c r="AH237" s="4081"/>
      <c r="AI237" s="4081"/>
      <c r="AJ237" s="4081"/>
      <c r="AK237" s="4081"/>
      <c r="AL237" s="4081"/>
      <c r="AM237" s="4081"/>
      <c r="AN237" s="4081"/>
      <c r="AO237" s="4076"/>
      <c r="AP237" s="4076"/>
      <c r="AQ237" s="4084"/>
    </row>
    <row r="238" spans="1:43" ht="42.75" x14ac:dyDescent="0.2">
      <c r="A238" s="1833"/>
      <c r="B238" s="1834"/>
      <c r="C238" s="1835"/>
      <c r="D238" s="1834"/>
      <c r="E238" s="1834"/>
      <c r="F238" s="1835"/>
      <c r="G238" s="1842"/>
      <c r="H238" s="1834"/>
      <c r="I238" s="1835"/>
      <c r="J238" s="3938"/>
      <c r="K238" s="3941"/>
      <c r="L238" s="3944"/>
      <c r="M238" s="3944"/>
      <c r="N238" s="3944"/>
      <c r="O238" s="3944"/>
      <c r="P238" s="3941"/>
      <c r="Q238" s="3966"/>
      <c r="R238" s="3969"/>
      <c r="S238" s="3941"/>
      <c r="T238" s="3941"/>
      <c r="U238" s="1918" t="s">
        <v>1768</v>
      </c>
      <c r="V238" s="1916">
        <v>16000000</v>
      </c>
      <c r="W238" s="1840">
        <v>61</v>
      </c>
      <c r="X238" s="3944"/>
      <c r="Y238" s="4081"/>
      <c r="Z238" s="4081"/>
      <c r="AA238" s="4081"/>
      <c r="AB238" s="4081"/>
      <c r="AC238" s="4081"/>
      <c r="AD238" s="4081"/>
      <c r="AE238" s="4081"/>
      <c r="AF238" s="4081"/>
      <c r="AG238" s="4081"/>
      <c r="AH238" s="4081"/>
      <c r="AI238" s="4081"/>
      <c r="AJ238" s="4081"/>
      <c r="AK238" s="4081"/>
      <c r="AL238" s="4081"/>
      <c r="AM238" s="4081"/>
      <c r="AN238" s="4081"/>
      <c r="AO238" s="4076"/>
      <c r="AP238" s="4076"/>
      <c r="AQ238" s="4084"/>
    </row>
    <row r="239" spans="1:43" ht="28.5" x14ac:dyDescent="0.2">
      <c r="A239" s="1833"/>
      <c r="B239" s="1834"/>
      <c r="C239" s="1835"/>
      <c r="D239" s="1834"/>
      <c r="E239" s="1834"/>
      <c r="F239" s="1835"/>
      <c r="G239" s="1842"/>
      <c r="H239" s="1834"/>
      <c r="I239" s="1835"/>
      <c r="J239" s="3939"/>
      <c r="K239" s="3942"/>
      <c r="L239" s="3945"/>
      <c r="M239" s="3945"/>
      <c r="N239" s="3944"/>
      <c r="O239" s="3944"/>
      <c r="P239" s="3941"/>
      <c r="Q239" s="3967"/>
      <c r="R239" s="3969"/>
      <c r="S239" s="3941"/>
      <c r="T239" s="3942"/>
      <c r="U239" s="1918" t="s">
        <v>1769</v>
      </c>
      <c r="V239" s="1916">
        <v>16000000</v>
      </c>
      <c r="W239" s="1840">
        <v>61</v>
      </c>
      <c r="X239" s="3944"/>
      <c r="Y239" s="4081"/>
      <c r="Z239" s="4081"/>
      <c r="AA239" s="4081"/>
      <c r="AB239" s="4081"/>
      <c r="AC239" s="4081"/>
      <c r="AD239" s="4081"/>
      <c r="AE239" s="4081"/>
      <c r="AF239" s="4081"/>
      <c r="AG239" s="4081"/>
      <c r="AH239" s="4081"/>
      <c r="AI239" s="4081"/>
      <c r="AJ239" s="4081"/>
      <c r="AK239" s="4081"/>
      <c r="AL239" s="4081"/>
      <c r="AM239" s="4081"/>
      <c r="AN239" s="4081"/>
      <c r="AO239" s="4076"/>
      <c r="AP239" s="4076"/>
      <c r="AQ239" s="4084"/>
    </row>
    <row r="240" spans="1:43" ht="28.5" x14ac:dyDescent="0.2">
      <c r="A240" s="1833"/>
      <c r="B240" s="1834"/>
      <c r="C240" s="1835"/>
      <c r="D240" s="1834"/>
      <c r="E240" s="1834"/>
      <c r="F240" s="1835"/>
      <c r="G240" s="1842"/>
      <c r="H240" s="1834"/>
      <c r="I240" s="1835"/>
      <c r="J240" s="3937">
        <v>157</v>
      </c>
      <c r="K240" s="3940" t="s">
        <v>1770</v>
      </c>
      <c r="L240" s="3943" t="s">
        <v>1482</v>
      </c>
      <c r="M240" s="3943">
        <v>12</v>
      </c>
      <c r="N240" s="3944"/>
      <c r="O240" s="3944"/>
      <c r="P240" s="3941"/>
      <c r="Q240" s="3965">
        <f>SUM(V240:V247)/R217</f>
        <v>0.17642448936869334</v>
      </c>
      <c r="R240" s="3969"/>
      <c r="S240" s="3941"/>
      <c r="T240" s="3940" t="s">
        <v>1771</v>
      </c>
      <c r="U240" s="1918" t="s">
        <v>1772</v>
      </c>
      <c r="V240" s="1916">
        <v>4800000</v>
      </c>
      <c r="W240" s="1840">
        <v>61</v>
      </c>
      <c r="X240" s="3944"/>
      <c r="Y240" s="4081"/>
      <c r="Z240" s="4081"/>
      <c r="AA240" s="4081"/>
      <c r="AB240" s="4081"/>
      <c r="AC240" s="4081"/>
      <c r="AD240" s="4081"/>
      <c r="AE240" s="4081"/>
      <c r="AF240" s="4081"/>
      <c r="AG240" s="4081"/>
      <c r="AH240" s="4081"/>
      <c r="AI240" s="4081"/>
      <c r="AJ240" s="4081"/>
      <c r="AK240" s="4081"/>
      <c r="AL240" s="4081"/>
      <c r="AM240" s="4081"/>
      <c r="AN240" s="4081"/>
      <c r="AO240" s="4076"/>
      <c r="AP240" s="4076"/>
      <c r="AQ240" s="4084"/>
    </row>
    <row r="241" spans="1:43" ht="28.5" x14ac:dyDescent="0.2">
      <c r="A241" s="1833"/>
      <c r="B241" s="1834"/>
      <c r="C241" s="1835"/>
      <c r="D241" s="1834"/>
      <c r="E241" s="1834"/>
      <c r="F241" s="1835"/>
      <c r="G241" s="1842"/>
      <c r="H241" s="1834"/>
      <c r="I241" s="1835"/>
      <c r="J241" s="3938"/>
      <c r="K241" s="3941"/>
      <c r="L241" s="3944"/>
      <c r="M241" s="3944"/>
      <c r="N241" s="3944"/>
      <c r="O241" s="3944"/>
      <c r="P241" s="3941"/>
      <c r="Q241" s="3966"/>
      <c r="R241" s="3969"/>
      <c r="S241" s="3941"/>
      <c r="T241" s="3941"/>
      <c r="U241" s="1918" t="s">
        <v>1773</v>
      </c>
      <c r="V241" s="1916">
        <v>10800000</v>
      </c>
      <c r="W241" s="1840">
        <v>61</v>
      </c>
      <c r="X241" s="3944"/>
      <c r="Y241" s="4081"/>
      <c r="Z241" s="4081"/>
      <c r="AA241" s="4081"/>
      <c r="AB241" s="4081"/>
      <c r="AC241" s="4081"/>
      <c r="AD241" s="4081"/>
      <c r="AE241" s="4081"/>
      <c r="AF241" s="4081"/>
      <c r="AG241" s="4081"/>
      <c r="AH241" s="4081"/>
      <c r="AI241" s="4081"/>
      <c r="AJ241" s="4081"/>
      <c r="AK241" s="4081"/>
      <c r="AL241" s="4081"/>
      <c r="AM241" s="4081"/>
      <c r="AN241" s="4081"/>
      <c r="AO241" s="4076"/>
      <c r="AP241" s="4076"/>
      <c r="AQ241" s="4084"/>
    </row>
    <row r="242" spans="1:43" ht="87.75" customHeight="1" x14ac:dyDescent="0.2">
      <c r="A242" s="1833"/>
      <c r="B242" s="1834"/>
      <c r="C242" s="1835"/>
      <c r="D242" s="1834"/>
      <c r="E242" s="1834"/>
      <c r="F242" s="1835"/>
      <c r="G242" s="1842"/>
      <c r="H242" s="1834"/>
      <c r="I242" s="1835"/>
      <c r="J242" s="3938"/>
      <c r="K242" s="3941"/>
      <c r="L242" s="3944"/>
      <c r="M242" s="3944"/>
      <c r="N242" s="3944"/>
      <c r="O242" s="3944"/>
      <c r="P242" s="3941"/>
      <c r="Q242" s="3966"/>
      <c r="R242" s="3969"/>
      <c r="S242" s="3941"/>
      <c r="T242" s="3941"/>
      <c r="U242" s="1918" t="s">
        <v>1774</v>
      </c>
      <c r="V242" s="1916">
        <v>4800000</v>
      </c>
      <c r="W242" s="1840">
        <v>61</v>
      </c>
      <c r="X242" s="3944"/>
      <c r="Y242" s="4081"/>
      <c r="Z242" s="4081"/>
      <c r="AA242" s="4081"/>
      <c r="AB242" s="4081"/>
      <c r="AC242" s="4081"/>
      <c r="AD242" s="4081"/>
      <c r="AE242" s="4081"/>
      <c r="AF242" s="4081"/>
      <c r="AG242" s="4081"/>
      <c r="AH242" s="4081"/>
      <c r="AI242" s="4081"/>
      <c r="AJ242" s="4081"/>
      <c r="AK242" s="4081"/>
      <c r="AL242" s="4081"/>
      <c r="AM242" s="4081"/>
      <c r="AN242" s="4081"/>
      <c r="AO242" s="4076"/>
      <c r="AP242" s="4076"/>
      <c r="AQ242" s="4084"/>
    </row>
    <row r="243" spans="1:43" ht="28.5" x14ac:dyDescent="0.2">
      <c r="A243" s="1833"/>
      <c r="B243" s="1834"/>
      <c r="C243" s="1835"/>
      <c r="D243" s="1834"/>
      <c r="E243" s="1834"/>
      <c r="F243" s="1835"/>
      <c r="G243" s="1842"/>
      <c r="H243" s="1834"/>
      <c r="I243" s="1835"/>
      <c r="J243" s="3938"/>
      <c r="K243" s="3941"/>
      <c r="L243" s="3944"/>
      <c r="M243" s="3944"/>
      <c r="N243" s="3944"/>
      <c r="O243" s="3944"/>
      <c r="P243" s="3941"/>
      <c r="Q243" s="3966"/>
      <c r="R243" s="3969"/>
      <c r="S243" s="3941"/>
      <c r="T243" s="3941"/>
      <c r="U243" s="1918" t="s">
        <v>1775</v>
      </c>
      <c r="V243" s="1916">
        <v>3600000</v>
      </c>
      <c r="W243" s="1840">
        <v>61</v>
      </c>
      <c r="X243" s="3944"/>
      <c r="Y243" s="4081"/>
      <c r="Z243" s="4081"/>
      <c r="AA243" s="4081"/>
      <c r="AB243" s="4081"/>
      <c r="AC243" s="4081"/>
      <c r="AD243" s="4081"/>
      <c r="AE243" s="4081"/>
      <c r="AF243" s="4081"/>
      <c r="AG243" s="4081"/>
      <c r="AH243" s="4081"/>
      <c r="AI243" s="4081"/>
      <c r="AJ243" s="4081"/>
      <c r="AK243" s="4081"/>
      <c r="AL243" s="4081"/>
      <c r="AM243" s="4081"/>
      <c r="AN243" s="4081"/>
      <c r="AO243" s="4076"/>
      <c r="AP243" s="4076"/>
      <c r="AQ243" s="4084"/>
    </row>
    <row r="244" spans="1:43" ht="28.5" x14ac:dyDescent="0.2">
      <c r="A244" s="1833"/>
      <c r="B244" s="1834"/>
      <c r="C244" s="1835"/>
      <c r="D244" s="1834"/>
      <c r="E244" s="1834"/>
      <c r="F244" s="1835"/>
      <c r="G244" s="1842"/>
      <c r="H244" s="1834"/>
      <c r="I244" s="1835"/>
      <c r="J244" s="3938"/>
      <c r="K244" s="3941"/>
      <c r="L244" s="3944"/>
      <c r="M244" s="3944"/>
      <c r="N244" s="3944"/>
      <c r="O244" s="3944"/>
      <c r="P244" s="3941"/>
      <c r="Q244" s="3966"/>
      <c r="R244" s="3969"/>
      <c r="S244" s="3941"/>
      <c r="T244" s="3941"/>
      <c r="U244" s="1918" t="s">
        <v>1776</v>
      </c>
      <c r="V244" s="1916">
        <v>6000000</v>
      </c>
      <c r="W244" s="1840">
        <v>61</v>
      </c>
      <c r="X244" s="3944"/>
      <c r="Y244" s="4081"/>
      <c r="Z244" s="4081"/>
      <c r="AA244" s="4081"/>
      <c r="AB244" s="4081"/>
      <c r="AC244" s="4081"/>
      <c r="AD244" s="4081"/>
      <c r="AE244" s="4081"/>
      <c r="AF244" s="4081"/>
      <c r="AG244" s="4081"/>
      <c r="AH244" s="4081"/>
      <c r="AI244" s="4081"/>
      <c r="AJ244" s="4081"/>
      <c r="AK244" s="4081"/>
      <c r="AL244" s="4081"/>
      <c r="AM244" s="4081"/>
      <c r="AN244" s="4081"/>
      <c r="AO244" s="4076"/>
      <c r="AP244" s="4076"/>
      <c r="AQ244" s="4084"/>
    </row>
    <row r="245" spans="1:43" ht="28.5" x14ac:dyDescent="0.2">
      <c r="A245" s="1833"/>
      <c r="B245" s="1834"/>
      <c r="C245" s="1835"/>
      <c r="D245" s="1834"/>
      <c r="E245" s="1834"/>
      <c r="F245" s="1835"/>
      <c r="G245" s="1842"/>
      <c r="H245" s="1834"/>
      <c r="I245" s="1835"/>
      <c r="J245" s="3938"/>
      <c r="K245" s="3941"/>
      <c r="L245" s="3944"/>
      <c r="M245" s="3944"/>
      <c r="N245" s="3944"/>
      <c r="O245" s="3944"/>
      <c r="P245" s="3941"/>
      <c r="Q245" s="3966"/>
      <c r="R245" s="3969"/>
      <c r="S245" s="3941"/>
      <c r="T245" s="3941"/>
      <c r="U245" s="1918" t="s">
        <v>1777</v>
      </c>
      <c r="V245" s="1916">
        <v>8000000</v>
      </c>
      <c r="W245" s="1840">
        <v>61</v>
      </c>
      <c r="X245" s="3944"/>
      <c r="Y245" s="4081"/>
      <c r="Z245" s="4081"/>
      <c r="AA245" s="4081"/>
      <c r="AB245" s="4081"/>
      <c r="AC245" s="4081"/>
      <c r="AD245" s="4081"/>
      <c r="AE245" s="4081"/>
      <c r="AF245" s="4081"/>
      <c r="AG245" s="4081"/>
      <c r="AH245" s="4081"/>
      <c r="AI245" s="4081"/>
      <c r="AJ245" s="4081"/>
      <c r="AK245" s="4081"/>
      <c r="AL245" s="4081"/>
      <c r="AM245" s="4081"/>
      <c r="AN245" s="4081"/>
      <c r="AO245" s="4076"/>
      <c r="AP245" s="4076"/>
      <c r="AQ245" s="4084"/>
    </row>
    <row r="246" spans="1:43" ht="42.75" x14ac:dyDescent="0.2">
      <c r="A246" s="1833"/>
      <c r="B246" s="1834"/>
      <c r="C246" s="1835"/>
      <c r="D246" s="1834"/>
      <c r="E246" s="1834"/>
      <c r="F246" s="1835"/>
      <c r="G246" s="1842"/>
      <c r="H246" s="1834"/>
      <c r="I246" s="1835"/>
      <c r="J246" s="3938"/>
      <c r="K246" s="3941"/>
      <c r="L246" s="3944"/>
      <c r="M246" s="3944"/>
      <c r="N246" s="3944"/>
      <c r="O246" s="3944"/>
      <c r="P246" s="3941"/>
      <c r="Q246" s="3966"/>
      <c r="R246" s="3969"/>
      <c r="S246" s="3941"/>
      <c r="T246" s="3941"/>
      <c r="U246" s="1918" t="s">
        <v>1778</v>
      </c>
      <c r="V246" s="1916">
        <v>12000000</v>
      </c>
      <c r="W246" s="1840">
        <v>61</v>
      </c>
      <c r="X246" s="3944"/>
      <c r="Y246" s="4081"/>
      <c r="Z246" s="4081"/>
      <c r="AA246" s="4081"/>
      <c r="AB246" s="4081"/>
      <c r="AC246" s="4081"/>
      <c r="AD246" s="4081"/>
      <c r="AE246" s="4081"/>
      <c r="AF246" s="4081"/>
      <c r="AG246" s="4081"/>
      <c r="AH246" s="4081"/>
      <c r="AI246" s="4081"/>
      <c r="AJ246" s="4081"/>
      <c r="AK246" s="4081"/>
      <c r="AL246" s="4081"/>
      <c r="AM246" s="4081"/>
      <c r="AN246" s="4081"/>
      <c r="AO246" s="4076"/>
      <c r="AP246" s="4076"/>
      <c r="AQ246" s="4084"/>
    </row>
    <row r="247" spans="1:43" ht="57" x14ac:dyDescent="0.2">
      <c r="A247" s="1833"/>
      <c r="B247" s="1834"/>
      <c r="C247" s="1835"/>
      <c r="D247" s="1834"/>
      <c r="E247" s="1834"/>
      <c r="F247" s="1835"/>
      <c r="G247" s="1846"/>
      <c r="H247" s="1844"/>
      <c r="I247" s="1845"/>
      <c r="J247" s="3939"/>
      <c r="K247" s="3942"/>
      <c r="L247" s="3945"/>
      <c r="M247" s="3945"/>
      <c r="N247" s="3945"/>
      <c r="O247" s="3945"/>
      <c r="P247" s="3942"/>
      <c r="Q247" s="3967"/>
      <c r="R247" s="3970"/>
      <c r="S247" s="3942"/>
      <c r="T247" s="3942"/>
      <c r="U247" s="1918" t="s">
        <v>1779</v>
      </c>
      <c r="V247" s="1916">
        <v>6000000</v>
      </c>
      <c r="W247" s="1840">
        <v>61</v>
      </c>
      <c r="X247" s="3945"/>
      <c r="Y247" s="4082"/>
      <c r="Z247" s="4082"/>
      <c r="AA247" s="4082"/>
      <c r="AB247" s="4082"/>
      <c r="AC247" s="4082"/>
      <c r="AD247" s="4082"/>
      <c r="AE247" s="4082"/>
      <c r="AF247" s="4082"/>
      <c r="AG247" s="4082"/>
      <c r="AH247" s="4082"/>
      <c r="AI247" s="4082"/>
      <c r="AJ247" s="4082"/>
      <c r="AK247" s="4082"/>
      <c r="AL247" s="4082"/>
      <c r="AM247" s="4082"/>
      <c r="AN247" s="4082"/>
      <c r="AO247" s="4077"/>
      <c r="AP247" s="4077"/>
      <c r="AQ247" s="4085"/>
    </row>
    <row r="248" spans="1:43" ht="36" customHeight="1" x14ac:dyDescent="0.2">
      <c r="A248" s="1819"/>
      <c r="B248" s="1820"/>
      <c r="C248" s="1821"/>
      <c r="D248" s="1820"/>
      <c r="E248" s="1820"/>
      <c r="F248" s="1821"/>
      <c r="G248" s="1854">
        <v>45</v>
      </c>
      <c r="H248" s="1825" t="s">
        <v>1780</v>
      </c>
      <c r="I248" s="1825"/>
      <c r="J248" s="1825"/>
      <c r="K248" s="1826"/>
      <c r="L248" s="1825"/>
      <c r="M248" s="1825"/>
      <c r="N248" s="1827"/>
      <c r="O248" s="1825"/>
      <c r="P248" s="1826"/>
      <c r="Q248" s="1825"/>
      <c r="R248" s="1855"/>
      <c r="S248" s="1826"/>
      <c r="T248" s="1826"/>
      <c r="U248" s="1826"/>
      <c r="V248" s="1938"/>
      <c r="W248" s="1927"/>
      <c r="X248" s="1928"/>
      <c r="Y248" s="1827"/>
      <c r="Z248" s="1827"/>
      <c r="AA248" s="1827"/>
      <c r="AB248" s="1827"/>
      <c r="AC248" s="1827"/>
      <c r="AD248" s="1827"/>
      <c r="AE248" s="1827"/>
      <c r="AF248" s="1827"/>
      <c r="AG248" s="1827"/>
      <c r="AH248" s="1827"/>
      <c r="AI248" s="1827"/>
      <c r="AJ248" s="1827"/>
      <c r="AK248" s="1827"/>
      <c r="AL248" s="1827"/>
      <c r="AM248" s="1827"/>
      <c r="AN248" s="1827"/>
      <c r="AO248" s="1827"/>
      <c r="AP248" s="1825"/>
      <c r="AQ248" s="1832"/>
    </row>
    <row r="249" spans="1:43" s="1841" customFormat="1" ht="24" customHeight="1" x14ac:dyDescent="0.2">
      <c r="A249" s="1833"/>
      <c r="B249" s="1834"/>
      <c r="C249" s="1835"/>
      <c r="D249" s="1834"/>
      <c r="E249" s="1834"/>
      <c r="F249" s="1835"/>
      <c r="G249" s="1836"/>
      <c r="H249" s="1837"/>
      <c r="I249" s="1838"/>
      <c r="J249" s="3937">
        <v>158</v>
      </c>
      <c r="K249" s="3940" t="s">
        <v>1781</v>
      </c>
      <c r="L249" s="3943" t="s">
        <v>1482</v>
      </c>
      <c r="M249" s="3943">
        <v>11</v>
      </c>
      <c r="N249" s="3943" t="s">
        <v>1782</v>
      </c>
      <c r="O249" s="3943" t="s">
        <v>1783</v>
      </c>
      <c r="P249" s="3940" t="s">
        <v>1784</v>
      </c>
      <c r="Q249" s="3965">
        <f>+SUM(V249:V255)/R249</f>
        <v>0.98622219924217924</v>
      </c>
      <c r="R249" s="3968">
        <f>SUM(V249:V256)</f>
        <v>1538707111</v>
      </c>
      <c r="S249" s="3940" t="s">
        <v>1785</v>
      </c>
      <c r="T249" s="3940" t="s">
        <v>1786</v>
      </c>
      <c r="U249" s="4051" t="s">
        <v>1787</v>
      </c>
      <c r="V249" s="1858">
        <v>180000000</v>
      </c>
      <c r="W249" s="1840">
        <v>61</v>
      </c>
      <c r="X249" s="3943" t="s">
        <v>1746</v>
      </c>
      <c r="Y249" s="3943">
        <v>292684</v>
      </c>
      <c r="Z249" s="3943">
        <v>282326</v>
      </c>
      <c r="AA249" s="3943">
        <v>135912</v>
      </c>
      <c r="AB249" s="3943">
        <v>45122</v>
      </c>
      <c r="AC249" s="3943">
        <v>307101</v>
      </c>
      <c r="AD249" s="3943">
        <v>86875</v>
      </c>
      <c r="AE249" s="3943">
        <v>2145</v>
      </c>
      <c r="AF249" s="3943">
        <v>12718</v>
      </c>
      <c r="AG249" s="3943">
        <v>26</v>
      </c>
      <c r="AH249" s="3943">
        <v>37</v>
      </c>
      <c r="AI249" s="3943" t="s">
        <v>1489</v>
      </c>
      <c r="AJ249" s="3943" t="s">
        <v>1489</v>
      </c>
      <c r="AK249" s="3943">
        <v>53164</v>
      </c>
      <c r="AL249" s="3943">
        <v>16982</v>
      </c>
      <c r="AM249" s="3943">
        <v>60013</v>
      </c>
      <c r="AN249" s="3943">
        <v>575010</v>
      </c>
      <c r="AO249" s="3971">
        <v>43467</v>
      </c>
      <c r="AP249" s="3971">
        <v>43830</v>
      </c>
      <c r="AQ249" s="3974" t="s">
        <v>1490</v>
      </c>
    </row>
    <row r="250" spans="1:43" s="1841" customFormat="1" ht="24" customHeight="1" x14ac:dyDescent="0.2">
      <c r="A250" s="1833"/>
      <c r="B250" s="1834"/>
      <c r="C250" s="1835"/>
      <c r="D250" s="1834"/>
      <c r="E250" s="1834"/>
      <c r="F250" s="1835"/>
      <c r="G250" s="1842"/>
      <c r="H250" s="1834"/>
      <c r="I250" s="1835"/>
      <c r="J250" s="3938"/>
      <c r="K250" s="3941"/>
      <c r="L250" s="3944"/>
      <c r="M250" s="3944"/>
      <c r="N250" s="3944"/>
      <c r="O250" s="3944"/>
      <c r="P250" s="3941"/>
      <c r="Q250" s="3966"/>
      <c r="R250" s="3969"/>
      <c r="S250" s="3941"/>
      <c r="T250" s="3941"/>
      <c r="U250" s="4037"/>
      <c r="V250" s="1858">
        <v>33000000</v>
      </c>
      <c r="W250" s="1840">
        <v>98</v>
      </c>
      <c r="X250" s="3944"/>
      <c r="Y250" s="3944"/>
      <c r="Z250" s="3944"/>
      <c r="AA250" s="3944"/>
      <c r="AB250" s="3944"/>
      <c r="AC250" s="3944"/>
      <c r="AD250" s="3944"/>
      <c r="AE250" s="3944"/>
      <c r="AF250" s="3944"/>
      <c r="AG250" s="3944"/>
      <c r="AH250" s="3944"/>
      <c r="AI250" s="3944"/>
      <c r="AJ250" s="3944"/>
      <c r="AK250" s="3944"/>
      <c r="AL250" s="3944"/>
      <c r="AM250" s="3944"/>
      <c r="AN250" s="3944"/>
      <c r="AO250" s="3972"/>
      <c r="AP250" s="3972"/>
      <c r="AQ250" s="3975"/>
    </row>
    <row r="251" spans="1:43" s="1841" customFormat="1" ht="24" customHeight="1" x14ac:dyDescent="0.2">
      <c r="A251" s="1833"/>
      <c r="B251" s="1834"/>
      <c r="C251" s="1835"/>
      <c r="D251" s="1834"/>
      <c r="E251" s="1834"/>
      <c r="F251" s="1835"/>
      <c r="G251" s="1842"/>
      <c r="H251" s="1834"/>
      <c r="I251" s="1835"/>
      <c r="J251" s="3938"/>
      <c r="K251" s="3941"/>
      <c r="L251" s="3944"/>
      <c r="M251" s="3944"/>
      <c r="N251" s="3944"/>
      <c r="O251" s="3944"/>
      <c r="P251" s="3941"/>
      <c r="Q251" s="3966"/>
      <c r="R251" s="3969"/>
      <c r="S251" s="3941"/>
      <c r="T251" s="3941"/>
      <c r="U251" s="4051" t="s">
        <v>1788</v>
      </c>
      <c r="V251" s="1858">
        <f>20000000+102300000</f>
        <v>122300000</v>
      </c>
      <c r="W251" s="1840">
        <v>61</v>
      </c>
      <c r="X251" s="3944"/>
      <c r="Y251" s="3944"/>
      <c r="Z251" s="3944"/>
      <c r="AA251" s="3944"/>
      <c r="AB251" s="3944"/>
      <c r="AC251" s="3944"/>
      <c r="AD251" s="3944"/>
      <c r="AE251" s="3944"/>
      <c r="AF251" s="3944"/>
      <c r="AG251" s="3944"/>
      <c r="AH251" s="3944"/>
      <c r="AI251" s="3944"/>
      <c r="AJ251" s="3944"/>
      <c r="AK251" s="3944"/>
      <c r="AL251" s="3944"/>
      <c r="AM251" s="3944"/>
      <c r="AN251" s="3944"/>
      <c r="AO251" s="3972"/>
      <c r="AP251" s="3972"/>
      <c r="AQ251" s="3975"/>
    </row>
    <row r="252" spans="1:43" s="1841" customFormat="1" ht="22.5" customHeight="1" x14ac:dyDescent="0.2">
      <c r="A252" s="1833"/>
      <c r="B252" s="1834"/>
      <c r="C252" s="1835"/>
      <c r="D252" s="1834"/>
      <c r="E252" s="1834"/>
      <c r="F252" s="1835"/>
      <c r="G252" s="1842"/>
      <c r="H252" s="1834"/>
      <c r="I252" s="1835"/>
      <c r="J252" s="3938"/>
      <c r="K252" s="3941"/>
      <c r="L252" s="3944"/>
      <c r="M252" s="3944"/>
      <c r="N252" s="3944"/>
      <c r="O252" s="3944"/>
      <c r="P252" s="3941"/>
      <c r="Q252" s="3966"/>
      <c r="R252" s="3969"/>
      <c r="S252" s="3941"/>
      <c r="T252" s="3941"/>
      <c r="U252" s="4037"/>
      <c r="V252" s="1858">
        <v>100000000</v>
      </c>
      <c r="W252" s="1840">
        <v>98</v>
      </c>
      <c r="X252" s="3944"/>
      <c r="Y252" s="3944"/>
      <c r="Z252" s="3944"/>
      <c r="AA252" s="3944"/>
      <c r="AB252" s="3944"/>
      <c r="AC252" s="3944"/>
      <c r="AD252" s="3944"/>
      <c r="AE252" s="3944"/>
      <c r="AF252" s="3944"/>
      <c r="AG252" s="3944"/>
      <c r="AH252" s="3944"/>
      <c r="AI252" s="3944"/>
      <c r="AJ252" s="3944"/>
      <c r="AK252" s="3944"/>
      <c r="AL252" s="3944"/>
      <c r="AM252" s="3944"/>
      <c r="AN252" s="3944"/>
      <c r="AO252" s="3972"/>
      <c r="AP252" s="3972"/>
      <c r="AQ252" s="3975"/>
    </row>
    <row r="253" spans="1:43" s="1841" customFormat="1" ht="45" customHeight="1" x14ac:dyDescent="0.2">
      <c r="A253" s="1833"/>
      <c r="B253" s="1834"/>
      <c r="C253" s="1835"/>
      <c r="D253" s="1834"/>
      <c r="E253" s="1834"/>
      <c r="F253" s="1835"/>
      <c r="G253" s="1842"/>
      <c r="H253" s="1834"/>
      <c r="I253" s="1835"/>
      <c r="J253" s="3938"/>
      <c r="K253" s="3941"/>
      <c r="L253" s="3944"/>
      <c r="M253" s="3944"/>
      <c r="N253" s="3944"/>
      <c r="O253" s="3944"/>
      <c r="P253" s="3941"/>
      <c r="Q253" s="3966"/>
      <c r="R253" s="3969"/>
      <c r="S253" s="3941"/>
      <c r="T253" s="3941"/>
      <c r="U253" s="1918" t="s">
        <v>1789</v>
      </c>
      <c r="V253" s="1858">
        <v>300000000</v>
      </c>
      <c r="W253" s="1840">
        <v>61</v>
      </c>
      <c r="X253" s="3944"/>
      <c r="Y253" s="3944"/>
      <c r="Z253" s="3944"/>
      <c r="AA253" s="3944"/>
      <c r="AB253" s="3944"/>
      <c r="AC253" s="3944"/>
      <c r="AD253" s="3944"/>
      <c r="AE253" s="3944"/>
      <c r="AF253" s="3944"/>
      <c r="AG253" s="3944"/>
      <c r="AH253" s="3944"/>
      <c r="AI253" s="3944"/>
      <c r="AJ253" s="3944"/>
      <c r="AK253" s="3944"/>
      <c r="AL253" s="3944"/>
      <c r="AM253" s="3944"/>
      <c r="AN253" s="3944"/>
      <c r="AO253" s="3972"/>
      <c r="AP253" s="3972"/>
      <c r="AQ253" s="3975"/>
    </row>
    <row r="254" spans="1:43" s="1841" customFormat="1" ht="23.25" customHeight="1" x14ac:dyDescent="0.2">
      <c r="A254" s="1833"/>
      <c r="B254" s="1834"/>
      <c r="C254" s="1835"/>
      <c r="D254" s="1834"/>
      <c r="E254" s="1834"/>
      <c r="F254" s="1835"/>
      <c r="G254" s="1842"/>
      <c r="H254" s="1834"/>
      <c r="I254" s="1835"/>
      <c r="J254" s="3938"/>
      <c r="K254" s="3941"/>
      <c r="L254" s="3944"/>
      <c r="M254" s="3944"/>
      <c r="N254" s="3944"/>
      <c r="O254" s="3944"/>
      <c r="P254" s="3941"/>
      <c r="Q254" s="3966"/>
      <c r="R254" s="3969"/>
      <c r="S254" s="3941"/>
      <c r="T254" s="3941"/>
      <c r="U254" s="4051" t="s">
        <v>1790</v>
      </c>
      <c r="V254" s="1858">
        <v>722110000</v>
      </c>
      <c r="W254" s="1840">
        <v>61</v>
      </c>
      <c r="X254" s="3944"/>
      <c r="Y254" s="3944"/>
      <c r="Z254" s="3944"/>
      <c r="AA254" s="3944"/>
      <c r="AB254" s="3944"/>
      <c r="AC254" s="3944"/>
      <c r="AD254" s="3944"/>
      <c r="AE254" s="3944"/>
      <c r="AF254" s="3944"/>
      <c r="AG254" s="3944"/>
      <c r="AH254" s="3944"/>
      <c r="AI254" s="3944"/>
      <c r="AJ254" s="3944"/>
      <c r="AK254" s="3944"/>
      <c r="AL254" s="3944"/>
      <c r="AM254" s="3944"/>
      <c r="AN254" s="3944"/>
      <c r="AO254" s="3972"/>
      <c r="AP254" s="3972"/>
      <c r="AQ254" s="3975"/>
    </row>
    <row r="255" spans="1:43" s="1841" customFormat="1" ht="28.5" customHeight="1" x14ac:dyDescent="0.2">
      <c r="A255" s="1833"/>
      <c r="B255" s="1834"/>
      <c r="C255" s="1835"/>
      <c r="D255" s="1834"/>
      <c r="E255" s="1834"/>
      <c r="F255" s="1835"/>
      <c r="G255" s="1842"/>
      <c r="H255" s="1834"/>
      <c r="I255" s="1835"/>
      <c r="J255" s="3939"/>
      <c r="K255" s="3942"/>
      <c r="L255" s="3945"/>
      <c r="M255" s="3945"/>
      <c r="N255" s="3944"/>
      <c r="O255" s="3944"/>
      <c r="P255" s="3941"/>
      <c r="Q255" s="3967"/>
      <c r="R255" s="3969"/>
      <c r="S255" s="3941"/>
      <c r="T255" s="3942"/>
      <c r="U255" s="4037"/>
      <c r="V255" s="1858">
        <v>60097111</v>
      </c>
      <c r="W255" s="1840">
        <v>98</v>
      </c>
      <c r="X255" s="3944"/>
      <c r="Y255" s="3944"/>
      <c r="Z255" s="3944"/>
      <c r="AA255" s="3944"/>
      <c r="AB255" s="3944"/>
      <c r="AC255" s="3944"/>
      <c r="AD255" s="3944"/>
      <c r="AE255" s="3944"/>
      <c r="AF255" s="3944"/>
      <c r="AG255" s="3944"/>
      <c r="AH255" s="3944"/>
      <c r="AI255" s="3944"/>
      <c r="AJ255" s="3944"/>
      <c r="AK255" s="3944"/>
      <c r="AL255" s="3944"/>
      <c r="AM255" s="3944"/>
      <c r="AN255" s="3944"/>
      <c r="AO255" s="3972"/>
      <c r="AP255" s="3972"/>
      <c r="AQ255" s="3975"/>
    </row>
    <row r="256" spans="1:43" s="1841" customFormat="1" ht="42.75" x14ac:dyDescent="0.2">
      <c r="A256" s="1833"/>
      <c r="B256" s="1834"/>
      <c r="C256" s="1835"/>
      <c r="D256" s="1834"/>
      <c r="E256" s="1834"/>
      <c r="F256" s="1835"/>
      <c r="G256" s="1846"/>
      <c r="H256" s="1844"/>
      <c r="I256" s="1845"/>
      <c r="J256" s="1939">
        <v>159</v>
      </c>
      <c r="K256" s="1871" t="s">
        <v>1791</v>
      </c>
      <c r="L256" s="1936" t="s">
        <v>1482</v>
      </c>
      <c r="M256" s="1940">
        <v>8</v>
      </c>
      <c r="N256" s="3945"/>
      <c r="O256" s="3945"/>
      <c r="P256" s="3942"/>
      <c r="Q256" s="1941">
        <f>+V256/R249</f>
        <v>1.3777800757820764E-2</v>
      </c>
      <c r="R256" s="3970"/>
      <c r="S256" s="3942"/>
      <c r="T256" s="1871" t="s">
        <v>1792</v>
      </c>
      <c r="U256" s="1918" t="s">
        <v>1793</v>
      </c>
      <c r="V256" s="1858">
        <v>21200000</v>
      </c>
      <c r="W256" s="1925">
        <v>61</v>
      </c>
      <c r="X256" s="3945"/>
      <c r="Y256" s="3945"/>
      <c r="Z256" s="3945"/>
      <c r="AA256" s="3945"/>
      <c r="AB256" s="3945"/>
      <c r="AC256" s="3945"/>
      <c r="AD256" s="3945"/>
      <c r="AE256" s="3945"/>
      <c r="AF256" s="3945"/>
      <c r="AG256" s="3945"/>
      <c r="AH256" s="3945"/>
      <c r="AI256" s="3945"/>
      <c r="AJ256" s="3945"/>
      <c r="AK256" s="3945"/>
      <c r="AL256" s="3945"/>
      <c r="AM256" s="3945"/>
      <c r="AN256" s="3945"/>
      <c r="AO256" s="3973"/>
      <c r="AP256" s="3973"/>
      <c r="AQ256" s="3976"/>
    </row>
    <row r="257" spans="1:43" ht="36" customHeight="1" x14ac:dyDescent="0.2">
      <c r="A257" s="1819"/>
      <c r="B257" s="1820"/>
      <c r="C257" s="1821"/>
      <c r="D257" s="1820"/>
      <c r="E257" s="1820"/>
      <c r="F257" s="1821"/>
      <c r="G257" s="1854">
        <v>46</v>
      </c>
      <c r="H257" s="1825" t="s">
        <v>1794</v>
      </c>
      <c r="I257" s="1825"/>
      <c r="J257" s="1825"/>
      <c r="K257" s="1826"/>
      <c r="L257" s="1825"/>
      <c r="M257" s="1825"/>
      <c r="N257" s="1827"/>
      <c r="O257" s="1825"/>
      <c r="P257" s="1826"/>
      <c r="Q257" s="1825"/>
      <c r="R257" s="1855"/>
      <c r="S257" s="1826"/>
      <c r="T257" s="1826"/>
      <c r="U257" s="1826"/>
      <c r="V257" s="1926"/>
      <c r="W257" s="1927"/>
      <c r="X257" s="1928"/>
      <c r="Y257" s="1827"/>
      <c r="Z257" s="1827"/>
      <c r="AA257" s="1827"/>
      <c r="AB257" s="1827"/>
      <c r="AC257" s="1827"/>
      <c r="AD257" s="1827"/>
      <c r="AE257" s="1827"/>
      <c r="AF257" s="1827"/>
      <c r="AG257" s="1827"/>
      <c r="AH257" s="1827"/>
      <c r="AI257" s="1827"/>
      <c r="AJ257" s="1827"/>
      <c r="AK257" s="1827"/>
      <c r="AL257" s="1827"/>
      <c r="AM257" s="1827"/>
      <c r="AN257" s="1827"/>
      <c r="AO257" s="1825"/>
      <c r="AP257" s="1825"/>
      <c r="AQ257" s="1832"/>
    </row>
    <row r="258" spans="1:43" ht="31.5" customHeight="1" x14ac:dyDescent="0.2">
      <c r="A258" s="1833"/>
      <c r="B258" s="1834"/>
      <c r="C258" s="1835"/>
      <c r="D258" s="1834"/>
      <c r="E258" s="1834"/>
      <c r="F258" s="1835"/>
      <c r="G258" s="1836"/>
      <c r="H258" s="1837"/>
      <c r="I258" s="1838"/>
      <c r="J258" s="3955">
        <v>160</v>
      </c>
      <c r="K258" s="3940" t="s">
        <v>1795</v>
      </c>
      <c r="L258" s="3943" t="s">
        <v>1482</v>
      </c>
      <c r="M258" s="3943">
        <v>300</v>
      </c>
      <c r="N258" s="3943" t="s">
        <v>1796</v>
      </c>
      <c r="O258" s="3943" t="s">
        <v>1797</v>
      </c>
      <c r="P258" s="3940" t="s">
        <v>1798</v>
      </c>
      <c r="Q258" s="3965">
        <v>1</v>
      </c>
      <c r="R258" s="3968">
        <f>SUM(V258:V272)</f>
        <v>1210233390</v>
      </c>
      <c r="S258" s="4026" t="s">
        <v>1799</v>
      </c>
      <c r="T258" s="4060" t="s">
        <v>1800</v>
      </c>
      <c r="U258" s="4051" t="s">
        <v>1801</v>
      </c>
      <c r="V258" s="1942">
        <f>238058000+175133457</f>
        <v>413191457</v>
      </c>
      <c r="W258" s="1943">
        <v>61</v>
      </c>
      <c r="X258" s="3943" t="s">
        <v>1802</v>
      </c>
      <c r="Y258" s="3943">
        <v>292684</v>
      </c>
      <c r="Z258" s="3943">
        <v>282326</v>
      </c>
      <c r="AA258" s="3943">
        <v>135912</v>
      </c>
      <c r="AB258" s="3943">
        <v>45122</v>
      </c>
      <c r="AC258" s="3943">
        <f t="shared" ref="AC258:AD258" si="0">SUM(AC252)</f>
        <v>0</v>
      </c>
      <c r="AD258" s="3943">
        <f t="shared" si="0"/>
        <v>0</v>
      </c>
      <c r="AE258" s="3943">
        <v>2145</v>
      </c>
      <c r="AF258" s="3943">
        <v>12718</v>
      </c>
      <c r="AG258" s="3943">
        <v>26</v>
      </c>
      <c r="AH258" s="3943">
        <v>37</v>
      </c>
      <c r="AI258" s="3943" t="s">
        <v>1489</v>
      </c>
      <c r="AJ258" s="3943" t="s">
        <v>1489</v>
      </c>
      <c r="AK258" s="3943">
        <v>53164</v>
      </c>
      <c r="AL258" s="3943">
        <v>16982</v>
      </c>
      <c r="AM258" s="3943">
        <v>60013</v>
      </c>
      <c r="AN258" s="3943">
        <v>575010</v>
      </c>
      <c r="AO258" s="4086">
        <v>43467</v>
      </c>
      <c r="AP258" s="4086">
        <v>43830</v>
      </c>
      <c r="AQ258" s="3974" t="s">
        <v>1490</v>
      </c>
    </row>
    <row r="259" spans="1:43" ht="31.5" customHeight="1" x14ac:dyDescent="0.2">
      <c r="A259" s="1833"/>
      <c r="B259" s="1834"/>
      <c r="C259" s="1835"/>
      <c r="D259" s="1834"/>
      <c r="E259" s="1834"/>
      <c r="F259" s="1835"/>
      <c r="G259" s="1842"/>
      <c r="H259" s="1834"/>
      <c r="I259" s="1835"/>
      <c r="J259" s="3955"/>
      <c r="K259" s="3941"/>
      <c r="L259" s="3944"/>
      <c r="M259" s="3944"/>
      <c r="N259" s="3944"/>
      <c r="O259" s="3944"/>
      <c r="P259" s="3941"/>
      <c r="Q259" s="3966"/>
      <c r="R259" s="3969"/>
      <c r="S259" s="4026"/>
      <c r="T259" s="4060"/>
      <c r="U259" s="4064"/>
      <c r="V259" s="1942">
        <f>30000000-30000000</f>
        <v>0</v>
      </c>
      <c r="W259" s="1944">
        <v>88</v>
      </c>
      <c r="X259" s="3944"/>
      <c r="Y259" s="3944"/>
      <c r="Z259" s="3944"/>
      <c r="AA259" s="3944"/>
      <c r="AB259" s="3944"/>
      <c r="AC259" s="3944"/>
      <c r="AD259" s="3944"/>
      <c r="AE259" s="3944"/>
      <c r="AF259" s="3944"/>
      <c r="AG259" s="3944"/>
      <c r="AH259" s="3944"/>
      <c r="AI259" s="3944"/>
      <c r="AJ259" s="3944"/>
      <c r="AK259" s="3944"/>
      <c r="AL259" s="3944"/>
      <c r="AM259" s="3944"/>
      <c r="AN259" s="3944"/>
      <c r="AO259" s="4086"/>
      <c r="AP259" s="4086"/>
      <c r="AQ259" s="3975"/>
    </row>
    <row r="260" spans="1:43" ht="31.5" customHeight="1" x14ac:dyDescent="0.2">
      <c r="A260" s="1833"/>
      <c r="B260" s="1834"/>
      <c r="C260" s="1835"/>
      <c r="D260" s="1834"/>
      <c r="E260" s="1834"/>
      <c r="F260" s="1835"/>
      <c r="G260" s="1842"/>
      <c r="H260" s="1834"/>
      <c r="I260" s="1835"/>
      <c r="J260" s="3955"/>
      <c r="K260" s="3941"/>
      <c r="L260" s="3944"/>
      <c r="M260" s="3944"/>
      <c r="N260" s="3944"/>
      <c r="O260" s="3944"/>
      <c r="P260" s="3941"/>
      <c r="Q260" s="3966"/>
      <c r="R260" s="3969"/>
      <c r="S260" s="4026"/>
      <c r="T260" s="4060"/>
      <c r="U260" s="4064"/>
      <c r="V260" s="1942">
        <v>211942000</v>
      </c>
      <c r="W260" s="1944">
        <v>20</v>
      </c>
      <c r="X260" s="3944"/>
      <c r="Y260" s="3944"/>
      <c r="Z260" s="3944"/>
      <c r="AA260" s="3944"/>
      <c r="AB260" s="3944"/>
      <c r="AC260" s="3944"/>
      <c r="AD260" s="3944"/>
      <c r="AE260" s="3944"/>
      <c r="AF260" s="3944"/>
      <c r="AG260" s="3944"/>
      <c r="AH260" s="3944"/>
      <c r="AI260" s="3944"/>
      <c r="AJ260" s="3944"/>
      <c r="AK260" s="3944"/>
      <c r="AL260" s="3944"/>
      <c r="AM260" s="3944"/>
      <c r="AN260" s="3944"/>
      <c r="AO260" s="4086"/>
      <c r="AP260" s="4086"/>
      <c r="AQ260" s="3975"/>
    </row>
    <row r="261" spans="1:43" ht="31.5" customHeight="1" x14ac:dyDescent="0.2">
      <c r="A261" s="1833"/>
      <c r="B261" s="1834"/>
      <c r="C261" s="1835"/>
      <c r="D261" s="1834"/>
      <c r="E261" s="1834"/>
      <c r="F261" s="1835"/>
      <c r="G261" s="1842"/>
      <c r="H261" s="1834"/>
      <c r="I261" s="1835"/>
      <c r="J261" s="3955"/>
      <c r="K261" s="3941"/>
      <c r="L261" s="3944"/>
      <c r="M261" s="3944"/>
      <c r="N261" s="3944"/>
      <c r="O261" s="3944"/>
      <c r="P261" s="3941"/>
      <c r="Q261" s="3966"/>
      <c r="R261" s="3969"/>
      <c r="S261" s="4026"/>
      <c r="T261" s="4060"/>
      <c r="U261" s="4037"/>
      <c r="V261" s="1942">
        <f>15000000-15000000</f>
        <v>0</v>
      </c>
      <c r="W261" s="1944">
        <v>98</v>
      </c>
      <c r="X261" s="3944"/>
      <c r="Y261" s="3944"/>
      <c r="Z261" s="3944"/>
      <c r="AA261" s="3944"/>
      <c r="AB261" s="3944"/>
      <c r="AC261" s="3944"/>
      <c r="AD261" s="3944"/>
      <c r="AE261" s="3944"/>
      <c r="AF261" s="3944"/>
      <c r="AG261" s="3944"/>
      <c r="AH261" s="3944"/>
      <c r="AI261" s="3944"/>
      <c r="AJ261" s="3944"/>
      <c r="AK261" s="3944"/>
      <c r="AL261" s="3944"/>
      <c r="AM261" s="3944"/>
      <c r="AN261" s="3944"/>
      <c r="AO261" s="4086"/>
      <c r="AP261" s="4086"/>
      <c r="AQ261" s="3975"/>
    </row>
    <row r="262" spans="1:43" ht="31.5" customHeight="1" x14ac:dyDescent="0.2">
      <c r="A262" s="1833"/>
      <c r="B262" s="1834"/>
      <c r="C262" s="1835"/>
      <c r="D262" s="1834"/>
      <c r="E262" s="1834"/>
      <c r="F262" s="1835"/>
      <c r="G262" s="1842"/>
      <c r="H262" s="1834"/>
      <c r="I262" s="1835"/>
      <c r="J262" s="3955"/>
      <c r="K262" s="3941"/>
      <c r="L262" s="3944"/>
      <c r="M262" s="3944"/>
      <c r="N262" s="3944"/>
      <c r="O262" s="3944"/>
      <c r="P262" s="3941"/>
      <c r="Q262" s="3966"/>
      <c r="R262" s="3969"/>
      <c r="S262" s="4026"/>
      <c r="T262" s="4060"/>
      <c r="U262" s="4087" t="s">
        <v>1803</v>
      </c>
      <c r="V262" s="1942">
        <f>50000000+4282248</f>
        <v>54282248</v>
      </c>
      <c r="W262" s="1943">
        <v>61</v>
      </c>
      <c r="X262" s="3944"/>
      <c r="Y262" s="3944"/>
      <c r="Z262" s="3944"/>
      <c r="AA262" s="3944"/>
      <c r="AB262" s="3944"/>
      <c r="AC262" s="3944"/>
      <c r="AD262" s="3944"/>
      <c r="AE262" s="3944"/>
      <c r="AF262" s="3944"/>
      <c r="AG262" s="3944"/>
      <c r="AH262" s="3944"/>
      <c r="AI262" s="3944"/>
      <c r="AJ262" s="3944"/>
      <c r="AK262" s="3944"/>
      <c r="AL262" s="3944"/>
      <c r="AM262" s="3944"/>
      <c r="AN262" s="3944"/>
      <c r="AO262" s="4086"/>
      <c r="AP262" s="4086"/>
      <c r="AQ262" s="3975"/>
    </row>
    <row r="263" spans="1:43" ht="31.5" customHeight="1" x14ac:dyDescent="0.2">
      <c r="A263" s="1833"/>
      <c r="B263" s="1834"/>
      <c r="C263" s="1835"/>
      <c r="D263" s="1834"/>
      <c r="E263" s="1834"/>
      <c r="F263" s="1835"/>
      <c r="G263" s="1842"/>
      <c r="H263" s="1834"/>
      <c r="I263" s="1835"/>
      <c r="J263" s="3955"/>
      <c r="K263" s="3941"/>
      <c r="L263" s="3944"/>
      <c r="M263" s="3944"/>
      <c r="N263" s="3944"/>
      <c r="O263" s="3944"/>
      <c r="P263" s="3941"/>
      <c r="Q263" s="3966"/>
      <c r="R263" s="3969"/>
      <c r="S263" s="4026"/>
      <c r="T263" s="4060"/>
      <c r="U263" s="4088"/>
      <c r="V263" s="1945">
        <f>0+29104095</f>
        <v>29104095</v>
      </c>
      <c r="W263" s="1946">
        <v>96</v>
      </c>
      <c r="X263" s="3944"/>
      <c r="Y263" s="3944"/>
      <c r="Z263" s="3944"/>
      <c r="AA263" s="3944"/>
      <c r="AB263" s="3944"/>
      <c r="AC263" s="3944"/>
      <c r="AD263" s="3944"/>
      <c r="AE263" s="3944"/>
      <c r="AF263" s="3944"/>
      <c r="AG263" s="3944"/>
      <c r="AH263" s="3944"/>
      <c r="AI263" s="3944"/>
      <c r="AJ263" s="3944"/>
      <c r="AK263" s="3944"/>
      <c r="AL263" s="3944"/>
      <c r="AM263" s="3944"/>
      <c r="AN263" s="3944"/>
      <c r="AO263" s="4086"/>
      <c r="AP263" s="4086"/>
      <c r="AQ263" s="3975"/>
    </row>
    <row r="264" spans="1:43" ht="42.75" x14ac:dyDescent="0.2">
      <c r="A264" s="1833"/>
      <c r="B264" s="1834"/>
      <c r="C264" s="1835"/>
      <c r="D264" s="1834"/>
      <c r="E264" s="1834"/>
      <c r="F264" s="1835"/>
      <c r="G264" s="1842"/>
      <c r="H264" s="1834"/>
      <c r="I264" s="1835"/>
      <c r="J264" s="3955"/>
      <c r="K264" s="3941"/>
      <c r="L264" s="3944"/>
      <c r="M264" s="3944"/>
      <c r="N264" s="3944"/>
      <c r="O264" s="3944"/>
      <c r="P264" s="3941"/>
      <c r="Q264" s="3966"/>
      <c r="R264" s="3969"/>
      <c r="S264" s="4026"/>
      <c r="T264" s="4089" t="s">
        <v>1804</v>
      </c>
      <c r="U264" s="1918" t="s">
        <v>1805</v>
      </c>
      <c r="V264" s="1942">
        <v>74900000</v>
      </c>
      <c r="W264" s="1943">
        <v>61</v>
      </c>
      <c r="X264" s="3944"/>
      <c r="Y264" s="3944"/>
      <c r="Z264" s="3944"/>
      <c r="AA264" s="3944"/>
      <c r="AB264" s="3944"/>
      <c r="AC264" s="3944"/>
      <c r="AD264" s="3944"/>
      <c r="AE264" s="3944"/>
      <c r="AF264" s="3944"/>
      <c r="AG264" s="3944"/>
      <c r="AH264" s="3944"/>
      <c r="AI264" s="3944"/>
      <c r="AJ264" s="3944"/>
      <c r="AK264" s="3944"/>
      <c r="AL264" s="3944"/>
      <c r="AM264" s="3944"/>
      <c r="AN264" s="3944"/>
      <c r="AO264" s="4086"/>
      <c r="AP264" s="4086"/>
      <c r="AQ264" s="3975"/>
    </row>
    <row r="265" spans="1:43" ht="57" customHeight="1" x14ac:dyDescent="0.2">
      <c r="A265" s="1833"/>
      <c r="B265" s="1834"/>
      <c r="C265" s="1835"/>
      <c r="D265" s="1834"/>
      <c r="E265" s="1834"/>
      <c r="F265" s="1835"/>
      <c r="G265" s="1842"/>
      <c r="H265" s="1834"/>
      <c r="I265" s="1835"/>
      <c r="J265" s="3955"/>
      <c r="K265" s="3941"/>
      <c r="L265" s="3944"/>
      <c r="M265" s="3944"/>
      <c r="N265" s="3944"/>
      <c r="O265" s="3944"/>
      <c r="P265" s="3941"/>
      <c r="Q265" s="3966"/>
      <c r="R265" s="3969"/>
      <c r="S265" s="4026"/>
      <c r="T265" s="4090"/>
      <c r="U265" s="1918" t="s">
        <v>1806</v>
      </c>
      <c r="V265" s="1942">
        <f>40630000+220000000-175133457-4282248</f>
        <v>81214295</v>
      </c>
      <c r="W265" s="1943">
        <v>61</v>
      </c>
      <c r="X265" s="3944"/>
      <c r="Y265" s="3944"/>
      <c r="Z265" s="3944"/>
      <c r="AA265" s="3944"/>
      <c r="AB265" s="3944"/>
      <c r="AC265" s="3944"/>
      <c r="AD265" s="3944"/>
      <c r="AE265" s="3944"/>
      <c r="AF265" s="3944"/>
      <c r="AG265" s="3944"/>
      <c r="AH265" s="3944"/>
      <c r="AI265" s="3944"/>
      <c r="AJ265" s="3944"/>
      <c r="AK265" s="3944"/>
      <c r="AL265" s="3944"/>
      <c r="AM265" s="3944"/>
      <c r="AN265" s="3944"/>
      <c r="AO265" s="4086"/>
      <c r="AP265" s="4086"/>
      <c r="AQ265" s="3975"/>
    </row>
    <row r="266" spans="1:43" ht="57" customHeight="1" x14ac:dyDescent="0.2">
      <c r="A266" s="1833"/>
      <c r="B266" s="1834"/>
      <c r="C266" s="1835"/>
      <c r="D266" s="1834"/>
      <c r="E266" s="1834"/>
      <c r="F266" s="1835"/>
      <c r="G266" s="1842"/>
      <c r="H266" s="1834"/>
      <c r="I266" s="1835"/>
      <c r="J266" s="3955"/>
      <c r="K266" s="3941"/>
      <c r="L266" s="3944"/>
      <c r="M266" s="3944"/>
      <c r="N266" s="3944"/>
      <c r="O266" s="3944"/>
      <c r="P266" s="3941"/>
      <c r="Q266" s="3966"/>
      <c r="R266" s="3969"/>
      <c r="S266" s="4026"/>
      <c r="T266" s="4090"/>
      <c r="U266" s="1918" t="s">
        <v>1807</v>
      </c>
      <c r="V266" s="1942">
        <v>44000000</v>
      </c>
      <c r="W266" s="1943">
        <v>61</v>
      </c>
      <c r="X266" s="3944"/>
      <c r="Y266" s="3944"/>
      <c r="Z266" s="3944"/>
      <c r="AA266" s="3944"/>
      <c r="AB266" s="3944"/>
      <c r="AC266" s="3944"/>
      <c r="AD266" s="3944"/>
      <c r="AE266" s="3944"/>
      <c r="AF266" s="3944"/>
      <c r="AG266" s="3944"/>
      <c r="AH266" s="3944"/>
      <c r="AI266" s="3944"/>
      <c r="AJ266" s="3944"/>
      <c r="AK266" s="3944"/>
      <c r="AL266" s="3944"/>
      <c r="AM266" s="3944"/>
      <c r="AN266" s="3944"/>
      <c r="AO266" s="4086"/>
      <c r="AP266" s="4086"/>
      <c r="AQ266" s="3975"/>
    </row>
    <row r="267" spans="1:43" ht="41.25" customHeight="1" x14ac:dyDescent="0.2">
      <c r="A267" s="1833"/>
      <c r="B267" s="1834"/>
      <c r="C267" s="1835"/>
      <c r="D267" s="1834"/>
      <c r="E267" s="1834"/>
      <c r="F267" s="1835"/>
      <c r="G267" s="1842"/>
      <c r="H267" s="1834"/>
      <c r="I267" s="1835"/>
      <c r="J267" s="3955"/>
      <c r="K267" s="3941"/>
      <c r="L267" s="3944"/>
      <c r="M267" s="3944"/>
      <c r="N267" s="3944"/>
      <c r="O267" s="3944"/>
      <c r="P267" s="3941"/>
      <c r="Q267" s="3966"/>
      <c r="R267" s="3969"/>
      <c r="S267" s="4026"/>
      <c r="T267" s="4090"/>
      <c r="U267" s="4087" t="s">
        <v>1808</v>
      </c>
      <c r="V267" s="1942">
        <v>140470000</v>
      </c>
      <c r="W267" s="1943">
        <v>61</v>
      </c>
      <c r="X267" s="3944"/>
      <c r="Y267" s="3944"/>
      <c r="Z267" s="3944"/>
      <c r="AA267" s="3944"/>
      <c r="AB267" s="3944"/>
      <c r="AC267" s="3944"/>
      <c r="AD267" s="3944"/>
      <c r="AE267" s="3944"/>
      <c r="AF267" s="3944"/>
      <c r="AG267" s="3944"/>
      <c r="AH267" s="3944"/>
      <c r="AI267" s="3944"/>
      <c r="AJ267" s="3944"/>
      <c r="AK267" s="3944"/>
      <c r="AL267" s="3944"/>
      <c r="AM267" s="3944"/>
      <c r="AN267" s="3944"/>
      <c r="AO267" s="4086"/>
      <c r="AP267" s="4086"/>
      <c r="AQ267" s="3975"/>
    </row>
    <row r="268" spans="1:43" ht="41.25" customHeight="1" x14ac:dyDescent="0.2">
      <c r="A268" s="1833"/>
      <c r="B268" s="1834"/>
      <c r="C268" s="1835"/>
      <c r="D268" s="1834"/>
      <c r="E268" s="1834"/>
      <c r="F268" s="1835"/>
      <c r="G268" s="1842"/>
      <c r="H268" s="1834"/>
      <c r="I268" s="1835"/>
      <c r="J268" s="3955"/>
      <c r="K268" s="3941"/>
      <c r="L268" s="3944"/>
      <c r="M268" s="3944"/>
      <c r="N268" s="3944"/>
      <c r="O268" s="3944"/>
      <c r="P268" s="3941"/>
      <c r="Q268" s="3966"/>
      <c r="R268" s="3969"/>
      <c r="S268" s="4026"/>
      <c r="T268" s="4090"/>
      <c r="U268" s="4092"/>
      <c r="V268" s="1942">
        <v>30000000</v>
      </c>
      <c r="W268" s="1943">
        <v>88</v>
      </c>
      <c r="X268" s="3944"/>
      <c r="Y268" s="3944"/>
      <c r="Z268" s="3944"/>
      <c r="AA268" s="3944"/>
      <c r="AB268" s="3944"/>
      <c r="AC268" s="3944"/>
      <c r="AD268" s="3944"/>
      <c r="AE268" s="3944"/>
      <c r="AF268" s="3944"/>
      <c r="AG268" s="3944"/>
      <c r="AH268" s="3944"/>
      <c r="AI268" s="3944"/>
      <c r="AJ268" s="3944"/>
      <c r="AK268" s="3944"/>
      <c r="AL268" s="3944"/>
      <c r="AM268" s="3944"/>
      <c r="AN268" s="3944"/>
      <c r="AO268" s="4086"/>
      <c r="AP268" s="4086"/>
      <c r="AQ268" s="3975"/>
    </row>
    <row r="269" spans="1:43" ht="41.25" customHeight="1" x14ac:dyDescent="0.2">
      <c r="A269" s="1833"/>
      <c r="B269" s="1834"/>
      <c r="C269" s="1835"/>
      <c r="D269" s="1834"/>
      <c r="E269" s="1834"/>
      <c r="F269" s="1835"/>
      <c r="G269" s="1842"/>
      <c r="H269" s="1834"/>
      <c r="I269" s="1835"/>
      <c r="J269" s="3955"/>
      <c r="K269" s="3941"/>
      <c r="L269" s="3944"/>
      <c r="M269" s="3944"/>
      <c r="N269" s="3944"/>
      <c r="O269" s="3944"/>
      <c r="P269" s="3941"/>
      <c r="Q269" s="3966"/>
      <c r="R269" s="3969"/>
      <c r="S269" s="4026"/>
      <c r="T269" s="4090"/>
      <c r="U269" s="4092"/>
      <c r="V269" s="1942">
        <v>15000000</v>
      </c>
      <c r="W269" s="1943">
        <v>98</v>
      </c>
      <c r="X269" s="3944"/>
      <c r="Y269" s="3944"/>
      <c r="Z269" s="3944"/>
      <c r="AA269" s="3944"/>
      <c r="AB269" s="3944"/>
      <c r="AC269" s="3944"/>
      <c r="AD269" s="3944"/>
      <c r="AE269" s="3944"/>
      <c r="AF269" s="3944"/>
      <c r="AG269" s="3944"/>
      <c r="AH269" s="3944"/>
      <c r="AI269" s="3944"/>
      <c r="AJ269" s="3944"/>
      <c r="AK269" s="3944"/>
      <c r="AL269" s="3944"/>
      <c r="AM269" s="3944"/>
      <c r="AN269" s="3944"/>
      <c r="AO269" s="4086"/>
      <c r="AP269" s="4086"/>
      <c r="AQ269" s="3975"/>
    </row>
    <row r="270" spans="1:43" ht="27.75" customHeight="1" x14ac:dyDescent="0.2">
      <c r="A270" s="1833"/>
      <c r="B270" s="1834"/>
      <c r="C270" s="1835"/>
      <c r="D270" s="1834"/>
      <c r="E270" s="1834"/>
      <c r="F270" s="1835"/>
      <c r="G270" s="1842"/>
      <c r="H270" s="1834"/>
      <c r="I270" s="1835"/>
      <c r="J270" s="3955"/>
      <c r="K270" s="3941"/>
      <c r="L270" s="3944"/>
      <c r="M270" s="3944"/>
      <c r="N270" s="3944"/>
      <c r="O270" s="3944"/>
      <c r="P270" s="3941"/>
      <c r="Q270" s="3966"/>
      <c r="R270" s="3969"/>
      <c r="S270" s="4026"/>
      <c r="T270" s="4091"/>
      <c r="U270" s="4088"/>
      <c r="V270" s="1942">
        <f>57233390-29104095</f>
        <v>28129295</v>
      </c>
      <c r="W270" s="1943">
        <v>96</v>
      </c>
      <c r="X270" s="3944"/>
      <c r="Y270" s="3944"/>
      <c r="Z270" s="3944"/>
      <c r="AA270" s="3944"/>
      <c r="AB270" s="3944"/>
      <c r="AC270" s="3944"/>
      <c r="AD270" s="3944"/>
      <c r="AE270" s="3944"/>
      <c r="AF270" s="3944"/>
      <c r="AG270" s="3944"/>
      <c r="AH270" s="3944"/>
      <c r="AI270" s="3944"/>
      <c r="AJ270" s="3944"/>
      <c r="AK270" s="3944"/>
      <c r="AL270" s="3944"/>
      <c r="AM270" s="3944"/>
      <c r="AN270" s="3944"/>
      <c r="AO270" s="4086"/>
      <c r="AP270" s="4086"/>
      <c r="AQ270" s="3975"/>
    </row>
    <row r="271" spans="1:43" ht="32.25" customHeight="1" x14ac:dyDescent="0.2">
      <c r="A271" s="1833"/>
      <c r="B271" s="1834"/>
      <c r="C271" s="1835"/>
      <c r="D271" s="1834"/>
      <c r="E271" s="1834"/>
      <c r="F271" s="1835"/>
      <c r="G271" s="1842"/>
      <c r="H271" s="1834"/>
      <c r="I271" s="1835"/>
      <c r="J271" s="3955"/>
      <c r="K271" s="3941"/>
      <c r="L271" s="3944"/>
      <c r="M271" s="3944"/>
      <c r="N271" s="3944"/>
      <c r="O271" s="3944"/>
      <c r="P271" s="3941"/>
      <c r="Q271" s="3966"/>
      <c r="R271" s="3969"/>
      <c r="S271" s="4026"/>
      <c r="T271" s="4093" t="s">
        <v>1809</v>
      </c>
      <c r="U271" s="4051" t="s">
        <v>1810</v>
      </c>
      <c r="V271" s="1942">
        <v>88000000</v>
      </c>
      <c r="W271" s="1943">
        <v>61</v>
      </c>
      <c r="X271" s="3944"/>
      <c r="Y271" s="3944"/>
      <c r="Z271" s="3944"/>
      <c r="AA271" s="3944"/>
      <c r="AB271" s="3944"/>
      <c r="AC271" s="3944"/>
      <c r="AD271" s="3944"/>
      <c r="AE271" s="3944"/>
      <c r="AF271" s="3944"/>
      <c r="AG271" s="3944"/>
      <c r="AH271" s="3944"/>
      <c r="AI271" s="3944"/>
      <c r="AJ271" s="3944"/>
      <c r="AK271" s="3944"/>
      <c r="AL271" s="3944"/>
      <c r="AM271" s="3944"/>
      <c r="AN271" s="3944"/>
      <c r="AO271" s="4086"/>
      <c r="AP271" s="4086"/>
      <c r="AQ271" s="3975"/>
    </row>
    <row r="272" spans="1:43" ht="33.75" customHeight="1" x14ac:dyDescent="0.2">
      <c r="A272" s="1833"/>
      <c r="B272" s="1834"/>
      <c r="C272" s="1835"/>
      <c r="D272" s="1834"/>
      <c r="E272" s="1834"/>
      <c r="F272" s="1835"/>
      <c r="G272" s="1842"/>
      <c r="H272" s="1834"/>
      <c r="I272" s="1835"/>
      <c r="J272" s="3955"/>
      <c r="K272" s="3942"/>
      <c r="L272" s="3945"/>
      <c r="M272" s="3945"/>
      <c r="N272" s="3945"/>
      <c r="O272" s="3945"/>
      <c r="P272" s="3942"/>
      <c r="Q272" s="3967"/>
      <c r="R272" s="3970"/>
      <c r="S272" s="4026"/>
      <c r="T272" s="4093"/>
      <c r="U272" s="4037"/>
      <c r="V272" s="1942">
        <f>57233390-57233390</f>
        <v>0</v>
      </c>
      <c r="W272" s="1944">
        <v>96</v>
      </c>
      <c r="X272" s="3945"/>
      <c r="Y272" s="3945"/>
      <c r="Z272" s="3945"/>
      <c r="AA272" s="3945"/>
      <c r="AB272" s="3945"/>
      <c r="AC272" s="3945"/>
      <c r="AD272" s="3945"/>
      <c r="AE272" s="3945"/>
      <c r="AF272" s="3945"/>
      <c r="AG272" s="3945"/>
      <c r="AH272" s="3945"/>
      <c r="AI272" s="3945"/>
      <c r="AJ272" s="3945"/>
      <c r="AK272" s="3945"/>
      <c r="AL272" s="3945"/>
      <c r="AM272" s="3945"/>
      <c r="AN272" s="3945"/>
      <c r="AO272" s="4086"/>
      <c r="AP272" s="4086"/>
      <c r="AQ272" s="3976"/>
    </row>
    <row r="273" spans="1:297" s="1947" customFormat="1" ht="47.25" customHeight="1" x14ac:dyDescent="0.2">
      <c r="A273" s="1833"/>
      <c r="B273" s="1834"/>
      <c r="C273" s="1835"/>
      <c r="D273" s="1834"/>
      <c r="E273" s="1834"/>
      <c r="F273" s="1835"/>
      <c r="G273" s="1842"/>
      <c r="H273" s="1834"/>
      <c r="I273" s="1835"/>
      <c r="J273" s="3937">
        <v>161</v>
      </c>
      <c r="K273" s="3940" t="s">
        <v>1811</v>
      </c>
      <c r="L273" s="3943" t="s">
        <v>1482</v>
      </c>
      <c r="M273" s="3943">
        <v>100</v>
      </c>
      <c r="N273" s="3943" t="s">
        <v>1812</v>
      </c>
      <c r="O273" s="3943" t="s">
        <v>1813</v>
      </c>
      <c r="P273" s="3940" t="s">
        <v>1814</v>
      </c>
      <c r="Q273" s="3965">
        <f>SUM(V273:V278)/R273</f>
        <v>0.25432610708385361</v>
      </c>
      <c r="R273" s="3968">
        <f>SUM(V273:V284)</f>
        <v>412466385</v>
      </c>
      <c r="S273" s="3940" t="s">
        <v>1815</v>
      </c>
      <c r="T273" s="3940" t="s">
        <v>1816</v>
      </c>
      <c r="U273" s="1918" t="s">
        <v>1817</v>
      </c>
      <c r="V273" s="1858">
        <v>15000000</v>
      </c>
      <c r="W273" s="1840">
        <v>61</v>
      </c>
      <c r="X273" s="3943" t="s">
        <v>1818</v>
      </c>
      <c r="Y273" s="3943">
        <v>292684</v>
      </c>
      <c r="Z273" s="3943">
        <v>282326</v>
      </c>
      <c r="AA273" s="3943">
        <v>135912</v>
      </c>
      <c r="AB273" s="3943">
        <v>45122</v>
      </c>
      <c r="AC273" s="3943">
        <v>307101</v>
      </c>
      <c r="AD273" s="3943">
        <v>86875</v>
      </c>
      <c r="AE273" s="3943">
        <v>2145</v>
      </c>
      <c r="AF273" s="3943">
        <v>12718</v>
      </c>
      <c r="AG273" s="3943">
        <v>26</v>
      </c>
      <c r="AH273" s="3943">
        <v>37</v>
      </c>
      <c r="AI273" s="3943" t="s">
        <v>1489</v>
      </c>
      <c r="AJ273" s="3943" t="s">
        <v>1489</v>
      </c>
      <c r="AK273" s="3943">
        <v>53164</v>
      </c>
      <c r="AL273" s="3943">
        <v>16982</v>
      </c>
      <c r="AM273" s="3943">
        <v>60013</v>
      </c>
      <c r="AN273" s="3943">
        <v>575010</v>
      </c>
      <c r="AO273" s="3971">
        <v>43467</v>
      </c>
      <c r="AP273" s="3971">
        <v>43830</v>
      </c>
      <c r="AQ273" s="3974" t="s">
        <v>1490</v>
      </c>
      <c r="AR273" s="1808"/>
      <c r="AS273" s="1808"/>
      <c r="AT273" s="1808"/>
      <c r="AU273" s="1808"/>
      <c r="AV273" s="1808"/>
      <c r="AW273" s="1808"/>
      <c r="AX273" s="1808"/>
      <c r="AY273" s="1808"/>
      <c r="AZ273" s="1808"/>
      <c r="BA273" s="1808"/>
      <c r="BB273" s="1808"/>
      <c r="BC273" s="1808"/>
      <c r="BD273" s="1808"/>
      <c r="BE273" s="1808"/>
      <c r="BF273" s="1808"/>
      <c r="BG273" s="1808"/>
      <c r="BH273" s="1808"/>
      <c r="BI273" s="1808"/>
      <c r="BJ273" s="1808"/>
      <c r="BK273" s="1808"/>
      <c r="BL273" s="1808"/>
      <c r="BM273" s="1808"/>
      <c r="BN273" s="1808"/>
      <c r="BO273" s="1808"/>
      <c r="BP273" s="1808"/>
      <c r="BQ273" s="1808"/>
      <c r="BR273" s="1808"/>
      <c r="BS273" s="1808"/>
      <c r="BT273" s="1808"/>
      <c r="BU273" s="1808"/>
      <c r="BV273" s="1808"/>
      <c r="BW273" s="1808"/>
      <c r="BX273" s="1808"/>
      <c r="BY273" s="1808"/>
      <c r="BZ273" s="1808"/>
      <c r="CA273" s="1808"/>
      <c r="CB273" s="1808"/>
      <c r="CC273" s="1808"/>
      <c r="CD273" s="1808"/>
      <c r="CE273" s="1808"/>
      <c r="CF273" s="1808"/>
      <c r="CG273" s="1808"/>
      <c r="CH273" s="1808"/>
      <c r="CI273" s="1808"/>
      <c r="CJ273" s="1808"/>
      <c r="CK273" s="1808"/>
      <c r="CL273" s="1808"/>
      <c r="CM273" s="1808"/>
      <c r="CN273" s="1808"/>
      <c r="CO273" s="1808"/>
      <c r="CP273" s="1808"/>
      <c r="CQ273" s="1808"/>
      <c r="CR273" s="1808"/>
      <c r="CS273" s="1808"/>
      <c r="CT273" s="1808"/>
      <c r="CU273" s="1808"/>
      <c r="CV273" s="1808"/>
      <c r="CW273" s="1808"/>
      <c r="CX273" s="1808"/>
      <c r="CY273" s="1808"/>
      <c r="CZ273" s="1808"/>
      <c r="DA273" s="1808"/>
      <c r="DB273" s="1808"/>
      <c r="DC273" s="1808"/>
      <c r="DD273" s="1808"/>
      <c r="DE273" s="1808"/>
      <c r="DF273" s="1808"/>
      <c r="DG273" s="1808"/>
      <c r="DH273" s="1808"/>
      <c r="DI273" s="1808"/>
      <c r="DJ273" s="1808"/>
      <c r="DK273" s="1808"/>
      <c r="DL273" s="1808"/>
      <c r="DM273" s="1808"/>
      <c r="DN273" s="1808"/>
      <c r="DO273" s="1808"/>
      <c r="DP273" s="1808"/>
      <c r="DQ273" s="1808"/>
      <c r="DR273" s="1808"/>
      <c r="DS273" s="1808"/>
      <c r="DT273" s="1808"/>
      <c r="DU273" s="1808"/>
      <c r="DV273" s="1808"/>
      <c r="DW273" s="1808"/>
      <c r="DX273" s="1808"/>
      <c r="DY273" s="1808"/>
      <c r="DZ273" s="1808"/>
      <c r="EA273" s="1808"/>
      <c r="EB273" s="1808"/>
      <c r="EC273" s="1808"/>
      <c r="ED273" s="1808"/>
      <c r="EE273" s="1808"/>
      <c r="EF273" s="1808"/>
      <c r="EG273" s="1808"/>
      <c r="EH273" s="1808"/>
      <c r="EI273" s="1808"/>
      <c r="EJ273" s="1808"/>
      <c r="EK273" s="1808"/>
      <c r="EL273" s="1808"/>
      <c r="EM273" s="1808"/>
      <c r="EN273" s="1808"/>
      <c r="EO273" s="1808"/>
      <c r="EP273" s="1808"/>
      <c r="EQ273" s="1808"/>
      <c r="ER273" s="1808"/>
      <c r="ES273" s="1808"/>
      <c r="ET273" s="1808"/>
      <c r="EU273" s="1808"/>
      <c r="EV273" s="1808"/>
      <c r="EW273" s="1808"/>
      <c r="EX273" s="1808"/>
      <c r="EY273" s="1808"/>
      <c r="EZ273" s="1808"/>
      <c r="FA273" s="1808"/>
      <c r="FB273" s="1808"/>
      <c r="FC273" s="1808"/>
      <c r="FD273" s="1808"/>
      <c r="FE273" s="1808"/>
      <c r="FF273" s="1808"/>
      <c r="FG273" s="1808"/>
      <c r="FH273" s="1808"/>
      <c r="FI273" s="1808"/>
      <c r="FJ273" s="1808"/>
      <c r="FK273" s="1808"/>
      <c r="FL273" s="1808"/>
      <c r="FM273" s="1808"/>
      <c r="FN273" s="1808"/>
      <c r="FO273" s="1808"/>
      <c r="FP273" s="1808"/>
      <c r="FQ273" s="1808"/>
      <c r="FR273" s="1808"/>
      <c r="FS273" s="1808"/>
      <c r="FT273" s="1808"/>
      <c r="FU273" s="1808"/>
      <c r="FV273" s="1808"/>
      <c r="FW273" s="1808"/>
      <c r="FX273" s="1808"/>
      <c r="FY273" s="1808"/>
      <c r="FZ273" s="1808"/>
      <c r="GA273" s="1808"/>
      <c r="GB273" s="1808"/>
      <c r="GC273" s="1808"/>
      <c r="GD273" s="1808"/>
      <c r="GE273" s="1808"/>
      <c r="GF273" s="1808"/>
      <c r="GG273" s="1808"/>
      <c r="GH273" s="1808"/>
      <c r="GI273" s="1808"/>
      <c r="GJ273" s="1808"/>
      <c r="GK273" s="1808"/>
      <c r="GL273" s="1808"/>
      <c r="GM273" s="1808"/>
      <c r="GN273" s="1808"/>
      <c r="GO273" s="1808"/>
      <c r="GP273" s="1808"/>
      <c r="GQ273" s="1808"/>
      <c r="GR273" s="1808"/>
      <c r="GS273" s="1808"/>
      <c r="GT273" s="1808"/>
      <c r="GU273" s="1808"/>
      <c r="GV273" s="1808"/>
      <c r="GW273" s="1808"/>
      <c r="GX273" s="1808"/>
      <c r="GY273" s="1808"/>
      <c r="GZ273" s="1808"/>
      <c r="HA273" s="1808"/>
      <c r="HB273" s="1808"/>
      <c r="HC273" s="1808"/>
      <c r="HD273" s="1808"/>
      <c r="HE273" s="1808"/>
      <c r="HF273" s="1808"/>
      <c r="HG273" s="1808"/>
      <c r="HH273" s="1808"/>
      <c r="HI273" s="1808"/>
      <c r="HJ273" s="1808"/>
      <c r="HK273" s="1808"/>
      <c r="HL273" s="1808"/>
      <c r="HM273" s="1808"/>
      <c r="HN273" s="1808"/>
      <c r="HO273" s="1808"/>
      <c r="HP273" s="1808"/>
      <c r="HQ273" s="1808"/>
      <c r="HR273" s="1808"/>
      <c r="HS273" s="1808"/>
      <c r="HT273" s="1808"/>
      <c r="HU273" s="1808"/>
      <c r="HV273" s="1808"/>
      <c r="HW273" s="1808"/>
      <c r="HX273" s="1808"/>
      <c r="HY273" s="1808"/>
      <c r="HZ273" s="1808"/>
      <c r="IA273" s="1808"/>
      <c r="IB273" s="1808"/>
      <c r="IC273" s="1808"/>
      <c r="ID273" s="1808"/>
      <c r="IE273" s="1808"/>
      <c r="IF273" s="1808"/>
      <c r="IG273" s="1808"/>
      <c r="IH273" s="1808"/>
      <c r="II273" s="1808"/>
      <c r="IJ273" s="1808"/>
      <c r="IK273" s="1808"/>
      <c r="IL273" s="1808"/>
      <c r="IM273" s="1808"/>
      <c r="IN273" s="1808"/>
      <c r="IO273" s="1808"/>
      <c r="IP273" s="1808"/>
      <c r="IQ273" s="1808"/>
      <c r="IR273" s="1808"/>
      <c r="IS273" s="1808"/>
      <c r="IT273" s="1808"/>
      <c r="IU273" s="1808"/>
      <c r="IV273" s="1808"/>
      <c r="IW273" s="1808"/>
      <c r="IX273" s="1808"/>
      <c r="IY273" s="1808"/>
      <c r="IZ273" s="1808"/>
      <c r="JA273" s="1808"/>
      <c r="JB273" s="1808"/>
      <c r="JC273" s="1808"/>
      <c r="JD273" s="1808"/>
      <c r="JE273" s="1808"/>
      <c r="JF273" s="1808"/>
      <c r="JG273" s="1808"/>
      <c r="JH273" s="1808"/>
      <c r="JI273" s="1808"/>
      <c r="JJ273" s="1808"/>
      <c r="JK273" s="1808"/>
      <c r="JL273" s="1808"/>
      <c r="JM273" s="1808"/>
      <c r="JN273" s="1808"/>
      <c r="JO273" s="1808"/>
      <c r="JP273" s="1808"/>
      <c r="JQ273" s="1808"/>
      <c r="JR273" s="1808"/>
      <c r="JS273" s="1808"/>
      <c r="JT273" s="1808"/>
      <c r="JU273" s="1808"/>
      <c r="JV273" s="1808"/>
      <c r="JW273" s="1808"/>
      <c r="JX273" s="1808"/>
      <c r="JY273" s="1808"/>
      <c r="JZ273" s="1808"/>
      <c r="KA273" s="1808"/>
      <c r="KB273" s="1808"/>
      <c r="KC273" s="1808"/>
      <c r="KD273" s="1808"/>
      <c r="KE273" s="1808"/>
      <c r="KF273" s="1808"/>
      <c r="KG273" s="1808"/>
      <c r="KH273" s="1808"/>
      <c r="KI273" s="1808"/>
      <c r="KJ273" s="1808"/>
      <c r="KK273" s="1808"/>
    </row>
    <row r="274" spans="1:297" s="1947" customFormat="1" ht="34.5" customHeight="1" x14ac:dyDescent="0.2">
      <c r="A274" s="1833"/>
      <c r="B274" s="1834"/>
      <c r="C274" s="1835"/>
      <c r="D274" s="1834"/>
      <c r="E274" s="1834"/>
      <c r="F274" s="1835"/>
      <c r="G274" s="1842"/>
      <c r="H274" s="1834"/>
      <c r="I274" s="1835"/>
      <c r="J274" s="3938"/>
      <c r="K274" s="3941"/>
      <c r="L274" s="3944"/>
      <c r="M274" s="3944"/>
      <c r="N274" s="3944"/>
      <c r="O274" s="3944"/>
      <c r="P274" s="3941"/>
      <c r="Q274" s="3966"/>
      <c r="R274" s="3969"/>
      <c r="S274" s="3941"/>
      <c r="T274" s="3941"/>
      <c r="U274" s="4051" t="s">
        <v>1819</v>
      </c>
      <c r="V274" s="1858">
        <v>25000000</v>
      </c>
      <c r="W274" s="1840">
        <v>61</v>
      </c>
      <c r="X274" s="3944"/>
      <c r="Y274" s="3944"/>
      <c r="Z274" s="3944"/>
      <c r="AA274" s="3944"/>
      <c r="AB274" s="3944"/>
      <c r="AC274" s="3944"/>
      <c r="AD274" s="3944"/>
      <c r="AE274" s="3944"/>
      <c r="AF274" s="3944"/>
      <c r="AG274" s="3944"/>
      <c r="AH274" s="3944"/>
      <c r="AI274" s="3944"/>
      <c r="AJ274" s="3944"/>
      <c r="AK274" s="3944"/>
      <c r="AL274" s="3944"/>
      <c r="AM274" s="3944"/>
      <c r="AN274" s="3944"/>
      <c r="AO274" s="3972"/>
      <c r="AP274" s="3972"/>
      <c r="AQ274" s="3975"/>
      <c r="AR274" s="1808"/>
      <c r="AS274" s="1808"/>
      <c r="AT274" s="1808"/>
      <c r="AU274" s="1808"/>
      <c r="AV274" s="1808"/>
      <c r="AW274" s="1808"/>
      <c r="AX274" s="1808"/>
      <c r="AY274" s="1808"/>
      <c r="AZ274" s="1808"/>
      <c r="BA274" s="1808"/>
      <c r="BB274" s="1808"/>
      <c r="BC274" s="1808"/>
      <c r="BD274" s="1808"/>
      <c r="BE274" s="1808"/>
      <c r="BF274" s="1808"/>
      <c r="BG274" s="1808"/>
      <c r="BH274" s="1808"/>
      <c r="BI274" s="1808"/>
      <c r="BJ274" s="1808"/>
      <c r="BK274" s="1808"/>
      <c r="BL274" s="1808"/>
      <c r="BM274" s="1808"/>
      <c r="BN274" s="1808"/>
      <c r="BO274" s="1808"/>
      <c r="BP274" s="1808"/>
      <c r="BQ274" s="1808"/>
      <c r="BR274" s="1808"/>
      <c r="BS274" s="1808"/>
      <c r="BT274" s="1808"/>
      <c r="BU274" s="1808"/>
      <c r="BV274" s="1808"/>
      <c r="BW274" s="1808"/>
      <c r="BX274" s="1808"/>
      <c r="BY274" s="1808"/>
      <c r="BZ274" s="1808"/>
      <c r="CA274" s="1808"/>
      <c r="CB274" s="1808"/>
      <c r="CC274" s="1808"/>
      <c r="CD274" s="1808"/>
      <c r="CE274" s="1808"/>
      <c r="CF274" s="1808"/>
      <c r="CG274" s="1808"/>
      <c r="CH274" s="1808"/>
      <c r="CI274" s="1808"/>
      <c r="CJ274" s="1808"/>
      <c r="CK274" s="1808"/>
      <c r="CL274" s="1808"/>
      <c r="CM274" s="1808"/>
      <c r="CN274" s="1808"/>
      <c r="CO274" s="1808"/>
      <c r="CP274" s="1808"/>
      <c r="CQ274" s="1808"/>
      <c r="CR274" s="1808"/>
      <c r="CS274" s="1808"/>
      <c r="CT274" s="1808"/>
      <c r="CU274" s="1808"/>
      <c r="CV274" s="1808"/>
      <c r="CW274" s="1808"/>
      <c r="CX274" s="1808"/>
      <c r="CY274" s="1808"/>
      <c r="CZ274" s="1808"/>
      <c r="DA274" s="1808"/>
      <c r="DB274" s="1808"/>
      <c r="DC274" s="1808"/>
      <c r="DD274" s="1808"/>
      <c r="DE274" s="1808"/>
      <c r="DF274" s="1808"/>
      <c r="DG274" s="1808"/>
      <c r="DH274" s="1808"/>
      <c r="DI274" s="1808"/>
      <c r="DJ274" s="1808"/>
      <c r="DK274" s="1808"/>
      <c r="DL274" s="1808"/>
      <c r="DM274" s="1808"/>
      <c r="DN274" s="1808"/>
      <c r="DO274" s="1808"/>
      <c r="DP274" s="1808"/>
      <c r="DQ274" s="1808"/>
      <c r="DR274" s="1808"/>
      <c r="DS274" s="1808"/>
      <c r="DT274" s="1808"/>
      <c r="DU274" s="1808"/>
      <c r="DV274" s="1808"/>
      <c r="DW274" s="1808"/>
      <c r="DX274" s="1808"/>
      <c r="DY274" s="1808"/>
      <c r="DZ274" s="1808"/>
      <c r="EA274" s="1808"/>
      <c r="EB274" s="1808"/>
      <c r="EC274" s="1808"/>
      <c r="ED274" s="1808"/>
      <c r="EE274" s="1808"/>
      <c r="EF274" s="1808"/>
      <c r="EG274" s="1808"/>
      <c r="EH274" s="1808"/>
      <c r="EI274" s="1808"/>
      <c r="EJ274" s="1808"/>
      <c r="EK274" s="1808"/>
      <c r="EL274" s="1808"/>
      <c r="EM274" s="1808"/>
      <c r="EN274" s="1808"/>
      <c r="EO274" s="1808"/>
      <c r="EP274" s="1808"/>
      <c r="EQ274" s="1808"/>
      <c r="ER274" s="1808"/>
      <c r="ES274" s="1808"/>
      <c r="ET274" s="1808"/>
      <c r="EU274" s="1808"/>
      <c r="EV274" s="1808"/>
      <c r="EW274" s="1808"/>
      <c r="EX274" s="1808"/>
      <c r="EY274" s="1808"/>
      <c r="EZ274" s="1808"/>
      <c r="FA274" s="1808"/>
      <c r="FB274" s="1808"/>
      <c r="FC274" s="1808"/>
      <c r="FD274" s="1808"/>
      <c r="FE274" s="1808"/>
      <c r="FF274" s="1808"/>
      <c r="FG274" s="1808"/>
      <c r="FH274" s="1808"/>
      <c r="FI274" s="1808"/>
      <c r="FJ274" s="1808"/>
      <c r="FK274" s="1808"/>
      <c r="FL274" s="1808"/>
      <c r="FM274" s="1808"/>
      <c r="FN274" s="1808"/>
      <c r="FO274" s="1808"/>
      <c r="FP274" s="1808"/>
      <c r="FQ274" s="1808"/>
      <c r="FR274" s="1808"/>
      <c r="FS274" s="1808"/>
      <c r="FT274" s="1808"/>
      <c r="FU274" s="1808"/>
      <c r="FV274" s="1808"/>
      <c r="FW274" s="1808"/>
      <c r="FX274" s="1808"/>
      <c r="FY274" s="1808"/>
      <c r="FZ274" s="1808"/>
      <c r="GA274" s="1808"/>
      <c r="GB274" s="1808"/>
      <c r="GC274" s="1808"/>
      <c r="GD274" s="1808"/>
      <c r="GE274" s="1808"/>
      <c r="GF274" s="1808"/>
      <c r="GG274" s="1808"/>
      <c r="GH274" s="1808"/>
      <c r="GI274" s="1808"/>
      <c r="GJ274" s="1808"/>
      <c r="GK274" s="1808"/>
      <c r="GL274" s="1808"/>
      <c r="GM274" s="1808"/>
      <c r="GN274" s="1808"/>
      <c r="GO274" s="1808"/>
      <c r="GP274" s="1808"/>
      <c r="GQ274" s="1808"/>
      <c r="GR274" s="1808"/>
      <c r="GS274" s="1808"/>
      <c r="GT274" s="1808"/>
      <c r="GU274" s="1808"/>
      <c r="GV274" s="1808"/>
      <c r="GW274" s="1808"/>
      <c r="GX274" s="1808"/>
      <c r="GY274" s="1808"/>
      <c r="GZ274" s="1808"/>
      <c r="HA274" s="1808"/>
      <c r="HB274" s="1808"/>
      <c r="HC274" s="1808"/>
      <c r="HD274" s="1808"/>
      <c r="HE274" s="1808"/>
      <c r="HF274" s="1808"/>
      <c r="HG274" s="1808"/>
      <c r="HH274" s="1808"/>
      <c r="HI274" s="1808"/>
      <c r="HJ274" s="1808"/>
      <c r="HK274" s="1808"/>
      <c r="HL274" s="1808"/>
      <c r="HM274" s="1808"/>
      <c r="HN274" s="1808"/>
      <c r="HO274" s="1808"/>
      <c r="HP274" s="1808"/>
      <c r="HQ274" s="1808"/>
      <c r="HR274" s="1808"/>
      <c r="HS274" s="1808"/>
      <c r="HT274" s="1808"/>
      <c r="HU274" s="1808"/>
      <c r="HV274" s="1808"/>
      <c r="HW274" s="1808"/>
      <c r="HX274" s="1808"/>
      <c r="HY274" s="1808"/>
      <c r="HZ274" s="1808"/>
      <c r="IA274" s="1808"/>
      <c r="IB274" s="1808"/>
      <c r="IC274" s="1808"/>
      <c r="ID274" s="1808"/>
      <c r="IE274" s="1808"/>
      <c r="IF274" s="1808"/>
      <c r="IG274" s="1808"/>
      <c r="IH274" s="1808"/>
      <c r="II274" s="1808"/>
      <c r="IJ274" s="1808"/>
      <c r="IK274" s="1808"/>
      <c r="IL274" s="1808"/>
      <c r="IM274" s="1808"/>
      <c r="IN274" s="1808"/>
      <c r="IO274" s="1808"/>
      <c r="IP274" s="1808"/>
      <c r="IQ274" s="1808"/>
      <c r="IR274" s="1808"/>
      <c r="IS274" s="1808"/>
      <c r="IT274" s="1808"/>
      <c r="IU274" s="1808"/>
      <c r="IV274" s="1808"/>
      <c r="IW274" s="1808"/>
      <c r="IX274" s="1808"/>
      <c r="IY274" s="1808"/>
      <c r="IZ274" s="1808"/>
      <c r="JA274" s="1808"/>
      <c r="JB274" s="1808"/>
      <c r="JC274" s="1808"/>
      <c r="JD274" s="1808"/>
      <c r="JE274" s="1808"/>
      <c r="JF274" s="1808"/>
      <c r="JG274" s="1808"/>
      <c r="JH274" s="1808"/>
      <c r="JI274" s="1808"/>
      <c r="JJ274" s="1808"/>
      <c r="JK274" s="1808"/>
      <c r="JL274" s="1808"/>
      <c r="JM274" s="1808"/>
      <c r="JN274" s="1808"/>
      <c r="JO274" s="1808"/>
      <c r="JP274" s="1808"/>
      <c r="JQ274" s="1808"/>
      <c r="JR274" s="1808"/>
      <c r="JS274" s="1808"/>
      <c r="JT274" s="1808"/>
      <c r="JU274" s="1808"/>
      <c r="JV274" s="1808"/>
      <c r="JW274" s="1808"/>
      <c r="JX274" s="1808"/>
      <c r="JY274" s="1808"/>
      <c r="JZ274" s="1808"/>
      <c r="KA274" s="1808"/>
      <c r="KB274" s="1808"/>
      <c r="KC274" s="1808"/>
      <c r="KD274" s="1808"/>
      <c r="KE274" s="1808"/>
      <c r="KF274" s="1808"/>
      <c r="KG274" s="1808"/>
      <c r="KH274" s="1808"/>
      <c r="KI274" s="1808"/>
      <c r="KJ274" s="1808"/>
      <c r="KK274" s="1808"/>
    </row>
    <row r="275" spans="1:297" s="1947" customFormat="1" ht="30" customHeight="1" x14ac:dyDescent="0.2">
      <c r="A275" s="1833"/>
      <c r="B275" s="1834"/>
      <c r="C275" s="1835"/>
      <c r="D275" s="1834"/>
      <c r="E275" s="1834"/>
      <c r="F275" s="1835"/>
      <c r="G275" s="1842"/>
      <c r="H275" s="1834"/>
      <c r="I275" s="1835"/>
      <c r="J275" s="3938"/>
      <c r="K275" s="3941"/>
      <c r="L275" s="3944"/>
      <c r="M275" s="3944"/>
      <c r="N275" s="3944"/>
      <c r="O275" s="3944"/>
      <c r="P275" s="3941"/>
      <c r="Q275" s="3966"/>
      <c r="R275" s="3969"/>
      <c r="S275" s="3941"/>
      <c r="T275" s="3941"/>
      <c r="U275" s="4037"/>
      <c r="V275" s="1858">
        <v>14450485</v>
      </c>
      <c r="W275" s="1840">
        <v>98</v>
      </c>
      <c r="X275" s="3944"/>
      <c r="Y275" s="3944"/>
      <c r="Z275" s="3944"/>
      <c r="AA275" s="3944"/>
      <c r="AB275" s="3944"/>
      <c r="AC275" s="3944"/>
      <c r="AD275" s="3944"/>
      <c r="AE275" s="3944"/>
      <c r="AF275" s="3944"/>
      <c r="AG275" s="3944"/>
      <c r="AH275" s="3944"/>
      <c r="AI275" s="3944"/>
      <c r="AJ275" s="3944"/>
      <c r="AK275" s="3944"/>
      <c r="AL275" s="3944"/>
      <c r="AM275" s="3944"/>
      <c r="AN275" s="3944"/>
      <c r="AO275" s="3972"/>
      <c r="AP275" s="3972"/>
      <c r="AQ275" s="3975"/>
      <c r="AR275" s="1808"/>
      <c r="AS275" s="1808"/>
      <c r="AT275" s="1808"/>
      <c r="AU275" s="1808"/>
      <c r="AV275" s="1808"/>
      <c r="AW275" s="1808"/>
      <c r="AX275" s="1808"/>
      <c r="AY275" s="1808"/>
      <c r="AZ275" s="1808"/>
      <c r="BA275" s="1808"/>
      <c r="BB275" s="1808"/>
      <c r="BC275" s="1808"/>
      <c r="BD275" s="1808"/>
      <c r="BE275" s="1808"/>
      <c r="BF275" s="1808"/>
      <c r="BG275" s="1808"/>
      <c r="BH275" s="1808"/>
      <c r="BI275" s="1808"/>
      <c r="BJ275" s="1808"/>
      <c r="BK275" s="1808"/>
      <c r="BL275" s="1808"/>
      <c r="BM275" s="1808"/>
      <c r="BN275" s="1808"/>
      <c r="BO275" s="1808"/>
      <c r="BP275" s="1808"/>
      <c r="BQ275" s="1808"/>
      <c r="BR275" s="1808"/>
      <c r="BS275" s="1808"/>
      <c r="BT275" s="1808"/>
      <c r="BU275" s="1808"/>
      <c r="BV275" s="1808"/>
      <c r="BW275" s="1808"/>
      <c r="BX275" s="1808"/>
      <c r="BY275" s="1808"/>
      <c r="BZ275" s="1808"/>
      <c r="CA275" s="1808"/>
      <c r="CB275" s="1808"/>
      <c r="CC275" s="1808"/>
      <c r="CD275" s="1808"/>
      <c r="CE275" s="1808"/>
      <c r="CF275" s="1808"/>
      <c r="CG275" s="1808"/>
      <c r="CH275" s="1808"/>
      <c r="CI275" s="1808"/>
      <c r="CJ275" s="1808"/>
      <c r="CK275" s="1808"/>
      <c r="CL275" s="1808"/>
      <c r="CM275" s="1808"/>
      <c r="CN275" s="1808"/>
      <c r="CO275" s="1808"/>
      <c r="CP275" s="1808"/>
      <c r="CQ275" s="1808"/>
      <c r="CR275" s="1808"/>
      <c r="CS275" s="1808"/>
      <c r="CT275" s="1808"/>
      <c r="CU275" s="1808"/>
      <c r="CV275" s="1808"/>
      <c r="CW275" s="1808"/>
      <c r="CX275" s="1808"/>
      <c r="CY275" s="1808"/>
      <c r="CZ275" s="1808"/>
      <c r="DA275" s="1808"/>
      <c r="DB275" s="1808"/>
      <c r="DC275" s="1808"/>
      <c r="DD275" s="1808"/>
      <c r="DE275" s="1808"/>
      <c r="DF275" s="1808"/>
      <c r="DG275" s="1808"/>
      <c r="DH275" s="1808"/>
      <c r="DI275" s="1808"/>
      <c r="DJ275" s="1808"/>
      <c r="DK275" s="1808"/>
      <c r="DL275" s="1808"/>
      <c r="DM275" s="1808"/>
      <c r="DN275" s="1808"/>
      <c r="DO275" s="1808"/>
      <c r="DP275" s="1808"/>
      <c r="DQ275" s="1808"/>
      <c r="DR275" s="1808"/>
      <c r="DS275" s="1808"/>
      <c r="DT275" s="1808"/>
      <c r="DU275" s="1808"/>
      <c r="DV275" s="1808"/>
      <c r="DW275" s="1808"/>
      <c r="DX275" s="1808"/>
      <c r="DY275" s="1808"/>
      <c r="DZ275" s="1808"/>
      <c r="EA275" s="1808"/>
      <c r="EB275" s="1808"/>
      <c r="EC275" s="1808"/>
      <c r="ED275" s="1808"/>
      <c r="EE275" s="1808"/>
      <c r="EF275" s="1808"/>
      <c r="EG275" s="1808"/>
      <c r="EH275" s="1808"/>
      <c r="EI275" s="1808"/>
      <c r="EJ275" s="1808"/>
      <c r="EK275" s="1808"/>
      <c r="EL275" s="1808"/>
      <c r="EM275" s="1808"/>
      <c r="EN275" s="1808"/>
      <c r="EO275" s="1808"/>
      <c r="EP275" s="1808"/>
      <c r="EQ275" s="1808"/>
      <c r="ER275" s="1808"/>
      <c r="ES275" s="1808"/>
      <c r="ET275" s="1808"/>
      <c r="EU275" s="1808"/>
      <c r="EV275" s="1808"/>
      <c r="EW275" s="1808"/>
      <c r="EX275" s="1808"/>
      <c r="EY275" s="1808"/>
      <c r="EZ275" s="1808"/>
      <c r="FA275" s="1808"/>
      <c r="FB275" s="1808"/>
      <c r="FC275" s="1808"/>
      <c r="FD275" s="1808"/>
      <c r="FE275" s="1808"/>
      <c r="FF275" s="1808"/>
      <c r="FG275" s="1808"/>
      <c r="FH275" s="1808"/>
      <c r="FI275" s="1808"/>
      <c r="FJ275" s="1808"/>
      <c r="FK275" s="1808"/>
      <c r="FL275" s="1808"/>
      <c r="FM275" s="1808"/>
      <c r="FN275" s="1808"/>
      <c r="FO275" s="1808"/>
      <c r="FP275" s="1808"/>
      <c r="FQ275" s="1808"/>
      <c r="FR275" s="1808"/>
      <c r="FS275" s="1808"/>
      <c r="FT275" s="1808"/>
      <c r="FU275" s="1808"/>
      <c r="FV275" s="1808"/>
      <c r="FW275" s="1808"/>
      <c r="FX275" s="1808"/>
      <c r="FY275" s="1808"/>
      <c r="FZ275" s="1808"/>
      <c r="GA275" s="1808"/>
      <c r="GB275" s="1808"/>
      <c r="GC275" s="1808"/>
      <c r="GD275" s="1808"/>
      <c r="GE275" s="1808"/>
      <c r="GF275" s="1808"/>
      <c r="GG275" s="1808"/>
      <c r="GH275" s="1808"/>
      <c r="GI275" s="1808"/>
      <c r="GJ275" s="1808"/>
      <c r="GK275" s="1808"/>
      <c r="GL275" s="1808"/>
      <c r="GM275" s="1808"/>
      <c r="GN275" s="1808"/>
      <c r="GO275" s="1808"/>
      <c r="GP275" s="1808"/>
      <c r="GQ275" s="1808"/>
      <c r="GR275" s="1808"/>
      <c r="GS275" s="1808"/>
      <c r="GT275" s="1808"/>
      <c r="GU275" s="1808"/>
      <c r="GV275" s="1808"/>
      <c r="GW275" s="1808"/>
      <c r="GX275" s="1808"/>
      <c r="GY275" s="1808"/>
      <c r="GZ275" s="1808"/>
      <c r="HA275" s="1808"/>
      <c r="HB275" s="1808"/>
      <c r="HC275" s="1808"/>
      <c r="HD275" s="1808"/>
      <c r="HE275" s="1808"/>
      <c r="HF275" s="1808"/>
      <c r="HG275" s="1808"/>
      <c r="HH275" s="1808"/>
      <c r="HI275" s="1808"/>
      <c r="HJ275" s="1808"/>
      <c r="HK275" s="1808"/>
      <c r="HL275" s="1808"/>
      <c r="HM275" s="1808"/>
      <c r="HN275" s="1808"/>
      <c r="HO275" s="1808"/>
      <c r="HP275" s="1808"/>
      <c r="HQ275" s="1808"/>
      <c r="HR275" s="1808"/>
      <c r="HS275" s="1808"/>
      <c r="HT275" s="1808"/>
      <c r="HU275" s="1808"/>
      <c r="HV275" s="1808"/>
      <c r="HW275" s="1808"/>
      <c r="HX275" s="1808"/>
      <c r="HY275" s="1808"/>
      <c r="HZ275" s="1808"/>
      <c r="IA275" s="1808"/>
      <c r="IB275" s="1808"/>
      <c r="IC275" s="1808"/>
      <c r="ID275" s="1808"/>
      <c r="IE275" s="1808"/>
      <c r="IF275" s="1808"/>
      <c r="IG275" s="1808"/>
      <c r="IH275" s="1808"/>
      <c r="II275" s="1808"/>
      <c r="IJ275" s="1808"/>
      <c r="IK275" s="1808"/>
      <c r="IL275" s="1808"/>
      <c r="IM275" s="1808"/>
      <c r="IN275" s="1808"/>
      <c r="IO275" s="1808"/>
      <c r="IP275" s="1808"/>
      <c r="IQ275" s="1808"/>
      <c r="IR275" s="1808"/>
      <c r="IS275" s="1808"/>
      <c r="IT275" s="1808"/>
      <c r="IU275" s="1808"/>
      <c r="IV275" s="1808"/>
      <c r="IW275" s="1808"/>
      <c r="IX275" s="1808"/>
      <c r="IY275" s="1808"/>
      <c r="IZ275" s="1808"/>
      <c r="JA275" s="1808"/>
      <c r="JB275" s="1808"/>
      <c r="JC275" s="1808"/>
      <c r="JD275" s="1808"/>
      <c r="JE275" s="1808"/>
      <c r="JF275" s="1808"/>
      <c r="JG275" s="1808"/>
      <c r="JH275" s="1808"/>
      <c r="JI275" s="1808"/>
      <c r="JJ275" s="1808"/>
      <c r="JK275" s="1808"/>
      <c r="JL275" s="1808"/>
      <c r="JM275" s="1808"/>
      <c r="JN275" s="1808"/>
      <c r="JO275" s="1808"/>
      <c r="JP275" s="1808"/>
      <c r="JQ275" s="1808"/>
      <c r="JR275" s="1808"/>
      <c r="JS275" s="1808"/>
      <c r="JT275" s="1808"/>
      <c r="JU275" s="1808"/>
      <c r="JV275" s="1808"/>
      <c r="JW275" s="1808"/>
      <c r="JX275" s="1808"/>
      <c r="JY275" s="1808"/>
      <c r="JZ275" s="1808"/>
      <c r="KA275" s="1808"/>
      <c r="KB275" s="1808"/>
      <c r="KC275" s="1808"/>
      <c r="KD275" s="1808"/>
      <c r="KE275" s="1808"/>
      <c r="KF275" s="1808"/>
      <c r="KG275" s="1808"/>
      <c r="KH275" s="1808"/>
      <c r="KI275" s="1808"/>
      <c r="KJ275" s="1808"/>
      <c r="KK275" s="1808"/>
    </row>
    <row r="276" spans="1:297" s="1947" customFormat="1" ht="39" customHeight="1" x14ac:dyDescent="0.2">
      <c r="A276" s="1833"/>
      <c r="B276" s="1834"/>
      <c r="C276" s="1835"/>
      <c r="D276" s="1834"/>
      <c r="E276" s="1834"/>
      <c r="F276" s="1835"/>
      <c r="G276" s="1842"/>
      <c r="H276" s="1834"/>
      <c r="I276" s="1835"/>
      <c r="J276" s="3938"/>
      <c r="K276" s="3941"/>
      <c r="L276" s="3944"/>
      <c r="M276" s="3944"/>
      <c r="N276" s="3944"/>
      <c r="O276" s="3944"/>
      <c r="P276" s="3941"/>
      <c r="Q276" s="3966"/>
      <c r="R276" s="3969"/>
      <c r="S276" s="3941"/>
      <c r="T276" s="3941"/>
      <c r="U276" s="4051" t="s">
        <v>1820</v>
      </c>
      <c r="V276" s="1858">
        <v>25000000</v>
      </c>
      <c r="W276" s="1840">
        <v>61</v>
      </c>
      <c r="X276" s="3944"/>
      <c r="Y276" s="3944"/>
      <c r="Z276" s="3944"/>
      <c r="AA276" s="3944"/>
      <c r="AB276" s="3944"/>
      <c r="AC276" s="3944"/>
      <c r="AD276" s="3944"/>
      <c r="AE276" s="3944"/>
      <c r="AF276" s="3944"/>
      <c r="AG276" s="3944"/>
      <c r="AH276" s="3944"/>
      <c r="AI276" s="3944"/>
      <c r="AJ276" s="3944"/>
      <c r="AK276" s="3944"/>
      <c r="AL276" s="3944"/>
      <c r="AM276" s="3944"/>
      <c r="AN276" s="3944"/>
      <c r="AO276" s="3972"/>
      <c r="AP276" s="3972"/>
      <c r="AQ276" s="3975"/>
      <c r="AR276" s="1808"/>
      <c r="AS276" s="1808"/>
      <c r="AT276" s="1808"/>
      <c r="AU276" s="1808"/>
      <c r="AV276" s="1808"/>
      <c r="AW276" s="1808"/>
      <c r="AX276" s="1808"/>
      <c r="AY276" s="1808"/>
      <c r="AZ276" s="1808"/>
      <c r="BA276" s="1808"/>
      <c r="BB276" s="1808"/>
      <c r="BC276" s="1808"/>
      <c r="BD276" s="1808"/>
      <c r="BE276" s="1808"/>
      <c r="BF276" s="1808"/>
      <c r="BG276" s="1808"/>
      <c r="BH276" s="1808"/>
      <c r="BI276" s="1808"/>
      <c r="BJ276" s="1808"/>
      <c r="BK276" s="1808"/>
      <c r="BL276" s="1808"/>
      <c r="BM276" s="1808"/>
      <c r="BN276" s="1808"/>
      <c r="BO276" s="1808"/>
      <c r="BP276" s="1808"/>
      <c r="BQ276" s="1808"/>
      <c r="BR276" s="1808"/>
      <c r="BS276" s="1808"/>
      <c r="BT276" s="1808"/>
      <c r="BU276" s="1808"/>
      <c r="BV276" s="1808"/>
      <c r="BW276" s="1808"/>
      <c r="BX276" s="1808"/>
      <c r="BY276" s="1808"/>
      <c r="BZ276" s="1808"/>
      <c r="CA276" s="1808"/>
      <c r="CB276" s="1808"/>
      <c r="CC276" s="1808"/>
      <c r="CD276" s="1808"/>
      <c r="CE276" s="1808"/>
      <c r="CF276" s="1808"/>
      <c r="CG276" s="1808"/>
      <c r="CH276" s="1808"/>
      <c r="CI276" s="1808"/>
      <c r="CJ276" s="1808"/>
      <c r="CK276" s="1808"/>
      <c r="CL276" s="1808"/>
      <c r="CM276" s="1808"/>
      <c r="CN276" s="1808"/>
      <c r="CO276" s="1808"/>
      <c r="CP276" s="1808"/>
      <c r="CQ276" s="1808"/>
      <c r="CR276" s="1808"/>
      <c r="CS276" s="1808"/>
      <c r="CT276" s="1808"/>
      <c r="CU276" s="1808"/>
      <c r="CV276" s="1808"/>
      <c r="CW276" s="1808"/>
      <c r="CX276" s="1808"/>
      <c r="CY276" s="1808"/>
      <c r="CZ276" s="1808"/>
      <c r="DA276" s="1808"/>
      <c r="DB276" s="1808"/>
      <c r="DC276" s="1808"/>
      <c r="DD276" s="1808"/>
      <c r="DE276" s="1808"/>
      <c r="DF276" s="1808"/>
      <c r="DG276" s="1808"/>
      <c r="DH276" s="1808"/>
      <c r="DI276" s="1808"/>
      <c r="DJ276" s="1808"/>
      <c r="DK276" s="1808"/>
      <c r="DL276" s="1808"/>
      <c r="DM276" s="1808"/>
      <c r="DN276" s="1808"/>
      <c r="DO276" s="1808"/>
      <c r="DP276" s="1808"/>
      <c r="DQ276" s="1808"/>
      <c r="DR276" s="1808"/>
      <c r="DS276" s="1808"/>
      <c r="DT276" s="1808"/>
      <c r="DU276" s="1808"/>
      <c r="DV276" s="1808"/>
      <c r="DW276" s="1808"/>
      <c r="DX276" s="1808"/>
      <c r="DY276" s="1808"/>
      <c r="DZ276" s="1808"/>
      <c r="EA276" s="1808"/>
      <c r="EB276" s="1808"/>
      <c r="EC276" s="1808"/>
      <c r="ED276" s="1808"/>
      <c r="EE276" s="1808"/>
      <c r="EF276" s="1808"/>
      <c r="EG276" s="1808"/>
      <c r="EH276" s="1808"/>
      <c r="EI276" s="1808"/>
      <c r="EJ276" s="1808"/>
      <c r="EK276" s="1808"/>
      <c r="EL276" s="1808"/>
      <c r="EM276" s="1808"/>
      <c r="EN276" s="1808"/>
      <c r="EO276" s="1808"/>
      <c r="EP276" s="1808"/>
      <c r="EQ276" s="1808"/>
      <c r="ER276" s="1808"/>
      <c r="ES276" s="1808"/>
      <c r="ET276" s="1808"/>
      <c r="EU276" s="1808"/>
      <c r="EV276" s="1808"/>
      <c r="EW276" s="1808"/>
      <c r="EX276" s="1808"/>
      <c r="EY276" s="1808"/>
      <c r="EZ276" s="1808"/>
      <c r="FA276" s="1808"/>
      <c r="FB276" s="1808"/>
      <c r="FC276" s="1808"/>
      <c r="FD276" s="1808"/>
      <c r="FE276" s="1808"/>
      <c r="FF276" s="1808"/>
      <c r="FG276" s="1808"/>
      <c r="FH276" s="1808"/>
      <c r="FI276" s="1808"/>
      <c r="FJ276" s="1808"/>
      <c r="FK276" s="1808"/>
      <c r="FL276" s="1808"/>
      <c r="FM276" s="1808"/>
      <c r="FN276" s="1808"/>
      <c r="FO276" s="1808"/>
      <c r="FP276" s="1808"/>
      <c r="FQ276" s="1808"/>
      <c r="FR276" s="1808"/>
      <c r="FS276" s="1808"/>
      <c r="FT276" s="1808"/>
      <c r="FU276" s="1808"/>
      <c r="FV276" s="1808"/>
      <c r="FW276" s="1808"/>
      <c r="FX276" s="1808"/>
      <c r="FY276" s="1808"/>
      <c r="FZ276" s="1808"/>
      <c r="GA276" s="1808"/>
      <c r="GB276" s="1808"/>
      <c r="GC276" s="1808"/>
      <c r="GD276" s="1808"/>
      <c r="GE276" s="1808"/>
      <c r="GF276" s="1808"/>
      <c r="GG276" s="1808"/>
      <c r="GH276" s="1808"/>
      <c r="GI276" s="1808"/>
      <c r="GJ276" s="1808"/>
      <c r="GK276" s="1808"/>
      <c r="GL276" s="1808"/>
      <c r="GM276" s="1808"/>
      <c r="GN276" s="1808"/>
      <c r="GO276" s="1808"/>
      <c r="GP276" s="1808"/>
      <c r="GQ276" s="1808"/>
      <c r="GR276" s="1808"/>
      <c r="GS276" s="1808"/>
      <c r="GT276" s="1808"/>
      <c r="GU276" s="1808"/>
      <c r="GV276" s="1808"/>
      <c r="GW276" s="1808"/>
      <c r="GX276" s="1808"/>
      <c r="GY276" s="1808"/>
      <c r="GZ276" s="1808"/>
      <c r="HA276" s="1808"/>
      <c r="HB276" s="1808"/>
      <c r="HC276" s="1808"/>
      <c r="HD276" s="1808"/>
      <c r="HE276" s="1808"/>
      <c r="HF276" s="1808"/>
      <c r="HG276" s="1808"/>
      <c r="HH276" s="1808"/>
      <c r="HI276" s="1808"/>
      <c r="HJ276" s="1808"/>
      <c r="HK276" s="1808"/>
      <c r="HL276" s="1808"/>
      <c r="HM276" s="1808"/>
      <c r="HN276" s="1808"/>
      <c r="HO276" s="1808"/>
      <c r="HP276" s="1808"/>
      <c r="HQ276" s="1808"/>
      <c r="HR276" s="1808"/>
      <c r="HS276" s="1808"/>
      <c r="HT276" s="1808"/>
      <c r="HU276" s="1808"/>
      <c r="HV276" s="1808"/>
      <c r="HW276" s="1808"/>
      <c r="HX276" s="1808"/>
      <c r="HY276" s="1808"/>
      <c r="HZ276" s="1808"/>
      <c r="IA276" s="1808"/>
      <c r="IB276" s="1808"/>
      <c r="IC276" s="1808"/>
      <c r="ID276" s="1808"/>
      <c r="IE276" s="1808"/>
      <c r="IF276" s="1808"/>
      <c r="IG276" s="1808"/>
      <c r="IH276" s="1808"/>
      <c r="II276" s="1808"/>
      <c r="IJ276" s="1808"/>
      <c r="IK276" s="1808"/>
      <c r="IL276" s="1808"/>
      <c r="IM276" s="1808"/>
      <c r="IN276" s="1808"/>
      <c r="IO276" s="1808"/>
      <c r="IP276" s="1808"/>
      <c r="IQ276" s="1808"/>
      <c r="IR276" s="1808"/>
      <c r="IS276" s="1808"/>
      <c r="IT276" s="1808"/>
      <c r="IU276" s="1808"/>
      <c r="IV276" s="1808"/>
      <c r="IW276" s="1808"/>
      <c r="IX276" s="1808"/>
      <c r="IY276" s="1808"/>
      <c r="IZ276" s="1808"/>
      <c r="JA276" s="1808"/>
      <c r="JB276" s="1808"/>
      <c r="JC276" s="1808"/>
      <c r="JD276" s="1808"/>
      <c r="JE276" s="1808"/>
      <c r="JF276" s="1808"/>
      <c r="JG276" s="1808"/>
      <c r="JH276" s="1808"/>
      <c r="JI276" s="1808"/>
      <c r="JJ276" s="1808"/>
      <c r="JK276" s="1808"/>
      <c r="JL276" s="1808"/>
      <c r="JM276" s="1808"/>
      <c r="JN276" s="1808"/>
      <c r="JO276" s="1808"/>
      <c r="JP276" s="1808"/>
      <c r="JQ276" s="1808"/>
      <c r="JR276" s="1808"/>
      <c r="JS276" s="1808"/>
      <c r="JT276" s="1808"/>
      <c r="JU276" s="1808"/>
      <c r="JV276" s="1808"/>
      <c r="JW276" s="1808"/>
      <c r="JX276" s="1808"/>
      <c r="JY276" s="1808"/>
      <c r="JZ276" s="1808"/>
      <c r="KA276" s="1808"/>
      <c r="KB276" s="1808"/>
      <c r="KC276" s="1808"/>
      <c r="KD276" s="1808"/>
      <c r="KE276" s="1808"/>
      <c r="KF276" s="1808"/>
      <c r="KG276" s="1808"/>
      <c r="KH276" s="1808"/>
      <c r="KI276" s="1808"/>
      <c r="KJ276" s="1808"/>
      <c r="KK276" s="1808"/>
    </row>
    <row r="277" spans="1:297" s="1947" customFormat="1" ht="52.5" customHeight="1" x14ac:dyDescent="0.2">
      <c r="A277" s="1833"/>
      <c r="B277" s="1834"/>
      <c r="C277" s="1835"/>
      <c r="D277" s="1834"/>
      <c r="E277" s="1834"/>
      <c r="F277" s="1835"/>
      <c r="G277" s="1842"/>
      <c r="H277" s="1834"/>
      <c r="I277" s="1835"/>
      <c r="J277" s="3938"/>
      <c r="K277" s="3941"/>
      <c r="L277" s="3944"/>
      <c r="M277" s="3944"/>
      <c r="N277" s="3944"/>
      <c r="O277" s="3944"/>
      <c r="P277" s="3941"/>
      <c r="Q277" s="3966"/>
      <c r="R277" s="3969"/>
      <c r="S277" s="3941"/>
      <c r="T277" s="3941"/>
      <c r="U277" s="4037"/>
      <c r="V277" s="1858">
        <v>14450485</v>
      </c>
      <c r="W277" s="1840">
        <v>98</v>
      </c>
      <c r="X277" s="3944"/>
      <c r="Y277" s="3944"/>
      <c r="Z277" s="3944"/>
      <c r="AA277" s="3944"/>
      <c r="AB277" s="3944"/>
      <c r="AC277" s="3944"/>
      <c r="AD277" s="3944"/>
      <c r="AE277" s="3944"/>
      <c r="AF277" s="3944"/>
      <c r="AG277" s="3944"/>
      <c r="AH277" s="3944"/>
      <c r="AI277" s="3944"/>
      <c r="AJ277" s="3944"/>
      <c r="AK277" s="3944"/>
      <c r="AL277" s="3944"/>
      <c r="AM277" s="3944"/>
      <c r="AN277" s="3944"/>
      <c r="AO277" s="3972"/>
      <c r="AP277" s="3972"/>
      <c r="AQ277" s="3975"/>
      <c r="AR277" s="1808"/>
      <c r="AS277" s="1808"/>
      <c r="AT277" s="1808"/>
      <c r="AU277" s="1808"/>
      <c r="AV277" s="1808"/>
      <c r="AW277" s="1808"/>
      <c r="AX277" s="1808"/>
      <c r="AY277" s="1808"/>
      <c r="AZ277" s="1808"/>
      <c r="BA277" s="1808"/>
      <c r="BB277" s="1808"/>
      <c r="BC277" s="1808"/>
      <c r="BD277" s="1808"/>
      <c r="BE277" s="1808"/>
      <c r="BF277" s="1808"/>
      <c r="BG277" s="1808"/>
      <c r="BH277" s="1808"/>
      <c r="BI277" s="1808"/>
      <c r="BJ277" s="1808"/>
      <c r="BK277" s="1808"/>
      <c r="BL277" s="1808"/>
      <c r="BM277" s="1808"/>
      <c r="BN277" s="1808"/>
      <c r="BO277" s="1808"/>
      <c r="BP277" s="1808"/>
      <c r="BQ277" s="1808"/>
      <c r="BR277" s="1808"/>
      <c r="BS277" s="1808"/>
      <c r="BT277" s="1808"/>
      <c r="BU277" s="1808"/>
      <c r="BV277" s="1808"/>
      <c r="BW277" s="1808"/>
      <c r="BX277" s="1808"/>
      <c r="BY277" s="1808"/>
      <c r="BZ277" s="1808"/>
      <c r="CA277" s="1808"/>
      <c r="CB277" s="1808"/>
      <c r="CC277" s="1808"/>
      <c r="CD277" s="1808"/>
      <c r="CE277" s="1808"/>
      <c r="CF277" s="1808"/>
      <c r="CG277" s="1808"/>
      <c r="CH277" s="1808"/>
      <c r="CI277" s="1808"/>
      <c r="CJ277" s="1808"/>
      <c r="CK277" s="1808"/>
      <c r="CL277" s="1808"/>
      <c r="CM277" s="1808"/>
      <c r="CN277" s="1808"/>
      <c r="CO277" s="1808"/>
      <c r="CP277" s="1808"/>
      <c r="CQ277" s="1808"/>
      <c r="CR277" s="1808"/>
      <c r="CS277" s="1808"/>
      <c r="CT277" s="1808"/>
      <c r="CU277" s="1808"/>
      <c r="CV277" s="1808"/>
      <c r="CW277" s="1808"/>
      <c r="CX277" s="1808"/>
      <c r="CY277" s="1808"/>
      <c r="CZ277" s="1808"/>
      <c r="DA277" s="1808"/>
      <c r="DB277" s="1808"/>
      <c r="DC277" s="1808"/>
      <c r="DD277" s="1808"/>
      <c r="DE277" s="1808"/>
      <c r="DF277" s="1808"/>
      <c r="DG277" s="1808"/>
      <c r="DH277" s="1808"/>
      <c r="DI277" s="1808"/>
      <c r="DJ277" s="1808"/>
      <c r="DK277" s="1808"/>
      <c r="DL277" s="1808"/>
      <c r="DM277" s="1808"/>
      <c r="DN277" s="1808"/>
      <c r="DO277" s="1808"/>
      <c r="DP277" s="1808"/>
      <c r="DQ277" s="1808"/>
      <c r="DR277" s="1808"/>
      <c r="DS277" s="1808"/>
      <c r="DT277" s="1808"/>
      <c r="DU277" s="1808"/>
      <c r="DV277" s="1808"/>
      <c r="DW277" s="1808"/>
      <c r="DX277" s="1808"/>
      <c r="DY277" s="1808"/>
      <c r="DZ277" s="1808"/>
      <c r="EA277" s="1808"/>
      <c r="EB277" s="1808"/>
      <c r="EC277" s="1808"/>
      <c r="ED277" s="1808"/>
      <c r="EE277" s="1808"/>
      <c r="EF277" s="1808"/>
      <c r="EG277" s="1808"/>
      <c r="EH277" s="1808"/>
      <c r="EI277" s="1808"/>
      <c r="EJ277" s="1808"/>
      <c r="EK277" s="1808"/>
      <c r="EL277" s="1808"/>
      <c r="EM277" s="1808"/>
      <c r="EN277" s="1808"/>
      <c r="EO277" s="1808"/>
      <c r="EP277" s="1808"/>
      <c r="EQ277" s="1808"/>
      <c r="ER277" s="1808"/>
      <c r="ES277" s="1808"/>
      <c r="ET277" s="1808"/>
      <c r="EU277" s="1808"/>
      <c r="EV277" s="1808"/>
      <c r="EW277" s="1808"/>
      <c r="EX277" s="1808"/>
      <c r="EY277" s="1808"/>
      <c r="EZ277" s="1808"/>
      <c r="FA277" s="1808"/>
      <c r="FB277" s="1808"/>
      <c r="FC277" s="1808"/>
      <c r="FD277" s="1808"/>
      <c r="FE277" s="1808"/>
      <c r="FF277" s="1808"/>
      <c r="FG277" s="1808"/>
      <c r="FH277" s="1808"/>
      <c r="FI277" s="1808"/>
      <c r="FJ277" s="1808"/>
      <c r="FK277" s="1808"/>
      <c r="FL277" s="1808"/>
      <c r="FM277" s="1808"/>
      <c r="FN277" s="1808"/>
      <c r="FO277" s="1808"/>
      <c r="FP277" s="1808"/>
      <c r="FQ277" s="1808"/>
      <c r="FR277" s="1808"/>
      <c r="FS277" s="1808"/>
      <c r="FT277" s="1808"/>
      <c r="FU277" s="1808"/>
      <c r="FV277" s="1808"/>
      <c r="FW277" s="1808"/>
      <c r="FX277" s="1808"/>
      <c r="FY277" s="1808"/>
      <c r="FZ277" s="1808"/>
      <c r="GA277" s="1808"/>
      <c r="GB277" s="1808"/>
      <c r="GC277" s="1808"/>
      <c r="GD277" s="1808"/>
      <c r="GE277" s="1808"/>
      <c r="GF277" s="1808"/>
      <c r="GG277" s="1808"/>
      <c r="GH277" s="1808"/>
      <c r="GI277" s="1808"/>
      <c r="GJ277" s="1808"/>
      <c r="GK277" s="1808"/>
      <c r="GL277" s="1808"/>
      <c r="GM277" s="1808"/>
      <c r="GN277" s="1808"/>
      <c r="GO277" s="1808"/>
      <c r="GP277" s="1808"/>
      <c r="GQ277" s="1808"/>
      <c r="GR277" s="1808"/>
      <c r="GS277" s="1808"/>
      <c r="GT277" s="1808"/>
      <c r="GU277" s="1808"/>
      <c r="GV277" s="1808"/>
      <c r="GW277" s="1808"/>
      <c r="GX277" s="1808"/>
      <c r="GY277" s="1808"/>
      <c r="GZ277" s="1808"/>
      <c r="HA277" s="1808"/>
      <c r="HB277" s="1808"/>
      <c r="HC277" s="1808"/>
      <c r="HD277" s="1808"/>
      <c r="HE277" s="1808"/>
      <c r="HF277" s="1808"/>
      <c r="HG277" s="1808"/>
      <c r="HH277" s="1808"/>
      <c r="HI277" s="1808"/>
      <c r="HJ277" s="1808"/>
      <c r="HK277" s="1808"/>
      <c r="HL277" s="1808"/>
      <c r="HM277" s="1808"/>
      <c r="HN277" s="1808"/>
      <c r="HO277" s="1808"/>
      <c r="HP277" s="1808"/>
      <c r="HQ277" s="1808"/>
      <c r="HR277" s="1808"/>
      <c r="HS277" s="1808"/>
      <c r="HT277" s="1808"/>
      <c r="HU277" s="1808"/>
      <c r="HV277" s="1808"/>
      <c r="HW277" s="1808"/>
      <c r="HX277" s="1808"/>
      <c r="HY277" s="1808"/>
      <c r="HZ277" s="1808"/>
      <c r="IA277" s="1808"/>
      <c r="IB277" s="1808"/>
      <c r="IC277" s="1808"/>
      <c r="ID277" s="1808"/>
      <c r="IE277" s="1808"/>
      <c r="IF277" s="1808"/>
      <c r="IG277" s="1808"/>
      <c r="IH277" s="1808"/>
      <c r="II277" s="1808"/>
      <c r="IJ277" s="1808"/>
      <c r="IK277" s="1808"/>
      <c r="IL277" s="1808"/>
      <c r="IM277" s="1808"/>
      <c r="IN277" s="1808"/>
      <c r="IO277" s="1808"/>
      <c r="IP277" s="1808"/>
      <c r="IQ277" s="1808"/>
      <c r="IR277" s="1808"/>
      <c r="IS277" s="1808"/>
      <c r="IT277" s="1808"/>
      <c r="IU277" s="1808"/>
      <c r="IV277" s="1808"/>
      <c r="IW277" s="1808"/>
      <c r="IX277" s="1808"/>
      <c r="IY277" s="1808"/>
      <c r="IZ277" s="1808"/>
      <c r="JA277" s="1808"/>
      <c r="JB277" s="1808"/>
      <c r="JC277" s="1808"/>
      <c r="JD277" s="1808"/>
      <c r="JE277" s="1808"/>
      <c r="JF277" s="1808"/>
      <c r="JG277" s="1808"/>
      <c r="JH277" s="1808"/>
      <c r="JI277" s="1808"/>
      <c r="JJ277" s="1808"/>
      <c r="JK277" s="1808"/>
      <c r="JL277" s="1808"/>
      <c r="JM277" s="1808"/>
      <c r="JN277" s="1808"/>
      <c r="JO277" s="1808"/>
      <c r="JP277" s="1808"/>
      <c r="JQ277" s="1808"/>
      <c r="JR277" s="1808"/>
      <c r="JS277" s="1808"/>
      <c r="JT277" s="1808"/>
      <c r="JU277" s="1808"/>
      <c r="JV277" s="1808"/>
      <c r="JW277" s="1808"/>
      <c r="JX277" s="1808"/>
      <c r="JY277" s="1808"/>
      <c r="JZ277" s="1808"/>
      <c r="KA277" s="1808"/>
      <c r="KB277" s="1808"/>
      <c r="KC277" s="1808"/>
      <c r="KD277" s="1808"/>
      <c r="KE277" s="1808"/>
      <c r="KF277" s="1808"/>
      <c r="KG277" s="1808"/>
      <c r="KH277" s="1808"/>
      <c r="KI277" s="1808"/>
      <c r="KJ277" s="1808"/>
      <c r="KK277" s="1808"/>
    </row>
    <row r="278" spans="1:297" s="1947" customFormat="1" ht="40.5" customHeight="1" x14ac:dyDescent="0.2">
      <c r="A278" s="1833"/>
      <c r="B278" s="1834"/>
      <c r="C278" s="1835"/>
      <c r="D278" s="1834"/>
      <c r="E278" s="1834"/>
      <c r="F278" s="1835"/>
      <c r="G278" s="1842"/>
      <c r="H278" s="1834"/>
      <c r="I278" s="1835"/>
      <c r="J278" s="3939"/>
      <c r="K278" s="3942"/>
      <c r="L278" s="3945"/>
      <c r="M278" s="3945"/>
      <c r="N278" s="3944"/>
      <c r="O278" s="3944"/>
      <c r="P278" s="3941"/>
      <c r="Q278" s="3967"/>
      <c r="R278" s="3969"/>
      <c r="S278" s="3941"/>
      <c r="T278" s="3942"/>
      <c r="U278" s="1918" t="s">
        <v>1821</v>
      </c>
      <c r="V278" s="1858">
        <v>11000000</v>
      </c>
      <c r="W278" s="1840">
        <v>61</v>
      </c>
      <c r="X278" s="3944"/>
      <c r="Y278" s="3944"/>
      <c r="Z278" s="3944"/>
      <c r="AA278" s="3944"/>
      <c r="AB278" s="3944"/>
      <c r="AC278" s="3944"/>
      <c r="AD278" s="3944"/>
      <c r="AE278" s="3944"/>
      <c r="AF278" s="3944"/>
      <c r="AG278" s="3944"/>
      <c r="AH278" s="3944"/>
      <c r="AI278" s="3944"/>
      <c r="AJ278" s="3944"/>
      <c r="AK278" s="3944"/>
      <c r="AL278" s="3944"/>
      <c r="AM278" s="3944"/>
      <c r="AN278" s="3944"/>
      <c r="AO278" s="3972"/>
      <c r="AP278" s="3972"/>
      <c r="AQ278" s="3975"/>
      <c r="AR278" s="1808"/>
      <c r="AS278" s="1808"/>
      <c r="AT278" s="1808"/>
      <c r="AU278" s="1808"/>
      <c r="AV278" s="1808"/>
      <c r="AW278" s="1808"/>
      <c r="AX278" s="1808"/>
      <c r="AY278" s="1808"/>
      <c r="AZ278" s="1808"/>
      <c r="BA278" s="1808"/>
      <c r="BB278" s="1808"/>
      <c r="BC278" s="1808"/>
      <c r="BD278" s="1808"/>
      <c r="BE278" s="1808"/>
      <c r="BF278" s="1808"/>
      <c r="BG278" s="1808"/>
      <c r="BH278" s="1808"/>
      <c r="BI278" s="1808"/>
      <c r="BJ278" s="1808"/>
      <c r="BK278" s="1808"/>
      <c r="BL278" s="1808"/>
      <c r="BM278" s="1808"/>
      <c r="BN278" s="1808"/>
      <c r="BO278" s="1808"/>
      <c r="BP278" s="1808"/>
      <c r="BQ278" s="1808"/>
      <c r="BR278" s="1808"/>
      <c r="BS278" s="1808"/>
      <c r="BT278" s="1808"/>
      <c r="BU278" s="1808"/>
      <c r="BV278" s="1808"/>
      <c r="BW278" s="1808"/>
      <c r="BX278" s="1808"/>
      <c r="BY278" s="1808"/>
      <c r="BZ278" s="1808"/>
      <c r="CA278" s="1808"/>
      <c r="CB278" s="1808"/>
      <c r="CC278" s="1808"/>
      <c r="CD278" s="1808"/>
      <c r="CE278" s="1808"/>
      <c r="CF278" s="1808"/>
      <c r="CG278" s="1808"/>
      <c r="CH278" s="1808"/>
      <c r="CI278" s="1808"/>
      <c r="CJ278" s="1808"/>
      <c r="CK278" s="1808"/>
      <c r="CL278" s="1808"/>
      <c r="CM278" s="1808"/>
      <c r="CN278" s="1808"/>
      <c r="CO278" s="1808"/>
      <c r="CP278" s="1808"/>
      <c r="CQ278" s="1808"/>
      <c r="CR278" s="1808"/>
      <c r="CS278" s="1808"/>
      <c r="CT278" s="1808"/>
      <c r="CU278" s="1808"/>
      <c r="CV278" s="1808"/>
      <c r="CW278" s="1808"/>
      <c r="CX278" s="1808"/>
      <c r="CY278" s="1808"/>
      <c r="CZ278" s="1808"/>
      <c r="DA278" s="1808"/>
      <c r="DB278" s="1808"/>
      <c r="DC278" s="1808"/>
      <c r="DD278" s="1808"/>
      <c r="DE278" s="1808"/>
      <c r="DF278" s="1808"/>
      <c r="DG278" s="1808"/>
      <c r="DH278" s="1808"/>
      <c r="DI278" s="1808"/>
      <c r="DJ278" s="1808"/>
      <c r="DK278" s="1808"/>
      <c r="DL278" s="1808"/>
      <c r="DM278" s="1808"/>
      <c r="DN278" s="1808"/>
      <c r="DO278" s="1808"/>
      <c r="DP278" s="1808"/>
      <c r="DQ278" s="1808"/>
      <c r="DR278" s="1808"/>
      <c r="DS278" s="1808"/>
      <c r="DT278" s="1808"/>
      <c r="DU278" s="1808"/>
      <c r="DV278" s="1808"/>
      <c r="DW278" s="1808"/>
      <c r="DX278" s="1808"/>
      <c r="DY278" s="1808"/>
      <c r="DZ278" s="1808"/>
      <c r="EA278" s="1808"/>
      <c r="EB278" s="1808"/>
      <c r="EC278" s="1808"/>
      <c r="ED278" s="1808"/>
      <c r="EE278" s="1808"/>
      <c r="EF278" s="1808"/>
      <c r="EG278" s="1808"/>
      <c r="EH278" s="1808"/>
      <c r="EI278" s="1808"/>
      <c r="EJ278" s="1808"/>
      <c r="EK278" s="1808"/>
      <c r="EL278" s="1808"/>
      <c r="EM278" s="1808"/>
      <c r="EN278" s="1808"/>
      <c r="EO278" s="1808"/>
      <c r="EP278" s="1808"/>
      <c r="EQ278" s="1808"/>
      <c r="ER278" s="1808"/>
      <c r="ES278" s="1808"/>
      <c r="ET278" s="1808"/>
      <c r="EU278" s="1808"/>
      <c r="EV278" s="1808"/>
      <c r="EW278" s="1808"/>
      <c r="EX278" s="1808"/>
      <c r="EY278" s="1808"/>
      <c r="EZ278" s="1808"/>
      <c r="FA278" s="1808"/>
      <c r="FB278" s="1808"/>
      <c r="FC278" s="1808"/>
      <c r="FD278" s="1808"/>
      <c r="FE278" s="1808"/>
      <c r="FF278" s="1808"/>
      <c r="FG278" s="1808"/>
      <c r="FH278" s="1808"/>
      <c r="FI278" s="1808"/>
      <c r="FJ278" s="1808"/>
      <c r="FK278" s="1808"/>
      <c r="FL278" s="1808"/>
      <c r="FM278" s="1808"/>
      <c r="FN278" s="1808"/>
      <c r="FO278" s="1808"/>
      <c r="FP278" s="1808"/>
      <c r="FQ278" s="1808"/>
      <c r="FR278" s="1808"/>
      <c r="FS278" s="1808"/>
      <c r="FT278" s="1808"/>
      <c r="FU278" s="1808"/>
      <c r="FV278" s="1808"/>
      <c r="FW278" s="1808"/>
      <c r="FX278" s="1808"/>
      <c r="FY278" s="1808"/>
      <c r="FZ278" s="1808"/>
      <c r="GA278" s="1808"/>
      <c r="GB278" s="1808"/>
      <c r="GC278" s="1808"/>
      <c r="GD278" s="1808"/>
      <c r="GE278" s="1808"/>
      <c r="GF278" s="1808"/>
      <c r="GG278" s="1808"/>
      <c r="GH278" s="1808"/>
      <c r="GI278" s="1808"/>
      <c r="GJ278" s="1808"/>
      <c r="GK278" s="1808"/>
      <c r="GL278" s="1808"/>
      <c r="GM278" s="1808"/>
      <c r="GN278" s="1808"/>
      <c r="GO278" s="1808"/>
      <c r="GP278" s="1808"/>
      <c r="GQ278" s="1808"/>
      <c r="GR278" s="1808"/>
      <c r="GS278" s="1808"/>
      <c r="GT278" s="1808"/>
      <c r="GU278" s="1808"/>
      <c r="GV278" s="1808"/>
      <c r="GW278" s="1808"/>
      <c r="GX278" s="1808"/>
      <c r="GY278" s="1808"/>
      <c r="GZ278" s="1808"/>
      <c r="HA278" s="1808"/>
      <c r="HB278" s="1808"/>
      <c r="HC278" s="1808"/>
      <c r="HD278" s="1808"/>
      <c r="HE278" s="1808"/>
      <c r="HF278" s="1808"/>
      <c r="HG278" s="1808"/>
      <c r="HH278" s="1808"/>
      <c r="HI278" s="1808"/>
      <c r="HJ278" s="1808"/>
      <c r="HK278" s="1808"/>
      <c r="HL278" s="1808"/>
      <c r="HM278" s="1808"/>
      <c r="HN278" s="1808"/>
      <c r="HO278" s="1808"/>
      <c r="HP278" s="1808"/>
      <c r="HQ278" s="1808"/>
      <c r="HR278" s="1808"/>
      <c r="HS278" s="1808"/>
      <c r="HT278" s="1808"/>
      <c r="HU278" s="1808"/>
      <c r="HV278" s="1808"/>
      <c r="HW278" s="1808"/>
      <c r="HX278" s="1808"/>
      <c r="HY278" s="1808"/>
      <c r="HZ278" s="1808"/>
      <c r="IA278" s="1808"/>
      <c r="IB278" s="1808"/>
      <c r="IC278" s="1808"/>
      <c r="ID278" s="1808"/>
      <c r="IE278" s="1808"/>
      <c r="IF278" s="1808"/>
      <c r="IG278" s="1808"/>
      <c r="IH278" s="1808"/>
      <c r="II278" s="1808"/>
      <c r="IJ278" s="1808"/>
      <c r="IK278" s="1808"/>
      <c r="IL278" s="1808"/>
      <c r="IM278" s="1808"/>
      <c r="IN278" s="1808"/>
      <c r="IO278" s="1808"/>
      <c r="IP278" s="1808"/>
      <c r="IQ278" s="1808"/>
      <c r="IR278" s="1808"/>
      <c r="IS278" s="1808"/>
      <c r="IT278" s="1808"/>
      <c r="IU278" s="1808"/>
      <c r="IV278" s="1808"/>
      <c r="IW278" s="1808"/>
      <c r="IX278" s="1808"/>
      <c r="IY278" s="1808"/>
      <c r="IZ278" s="1808"/>
      <c r="JA278" s="1808"/>
      <c r="JB278" s="1808"/>
      <c r="JC278" s="1808"/>
      <c r="JD278" s="1808"/>
      <c r="JE278" s="1808"/>
      <c r="JF278" s="1808"/>
      <c r="JG278" s="1808"/>
      <c r="JH278" s="1808"/>
      <c r="JI278" s="1808"/>
      <c r="JJ278" s="1808"/>
      <c r="JK278" s="1808"/>
      <c r="JL278" s="1808"/>
      <c r="JM278" s="1808"/>
      <c r="JN278" s="1808"/>
      <c r="JO278" s="1808"/>
      <c r="JP278" s="1808"/>
      <c r="JQ278" s="1808"/>
      <c r="JR278" s="1808"/>
      <c r="JS278" s="1808"/>
      <c r="JT278" s="1808"/>
      <c r="JU278" s="1808"/>
      <c r="JV278" s="1808"/>
      <c r="JW278" s="1808"/>
      <c r="JX278" s="1808"/>
      <c r="JY278" s="1808"/>
      <c r="JZ278" s="1808"/>
      <c r="KA278" s="1808"/>
      <c r="KB278" s="1808"/>
      <c r="KC278" s="1808"/>
      <c r="KD278" s="1808"/>
      <c r="KE278" s="1808"/>
      <c r="KF278" s="1808"/>
      <c r="KG278" s="1808"/>
      <c r="KH278" s="1808"/>
      <c r="KI278" s="1808"/>
      <c r="KJ278" s="1808"/>
      <c r="KK278" s="1808"/>
    </row>
    <row r="279" spans="1:297" s="1947" customFormat="1" ht="42.75" x14ac:dyDescent="0.2">
      <c r="A279" s="1833"/>
      <c r="B279" s="1834"/>
      <c r="C279" s="1835"/>
      <c r="D279" s="1834"/>
      <c r="E279" s="1834"/>
      <c r="F279" s="1835"/>
      <c r="G279" s="1842"/>
      <c r="H279" s="1834"/>
      <c r="I279" s="1835"/>
      <c r="J279" s="3955">
        <v>162</v>
      </c>
      <c r="K279" s="3940" t="s">
        <v>1822</v>
      </c>
      <c r="L279" s="3943" t="s">
        <v>1482</v>
      </c>
      <c r="M279" s="3943">
        <v>83</v>
      </c>
      <c r="N279" s="3944"/>
      <c r="O279" s="3944"/>
      <c r="P279" s="3941"/>
      <c r="Q279" s="3965">
        <f>SUM(V279:V284)/R273</f>
        <v>0.74567389291614639</v>
      </c>
      <c r="R279" s="3969"/>
      <c r="S279" s="3941"/>
      <c r="T279" s="3940" t="s">
        <v>1823</v>
      </c>
      <c r="U279" s="1918" t="s">
        <v>1824</v>
      </c>
      <c r="V279" s="1858">
        <v>120000000</v>
      </c>
      <c r="W279" s="1840">
        <v>61</v>
      </c>
      <c r="X279" s="3944"/>
      <c r="Y279" s="3944"/>
      <c r="Z279" s="3944"/>
      <c r="AA279" s="3944"/>
      <c r="AB279" s="3944"/>
      <c r="AC279" s="3944"/>
      <c r="AD279" s="3944"/>
      <c r="AE279" s="3944"/>
      <c r="AF279" s="3944"/>
      <c r="AG279" s="3944"/>
      <c r="AH279" s="3944"/>
      <c r="AI279" s="3944"/>
      <c r="AJ279" s="3944"/>
      <c r="AK279" s="3944"/>
      <c r="AL279" s="3944"/>
      <c r="AM279" s="3944"/>
      <c r="AN279" s="3944"/>
      <c r="AO279" s="3972"/>
      <c r="AP279" s="3972"/>
      <c r="AQ279" s="3975"/>
      <c r="AR279" s="1808"/>
      <c r="AS279" s="1808"/>
      <c r="AT279" s="1808"/>
      <c r="AU279" s="1808"/>
      <c r="AV279" s="1808"/>
      <c r="AW279" s="1808"/>
      <c r="AX279" s="1808"/>
      <c r="AY279" s="1808"/>
      <c r="AZ279" s="1808"/>
      <c r="BA279" s="1808"/>
      <c r="BB279" s="1808"/>
      <c r="BC279" s="1808"/>
      <c r="BD279" s="1808"/>
      <c r="BE279" s="1808"/>
      <c r="BF279" s="1808"/>
      <c r="BG279" s="1808"/>
      <c r="BH279" s="1808"/>
      <c r="BI279" s="1808"/>
      <c r="BJ279" s="1808"/>
      <c r="BK279" s="1808"/>
      <c r="BL279" s="1808"/>
      <c r="BM279" s="1808"/>
      <c r="BN279" s="1808"/>
      <c r="BO279" s="1808"/>
      <c r="BP279" s="1808"/>
      <c r="BQ279" s="1808"/>
      <c r="BR279" s="1808"/>
      <c r="BS279" s="1808"/>
      <c r="BT279" s="1808"/>
      <c r="BU279" s="1808"/>
      <c r="BV279" s="1808"/>
      <c r="BW279" s="1808"/>
      <c r="BX279" s="1808"/>
      <c r="BY279" s="1808"/>
      <c r="BZ279" s="1808"/>
      <c r="CA279" s="1808"/>
      <c r="CB279" s="1808"/>
      <c r="CC279" s="1808"/>
      <c r="CD279" s="1808"/>
      <c r="CE279" s="1808"/>
      <c r="CF279" s="1808"/>
      <c r="CG279" s="1808"/>
      <c r="CH279" s="1808"/>
      <c r="CI279" s="1808"/>
      <c r="CJ279" s="1808"/>
      <c r="CK279" s="1808"/>
      <c r="CL279" s="1808"/>
      <c r="CM279" s="1808"/>
      <c r="CN279" s="1808"/>
      <c r="CO279" s="1808"/>
      <c r="CP279" s="1808"/>
      <c r="CQ279" s="1808"/>
      <c r="CR279" s="1808"/>
      <c r="CS279" s="1808"/>
      <c r="CT279" s="1808"/>
      <c r="CU279" s="1808"/>
      <c r="CV279" s="1808"/>
      <c r="CW279" s="1808"/>
      <c r="CX279" s="1808"/>
      <c r="CY279" s="1808"/>
      <c r="CZ279" s="1808"/>
      <c r="DA279" s="1808"/>
      <c r="DB279" s="1808"/>
      <c r="DC279" s="1808"/>
      <c r="DD279" s="1808"/>
      <c r="DE279" s="1808"/>
      <c r="DF279" s="1808"/>
      <c r="DG279" s="1808"/>
      <c r="DH279" s="1808"/>
      <c r="DI279" s="1808"/>
      <c r="DJ279" s="1808"/>
      <c r="DK279" s="1808"/>
      <c r="DL279" s="1808"/>
      <c r="DM279" s="1808"/>
      <c r="DN279" s="1808"/>
      <c r="DO279" s="1808"/>
      <c r="DP279" s="1808"/>
      <c r="DQ279" s="1808"/>
      <c r="DR279" s="1808"/>
      <c r="DS279" s="1808"/>
      <c r="DT279" s="1808"/>
      <c r="DU279" s="1808"/>
      <c r="DV279" s="1808"/>
      <c r="DW279" s="1808"/>
      <c r="DX279" s="1808"/>
      <c r="DY279" s="1808"/>
      <c r="DZ279" s="1808"/>
      <c r="EA279" s="1808"/>
      <c r="EB279" s="1808"/>
      <c r="EC279" s="1808"/>
      <c r="ED279" s="1808"/>
      <c r="EE279" s="1808"/>
      <c r="EF279" s="1808"/>
      <c r="EG279" s="1808"/>
      <c r="EH279" s="1808"/>
      <c r="EI279" s="1808"/>
      <c r="EJ279" s="1808"/>
      <c r="EK279" s="1808"/>
      <c r="EL279" s="1808"/>
      <c r="EM279" s="1808"/>
      <c r="EN279" s="1808"/>
      <c r="EO279" s="1808"/>
      <c r="EP279" s="1808"/>
      <c r="EQ279" s="1808"/>
      <c r="ER279" s="1808"/>
      <c r="ES279" s="1808"/>
      <c r="ET279" s="1808"/>
      <c r="EU279" s="1808"/>
      <c r="EV279" s="1808"/>
      <c r="EW279" s="1808"/>
      <c r="EX279" s="1808"/>
      <c r="EY279" s="1808"/>
      <c r="EZ279" s="1808"/>
      <c r="FA279" s="1808"/>
      <c r="FB279" s="1808"/>
      <c r="FC279" s="1808"/>
      <c r="FD279" s="1808"/>
      <c r="FE279" s="1808"/>
      <c r="FF279" s="1808"/>
      <c r="FG279" s="1808"/>
      <c r="FH279" s="1808"/>
      <c r="FI279" s="1808"/>
      <c r="FJ279" s="1808"/>
      <c r="FK279" s="1808"/>
      <c r="FL279" s="1808"/>
      <c r="FM279" s="1808"/>
      <c r="FN279" s="1808"/>
      <c r="FO279" s="1808"/>
      <c r="FP279" s="1808"/>
      <c r="FQ279" s="1808"/>
      <c r="FR279" s="1808"/>
      <c r="FS279" s="1808"/>
      <c r="FT279" s="1808"/>
      <c r="FU279" s="1808"/>
      <c r="FV279" s="1808"/>
      <c r="FW279" s="1808"/>
      <c r="FX279" s="1808"/>
      <c r="FY279" s="1808"/>
      <c r="FZ279" s="1808"/>
      <c r="GA279" s="1808"/>
      <c r="GB279" s="1808"/>
      <c r="GC279" s="1808"/>
      <c r="GD279" s="1808"/>
      <c r="GE279" s="1808"/>
      <c r="GF279" s="1808"/>
      <c r="GG279" s="1808"/>
      <c r="GH279" s="1808"/>
      <c r="GI279" s="1808"/>
      <c r="GJ279" s="1808"/>
      <c r="GK279" s="1808"/>
      <c r="GL279" s="1808"/>
      <c r="GM279" s="1808"/>
      <c r="GN279" s="1808"/>
      <c r="GO279" s="1808"/>
      <c r="GP279" s="1808"/>
      <c r="GQ279" s="1808"/>
      <c r="GR279" s="1808"/>
      <c r="GS279" s="1808"/>
      <c r="GT279" s="1808"/>
      <c r="GU279" s="1808"/>
      <c r="GV279" s="1808"/>
      <c r="GW279" s="1808"/>
      <c r="GX279" s="1808"/>
      <c r="GY279" s="1808"/>
      <c r="GZ279" s="1808"/>
      <c r="HA279" s="1808"/>
      <c r="HB279" s="1808"/>
      <c r="HC279" s="1808"/>
      <c r="HD279" s="1808"/>
      <c r="HE279" s="1808"/>
      <c r="HF279" s="1808"/>
      <c r="HG279" s="1808"/>
      <c r="HH279" s="1808"/>
      <c r="HI279" s="1808"/>
      <c r="HJ279" s="1808"/>
      <c r="HK279" s="1808"/>
      <c r="HL279" s="1808"/>
      <c r="HM279" s="1808"/>
      <c r="HN279" s="1808"/>
      <c r="HO279" s="1808"/>
      <c r="HP279" s="1808"/>
      <c r="HQ279" s="1808"/>
      <c r="HR279" s="1808"/>
      <c r="HS279" s="1808"/>
      <c r="HT279" s="1808"/>
      <c r="HU279" s="1808"/>
      <c r="HV279" s="1808"/>
      <c r="HW279" s="1808"/>
      <c r="HX279" s="1808"/>
      <c r="HY279" s="1808"/>
      <c r="HZ279" s="1808"/>
      <c r="IA279" s="1808"/>
      <c r="IB279" s="1808"/>
      <c r="IC279" s="1808"/>
      <c r="ID279" s="1808"/>
      <c r="IE279" s="1808"/>
      <c r="IF279" s="1808"/>
      <c r="IG279" s="1808"/>
      <c r="IH279" s="1808"/>
      <c r="II279" s="1808"/>
      <c r="IJ279" s="1808"/>
      <c r="IK279" s="1808"/>
      <c r="IL279" s="1808"/>
      <c r="IM279" s="1808"/>
      <c r="IN279" s="1808"/>
      <c r="IO279" s="1808"/>
      <c r="IP279" s="1808"/>
      <c r="IQ279" s="1808"/>
      <c r="IR279" s="1808"/>
      <c r="IS279" s="1808"/>
      <c r="IT279" s="1808"/>
      <c r="IU279" s="1808"/>
      <c r="IV279" s="1808"/>
      <c r="IW279" s="1808"/>
      <c r="IX279" s="1808"/>
      <c r="IY279" s="1808"/>
      <c r="IZ279" s="1808"/>
      <c r="JA279" s="1808"/>
      <c r="JB279" s="1808"/>
      <c r="JC279" s="1808"/>
      <c r="JD279" s="1808"/>
      <c r="JE279" s="1808"/>
      <c r="JF279" s="1808"/>
      <c r="JG279" s="1808"/>
      <c r="JH279" s="1808"/>
      <c r="JI279" s="1808"/>
      <c r="JJ279" s="1808"/>
      <c r="JK279" s="1808"/>
      <c r="JL279" s="1808"/>
      <c r="JM279" s="1808"/>
      <c r="JN279" s="1808"/>
      <c r="JO279" s="1808"/>
      <c r="JP279" s="1808"/>
      <c r="JQ279" s="1808"/>
      <c r="JR279" s="1808"/>
      <c r="JS279" s="1808"/>
      <c r="JT279" s="1808"/>
      <c r="JU279" s="1808"/>
      <c r="JV279" s="1808"/>
      <c r="JW279" s="1808"/>
      <c r="JX279" s="1808"/>
      <c r="JY279" s="1808"/>
      <c r="JZ279" s="1808"/>
      <c r="KA279" s="1808"/>
      <c r="KB279" s="1808"/>
      <c r="KC279" s="1808"/>
      <c r="KD279" s="1808"/>
      <c r="KE279" s="1808"/>
      <c r="KF279" s="1808"/>
      <c r="KG279" s="1808"/>
      <c r="KH279" s="1808"/>
      <c r="KI279" s="1808"/>
      <c r="KJ279" s="1808"/>
      <c r="KK279" s="1808"/>
    </row>
    <row r="280" spans="1:297" s="1947" customFormat="1" ht="36.75" customHeight="1" x14ac:dyDescent="0.2">
      <c r="A280" s="1833"/>
      <c r="B280" s="1834"/>
      <c r="C280" s="1835"/>
      <c r="D280" s="1834"/>
      <c r="E280" s="1834"/>
      <c r="F280" s="1835"/>
      <c r="G280" s="1842"/>
      <c r="H280" s="1834"/>
      <c r="I280" s="1835"/>
      <c r="J280" s="3955"/>
      <c r="K280" s="3941"/>
      <c r="L280" s="3944"/>
      <c r="M280" s="3944"/>
      <c r="N280" s="3944"/>
      <c r="O280" s="3944"/>
      <c r="P280" s="3941"/>
      <c r="Q280" s="3966"/>
      <c r="R280" s="3969"/>
      <c r="S280" s="3941"/>
      <c r="T280" s="3941"/>
      <c r="U280" s="1918" t="s">
        <v>1825</v>
      </c>
      <c r="V280" s="1858">
        <v>53800000</v>
      </c>
      <c r="W280" s="1840">
        <v>61</v>
      </c>
      <c r="X280" s="3944"/>
      <c r="Y280" s="3944"/>
      <c r="Z280" s="3944"/>
      <c r="AA280" s="3944"/>
      <c r="AB280" s="3944"/>
      <c r="AC280" s="3944"/>
      <c r="AD280" s="3944"/>
      <c r="AE280" s="3944"/>
      <c r="AF280" s="3944"/>
      <c r="AG280" s="3944"/>
      <c r="AH280" s="3944"/>
      <c r="AI280" s="3944"/>
      <c r="AJ280" s="3944"/>
      <c r="AK280" s="3944"/>
      <c r="AL280" s="3944"/>
      <c r="AM280" s="3944"/>
      <c r="AN280" s="3944"/>
      <c r="AO280" s="3972"/>
      <c r="AP280" s="3972"/>
      <c r="AQ280" s="3975"/>
      <c r="AR280" s="1808"/>
      <c r="AS280" s="1808"/>
      <c r="AT280" s="1808"/>
      <c r="AU280" s="1808"/>
      <c r="AV280" s="1808"/>
      <c r="AW280" s="1808"/>
      <c r="AX280" s="1808"/>
      <c r="AY280" s="1808"/>
      <c r="AZ280" s="1808"/>
      <c r="BA280" s="1808"/>
      <c r="BB280" s="1808"/>
      <c r="BC280" s="1808"/>
      <c r="BD280" s="1808"/>
      <c r="BE280" s="1808"/>
      <c r="BF280" s="1808"/>
      <c r="BG280" s="1808"/>
      <c r="BH280" s="1808"/>
      <c r="BI280" s="1808"/>
      <c r="BJ280" s="1808"/>
      <c r="BK280" s="1808"/>
      <c r="BL280" s="1808"/>
      <c r="BM280" s="1808"/>
      <c r="BN280" s="1808"/>
      <c r="BO280" s="1808"/>
      <c r="BP280" s="1808"/>
      <c r="BQ280" s="1808"/>
      <c r="BR280" s="1808"/>
      <c r="BS280" s="1808"/>
      <c r="BT280" s="1808"/>
      <c r="BU280" s="1808"/>
      <c r="BV280" s="1808"/>
      <c r="BW280" s="1808"/>
      <c r="BX280" s="1808"/>
      <c r="BY280" s="1808"/>
      <c r="BZ280" s="1808"/>
      <c r="CA280" s="1808"/>
      <c r="CB280" s="1808"/>
      <c r="CC280" s="1808"/>
      <c r="CD280" s="1808"/>
      <c r="CE280" s="1808"/>
      <c r="CF280" s="1808"/>
      <c r="CG280" s="1808"/>
      <c r="CH280" s="1808"/>
      <c r="CI280" s="1808"/>
      <c r="CJ280" s="1808"/>
      <c r="CK280" s="1808"/>
      <c r="CL280" s="1808"/>
      <c r="CM280" s="1808"/>
      <c r="CN280" s="1808"/>
      <c r="CO280" s="1808"/>
      <c r="CP280" s="1808"/>
      <c r="CQ280" s="1808"/>
      <c r="CR280" s="1808"/>
      <c r="CS280" s="1808"/>
      <c r="CT280" s="1808"/>
      <c r="CU280" s="1808"/>
      <c r="CV280" s="1808"/>
      <c r="CW280" s="1808"/>
      <c r="CX280" s="1808"/>
      <c r="CY280" s="1808"/>
      <c r="CZ280" s="1808"/>
      <c r="DA280" s="1808"/>
      <c r="DB280" s="1808"/>
      <c r="DC280" s="1808"/>
      <c r="DD280" s="1808"/>
      <c r="DE280" s="1808"/>
      <c r="DF280" s="1808"/>
      <c r="DG280" s="1808"/>
      <c r="DH280" s="1808"/>
      <c r="DI280" s="1808"/>
      <c r="DJ280" s="1808"/>
      <c r="DK280" s="1808"/>
      <c r="DL280" s="1808"/>
      <c r="DM280" s="1808"/>
      <c r="DN280" s="1808"/>
      <c r="DO280" s="1808"/>
      <c r="DP280" s="1808"/>
      <c r="DQ280" s="1808"/>
      <c r="DR280" s="1808"/>
      <c r="DS280" s="1808"/>
      <c r="DT280" s="1808"/>
      <c r="DU280" s="1808"/>
      <c r="DV280" s="1808"/>
      <c r="DW280" s="1808"/>
      <c r="DX280" s="1808"/>
      <c r="DY280" s="1808"/>
      <c r="DZ280" s="1808"/>
      <c r="EA280" s="1808"/>
      <c r="EB280" s="1808"/>
      <c r="EC280" s="1808"/>
      <c r="ED280" s="1808"/>
      <c r="EE280" s="1808"/>
      <c r="EF280" s="1808"/>
      <c r="EG280" s="1808"/>
      <c r="EH280" s="1808"/>
      <c r="EI280" s="1808"/>
      <c r="EJ280" s="1808"/>
      <c r="EK280" s="1808"/>
      <c r="EL280" s="1808"/>
      <c r="EM280" s="1808"/>
      <c r="EN280" s="1808"/>
      <c r="EO280" s="1808"/>
      <c r="EP280" s="1808"/>
      <c r="EQ280" s="1808"/>
      <c r="ER280" s="1808"/>
      <c r="ES280" s="1808"/>
      <c r="ET280" s="1808"/>
      <c r="EU280" s="1808"/>
      <c r="EV280" s="1808"/>
      <c r="EW280" s="1808"/>
      <c r="EX280" s="1808"/>
      <c r="EY280" s="1808"/>
      <c r="EZ280" s="1808"/>
      <c r="FA280" s="1808"/>
      <c r="FB280" s="1808"/>
      <c r="FC280" s="1808"/>
      <c r="FD280" s="1808"/>
      <c r="FE280" s="1808"/>
      <c r="FF280" s="1808"/>
      <c r="FG280" s="1808"/>
      <c r="FH280" s="1808"/>
      <c r="FI280" s="1808"/>
      <c r="FJ280" s="1808"/>
      <c r="FK280" s="1808"/>
      <c r="FL280" s="1808"/>
      <c r="FM280" s="1808"/>
      <c r="FN280" s="1808"/>
      <c r="FO280" s="1808"/>
      <c r="FP280" s="1808"/>
      <c r="FQ280" s="1808"/>
      <c r="FR280" s="1808"/>
      <c r="FS280" s="1808"/>
      <c r="FT280" s="1808"/>
      <c r="FU280" s="1808"/>
      <c r="FV280" s="1808"/>
      <c r="FW280" s="1808"/>
      <c r="FX280" s="1808"/>
      <c r="FY280" s="1808"/>
      <c r="FZ280" s="1808"/>
      <c r="GA280" s="1808"/>
      <c r="GB280" s="1808"/>
      <c r="GC280" s="1808"/>
      <c r="GD280" s="1808"/>
      <c r="GE280" s="1808"/>
      <c r="GF280" s="1808"/>
      <c r="GG280" s="1808"/>
      <c r="GH280" s="1808"/>
      <c r="GI280" s="1808"/>
      <c r="GJ280" s="1808"/>
      <c r="GK280" s="1808"/>
      <c r="GL280" s="1808"/>
      <c r="GM280" s="1808"/>
      <c r="GN280" s="1808"/>
      <c r="GO280" s="1808"/>
      <c r="GP280" s="1808"/>
      <c r="GQ280" s="1808"/>
      <c r="GR280" s="1808"/>
      <c r="GS280" s="1808"/>
      <c r="GT280" s="1808"/>
      <c r="GU280" s="1808"/>
      <c r="GV280" s="1808"/>
      <c r="GW280" s="1808"/>
      <c r="GX280" s="1808"/>
      <c r="GY280" s="1808"/>
      <c r="GZ280" s="1808"/>
      <c r="HA280" s="1808"/>
      <c r="HB280" s="1808"/>
      <c r="HC280" s="1808"/>
      <c r="HD280" s="1808"/>
      <c r="HE280" s="1808"/>
      <c r="HF280" s="1808"/>
      <c r="HG280" s="1808"/>
      <c r="HH280" s="1808"/>
      <c r="HI280" s="1808"/>
      <c r="HJ280" s="1808"/>
      <c r="HK280" s="1808"/>
      <c r="HL280" s="1808"/>
      <c r="HM280" s="1808"/>
      <c r="HN280" s="1808"/>
      <c r="HO280" s="1808"/>
      <c r="HP280" s="1808"/>
      <c r="HQ280" s="1808"/>
      <c r="HR280" s="1808"/>
      <c r="HS280" s="1808"/>
      <c r="HT280" s="1808"/>
      <c r="HU280" s="1808"/>
      <c r="HV280" s="1808"/>
      <c r="HW280" s="1808"/>
      <c r="HX280" s="1808"/>
      <c r="HY280" s="1808"/>
      <c r="HZ280" s="1808"/>
      <c r="IA280" s="1808"/>
      <c r="IB280" s="1808"/>
      <c r="IC280" s="1808"/>
      <c r="ID280" s="1808"/>
      <c r="IE280" s="1808"/>
      <c r="IF280" s="1808"/>
      <c r="IG280" s="1808"/>
      <c r="IH280" s="1808"/>
      <c r="II280" s="1808"/>
      <c r="IJ280" s="1808"/>
      <c r="IK280" s="1808"/>
      <c r="IL280" s="1808"/>
      <c r="IM280" s="1808"/>
      <c r="IN280" s="1808"/>
      <c r="IO280" s="1808"/>
      <c r="IP280" s="1808"/>
      <c r="IQ280" s="1808"/>
      <c r="IR280" s="1808"/>
      <c r="IS280" s="1808"/>
      <c r="IT280" s="1808"/>
      <c r="IU280" s="1808"/>
      <c r="IV280" s="1808"/>
      <c r="IW280" s="1808"/>
      <c r="IX280" s="1808"/>
      <c r="IY280" s="1808"/>
      <c r="IZ280" s="1808"/>
      <c r="JA280" s="1808"/>
      <c r="JB280" s="1808"/>
      <c r="JC280" s="1808"/>
      <c r="JD280" s="1808"/>
      <c r="JE280" s="1808"/>
      <c r="JF280" s="1808"/>
      <c r="JG280" s="1808"/>
      <c r="JH280" s="1808"/>
      <c r="JI280" s="1808"/>
      <c r="JJ280" s="1808"/>
      <c r="JK280" s="1808"/>
      <c r="JL280" s="1808"/>
      <c r="JM280" s="1808"/>
      <c r="JN280" s="1808"/>
      <c r="JO280" s="1808"/>
      <c r="JP280" s="1808"/>
      <c r="JQ280" s="1808"/>
      <c r="JR280" s="1808"/>
      <c r="JS280" s="1808"/>
      <c r="JT280" s="1808"/>
      <c r="JU280" s="1808"/>
      <c r="JV280" s="1808"/>
      <c r="JW280" s="1808"/>
      <c r="JX280" s="1808"/>
      <c r="JY280" s="1808"/>
      <c r="JZ280" s="1808"/>
      <c r="KA280" s="1808"/>
      <c r="KB280" s="1808"/>
      <c r="KC280" s="1808"/>
      <c r="KD280" s="1808"/>
      <c r="KE280" s="1808"/>
      <c r="KF280" s="1808"/>
      <c r="KG280" s="1808"/>
      <c r="KH280" s="1808"/>
      <c r="KI280" s="1808"/>
      <c r="KJ280" s="1808"/>
      <c r="KK280" s="1808"/>
    </row>
    <row r="281" spans="1:297" s="1947" customFormat="1" ht="32.25" customHeight="1" x14ac:dyDescent="0.2">
      <c r="A281" s="1833"/>
      <c r="B281" s="1834"/>
      <c r="C281" s="1835"/>
      <c r="D281" s="1834"/>
      <c r="E281" s="1834"/>
      <c r="F281" s="1835"/>
      <c r="G281" s="1842"/>
      <c r="H281" s="1834"/>
      <c r="I281" s="1835"/>
      <c r="J281" s="3955"/>
      <c r="K281" s="3941"/>
      <c r="L281" s="3944"/>
      <c r="M281" s="3944"/>
      <c r="N281" s="3944"/>
      <c r="O281" s="3944"/>
      <c r="P281" s="3941"/>
      <c r="Q281" s="3966"/>
      <c r="R281" s="3969"/>
      <c r="S281" s="3941"/>
      <c r="T281" s="3941"/>
      <c r="U281" s="4051" t="s">
        <v>1826</v>
      </c>
      <c r="V281" s="1858">
        <f>30000000+18924714</f>
        <v>48924714</v>
      </c>
      <c r="W281" s="1840">
        <v>61</v>
      </c>
      <c r="X281" s="3944"/>
      <c r="Y281" s="3944"/>
      <c r="Z281" s="3944"/>
      <c r="AA281" s="3944"/>
      <c r="AB281" s="3944"/>
      <c r="AC281" s="3944"/>
      <c r="AD281" s="3944"/>
      <c r="AE281" s="3944"/>
      <c r="AF281" s="3944"/>
      <c r="AG281" s="3944"/>
      <c r="AH281" s="3944"/>
      <c r="AI281" s="3944"/>
      <c r="AJ281" s="3944"/>
      <c r="AK281" s="3944"/>
      <c r="AL281" s="3944"/>
      <c r="AM281" s="3944"/>
      <c r="AN281" s="3944"/>
      <c r="AO281" s="3972"/>
      <c r="AP281" s="3972"/>
      <c r="AQ281" s="3975"/>
      <c r="AR281" s="1808"/>
      <c r="AS281" s="1808"/>
      <c r="AT281" s="1808"/>
      <c r="AU281" s="1808"/>
      <c r="AV281" s="1808"/>
      <c r="AW281" s="1808"/>
      <c r="AX281" s="1808"/>
      <c r="AY281" s="1808"/>
      <c r="AZ281" s="1808"/>
      <c r="BA281" s="1808"/>
      <c r="BB281" s="1808"/>
      <c r="BC281" s="1808"/>
      <c r="BD281" s="1808"/>
      <c r="BE281" s="1808"/>
      <c r="BF281" s="1808"/>
      <c r="BG281" s="1808"/>
      <c r="BH281" s="1808"/>
      <c r="BI281" s="1808"/>
      <c r="BJ281" s="1808"/>
      <c r="BK281" s="1808"/>
      <c r="BL281" s="1808"/>
      <c r="BM281" s="1808"/>
      <c r="BN281" s="1808"/>
      <c r="BO281" s="1808"/>
      <c r="BP281" s="1808"/>
      <c r="BQ281" s="1808"/>
      <c r="BR281" s="1808"/>
      <c r="BS281" s="1808"/>
      <c r="BT281" s="1808"/>
      <c r="BU281" s="1808"/>
      <c r="BV281" s="1808"/>
      <c r="BW281" s="1808"/>
      <c r="BX281" s="1808"/>
      <c r="BY281" s="1808"/>
      <c r="BZ281" s="1808"/>
      <c r="CA281" s="1808"/>
      <c r="CB281" s="1808"/>
      <c r="CC281" s="1808"/>
      <c r="CD281" s="1808"/>
      <c r="CE281" s="1808"/>
      <c r="CF281" s="1808"/>
      <c r="CG281" s="1808"/>
      <c r="CH281" s="1808"/>
      <c r="CI281" s="1808"/>
      <c r="CJ281" s="1808"/>
      <c r="CK281" s="1808"/>
      <c r="CL281" s="1808"/>
      <c r="CM281" s="1808"/>
      <c r="CN281" s="1808"/>
      <c r="CO281" s="1808"/>
      <c r="CP281" s="1808"/>
      <c r="CQ281" s="1808"/>
      <c r="CR281" s="1808"/>
      <c r="CS281" s="1808"/>
      <c r="CT281" s="1808"/>
      <c r="CU281" s="1808"/>
      <c r="CV281" s="1808"/>
      <c r="CW281" s="1808"/>
      <c r="CX281" s="1808"/>
      <c r="CY281" s="1808"/>
      <c r="CZ281" s="1808"/>
      <c r="DA281" s="1808"/>
      <c r="DB281" s="1808"/>
      <c r="DC281" s="1808"/>
      <c r="DD281" s="1808"/>
      <c r="DE281" s="1808"/>
      <c r="DF281" s="1808"/>
      <c r="DG281" s="1808"/>
      <c r="DH281" s="1808"/>
      <c r="DI281" s="1808"/>
      <c r="DJ281" s="1808"/>
      <c r="DK281" s="1808"/>
      <c r="DL281" s="1808"/>
      <c r="DM281" s="1808"/>
      <c r="DN281" s="1808"/>
      <c r="DO281" s="1808"/>
      <c r="DP281" s="1808"/>
      <c r="DQ281" s="1808"/>
      <c r="DR281" s="1808"/>
      <c r="DS281" s="1808"/>
      <c r="DT281" s="1808"/>
      <c r="DU281" s="1808"/>
      <c r="DV281" s="1808"/>
      <c r="DW281" s="1808"/>
      <c r="DX281" s="1808"/>
      <c r="DY281" s="1808"/>
      <c r="DZ281" s="1808"/>
      <c r="EA281" s="1808"/>
      <c r="EB281" s="1808"/>
      <c r="EC281" s="1808"/>
      <c r="ED281" s="1808"/>
      <c r="EE281" s="1808"/>
      <c r="EF281" s="1808"/>
      <c r="EG281" s="1808"/>
      <c r="EH281" s="1808"/>
      <c r="EI281" s="1808"/>
      <c r="EJ281" s="1808"/>
      <c r="EK281" s="1808"/>
      <c r="EL281" s="1808"/>
      <c r="EM281" s="1808"/>
      <c r="EN281" s="1808"/>
      <c r="EO281" s="1808"/>
      <c r="EP281" s="1808"/>
      <c r="EQ281" s="1808"/>
      <c r="ER281" s="1808"/>
      <c r="ES281" s="1808"/>
      <c r="ET281" s="1808"/>
      <c r="EU281" s="1808"/>
      <c r="EV281" s="1808"/>
      <c r="EW281" s="1808"/>
      <c r="EX281" s="1808"/>
      <c r="EY281" s="1808"/>
      <c r="EZ281" s="1808"/>
      <c r="FA281" s="1808"/>
      <c r="FB281" s="1808"/>
      <c r="FC281" s="1808"/>
      <c r="FD281" s="1808"/>
      <c r="FE281" s="1808"/>
      <c r="FF281" s="1808"/>
      <c r="FG281" s="1808"/>
      <c r="FH281" s="1808"/>
      <c r="FI281" s="1808"/>
      <c r="FJ281" s="1808"/>
      <c r="FK281" s="1808"/>
      <c r="FL281" s="1808"/>
      <c r="FM281" s="1808"/>
      <c r="FN281" s="1808"/>
      <c r="FO281" s="1808"/>
      <c r="FP281" s="1808"/>
      <c r="FQ281" s="1808"/>
      <c r="FR281" s="1808"/>
      <c r="FS281" s="1808"/>
      <c r="FT281" s="1808"/>
      <c r="FU281" s="1808"/>
      <c r="FV281" s="1808"/>
      <c r="FW281" s="1808"/>
      <c r="FX281" s="1808"/>
      <c r="FY281" s="1808"/>
      <c r="FZ281" s="1808"/>
      <c r="GA281" s="1808"/>
      <c r="GB281" s="1808"/>
      <c r="GC281" s="1808"/>
      <c r="GD281" s="1808"/>
      <c r="GE281" s="1808"/>
      <c r="GF281" s="1808"/>
      <c r="GG281" s="1808"/>
      <c r="GH281" s="1808"/>
      <c r="GI281" s="1808"/>
      <c r="GJ281" s="1808"/>
      <c r="GK281" s="1808"/>
      <c r="GL281" s="1808"/>
      <c r="GM281" s="1808"/>
      <c r="GN281" s="1808"/>
      <c r="GO281" s="1808"/>
      <c r="GP281" s="1808"/>
      <c r="GQ281" s="1808"/>
      <c r="GR281" s="1808"/>
      <c r="GS281" s="1808"/>
      <c r="GT281" s="1808"/>
      <c r="GU281" s="1808"/>
      <c r="GV281" s="1808"/>
      <c r="GW281" s="1808"/>
      <c r="GX281" s="1808"/>
      <c r="GY281" s="1808"/>
      <c r="GZ281" s="1808"/>
      <c r="HA281" s="1808"/>
      <c r="HB281" s="1808"/>
      <c r="HC281" s="1808"/>
      <c r="HD281" s="1808"/>
      <c r="HE281" s="1808"/>
      <c r="HF281" s="1808"/>
      <c r="HG281" s="1808"/>
      <c r="HH281" s="1808"/>
      <c r="HI281" s="1808"/>
      <c r="HJ281" s="1808"/>
      <c r="HK281" s="1808"/>
      <c r="HL281" s="1808"/>
      <c r="HM281" s="1808"/>
      <c r="HN281" s="1808"/>
      <c r="HO281" s="1808"/>
      <c r="HP281" s="1808"/>
      <c r="HQ281" s="1808"/>
      <c r="HR281" s="1808"/>
      <c r="HS281" s="1808"/>
      <c r="HT281" s="1808"/>
      <c r="HU281" s="1808"/>
      <c r="HV281" s="1808"/>
      <c r="HW281" s="1808"/>
      <c r="HX281" s="1808"/>
      <c r="HY281" s="1808"/>
      <c r="HZ281" s="1808"/>
      <c r="IA281" s="1808"/>
      <c r="IB281" s="1808"/>
      <c r="IC281" s="1808"/>
      <c r="ID281" s="1808"/>
      <c r="IE281" s="1808"/>
      <c r="IF281" s="1808"/>
      <c r="IG281" s="1808"/>
      <c r="IH281" s="1808"/>
      <c r="II281" s="1808"/>
      <c r="IJ281" s="1808"/>
      <c r="IK281" s="1808"/>
      <c r="IL281" s="1808"/>
      <c r="IM281" s="1808"/>
      <c r="IN281" s="1808"/>
      <c r="IO281" s="1808"/>
      <c r="IP281" s="1808"/>
      <c r="IQ281" s="1808"/>
      <c r="IR281" s="1808"/>
      <c r="IS281" s="1808"/>
      <c r="IT281" s="1808"/>
      <c r="IU281" s="1808"/>
      <c r="IV281" s="1808"/>
      <c r="IW281" s="1808"/>
      <c r="IX281" s="1808"/>
      <c r="IY281" s="1808"/>
      <c r="IZ281" s="1808"/>
      <c r="JA281" s="1808"/>
      <c r="JB281" s="1808"/>
      <c r="JC281" s="1808"/>
      <c r="JD281" s="1808"/>
      <c r="JE281" s="1808"/>
      <c r="JF281" s="1808"/>
      <c r="JG281" s="1808"/>
      <c r="JH281" s="1808"/>
      <c r="JI281" s="1808"/>
      <c r="JJ281" s="1808"/>
      <c r="JK281" s="1808"/>
      <c r="JL281" s="1808"/>
      <c r="JM281" s="1808"/>
      <c r="JN281" s="1808"/>
      <c r="JO281" s="1808"/>
      <c r="JP281" s="1808"/>
      <c r="JQ281" s="1808"/>
      <c r="JR281" s="1808"/>
      <c r="JS281" s="1808"/>
      <c r="JT281" s="1808"/>
      <c r="JU281" s="1808"/>
      <c r="JV281" s="1808"/>
      <c r="JW281" s="1808"/>
      <c r="JX281" s="1808"/>
      <c r="JY281" s="1808"/>
      <c r="JZ281" s="1808"/>
      <c r="KA281" s="1808"/>
      <c r="KB281" s="1808"/>
      <c r="KC281" s="1808"/>
      <c r="KD281" s="1808"/>
      <c r="KE281" s="1808"/>
      <c r="KF281" s="1808"/>
      <c r="KG281" s="1808"/>
      <c r="KH281" s="1808"/>
      <c r="KI281" s="1808"/>
      <c r="KJ281" s="1808"/>
      <c r="KK281" s="1808"/>
    </row>
    <row r="282" spans="1:297" s="1947" customFormat="1" ht="32.25" customHeight="1" x14ac:dyDescent="0.2">
      <c r="A282" s="1834"/>
      <c r="B282" s="1834"/>
      <c r="C282" s="1835"/>
      <c r="D282" s="1834"/>
      <c r="E282" s="1834"/>
      <c r="F282" s="1835"/>
      <c r="G282" s="1842"/>
      <c r="H282" s="1834"/>
      <c r="I282" s="1835"/>
      <c r="J282" s="3955"/>
      <c r="K282" s="3941"/>
      <c r="L282" s="3944"/>
      <c r="M282" s="3944"/>
      <c r="N282" s="3944"/>
      <c r="O282" s="3944"/>
      <c r="P282" s="3941"/>
      <c r="Q282" s="3966"/>
      <c r="R282" s="3969"/>
      <c r="S282" s="3941"/>
      <c r="T282" s="3941"/>
      <c r="U282" s="4064"/>
      <c r="V282" s="1858">
        <f>5915987+20000000</f>
        <v>25915987</v>
      </c>
      <c r="W282" s="1840">
        <v>98</v>
      </c>
      <c r="X282" s="3944"/>
      <c r="Y282" s="3944"/>
      <c r="Z282" s="3944"/>
      <c r="AA282" s="3944"/>
      <c r="AB282" s="3944"/>
      <c r="AC282" s="3944"/>
      <c r="AD282" s="3944"/>
      <c r="AE282" s="3944"/>
      <c r="AF282" s="3944"/>
      <c r="AG282" s="3944"/>
      <c r="AH282" s="3944"/>
      <c r="AI282" s="3944"/>
      <c r="AJ282" s="3944"/>
      <c r="AK282" s="3944"/>
      <c r="AL282" s="3944"/>
      <c r="AM282" s="3944"/>
      <c r="AN282" s="3944"/>
      <c r="AO282" s="3972"/>
      <c r="AP282" s="3972"/>
      <c r="AQ282" s="3975"/>
      <c r="AR282" s="1808"/>
      <c r="AS282" s="1808"/>
      <c r="AT282" s="1808"/>
      <c r="AU282" s="1808"/>
      <c r="AV282" s="1808"/>
      <c r="AW282" s="1808"/>
      <c r="AX282" s="1808"/>
      <c r="AY282" s="1808"/>
      <c r="AZ282" s="1808"/>
      <c r="BA282" s="1808"/>
      <c r="BB282" s="1808"/>
      <c r="BC282" s="1808"/>
      <c r="BD282" s="1808"/>
      <c r="BE282" s="1808"/>
      <c r="BF282" s="1808"/>
      <c r="BG282" s="1808"/>
      <c r="BH282" s="1808"/>
      <c r="BI282" s="1808"/>
      <c r="BJ282" s="1808"/>
      <c r="BK282" s="1808"/>
      <c r="BL282" s="1808"/>
      <c r="BM282" s="1808"/>
      <c r="BN282" s="1808"/>
      <c r="BO282" s="1808"/>
      <c r="BP282" s="1808"/>
      <c r="BQ282" s="1808"/>
      <c r="BR282" s="1808"/>
      <c r="BS282" s="1808"/>
      <c r="BT282" s="1808"/>
      <c r="BU282" s="1808"/>
      <c r="BV282" s="1808"/>
      <c r="BW282" s="1808"/>
      <c r="BX282" s="1808"/>
      <c r="BY282" s="1808"/>
      <c r="BZ282" s="1808"/>
      <c r="CA282" s="1808"/>
      <c r="CB282" s="1808"/>
      <c r="CC282" s="1808"/>
      <c r="CD282" s="1808"/>
      <c r="CE282" s="1808"/>
      <c r="CF282" s="1808"/>
      <c r="CG282" s="1808"/>
      <c r="CH282" s="1808"/>
      <c r="CI282" s="1808"/>
      <c r="CJ282" s="1808"/>
      <c r="CK282" s="1808"/>
      <c r="CL282" s="1808"/>
      <c r="CM282" s="1808"/>
      <c r="CN282" s="1808"/>
      <c r="CO282" s="1808"/>
      <c r="CP282" s="1808"/>
      <c r="CQ282" s="1808"/>
      <c r="CR282" s="1808"/>
      <c r="CS282" s="1808"/>
      <c r="CT282" s="1808"/>
      <c r="CU282" s="1808"/>
      <c r="CV282" s="1808"/>
      <c r="CW282" s="1808"/>
      <c r="CX282" s="1808"/>
      <c r="CY282" s="1808"/>
      <c r="CZ282" s="1808"/>
      <c r="DA282" s="1808"/>
      <c r="DB282" s="1808"/>
      <c r="DC282" s="1808"/>
      <c r="DD282" s="1808"/>
      <c r="DE282" s="1808"/>
      <c r="DF282" s="1808"/>
      <c r="DG282" s="1808"/>
      <c r="DH282" s="1808"/>
      <c r="DI282" s="1808"/>
      <c r="DJ282" s="1808"/>
      <c r="DK282" s="1808"/>
      <c r="DL282" s="1808"/>
      <c r="DM282" s="1808"/>
      <c r="DN282" s="1808"/>
      <c r="DO282" s="1808"/>
      <c r="DP282" s="1808"/>
      <c r="DQ282" s="1808"/>
      <c r="DR282" s="1808"/>
      <c r="DS282" s="1808"/>
      <c r="DT282" s="1808"/>
      <c r="DU282" s="1808"/>
      <c r="DV282" s="1808"/>
      <c r="DW282" s="1808"/>
      <c r="DX282" s="1808"/>
      <c r="DY282" s="1808"/>
      <c r="DZ282" s="1808"/>
      <c r="EA282" s="1808"/>
      <c r="EB282" s="1808"/>
      <c r="EC282" s="1808"/>
      <c r="ED282" s="1808"/>
      <c r="EE282" s="1808"/>
      <c r="EF282" s="1808"/>
      <c r="EG282" s="1808"/>
      <c r="EH282" s="1808"/>
      <c r="EI282" s="1808"/>
      <c r="EJ282" s="1808"/>
      <c r="EK282" s="1808"/>
      <c r="EL282" s="1808"/>
      <c r="EM282" s="1808"/>
      <c r="EN282" s="1808"/>
      <c r="EO282" s="1808"/>
      <c r="EP282" s="1808"/>
      <c r="EQ282" s="1808"/>
      <c r="ER282" s="1808"/>
      <c r="ES282" s="1808"/>
      <c r="ET282" s="1808"/>
      <c r="EU282" s="1808"/>
      <c r="EV282" s="1808"/>
      <c r="EW282" s="1808"/>
      <c r="EX282" s="1808"/>
      <c r="EY282" s="1808"/>
      <c r="EZ282" s="1808"/>
      <c r="FA282" s="1808"/>
      <c r="FB282" s="1808"/>
      <c r="FC282" s="1808"/>
      <c r="FD282" s="1808"/>
      <c r="FE282" s="1808"/>
      <c r="FF282" s="1808"/>
      <c r="FG282" s="1808"/>
      <c r="FH282" s="1808"/>
      <c r="FI282" s="1808"/>
      <c r="FJ282" s="1808"/>
      <c r="FK282" s="1808"/>
      <c r="FL282" s="1808"/>
      <c r="FM282" s="1808"/>
      <c r="FN282" s="1808"/>
      <c r="FO282" s="1808"/>
      <c r="FP282" s="1808"/>
      <c r="FQ282" s="1808"/>
      <c r="FR282" s="1808"/>
      <c r="FS282" s="1808"/>
      <c r="FT282" s="1808"/>
      <c r="FU282" s="1808"/>
      <c r="FV282" s="1808"/>
      <c r="FW282" s="1808"/>
      <c r="FX282" s="1808"/>
      <c r="FY282" s="1808"/>
      <c r="FZ282" s="1808"/>
      <c r="GA282" s="1808"/>
      <c r="GB282" s="1808"/>
      <c r="GC282" s="1808"/>
      <c r="GD282" s="1808"/>
      <c r="GE282" s="1808"/>
      <c r="GF282" s="1808"/>
      <c r="GG282" s="1808"/>
      <c r="GH282" s="1808"/>
      <c r="GI282" s="1808"/>
      <c r="GJ282" s="1808"/>
      <c r="GK282" s="1808"/>
      <c r="GL282" s="1808"/>
      <c r="GM282" s="1808"/>
      <c r="GN282" s="1808"/>
      <c r="GO282" s="1808"/>
      <c r="GP282" s="1808"/>
      <c r="GQ282" s="1808"/>
      <c r="GR282" s="1808"/>
      <c r="GS282" s="1808"/>
      <c r="GT282" s="1808"/>
      <c r="GU282" s="1808"/>
      <c r="GV282" s="1808"/>
      <c r="GW282" s="1808"/>
      <c r="GX282" s="1808"/>
      <c r="GY282" s="1808"/>
      <c r="GZ282" s="1808"/>
      <c r="HA282" s="1808"/>
      <c r="HB282" s="1808"/>
      <c r="HC282" s="1808"/>
      <c r="HD282" s="1808"/>
      <c r="HE282" s="1808"/>
      <c r="HF282" s="1808"/>
      <c r="HG282" s="1808"/>
      <c r="HH282" s="1808"/>
      <c r="HI282" s="1808"/>
      <c r="HJ282" s="1808"/>
      <c r="HK282" s="1808"/>
      <c r="HL282" s="1808"/>
      <c r="HM282" s="1808"/>
      <c r="HN282" s="1808"/>
      <c r="HO282" s="1808"/>
      <c r="HP282" s="1808"/>
      <c r="HQ282" s="1808"/>
      <c r="HR282" s="1808"/>
      <c r="HS282" s="1808"/>
      <c r="HT282" s="1808"/>
      <c r="HU282" s="1808"/>
      <c r="HV282" s="1808"/>
      <c r="HW282" s="1808"/>
      <c r="HX282" s="1808"/>
      <c r="HY282" s="1808"/>
      <c r="HZ282" s="1808"/>
      <c r="IA282" s="1808"/>
      <c r="IB282" s="1808"/>
      <c r="IC282" s="1808"/>
      <c r="ID282" s="1808"/>
      <c r="IE282" s="1808"/>
      <c r="IF282" s="1808"/>
      <c r="IG282" s="1808"/>
      <c r="IH282" s="1808"/>
      <c r="II282" s="1808"/>
      <c r="IJ282" s="1808"/>
      <c r="IK282" s="1808"/>
      <c r="IL282" s="1808"/>
      <c r="IM282" s="1808"/>
      <c r="IN282" s="1808"/>
      <c r="IO282" s="1808"/>
      <c r="IP282" s="1808"/>
      <c r="IQ282" s="1808"/>
      <c r="IR282" s="1808"/>
      <c r="IS282" s="1808"/>
      <c r="IT282" s="1808"/>
      <c r="IU282" s="1808"/>
      <c r="IV282" s="1808"/>
      <c r="IW282" s="1808"/>
      <c r="IX282" s="1808"/>
      <c r="IY282" s="1808"/>
      <c r="IZ282" s="1808"/>
      <c r="JA282" s="1808"/>
      <c r="JB282" s="1808"/>
      <c r="JC282" s="1808"/>
      <c r="JD282" s="1808"/>
      <c r="JE282" s="1808"/>
      <c r="JF282" s="1808"/>
      <c r="JG282" s="1808"/>
      <c r="JH282" s="1808"/>
      <c r="JI282" s="1808"/>
      <c r="JJ282" s="1808"/>
      <c r="JK282" s="1808"/>
      <c r="JL282" s="1808"/>
      <c r="JM282" s="1808"/>
      <c r="JN282" s="1808"/>
      <c r="JO282" s="1808"/>
      <c r="JP282" s="1808"/>
      <c r="JQ282" s="1808"/>
      <c r="JR282" s="1808"/>
      <c r="JS282" s="1808"/>
      <c r="JT282" s="1808"/>
      <c r="JU282" s="1808"/>
      <c r="JV282" s="1808"/>
      <c r="JW282" s="1808"/>
      <c r="JX282" s="1808"/>
      <c r="JY282" s="1808"/>
      <c r="JZ282" s="1808"/>
      <c r="KA282" s="1808"/>
      <c r="KB282" s="1808"/>
      <c r="KC282" s="1808"/>
      <c r="KD282" s="1808"/>
      <c r="KE282" s="1808"/>
      <c r="KF282" s="1808"/>
      <c r="KG282" s="1808"/>
      <c r="KH282" s="1808"/>
      <c r="KI282" s="1808"/>
      <c r="KJ282" s="1808"/>
      <c r="KK282" s="1808"/>
    </row>
    <row r="283" spans="1:297" s="1947" customFormat="1" ht="49.5" customHeight="1" x14ac:dyDescent="0.2">
      <c r="A283" s="1833"/>
      <c r="B283" s="1834"/>
      <c r="C283" s="1835"/>
      <c r="D283" s="1834"/>
      <c r="E283" s="1834"/>
      <c r="F283" s="1835"/>
      <c r="G283" s="1842"/>
      <c r="H283" s="1834"/>
      <c r="I283" s="1835"/>
      <c r="J283" s="3955"/>
      <c r="K283" s="3941"/>
      <c r="L283" s="3944"/>
      <c r="M283" s="3944"/>
      <c r="N283" s="3944"/>
      <c r="O283" s="3944"/>
      <c r="P283" s="3941"/>
      <c r="Q283" s="3966"/>
      <c r="R283" s="3969"/>
      <c r="S283" s="3941"/>
      <c r="T283" s="3941"/>
      <c r="U283" s="1918" t="s">
        <v>1827</v>
      </c>
      <c r="V283" s="1858">
        <f>10000000+18924714</f>
        <v>28924714</v>
      </c>
      <c r="W283" s="1840">
        <v>61</v>
      </c>
      <c r="X283" s="3944"/>
      <c r="Y283" s="3944"/>
      <c r="Z283" s="3944"/>
      <c r="AA283" s="3944"/>
      <c r="AB283" s="3944"/>
      <c r="AC283" s="3944"/>
      <c r="AD283" s="3944"/>
      <c r="AE283" s="3944"/>
      <c r="AF283" s="3944"/>
      <c r="AG283" s="3944"/>
      <c r="AH283" s="3944"/>
      <c r="AI283" s="3944"/>
      <c r="AJ283" s="3944"/>
      <c r="AK283" s="3944"/>
      <c r="AL283" s="3944"/>
      <c r="AM283" s="3944"/>
      <c r="AN283" s="3944"/>
      <c r="AO283" s="3972"/>
      <c r="AP283" s="3972"/>
      <c r="AQ283" s="3975"/>
      <c r="AR283" s="1808"/>
      <c r="AS283" s="1808"/>
      <c r="AT283" s="1808"/>
      <c r="AU283" s="1808"/>
      <c r="AV283" s="1808"/>
      <c r="AW283" s="1808"/>
      <c r="AX283" s="1808"/>
      <c r="AY283" s="1808"/>
      <c r="AZ283" s="1808"/>
      <c r="BA283" s="1808"/>
      <c r="BB283" s="1808"/>
      <c r="BC283" s="1808"/>
      <c r="BD283" s="1808"/>
      <c r="BE283" s="1808"/>
      <c r="BF283" s="1808"/>
      <c r="BG283" s="1808"/>
      <c r="BH283" s="1808"/>
      <c r="BI283" s="1808"/>
      <c r="BJ283" s="1808"/>
      <c r="BK283" s="1808"/>
      <c r="BL283" s="1808"/>
      <c r="BM283" s="1808"/>
      <c r="BN283" s="1808"/>
      <c r="BO283" s="1808"/>
      <c r="BP283" s="1808"/>
      <c r="BQ283" s="1808"/>
      <c r="BR283" s="1808"/>
      <c r="BS283" s="1808"/>
      <c r="BT283" s="1808"/>
      <c r="BU283" s="1808"/>
      <c r="BV283" s="1808"/>
      <c r="BW283" s="1808"/>
      <c r="BX283" s="1808"/>
      <c r="BY283" s="1808"/>
      <c r="BZ283" s="1808"/>
      <c r="CA283" s="1808"/>
      <c r="CB283" s="1808"/>
      <c r="CC283" s="1808"/>
      <c r="CD283" s="1808"/>
      <c r="CE283" s="1808"/>
      <c r="CF283" s="1808"/>
      <c r="CG283" s="1808"/>
      <c r="CH283" s="1808"/>
      <c r="CI283" s="1808"/>
      <c r="CJ283" s="1808"/>
      <c r="CK283" s="1808"/>
      <c r="CL283" s="1808"/>
      <c r="CM283" s="1808"/>
      <c r="CN283" s="1808"/>
      <c r="CO283" s="1808"/>
      <c r="CP283" s="1808"/>
      <c r="CQ283" s="1808"/>
      <c r="CR283" s="1808"/>
      <c r="CS283" s="1808"/>
      <c r="CT283" s="1808"/>
      <c r="CU283" s="1808"/>
      <c r="CV283" s="1808"/>
      <c r="CW283" s="1808"/>
      <c r="CX283" s="1808"/>
      <c r="CY283" s="1808"/>
      <c r="CZ283" s="1808"/>
      <c r="DA283" s="1808"/>
      <c r="DB283" s="1808"/>
      <c r="DC283" s="1808"/>
      <c r="DD283" s="1808"/>
      <c r="DE283" s="1808"/>
      <c r="DF283" s="1808"/>
      <c r="DG283" s="1808"/>
      <c r="DH283" s="1808"/>
      <c r="DI283" s="1808"/>
      <c r="DJ283" s="1808"/>
      <c r="DK283" s="1808"/>
      <c r="DL283" s="1808"/>
      <c r="DM283" s="1808"/>
      <c r="DN283" s="1808"/>
      <c r="DO283" s="1808"/>
      <c r="DP283" s="1808"/>
      <c r="DQ283" s="1808"/>
      <c r="DR283" s="1808"/>
      <c r="DS283" s="1808"/>
      <c r="DT283" s="1808"/>
      <c r="DU283" s="1808"/>
      <c r="DV283" s="1808"/>
      <c r="DW283" s="1808"/>
      <c r="DX283" s="1808"/>
      <c r="DY283" s="1808"/>
      <c r="DZ283" s="1808"/>
      <c r="EA283" s="1808"/>
      <c r="EB283" s="1808"/>
      <c r="EC283" s="1808"/>
      <c r="ED283" s="1808"/>
      <c r="EE283" s="1808"/>
      <c r="EF283" s="1808"/>
      <c r="EG283" s="1808"/>
      <c r="EH283" s="1808"/>
      <c r="EI283" s="1808"/>
      <c r="EJ283" s="1808"/>
      <c r="EK283" s="1808"/>
      <c r="EL283" s="1808"/>
      <c r="EM283" s="1808"/>
      <c r="EN283" s="1808"/>
      <c r="EO283" s="1808"/>
      <c r="EP283" s="1808"/>
      <c r="EQ283" s="1808"/>
      <c r="ER283" s="1808"/>
      <c r="ES283" s="1808"/>
      <c r="ET283" s="1808"/>
      <c r="EU283" s="1808"/>
      <c r="EV283" s="1808"/>
      <c r="EW283" s="1808"/>
      <c r="EX283" s="1808"/>
      <c r="EY283" s="1808"/>
      <c r="EZ283" s="1808"/>
      <c r="FA283" s="1808"/>
      <c r="FB283" s="1808"/>
      <c r="FC283" s="1808"/>
      <c r="FD283" s="1808"/>
      <c r="FE283" s="1808"/>
      <c r="FF283" s="1808"/>
      <c r="FG283" s="1808"/>
      <c r="FH283" s="1808"/>
      <c r="FI283" s="1808"/>
      <c r="FJ283" s="1808"/>
      <c r="FK283" s="1808"/>
      <c r="FL283" s="1808"/>
      <c r="FM283" s="1808"/>
      <c r="FN283" s="1808"/>
      <c r="FO283" s="1808"/>
      <c r="FP283" s="1808"/>
      <c r="FQ283" s="1808"/>
      <c r="FR283" s="1808"/>
      <c r="FS283" s="1808"/>
      <c r="FT283" s="1808"/>
      <c r="FU283" s="1808"/>
      <c r="FV283" s="1808"/>
      <c r="FW283" s="1808"/>
      <c r="FX283" s="1808"/>
      <c r="FY283" s="1808"/>
      <c r="FZ283" s="1808"/>
      <c r="GA283" s="1808"/>
      <c r="GB283" s="1808"/>
      <c r="GC283" s="1808"/>
      <c r="GD283" s="1808"/>
      <c r="GE283" s="1808"/>
      <c r="GF283" s="1808"/>
      <c r="GG283" s="1808"/>
      <c r="GH283" s="1808"/>
      <c r="GI283" s="1808"/>
      <c r="GJ283" s="1808"/>
      <c r="GK283" s="1808"/>
      <c r="GL283" s="1808"/>
      <c r="GM283" s="1808"/>
      <c r="GN283" s="1808"/>
      <c r="GO283" s="1808"/>
      <c r="GP283" s="1808"/>
      <c r="GQ283" s="1808"/>
      <c r="GR283" s="1808"/>
      <c r="GS283" s="1808"/>
      <c r="GT283" s="1808"/>
      <c r="GU283" s="1808"/>
      <c r="GV283" s="1808"/>
      <c r="GW283" s="1808"/>
      <c r="GX283" s="1808"/>
      <c r="GY283" s="1808"/>
      <c r="GZ283" s="1808"/>
      <c r="HA283" s="1808"/>
      <c r="HB283" s="1808"/>
      <c r="HC283" s="1808"/>
      <c r="HD283" s="1808"/>
      <c r="HE283" s="1808"/>
      <c r="HF283" s="1808"/>
      <c r="HG283" s="1808"/>
      <c r="HH283" s="1808"/>
      <c r="HI283" s="1808"/>
      <c r="HJ283" s="1808"/>
      <c r="HK283" s="1808"/>
      <c r="HL283" s="1808"/>
      <c r="HM283" s="1808"/>
      <c r="HN283" s="1808"/>
      <c r="HO283" s="1808"/>
      <c r="HP283" s="1808"/>
      <c r="HQ283" s="1808"/>
      <c r="HR283" s="1808"/>
      <c r="HS283" s="1808"/>
      <c r="HT283" s="1808"/>
      <c r="HU283" s="1808"/>
      <c r="HV283" s="1808"/>
      <c r="HW283" s="1808"/>
      <c r="HX283" s="1808"/>
      <c r="HY283" s="1808"/>
      <c r="HZ283" s="1808"/>
      <c r="IA283" s="1808"/>
      <c r="IB283" s="1808"/>
      <c r="IC283" s="1808"/>
      <c r="ID283" s="1808"/>
      <c r="IE283" s="1808"/>
      <c r="IF283" s="1808"/>
      <c r="IG283" s="1808"/>
      <c r="IH283" s="1808"/>
      <c r="II283" s="1808"/>
      <c r="IJ283" s="1808"/>
      <c r="IK283" s="1808"/>
      <c r="IL283" s="1808"/>
      <c r="IM283" s="1808"/>
      <c r="IN283" s="1808"/>
      <c r="IO283" s="1808"/>
      <c r="IP283" s="1808"/>
      <c r="IQ283" s="1808"/>
      <c r="IR283" s="1808"/>
      <c r="IS283" s="1808"/>
      <c r="IT283" s="1808"/>
      <c r="IU283" s="1808"/>
      <c r="IV283" s="1808"/>
      <c r="IW283" s="1808"/>
      <c r="IX283" s="1808"/>
      <c r="IY283" s="1808"/>
      <c r="IZ283" s="1808"/>
      <c r="JA283" s="1808"/>
      <c r="JB283" s="1808"/>
      <c r="JC283" s="1808"/>
      <c r="JD283" s="1808"/>
      <c r="JE283" s="1808"/>
      <c r="JF283" s="1808"/>
      <c r="JG283" s="1808"/>
      <c r="JH283" s="1808"/>
      <c r="JI283" s="1808"/>
      <c r="JJ283" s="1808"/>
      <c r="JK283" s="1808"/>
      <c r="JL283" s="1808"/>
      <c r="JM283" s="1808"/>
      <c r="JN283" s="1808"/>
      <c r="JO283" s="1808"/>
      <c r="JP283" s="1808"/>
      <c r="JQ283" s="1808"/>
      <c r="JR283" s="1808"/>
      <c r="JS283" s="1808"/>
      <c r="JT283" s="1808"/>
      <c r="JU283" s="1808"/>
      <c r="JV283" s="1808"/>
      <c r="JW283" s="1808"/>
      <c r="JX283" s="1808"/>
      <c r="JY283" s="1808"/>
      <c r="JZ283" s="1808"/>
      <c r="KA283" s="1808"/>
      <c r="KB283" s="1808"/>
      <c r="KC283" s="1808"/>
      <c r="KD283" s="1808"/>
      <c r="KE283" s="1808"/>
      <c r="KF283" s="1808"/>
      <c r="KG283" s="1808"/>
      <c r="KH283" s="1808"/>
      <c r="KI283" s="1808"/>
      <c r="KJ283" s="1808"/>
      <c r="KK283" s="1808"/>
    </row>
    <row r="284" spans="1:297" s="1947" customFormat="1" ht="57" x14ac:dyDescent="0.2">
      <c r="A284" s="1833"/>
      <c r="B284" s="1834"/>
      <c r="C284" s="1835"/>
      <c r="D284" s="1844"/>
      <c r="E284" s="1844"/>
      <c r="F284" s="1845"/>
      <c r="G284" s="1846"/>
      <c r="H284" s="1844"/>
      <c r="I284" s="1845"/>
      <c r="J284" s="3955"/>
      <c r="K284" s="3941"/>
      <c r="L284" s="3944"/>
      <c r="M284" s="3944"/>
      <c r="N284" s="3944"/>
      <c r="O284" s="3944"/>
      <c r="P284" s="3941"/>
      <c r="Q284" s="3966"/>
      <c r="R284" s="3969"/>
      <c r="S284" s="3941"/>
      <c r="T284" s="3941"/>
      <c r="U284" s="1918" t="s">
        <v>1828</v>
      </c>
      <c r="V284" s="1858">
        <v>30000000</v>
      </c>
      <c r="W284" s="1840">
        <v>61</v>
      </c>
      <c r="X284" s="3945"/>
      <c r="Y284" s="3944"/>
      <c r="Z284" s="3944"/>
      <c r="AA284" s="3944"/>
      <c r="AB284" s="3944"/>
      <c r="AC284" s="3944"/>
      <c r="AD284" s="3944"/>
      <c r="AE284" s="3944"/>
      <c r="AF284" s="3944"/>
      <c r="AG284" s="3944"/>
      <c r="AH284" s="3944"/>
      <c r="AI284" s="3944"/>
      <c r="AJ284" s="3944"/>
      <c r="AK284" s="3944"/>
      <c r="AL284" s="3944"/>
      <c r="AM284" s="3944"/>
      <c r="AN284" s="3944"/>
      <c r="AO284" s="3972"/>
      <c r="AP284" s="3972"/>
      <c r="AQ284" s="3975"/>
      <c r="AR284" s="1808"/>
      <c r="AS284" s="1808"/>
      <c r="AT284" s="1808"/>
      <c r="AU284" s="1808"/>
      <c r="AV284" s="1808"/>
      <c r="AW284" s="1808"/>
      <c r="AX284" s="1808"/>
      <c r="AY284" s="1808"/>
      <c r="AZ284" s="1808"/>
      <c r="BA284" s="1808"/>
      <c r="BB284" s="1808"/>
      <c r="BC284" s="1808"/>
      <c r="BD284" s="1808"/>
      <c r="BE284" s="1808"/>
      <c r="BF284" s="1808"/>
      <c r="BG284" s="1808"/>
      <c r="BH284" s="1808"/>
      <c r="BI284" s="1808"/>
      <c r="BJ284" s="1808"/>
      <c r="BK284" s="1808"/>
      <c r="BL284" s="1808"/>
      <c r="BM284" s="1808"/>
      <c r="BN284" s="1808"/>
      <c r="BO284" s="1808"/>
      <c r="BP284" s="1808"/>
      <c r="BQ284" s="1808"/>
      <c r="BR284" s="1808"/>
      <c r="BS284" s="1808"/>
      <c r="BT284" s="1808"/>
      <c r="BU284" s="1808"/>
      <c r="BV284" s="1808"/>
      <c r="BW284" s="1808"/>
      <c r="BX284" s="1808"/>
      <c r="BY284" s="1808"/>
      <c r="BZ284" s="1808"/>
      <c r="CA284" s="1808"/>
      <c r="CB284" s="1808"/>
      <c r="CC284" s="1808"/>
      <c r="CD284" s="1808"/>
      <c r="CE284" s="1808"/>
      <c r="CF284" s="1808"/>
      <c r="CG284" s="1808"/>
      <c r="CH284" s="1808"/>
      <c r="CI284" s="1808"/>
      <c r="CJ284" s="1808"/>
      <c r="CK284" s="1808"/>
      <c r="CL284" s="1808"/>
      <c r="CM284" s="1808"/>
      <c r="CN284" s="1808"/>
      <c r="CO284" s="1808"/>
      <c r="CP284" s="1808"/>
      <c r="CQ284" s="1808"/>
      <c r="CR284" s="1808"/>
      <c r="CS284" s="1808"/>
      <c r="CT284" s="1808"/>
      <c r="CU284" s="1808"/>
      <c r="CV284" s="1808"/>
      <c r="CW284" s="1808"/>
      <c r="CX284" s="1808"/>
      <c r="CY284" s="1808"/>
      <c r="CZ284" s="1808"/>
      <c r="DA284" s="1808"/>
      <c r="DB284" s="1808"/>
      <c r="DC284" s="1808"/>
      <c r="DD284" s="1808"/>
      <c r="DE284" s="1808"/>
      <c r="DF284" s="1808"/>
      <c r="DG284" s="1808"/>
      <c r="DH284" s="1808"/>
      <c r="DI284" s="1808"/>
      <c r="DJ284" s="1808"/>
      <c r="DK284" s="1808"/>
      <c r="DL284" s="1808"/>
      <c r="DM284" s="1808"/>
      <c r="DN284" s="1808"/>
      <c r="DO284" s="1808"/>
      <c r="DP284" s="1808"/>
      <c r="DQ284" s="1808"/>
      <c r="DR284" s="1808"/>
      <c r="DS284" s="1808"/>
      <c r="DT284" s="1808"/>
      <c r="DU284" s="1808"/>
      <c r="DV284" s="1808"/>
      <c r="DW284" s="1808"/>
      <c r="DX284" s="1808"/>
      <c r="DY284" s="1808"/>
      <c r="DZ284" s="1808"/>
      <c r="EA284" s="1808"/>
      <c r="EB284" s="1808"/>
      <c r="EC284" s="1808"/>
      <c r="ED284" s="1808"/>
      <c r="EE284" s="1808"/>
      <c r="EF284" s="1808"/>
      <c r="EG284" s="1808"/>
      <c r="EH284" s="1808"/>
      <c r="EI284" s="1808"/>
      <c r="EJ284" s="1808"/>
      <c r="EK284" s="1808"/>
      <c r="EL284" s="1808"/>
      <c r="EM284" s="1808"/>
      <c r="EN284" s="1808"/>
      <c r="EO284" s="1808"/>
      <c r="EP284" s="1808"/>
      <c r="EQ284" s="1808"/>
      <c r="ER284" s="1808"/>
      <c r="ES284" s="1808"/>
      <c r="ET284" s="1808"/>
      <c r="EU284" s="1808"/>
      <c r="EV284" s="1808"/>
      <c r="EW284" s="1808"/>
      <c r="EX284" s="1808"/>
      <c r="EY284" s="1808"/>
      <c r="EZ284" s="1808"/>
      <c r="FA284" s="1808"/>
      <c r="FB284" s="1808"/>
      <c r="FC284" s="1808"/>
      <c r="FD284" s="1808"/>
      <c r="FE284" s="1808"/>
      <c r="FF284" s="1808"/>
      <c r="FG284" s="1808"/>
      <c r="FH284" s="1808"/>
      <c r="FI284" s="1808"/>
      <c r="FJ284" s="1808"/>
      <c r="FK284" s="1808"/>
      <c r="FL284" s="1808"/>
      <c r="FM284" s="1808"/>
      <c r="FN284" s="1808"/>
      <c r="FO284" s="1808"/>
      <c r="FP284" s="1808"/>
      <c r="FQ284" s="1808"/>
      <c r="FR284" s="1808"/>
      <c r="FS284" s="1808"/>
      <c r="FT284" s="1808"/>
      <c r="FU284" s="1808"/>
      <c r="FV284" s="1808"/>
      <c r="FW284" s="1808"/>
      <c r="FX284" s="1808"/>
      <c r="FY284" s="1808"/>
      <c r="FZ284" s="1808"/>
      <c r="GA284" s="1808"/>
      <c r="GB284" s="1808"/>
      <c r="GC284" s="1808"/>
      <c r="GD284" s="1808"/>
      <c r="GE284" s="1808"/>
      <c r="GF284" s="1808"/>
      <c r="GG284" s="1808"/>
      <c r="GH284" s="1808"/>
      <c r="GI284" s="1808"/>
      <c r="GJ284" s="1808"/>
      <c r="GK284" s="1808"/>
      <c r="GL284" s="1808"/>
      <c r="GM284" s="1808"/>
      <c r="GN284" s="1808"/>
      <c r="GO284" s="1808"/>
      <c r="GP284" s="1808"/>
      <c r="GQ284" s="1808"/>
      <c r="GR284" s="1808"/>
      <c r="GS284" s="1808"/>
      <c r="GT284" s="1808"/>
      <c r="GU284" s="1808"/>
      <c r="GV284" s="1808"/>
      <c r="GW284" s="1808"/>
      <c r="GX284" s="1808"/>
      <c r="GY284" s="1808"/>
      <c r="GZ284" s="1808"/>
      <c r="HA284" s="1808"/>
      <c r="HB284" s="1808"/>
      <c r="HC284" s="1808"/>
      <c r="HD284" s="1808"/>
      <c r="HE284" s="1808"/>
      <c r="HF284" s="1808"/>
      <c r="HG284" s="1808"/>
      <c r="HH284" s="1808"/>
      <c r="HI284" s="1808"/>
      <c r="HJ284" s="1808"/>
      <c r="HK284" s="1808"/>
      <c r="HL284" s="1808"/>
      <c r="HM284" s="1808"/>
      <c r="HN284" s="1808"/>
      <c r="HO284" s="1808"/>
      <c r="HP284" s="1808"/>
      <c r="HQ284" s="1808"/>
      <c r="HR284" s="1808"/>
      <c r="HS284" s="1808"/>
      <c r="HT284" s="1808"/>
      <c r="HU284" s="1808"/>
      <c r="HV284" s="1808"/>
      <c r="HW284" s="1808"/>
      <c r="HX284" s="1808"/>
      <c r="HY284" s="1808"/>
      <c r="HZ284" s="1808"/>
      <c r="IA284" s="1808"/>
      <c r="IB284" s="1808"/>
      <c r="IC284" s="1808"/>
      <c r="ID284" s="1808"/>
      <c r="IE284" s="1808"/>
      <c r="IF284" s="1808"/>
      <c r="IG284" s="1808"/>
      <c r="IH284" s="1808"/>
      <c r="II284" s="1808"/>
      <c r="IJ284" s="1808"/>
      <c r="IK284" s="1808"/>
      <c r="IL284" s="1808"/>
      <c r="IM284" s="1808"/>
      <c r="IN284" s="1808"/>
      <c r="IO284" s="1808"/>
      <c r="IP284" s="1808"/>
      <c r="IQ284" s="1808"/>
      <c r="IR284" s="1808"/>
      <c r="IS284" s="1808"/>
      <c r="IT284" s="1808"/>
      <c r="IU284" s="1808"/>
      <c r="IV284" s="1808"/>
      <c r="IW284" s="1808"/>
      <c r="IX284" s="1808"/>
      <c r="IY284" s="1808"/>
      <c r="IZ284" s="1808"/>
      <c r="JA284" s="1808"/>
      <c r="JB284" s="1808"/>
      <c r="JC284" s="1808"/>
      <c r="JD284" s="1808"/>
      <c r="JE284" s="1808"/>
      <c r="JF284" s="1808"/>
      <c r="JG284" s="1808"/>
      <c r="JH284" s="1808"/>
      <c r="JI284" s="1808"/>
      <c r="JJ284" s="1808"/>
      <c r="JK284" s="1808"/>
      <c r="JL284" s="1808"/>
      <c r="JM284" s="1808"/>
      <c r="JN284" s="1808"/>
      <c r="JO284" s="1808"/>
      <c r="JP284" s="1808"/>
      <c r="JQ284" s="1808"/>
      <c r="JR284" s="1808"/>
      <c r="JS284" s="1808"/>
      <c r="JT284" s="1808"/>
      <c r="JU284" s="1808"/>
      <c r="JV284" s="1808"/>
      <c r="JW284" s="1808"/>
      <c r="JX284" s="1808"/>
      <c r="JY284" s="1808"/>
      <c r="JZ284" s="1808"/>
      <c r="KA284" s="1808"/>
      <c r="KB284" s="1808"/>
      <c r="KC284" s="1808"/>
      <c r="KD284" s="1808"/>
      <c r="KE284" s="1808"/>
      <c r="KF284" s="1808"/>
      <c r="KG284" s="1808"/>
      <c r="KH284" s="1808"/>
      <c r="KI284" s="1808"/>
      <c r="KJ284" s="1808"/>
      <c r="KK284" s="1808"/>
    </row>
    <row r="285" spans="1:297" ht="24.75" customHeight="1" x14ac:dyDescent="0.2">
      <c r="A285" s="1819"/>
      <c r="C285" s="1847"/>
      <c r="D285" s="1948">
        <v>13</v>
      </c>
      <c r="E285" s="1949" t="s">
        <v>1829</v>
      </c>
      <c r="F285" s="1949"/>
      <c r="G285" s="1950"/>
      <c r="H285" s="1950"/>
      <c r="I285" s="1950"/>
      <c r="J285" s="1950"/>
      <c r="K285" s="1951"/>
      <c r="L285" s="1950"/>
      <c r="M285" s="1950"/>
      <c r="N285" s="1952"/>
      <c r="O285" s="1950"/>
      <c r="P285" s="1951"/>
      <c r="Q285" s="1950"/>
      <c r="R285" s="1953"/>
      <c r="S285" s="1951"/>
      <c r="T285" s="1951"/>
      <c r="U285" s="1951"/>
      <c r="V285" s="1954"/>
      <c r="W285" s="1955"/>
      <c r="X285" s="1956"/>
      <c r="Y285" s="1952"/>
      <c r="Z285" s="1952"/>
      <c r="AA285" s="1952"/>
      <c r="AB285" s="1952"/>
      <c r="AC285" s="1952"/>
      <c r="AD285" s="1952"/>
      <c r="AE285" s="1952"/>
      <c r="AF285" s="1952"/>
      <c r="AG285" s="1952"/>
      <c r="AH285" s="1952"/>
      <c r="AI285" s="1952"/>
      <c r="AJ285" s="1952"/>
      <c r="AK285" s="1952"/>
      <c r="AL285" s="1952"/>
      <c r="AM285" s="1952"/>
      <c r="AN285" s="1952"/>
      <c r="AO285" s="1950"/>
      <c r="AP285" s="1950"/>
      <c r="AQ285" s="1957"/>
    </row>
    <row r="286" spans="1:297" ht="22.5" customHeight="1" x14ac:dyDescent="0.2">
      <c r="A286" s="1819"/>
      <c r="B286" s="1820"/>
      <c r="C286" s="1821"/>
      <c r="D286" s="4094"/>
      <c r="E286" s="4095"/>
      <c r="F286" s="4095"/>
      <c r="G286" s="1854">
        <v>47</v>
      </c>
      <c r="H286" s="1825" t="s">
        <v>1830</v>
      </c>
      <c r="I286" s="1825"/>
      <c r="J286" s="1825"/>
      <c r="K286" s="1826"/>
      <c r="L286" s="1825"/>
      <c r="M286" s="1825"/>
      <c r="N286" s="1827"/>
      <c r="O286" s="1825"/>
      <c r="P286" s="1826"/>
      <c r="Q286" s="1825"/>
      <c r="R286" s="1855"/>
      <c r="S286" s="1826"/>
      <c r="T286" s="1826"/>
      <c r="U286" s="1826"/>
      <c r="V286" s="1926"/>
      <c r="W286" s="1927"/>
      <c r="X286" s="1928"/>
      <c r="Y286" s="1827"/>
      <c r="Z286" s="1827"/>
      <c r="AA286" s="1827"/>
      <c r="AB286" s="1827"/>
      <c r="AC286" s="1827"/>
      <c r="AD286" s="1827"/>
      <c r="AE286" s="1827"/>
      <c r="AF286" s="1827"/>
      <c r="AG286" s="1827"/>
      <c r="AH286" s="1827"/>
      <c r="AI286" s="1827"/>
      <c r="AJ286" s="1827"/>
      <c r="AK286" s="1827"/>
      <c r="AL286" s="1827"/>
      <c r="AM286" s="1827"/>
      <c r="AN286" s="1827"/>
      <c r="AO286" s="1825"/>
      <c r="AP286" s="1825"/>
      <c r="AQ286" s="1832"/>
    </row>
    <row r="287" spans="1:297" ht="48" customHeight="1" x14ac:dyDescent="0.2">
      <c r="A287" s="1819"/>
      <c r="B287" s="1820"/>
      <c r="C287" s="1821"/>
      <c r="D287" s="4096"/>
      <c r="E287" s="4097"/>
      <c r="F287" s="4097"/>
      <c r="G287" s="4070"/>
      <c r="H287" s="4070"/>
      <c r="I287" s="4070"/>
      <c r="J287" s="3955">
        <v>163</v>
      </c>
      <c r="K287" s="4100" t="s">
        <v>1831</v>
      </c>
      <c r="L287" s="4070" t="s">
        <v>1482</v>
      </c>
      <c r="M287" s="4070">
        <v>12</v>
      </c>
      <c r="N287" s="4111" t="s">
        <v>1832</v>
      </c>
      <c r="O287" s="4070" t="s">
        <v>1833</v>
      </c>
      <c r="P287" s="4010" t="s">
        <v>1834</v>
      </c>
      <c r="Q287" s="4113">
        <f>(V287+V288)/R287</f>
        <v>1.415969296187247E-3</v>
      </c>
      <c r="R287" s="4116">
        <f>SUM(V287:V297)</f>
        <v>21751884086</v>
      </c>
      <c r="S287" s="4117" t="s">
        <v>1835</v>
      </c>
      <c r="T287" s="3940" t="s">
        <v>1836</v>
      </c>
      <c r="U287" s="1958" t="s">
        <v>1837</v>
      </c>
      <c r="V287" s="1858">
        <v>15400000</v>
      </c>
      <c r="W287" s="1959">
        <v>20</v>
      </c>
      <c r="X287" s="3943" t="s">
        <v>1838</v>
      </c>
      <c r="Y287" s="3943">
        <v>292684</v>
      </c>
      <c r="Z287" s="3943">
        <v>282326</v>
      </c>
      <c r="AA287" s="3943">
        <v>135912</v>
      </c>
      <c r="AB287" s="3943">
        <v>45122</v>
      </c>
      <c r="AC287" s="3943">
        <v>307101</v>
      </c>
      <c r="AD287" s="3943">
        <v>86875</v>
      </c>
      <c r="AE287" s="3943">
        <v>2145</v>
      </c>
      <c r="AF287" s="3943">
        <v>12718</v>
      </c>
      <c r="AG287" s="3943">
        <v>26</v>
      </c>
      <c r="AH287" s="3943">
        <v>37</v>
      </c>
      <c r="AI287" s="3943" t="s">
        <v>1489</v>
      </c>
      <c r="AJ287" s="3943" t="s">
        <v>1489</v>
      </c>
      <c r="AK287" s="3943">
        <v>53164</v>
      </c>
      <c r="AL287" s="3943">
        <v>16982</v>
      </c>
      <c r="AM287" s="3943">
        <v>60013</v>
      </c>
      <c r="AN287" s="3943">
        <v>575010</v>
      </c>
      <c r="AO287" s="4086">
        <v>43467</v>
      </c>
      <c r="AP287" s="4086">
        <v>43830</v>
      </c>
      <c r="AQ287" s="3974" t="s">
        <v>1490</v>
      </c>
    </row>
    <row r="288" spans="1:297" ht="63.75" customHeight="1" x14ac:dyDescent="0.2">
      <c r="A288" s="1819"/>
      <c r="B288" s="1820"/>
      <c r="C288" s="1821"/>
      <c r="D288" s="4096"/>
      <c r="E288" s="4097"/>
      <c r="F288" s="4097"/>
      <c r="G288" s="3943"/>
      <c r="H288" s="3943"/>
      <c r="I288" s="3943"/>
      <c r="J288" s="3955"/>
      <c r="K288" s="4101"/>
      <c r="L288" s="4070"/>
      <c r="M288" s="4070"/>
      <c r="N288" s="4112"/>
      <c r="O288" s="4070"/>
      <c r="P288" s="4010"/>
      <c r="Q288" s="4113"/>
      <c r="R288" s="4116"/>
      <c r="S288" s="4118"/>
      <c r="T288" s="3942"/>
      <c r="U288" s="1958" t="s">
        <v>1839</v>
      </c>
      <c r="V288" s="1858">
        <v>15400000</v>
      </c>
      <c r="W288" s="1959">
        <v>20</v>
      </c>
      <c r="X288" s="3945"/>
      <c r="Y288" s="3944"/>
      <c r="Z288" s="3944"/>
      <c r="AA288" s="3944"/>
      <c r="AB288" s="3944"/>
      <c r="AC288" s="3944"/>
      <c r="AD288" s="3944"/>
      <c r="AE288" s="3944"/>
      <c r="AF288" s="3944"/>
      <c r="AG288" s="3944"/>
      <c r="AH288" s="3944"/>
      <c r="AI288" s="3944"/>
      <c r="AJ288" s="3944"/>
      <c r="AK288" s="3944"/>
      <c r="AL288" s="3944"/>
      <c r="AM288" s="3944"/>
      <c r="AN288" s="3944"/>
      <c r="AO288" s="4086"/>
      <c r="AP288" s="4086"/>
      <c r="AQ288" s="3975"/>
    </row>
    <row r="289" spans="1:168" ht="35.1" customHeight="1" x14ac:dyDescent="0.2">
      <c r="A289" s="1819"/>
      <c r="B289" s="1820"/>
      <c r="C289" s="1821"/>
      <c r="D289" s="4096"/>
      <c r="E289" s="4097"/>
      <c r="F289" s="4097"/>
      <c r="G289" s="1960">
        <v>48</v>
      </c>
      <c r="H289" s="1961" t="s">
        <v>1840</v>
      </c>
      <c r="I289" s="1961"/>
      <c r="J289" s="1962"/>
      <c r="K289" s="1963"/>
      <c r="L289" s="1825"/>
      <c r="M289" s="1825"/>
      <c r="N289" s="1827"/>
      <c r="O289" s="4070"/>
      <c r="P289" s="4010"/>
      <c r="Q289" s="1964"/>
      <c r="R289" s="4116"/>
      <c r="S289" s="4118"/>
      <c r="T289" s="1963"/>
      <c r="U289" s="1963"/>
      <c r="V289" s="1926"/>
      <c r="W289" s="1965"/>
      <c r="X289" s="1928"/>
      <c r="Y289" s="3944"/>
      <c r="Z289" s="3944"/>
      <c r="AA289" s="3944"/>
      <c r="AB289" s="3944"/>
      <c r="AC289" s="3944"/>
      <c r="AD289" s="3944"/>
      <c r="AE289" s="3944"/>
      <c r="AF289" s="3944"/>
      <c r="AG289" s="3944"/>
      <c r="AH289" s="3944"/>
      <c r="AI289" s="3944"/>
      <c r="AJ289" s="3944"/>
      <c r="AK289" s="3944"/>
      <c r="AL289" s="3944"/>
      <c r="AM289" s="3944"/>
      <c r="AN289" s="3944"/>
      <c r="AO289" s="4086"/>
      <c r="AP289" s="4086"/>
      <c r="AQ289" s="3975"/>
    </row>
    <row r="290" spans="1:168" ht="35.1" customHeight="1" x14ac:dyDescent="0.2">
      <c r="A290" s="1819"/>
      <c r="B290" s="1820"/>
      <c r="C290" s="1821"/>
      <c r="D290" s="4096"/>
      <c r="E290" s="4097"/>
      <c r="F290" s="4097"/>
      <c r="G290" s="4102"/>
      <c r="H290" s="4102"/>
      <c r="I290" s="4102"/>
      <c r="J290" s="4103">
        <v>164</v>
      </c>
      <c r="K290" s="4026" t="s">
        <v>1841</v>
      </c>
      <c r="L290" s="4104" t="s">
        <v>1482</v>
      </c>
      <c r="M290" s="4070">
        <v>12</v>
      </c>
      <c r="N290" s="4066" t="s">
        <v>1842</v>
      </c>
      <c r="O290" s="4070"/>
      <c r="P290" s="4010"/>
      <c r="Q290" s="4107">
        <f>(V290+V292+V291)/R287</f>
        <v>0.99522799957973263</v>
      </c>
      <c r="R290" s="4116"/>
      <c r="S290" s="4118"/>
      <c r="T290" s="4026" t="s">
        <v>1843</v>
      </c>
      <c r="U290" s="4110" t="s">
        <v>1844</v>
      </c>
      <c r="V290" s="1858">
        <f>21153943161-78204383+314128486</f>
        <v>21389867264</v>
      </c>
      <c r="W290" s="1966">
        <v>154</v>
      </c>
      <c r="X290" s="1940" t="s">
        <v>1845</v>
      </c>
      <c r="Y290" s="3944"/>
      <c r="Z290" s="3944"/>
      <c r="AA290" s="3944"/>
      <c r="AB290" s="3944"/>
      <c r="AC290" s="3944"/>
      <c r="AD290" s="3944"/>
      <c r="AE290" s="3944"/>
      <c r="AF290" s="3944"/>
      <c r="AG290" s="3944"/>
      <c r="AH290" s="3944"/>
      <c r="AI290" s="3944"/>
      <c r="AJ290" s="3944"/>
      <c r="AK290" s="3944"/>
      <c r="AL290" s="3944"/>
      <c r="AM290" s="3944"/>
      <c r="AN290" s="3944"/>
      <c r="AO290" s="4086"/>
      <c r="AP290" s="4086"/>
      <c r="AQ290" s="3975"/>
    </row>
    <row r="291" spans="1:168" ht="35.1" customHeight="1" x14ac:dyDescent="0.2">
      <c r="A291" s="1819"/>
      <c r="B291" s="1820"/>
      <c r="C291" s="1821"/>
      <c r="D291" s="4096"/>
      <c r="E291" s="4097"/>
      <c r="F291" s="4097"/>
      <c r="G291" s="4102"/>
      <c r="H291" s="4102"/>
      <c r="I291" s="4102"/>
      <c r="J291" s="4103"/>
      <c r="K291" s="4026"/>
      <c r="L291" s="4105"/>
      <c r="M291" s="4070"/>
      <c r="N291" s="4067"/>
      <c r="O291" s="4070"/>
      <c r="P291" s="4010"/>
      <c r="Q291" s="4108"/>
      <c r="R291" s="4116"/>
      <c r="S291" s="4118"/>
      <c r="T291" s="4026"/>
      <c r="U291" s="4110"/>
      <c r="V291" s="1858">
        <v>78204383</v>
      </c>
      <c r="W291" s="1966">
        <v>154</v>
      </c>
      <c r="X291" s="1940" t="s">
        <v>1846</v>
      </c>
      <c r="Y291" s="3944"/>
      <c r="Z291" s="3944"/>
      <c r="AA291" s="3944"/>
      <c r="AB291" s="3944"/>
      <c r="AC291" s="3944"/>
      <c r="AD291" s="3944"/>
      <c r="AE291" s="3944"/>
      <c r="AF291" s="3944"/>
      <c r="AG291" s="3944"/>
      <c r="AH291" s="3944"/>
      <c r="AI291" s="3944"/>
      <c r="AJ291" s="3944"/>
      <c r="AK291" s="3944"/>
      <c r="AL291" s="3944"/>
      <c r="AM291" s="3944"/>
      <c r="AN291" s="3944"/>
      <c r="AO291" s="4086"/>
      <c r="AP291" s="4086"/>
      <c r="AQ291" s="3975"/>
    </row>
    <row r="292" spans="1:168" ht="48.75" customHeight="1" x14ac:dyDescent="0.2">
      <c r="A292" s="1819"/>
      <c r="B292" s="1820"/>
      <c r="C292" s="1821"/>
      <c r="D292" s="4096"/>
      <c r="E292" s="4097"/>
      <c r="F292" s="4097"/>
      <c r="G292" s="4102"/>
      <c r="H292" s="4102"/>
      <c r="I292" s="4102"/>
      <c r="J292" s="4103"/>
      <c r="K292" s="4026"/>
      <c r="L292" s="4106"/>
      <c r="M292" s="4070"/>
      <c r="N292" s="4068"/>
      <c r="O292" s="4070"/>
      <c r="P292" s="4010"/>
      <c r="Q292" s="4109"/>
      <c r="R292" s="4116"/>
      <c r="S292" s="4118"/>
      <c r="T292" s="4026"/>
      <c r="U292" s="4110"/>
      <c r="V292" s="1858">
        <v>180012439</v>
      </c>
      <c r="W292" s="1966">
        <v>148</v>
      </c>
      <c r="X292" s="1940" t="s">
        <v>1847</v>
      </c>
      <c r="Y292" s="3944"/>
      <c r="Z292" s="3944"/>
      <c r="AA292" s="3944"/>
      <c r="AB292" s="3944"/>
      <c r="AC292" s="3944"/>
      <c r="AD292" s="3944"/>
      <c r="AE292" s="3944"/>
      <c r="AF292" s="3944"/>
      <c r="AG292" s="3944"/>
      <c r="AH292" s="3944"/>
      <c r="AI292" s="3944"/>
      <c r="AJ292" s="3944"/>
      <c r="AK292" s="3944"/>
      <c r="AL292" s="3944"/>
      <c r="AM292" s="3944"/>
      <c r="AN292" s="3944"/>
      <c r="AO292" s="4086"/>
      <c r="AP292" s="4086"/>
      <c r="AQ292" s="3975"/>
    </row>
    <row r="293" spans="1:168" ht="35.1" customHeight="1" x14ac:dyDescent="0.2">
      <c r="A293" s="1819"/>
      <c r="B293" s="1820"/>
      <c r="C293" s="1821"/>
      <c r="D293" s="4096"/>
      <c r="E293" s="4097"/>
      <c r="F293" s="4097"/>
      <c r="G293" s="1967">
        <v>49</v>
      </c>
      <c r="H293" s="1968" t="s">
        <v>1848</v>
      </c>
      <c r="I293" s="1968"/>
      <c r="J293" s="1968"/>
      <c r="K293" s="1924"/>
      <c r="L293" s="1825"/>
      <c r="M293" s="1825"/>
      <c r="N293" s="1827"/>
      <c r="O293" s="4070"/>
      <c r="P293" s="4010"/>
      <c r="Q293" s="1964"/>
      <c r="R293" s="4116"/>
      <c r="S293" s="4118"/>
      <c r="T293" s="1969"/>
      <c r="U293" s="1924"/>
      <c r="V293" s="1926"/>
      <c r="W293" s="1965"/>
      <c r="X293" s="1965"/>
      <c r="Y293" s="3944"/>
      <c r="Z293" s="3944"/>
      <c r="AA293" s="3944"/>
      <c r="AB293" s="3944"/>
      <c r="AC293" s="3944"/>
      <c r="AD293" s="3944"/>
      <c r="AE293" s="3944"/>
      <c r="AF293" s="3944"/>
      <c r="AG293" s="3944"/>
      <c r="AH293" s="3944"/>
      <c r="AI293" s="3944"/>
      <c r="AJ293" s="3944"/>
      <c r="AK293" s="3944"/>
      <c r="AL293" s="3944"/>
      <c r="AM293" s="3944"/>
      <c r="AN293" s="3944"/>
      <c r="AO293" s="4086"/>
      <c r="AP293" s="4086"/>
      <c r="AQ293" s="3975"/>
    </row>
    <row r="294" spans="1:168" ht="35.25" customHeight="1" x14ac:dyDescent="0.2">
      <c r="A294" s="1819"/>
      <c r="B294" s="1820"/>
      <c r="C294" s="1821"/>
      <c r="D294" s="4096"/>
      <c r="E294" s="4097"/>
      <c r="F294" s="4097"/>
      <c r="G294" s="4070"/>
      <c r="H294" s="4070"/>
      <c r="I294" s="4070"/>
      <c r="J294" s="3955">
        <v>165</v>
      </c>
      <c r="K294" s="4010" t="s">
        <v>1849</v>
      </c>
      <c r="L294" s="4070" t="s">
        <v>1482</v>
      </c>
      <c r="M294" s="4070">
        <v>12</v>
      </c>
      <c r="N294" s="4070" t="s">
        <v>1850</v>
      </c>
      <c r="O294" s="4070"/>
      <c r="P294" s="4010"/>
      <c r="Q294" s="4113">
        <f>SUM(V294:V297)/R287</f>
        <v>3.3560311240801634E-3</v>
      </c>
      <c r="R294" s="4116"/>
      <c r="S294" s="4118"/>
      <c r="T294" s="4026" t="s">
        <v>1851</v>
      </c>
      <c r="U294" s="4114" t="s">
        <v>1852</v>
      </c>
      <c r="V294" s="1858">
        <v>10500000</v>
      </c>
      <c r="W294" s="1966">
        <v>20</v>
      </c>
      <c r="X294" s="1940" t="s">
        <v>1838</v>
      </c>
      <c r="Y294" s="3944"/>
      <c r="Z294" s="3944"/>
      <c r="AA294" s="3944"/>
      <c r="AB294" s="3944"/>
      <c r="AC294" s="3944"/>
      <c r="AD294" s="3944"/>
      <c r="AE294" s="3944"/>
      <c r="AF294" s="3944"/>
      <c r="AG294" s="3944"/>
      <c r="AH294" s="3944"/>
      <c r="AI294" s="3944"/>
      <c r="AJ294" s="3944"/>
      <c r="AK294" s="3944"/>
      <c r="AL294" s="3944"/>
      <c r="AM294" s="3944"/>
      <c r="AN294" s="3944"/>
      <c r="AO294" s="4086"/>
      <c r="AP294" s="4086"/>
      <c r="AQ294" s="3975"/>
    </row>
    <row r="295" spans="1:168" ht="30" customHeight="1" x14ac:dyDescent="0.2">
      <c r="A295" s="1819"/>
      <c r="B295" s="1820"/>
      <c r="C295" s="1821"/>
      <c r="D295" s="4096"/>
      <c r="E295" s="4097"/>
      <c r="F295" s="4097"/>
      <c r="G295" s="4070"/>
      <c r="H295" s="4070"/>
      <c r="I295" s="4070"/>
      <c r="J295" s="3955"/>
      <c r="K295" s="4010"/>
      <c r="L295" s="4070"/>
      <c r="M295" s="4070"/>
      <c r="N295" s="4070"/>
      <c r="O295" s="4070"/>
      <c r="P295" s="4010"/>
      <c r="Q295" s="4113"/>
      <c r="R295" s="4116"/>
      <c r="S295" s="4118"/>
      <c r="T295" s="4026"/>
      <c r="U295" s="4115"/>
      <c r="V295" s="1858">
        <v>26000000</v>
      </c>
      <c r="W295" s="1966">
        <v>96</v>
      </c>
      <c r="X295" s="1940" t="s">
        <v>1853</v>
      </c>
      <c r="Y295" s="3944"/>
      <c r="Z295" s="3944"/>
      <c r="AA295" s="3944"/>
      <c r="AB295" s="3944"/>
      <c r="AC295" s="3944"/>
      <c r="AD295" s="3944"/>
      <c r="AE295" s="3944"/>
      <c r="AF295" s="3944"/>
      <c r="AG295" s="3944"/>
      <c r="AH295" s="3944"/>
      <c r="AI295" s="3944"/>
      <c r="AJ295" s="3944"/>
      <c r="AK295" s="3944"/>
      <c r="AL295" s="3944"/>
      <c r="AM295" s="3944"/>
      <c r="AN295" s="3944"/>
      <c r="AO295" s="4086"/>
      <c r="AP295" s="4086"/>
      <c r="AQ295" s="3975"/>
    </row>
    <row r="296" spans="1:168" ht="33.75" customHeight="1" x14ac:dyDescent="0.2">
      <c r="A296" s="1819"/>
      <c r="B296" s="1820"/>
      <c r="C296" s="1821"/>
      <c r="D296" s="4096"/>
      <c r="E296" s="4097"/>
      <c r="F296" s="4097"/>
      <c r="G296" s="4070"/>
      <c r="H296" s="4070"/>
      <c r="I296" s="4070"/>
      <c r="J296" s="3955"/>
      <c r="K296" s="4010"/>
      <c r="L296" s="4070"/>
      <c r="M296" s="4070"/>
      <c r="N296" s="4070"/>
      <c r="O296" s="4070"/>
      <c r="P296" s="4010"/>
      <c r="Q296" s="4113"/>
      <c r="R296" s="4116"/>
      <c r="S296" s="4118"/>
      <c r="T296" s="4026"/>
      <c r="U296" s="4114" t="s">
        <v>1854</v>
      </c>
      <c r="V296" s="1858">
        <v>10500000</v>
      </c>
      <c r="W296" s="1966">
        <v>20</v>
      </c>
      <c r="X296" s="1940" t="s">
        <v>1838</v>
      </c>
      <c r="Y296" s="3944"/>
      <c r="Z296" s="3944"/>
      <c r="AA296" s="3944"/>
      <c r="AB296" s="3944"/>
      <c r="AC296" s="3944"/>
      <c r="AD296" s="3944"/>
      <c r="AE296" s="3944"/>
      <c r="AF296" s="3944"/>
      <c r="AG296" s="3944"/>
      <c r="AH296" s="3944"/>
      <c r="AI296" s="3944"/>
      <c r="AJ296" s="3944"/>
      <c r="AK296" s="3944"/>
      <c r="AL296" s="3944"/>
      <c r="AM296" s="3944"/>
      <c r="AN296" s="3944"/>
      <c r="AO296" s="4086"/>
      <c r="AP296" s="4086"/>
      <c r="AQ296" s="3975"/>
    </row>
    <row r="297" spans="1:168" ht="39.75" customHeight="1" x14ac:dyDescent="0.2">
      <c r="A297" s="1819"/>
      <c r="B297" s="1820"/>
      <c r="C297" s="1821"/>
      <c r="D297" s="4098"/>
      <c r="E297" s="4099"/>
      <c r="F297" s="4099"/>
      <c r="G297" s="4070"/>
      <c r="H297" s="4070"/>
      <c r="I297" s="4070"/>
      <c r="J297" s="3955"/>
      <c r="K297" s="4010"/>
      <c r="L297" s="4070"/>
      <c r="M297" s="4070"/>
      <c r="N297" s="4070"/>
      <c r="O297" s="4070"/>
      <c r="P297" s="4010"/>
      <c r="Q297" s="4113"/>
      <c r="R297" s="4116"/>
      <c r="S297" s="4119"/>
      <c r="T297" s="4026"/>
      <c r="U297" s="4115"/>
      <c r="V297" s="1858">
        <v>26000000</v>
      </c>
      <c r="W297" s="1966">
        <v>96</v>
      </c>
      <c r="X297" s="1940" t="s">
        <v>1853</v>
      </c>
      <c r="Y297" s="3945"/>
      <c r="Z297" s="3945"/>
      <c r="AA297" s="3945"/>
      <c r="AB297" s="3945"/>
      <c r="AC297" s="3945"/>
      <c r="AD297" s="3945"/>
      <c r="AE297" s="3945"/>
      <c r="AF297" s="3945"/>
      <c r="AG297" s="3945"/>
      <c r="AH297" s="3945"/>
      <c r="AI297" s="3945"/>
      <c r="AJ297" s="3945"/>
      <c r="AK297" s="3945"/>
      <c r="AL297" s="3945"/>
      <c r="AM297" s="3945"/>
      <c r="AN297" s="3945"/>
      <c r="AO297" s="4086"/>
      <c r="AP297" s="4086"/>
      <c r="AQ297" s="3976"/>
    </row>
    <row r="298" spans="1:168" ht="36" customHeight="1" x14ac:dyDescent="0.2">
      <c r="A298" s="1819"/>
      <c r="C298" s="1847"/>
      <c r="D298" s="1970">
        <v>14</v>
      </c>
      <c r="E298" s="1810" t="s">
        <v>1855</v>
      </c>
      <c r="F298" s="1810"/>
      <c r="G298" s="1811"/>
      <c r="H298" s="1811"/>
      <c r="I298" s="1811"/>
      <c r="J298" s="1811"/>
      <c r="K298" s="1812"/>
      <c r="L298" s="1811"/>
      <c r="M298" s="1811"/>
      <c r="N298" s="1813"/>
      <c r="O298" s="1811"/>
      <c r="P298" s="1812"/>
      <c r="Q298" s="1811"/>
      <c r="R298" s="1851"/>
      <c r="S298" s="1812"/>
      <c r="T298" s="1951"/>
      <c r="U298" s="1812"/>
      <c r="V298" s="1954"/>
      <c r="W298" s="1955"/>
      <c r="X298" s="1956"/>
      <c r="Y298" s="1813"/>
      <c r="Z298" s="1813"/>
      <c r="AA298" s="1813"/>
      <c r="AB298" s="1813"/>
      <c r="AC298" s="1813"/>
      <c r="AD298" s="1813"/>
      <c r="AE298" s="1813"/>
      <c r="AF298" s="1813"/>
      <c r="AG298" s="1813"/>
      <c r="AH298" s="1813"/>
      <c r="AI298" s="1813"/>
      <c r="AJ298" s="1813"/>
      <c r="AK298" s="1813"/>
      <c r="AL298" s="1813"/>
      <c r="AM298" s="1813"/>
      <c r="AN298" s="1813"/>
      <c r="AO298" s="1811"/>
      <c r="AP298" s="1811"/>
      <c r="AQ298" s="1818"/>
    </row>
    <row r="299" spans="1:168" ht="36" customHeight="1" x14ac:dyDescent="0.2">
      <c r="A299" s="1819"/>
      <c r="B299" s="1820"/>
      <c r="C299" s="1821"/>
      <c r="D299" s="1822"/>
      <c r="E299" s="1822"/>
      <c r="F299" s="1823"/>
      <c r="G299" s="1971">
        <v>50</v>
      </c>
      <c r="H299" s="1962" t="s">
        <v>1856</v>
      </c>
      <c r="I299" s="1962"/>
      <c r="J299" s="1962"/>
      <c r="K299" s="1963"/>
      <c r="L299" s="1962"/>
      <c r="M299" s="1962"/>
      <c r="N299" s="1887"/>
      <c r="O299" s="1962"/>
      <c r="P299" s="1963"/>
      <c r="Q299" s="1962"/>
      <c r="R299" s="1972"/>
      <c r="S299" s="1963"/>
      <c r="T299" s="1963"/>
      <c r="U299" s="1963"/>
      <c r="V299" s="1926"/>
      <c r="W299" s="1927"/>
      <c r="X299" s="1928"/>
      <c r="Y299" s="1887"/>
      <c r="Z299" s="1887"/>
      <c r="AA299" s="1887"/>
      <c r="AB299" s="1887"/>
      <c r="AC299" s="1887"/>
      <c r="AD299" s="1887"/>
      <c r="AE299" s="1887"/>
      <c r="AF299" s="1887"/>
      <c r="AG299" s="1887"/>
      <c r="AH299" s="1887"/>
      <c r="AI299" s="1887"/>
      <c r="AJ299" s="1887"/>
      <c r="AK299" s="1887"/>
      <c r="AL299" s="1887"/>
      <c r="AM299" s="1887"/>
      <c r="AN299" s="1887"/>
      <c r="AO299" s="1962"/>
      <c r="AP299" s="1962"/>
      <c r="AQ299" s="1973"/>
    </row>
    <row r="300" spans="1:168" s="1978" customFormat="1" ht="105.75" customHeight="1" x14ac:dyDescent="0.2">
      <c r="A300" s="1819"/>
      <c r="B300" s="1820"/>
      <c r="C300" s="1821"/>
      <c r="D300" s="1820"/>
      <c r="E300" s="1820"/>
      <c r="F300" s="1821"/>
      <c r="G300" s="1822"/>
      <c r="H300" s="1822"/>
      <c r="I300" s="1823"/>
      <c r="J300" s="1913">
        <v>166</v>
      </c>
      <c r="K300" s="1974" t="s">
        <v>1857</v>
      </c>
      <c r="L300" s="1929" t="s">
        <v>1482</v>
      </c>
      <c r="M300" s="1975">
        <v>1</v>
      </c>
      <c r="N300" s="3943" t="s">
        <v>1858</v>
      </c>
      <c r="O300" s="3943" t="s">
        <v>1859</v>
      </c>
      <c r="P300" s="3940" t="s">
        <v>1860</v>
      </c>
      <c r="Q300" s="1976">
        <v>0</v>
      </c>
      <c r="R300" s="3968">
        <f>SUM(V300:V315)</f>
        <v>16115096017</v>
      </c>
      <c r="S300" s="3940" t="s">
        <v>1861</v>
      </c>
      <c r="T300" s="1871" t="s">
        <v>1862</v>
      </c>
      <c r="U300" s="1958" t="s">
        <v>1863</v>
      </c>
      <c r="V300" s="1858">
        <v>0</v>
      </c>
      <c r="W300" s="1959"/>
      <c r="X300" s="1977"/>
      <c r="Y300" s="3943">
        <v>292684</v>
      </c>
      <c r="Z300" s="3943">
        <v>282326</v>
      </c>
      <c r="AA300" s="3943">
        <v>135912</v>
      </c>
      <c r="AB300" s="3943">
        <v>45122</v>
      </c>
      <c r="AC300" s="3943">
        <v>307101</v>
      </c>
      <c r="AD300" s="3943">
        <v>86875</v>
      </c>
      <c r="AE300" s="3943">
        <v>2145</v>
      </c>
      <c r="AF300" s="3943">
        <v>12718</v>
      </c>
      <c r="AG300" s="3943">
        <v>26</v>
      </c>
      <c r="AH300" s="3943">
        <v>37</v>
      </c>
      <c r="AI300" s="3943" t="s">
        <v>1489</v>
      </c>
      <c r="AJ300" s="3943" t="s">
        <v>1489</v>
      </c>
      <c r="AK300" s="3943">
        <v>53164</v>
      </c>
      <c r="AL300" s="3943">
        <v>16982</v>
      </c>
      <c r="AM300" s="3943">
        <v>60013</v>
      </c>
      <c r="AN300" s="3943">
        <v>575010</v>
      </c>
      <c r="AO300" s="3971">
        <v>43467</v>
      </c>
      <c r="AP300" s="3971">
        <v>43830</v>
      </c>
      <c r="AQ300" s="3974" t="s">
        <v>1490</v>
      </c>
      <c r="AR300" s="1808"/>
      <c r="AS300" s="1808"/>
      <c r="AT300" s="1808"/>
      <c r="AU300" s="1808"/>
      <c r="AV300" s="1808"/>
      <c r="AW300" s="1808"/>
      <c r="AX300" s="1808"/>
      <c r="AY300" s="1808"/>
      <c r="AZ300" s="1808"/>
      <c r="BA300" s="1808"/>
      <c r="BB300" s="1808"/>
      <c r="BC300" s="1808"/>
      <c r="BD300" s="1808"/>
      <c r="BE300" s="1808"/>
      <c r="BF300" s="1808"/>
      <c r="BG300" s="1808"/>
      <c r="BH300" s="1808"/>
      <c r="BI300" s="1808"/>
      <c r="BJ300" s="1808"/>
      <c r="BK300" s="1808"/>
      <c r="BL300" s="1808"/>
      <c r="BM300" s="1808"/>
      <c r="BN300" s="1808"/>
      <c r="BO300" s="1808"/>
      <c r="BP300" s="1808"/>
      <c r="BQ300" s="1808"/>
      <c r="BR300" s="1808"/>
      <c r="BS300" s="1808"/>
      <c r="BT300" s="1808"/>
      <c r="BU300" s="1808"/>
      <c r="BV300" s="1808"/>
      <c r="BW300" s="1808"/>
      <c r="BX300" s="1808"/>
      <c r="BY300" s="1808"/>
      <c r="BZ300" s="1808"/>
      <c r="CA300" s="1808"/>
      <c r="CB300" s="1808"/>
      <c r="CC300" s="1808"/>
      <c r="CD300" s="1808"/>
      <c r="CE300" s="1808"/>
      <c r="CF300" s="1808"/>
      <c r="CG300" s="1808"/>
      <c r="CH300" s="1808"/>
      <c r="CI300" s="1808"/>
      <c r="CJ300" s="1808"/>
      <c r="CK300" s="1808"/>
      <c r="CL300" s="1808"/>
      <c r="CM300" s="1808"/>
      <c r="CN300" s="1808"/>
      <c r="CO300" s="1808"/>
      <c r="CP300" s="1808"/>
      <c r="CQ300" s="1808"/>
      <c r="CR300" s="1808"/>
      <c r="CS300" s="1808"/>
      <c r="CT300" s="1808"/>
      <c r="CU300" s="1808"/>
      <c r="CV300" s="1808"/>
      <c r="CW300" s="1808"/>
      <c r="CX300" s="1808"/>
      <c r="CY300" s="1808"/>
      <c r="CZ300" s="1808"/>
      <c r="DA300" s="1808"/>
      <c r="DB300" s="1808"/>
      <c r="DC300" s="1808"/>
      <c r="DD300" s="1808"/>
      <c r="DE300" s="1808"/>
      <c r="DF300" s="1808"/>
      <c r="DG300" s="1808"/>
      <c r="DH300" s="1808"/>
      <c r="DI300" s="1808"/>
      <c r="DJ300" s="1808"/>
      <c r="DK300" s="1808"/>
      <c r="DL300" s="1808"/>
      <c r="DM300" s="1808"/>
      <c r="DN300" s="1808"/>
      <c r="DO300" s="1808"/>
      <c r="DP300" s="1808"/>
      <c r="DQ300" s="1808"/>
      <c r="DR300" s="1808"/>
      <c r="DS300" s="1808"/>
      <c r="DT300" s="1808"/>
      <c r="DU300" s="1808"/>
      <c r="DV300" s="1808"/>
      <c r="DW300" s="1808"/>
      <c r="DX300" s="1808"/>
      <c r="DY300" s="1808"/>
      <c r="DZ300" s="1808"/>
      <c r="EA300" s="1808"/>
      <c r="EB300" s="1808"/>
      <c r="EC300" s="1808"/>
      <c r="ED300" s="1808"/>
      <c r="EE300" s="1808"/>
      <c r="EF300" s="1808"/>
      <c r="EG300" s="1808"/>
      <c r="EH300" s="1808"/>
      <c r="EI300" s="1808"/>
      <c r="EJ300" s="1808"/>
      <c r="EK300" s="1808"/>
      <c r="EL300" s="1808"/>
      <c r="EM300" s="1808"/>
      <c r="EN300" s="1808"/>
      <c r="EO300" s="1808"/>
      <c r="EP300" s="1808"/>
      <c r="EQ300" s="1808"/>
      <c r="ER300" s="1808"/>
      <c r="ES300" s="1808"/>
      <c r="ET300" s="1808"/>
      <c r="EU300" s="1808"/>
      <c r="EV300" s="1808"/>
      <c r="EW300" s="1808"/>
      <c r="EX300" s="1808"/>
      <c r="EY300" s="1808"/>
      <c r="EZ300" s="1808"/>
      <c r="FA300" s="1808"/>
      <c r="FB300" s="1808"/>
      <c r="FC300" s="1808"/>
      <c r="FD300" s="1808"/>
      <c r="FE300" s="1808"/>
      <c r="FF300" s="1808"/>
      <c r="FG300" s="1808"/>
      <c r="FH300" s="1808"/>
      <c r="FI300" s="1808"/>
      <c r="FJ300" s="1808"/>
      <c r="FK300" s="1808"/>
      <c r="FL300" s="1808"/>
    </row>
    <row r="301" spans="1:168" s="1980" customFormat="1" ht="54" customHeight="1" x14ac:dyDescent="0.2">
      <c r="A301" s="1819"/>
      <c r="B301" s="1820"/>
      <c r="C301" s="1821"/>
      <c r="D301" s="1820"/>
      <c r="E301" s="1820"/>
      <c r="F301" s="1821"/>
      <c r="G301" s="1820"/>
      <c r="H301" s="1820"/>
      <c r="I301" s="1821"/>
      <c r="J301" s="3937">
        <v>167</v>
      </c>
      <c r="K301" s="4020" t="s">
        <v>1864</v>
      </c>
      <c r="L301" s="3943" t="s">
        <v>1482</v>
      </c>
      <c r="M301" s="4123">
        <v>15</v>
      </c>
      <c r="N301" s="3944"/>
      <c r="O301" s="3944"/>
      <c r="P301" s="3941"/>
      <c r="Q301" s="3965">
        <v>1</v>
      </c>
      <c r="R301" s="3969"/>
      <c r="S301" s="3941"/>
      <c r="T301" s="3940" t="s">
        <v>1865</v>
      </c>
      <c r="U301" s="4120" t="s">
        <v>1866</v>
      </c>
      <c r="V301" s="1979">
        <f>1097554095+290726109+155203905</f>
        <v>1543484109</v>
      </c>
      <c r="W301" s="1966">
        <v>110</v>
      </c>
      <c r="X301" s="1871" t="s">
        <v>1867</v>
      </c>
      <c r="Y301" s="3944"/>
      <c r="Z301" s="3944"/>
      <c r="AA301" s="3944"/>
      <c r="AB301" s="3944"/>
      <c r="AC301" s="3944"/>
      <c r="AD301" s="3944"/>
      <c r="AE301" s="3944"/>
      <c r="AF301" s="3944"/>
      <c r="AG301" s="3944"/>
      <c r="AH301" s="3944"/>
      <c r="AI301" s="3944"/>
      <c r="AJ301" s="3944"/>
      <c r="AK301" s="3944"/>
      <c r="AL301" s="3944"/>
      <c r="AM301" s="3944"/>
      <c r="AN301" s="3944"/>
      <c r="AO301" s="3972"/>
      <c r="AP301" s="3972"/>
      <c r="AQ301" s="3975"/>
      <c r="AR301" s="1808"/>
      <c r="AS301" s="1808"/>
      <c r="AT301" s="1808"/>
      <c r="AU301" s="1808"/>
      <c r="AV301" s="1808"/>
      <c r="AW301" s="1808"/>
      <c r="AX301" s="1808"/>
      <c r="AY301" s="1808"/>
      <c r="AZ301" s="1808"/>
      <c r="BA301" s="1808"/>
      <c r="BB301" s="1808"/>
      <c r="BC301" s="1808"/>
      <c r="BD301" s="1808"/>
      <c r="BE301" s="1808"/>
      <c r="BF301" s="1808"/>
      <c r="BG301" s="1808"/>
      <c r="BH301" s="1808"/>
      <c r="BI301" s="1808"/>
      <c r="BJ301" s="1808"/>
      <c r="BK301" s="1808"/>
      <c r="BL301" s="1808"/>
      <c r="BM301" s="1808"/>
      <c r="BN301" s="1808"/>
      <c r="BO301" s="1808"/>
      <c r="BP301" s="1808"/>
      <c r="BQ301" s="1808"/>
      <c r="BR301" s="1808"/>
      <c r="BS301" s="1808"/>
      <c r="BT301" s="1808"/>
      <c r="BU301" s="1808"/>
      <c r="BV301" s="1808"/>
      <c r="BW301" s="1808"/>
      <c r="BX301" s="1808"/>
      <c r="BY301" s="1808"/>
      <c r="BZ301" s="1808"/>
      <c r="CA301" s="1808"/>
      <c r="CB301" s="1808"/>
      <c r="CC301" s="1808"/>
      <c r="CD301" s="1808"/>
      <c r="CE301" s="1808"/>
      <c r="CF301" s="1808"/>
      <c r="CG301" s="1808"/>
      <c r="CH301" s="1808"/>
      <c r="CI301" s="1808"/>
      <c r="CJ301" s="1808"/>
      <c r="CK301" s="1808"/>
      <c r="CL301" s="1808"/>
      <c r="CM301" s="1808"/>
      <c r="CN301" s="1808"/>
      <c r="CO301" s="1808"/>
      <c r="CP301" s="1808"/>
      <c r="CQ301" s="1808"/>
      <c r="CR301" s="1808"/>
      <c r="CS301" s="1808"/>
      <c r="CT301" s="1808"/>
      <c r="CU301" s="1808"/>
      <c r="CV301" s="1808"/>
      <c r="CW301" s="1808"/>
      <c r="CX301" s="1808"/>
      <c r="CY301" s="1808"/>
      <c r="CZ301" s="1808"/>
      <c r="DA301" s="1808"/>
      <c r="DB301" s="1808"/>
      <c r="DC301" s="1808"/>
      <c r="DD301" s="1808"/>
      <c r="DE301" s="1808"/>
      <c r="DF301" s="1808"/>
      <c r="DG301" s="1808"/>
      <c r="DH301" s="1808"/>
      <c r="DI301" s="1808"/>
      <c r="DJ301" s="1808"/>
      <c r="DK301" s="1808"/>
      <c r="DL301" s="1808"/>
      <c r="DM301" s="1808"/>
      <c r="DN301" s="1808"/>
      <c r="DO301" s="1808"/>
      <c r="DP301" s="1808"/>
      <c r="DQ301" s="1808"/>
      <c r="DR301" s="1808"/>
      <c r="DS301" s="1808"/>
      <c r="DT301" s="1808"/>
      <c r="DU301" s="1808"/>
      <c r="DV301" s="1808"/>
      <c r="DW301" s="1808"/>
      <c r="DX301" s="1808"/>
      <c r="DY301" s="1808"/>
      <c r="DZ301" s="1808"/>
      <c r="EA301" s="1808"/>
      <c r="EB301" s="1808"/>
      <c r="EC301" s="1808"/>
      <c r="ED301" s="1808"/>
      <c r="EE301" s="1808"/>
      <c r="EF301" s="1808"/>
      <c r="EG301" s="1808"/>
      <c r="EH301" s="1808"/>
      <c r="EI301" s="1808"/>
      <c r="EJ301" s="1808"/>
      <c r="EK301" s="1808"/>
      <c r="EL301" s="1808"/>
      <c r="EM301" s="1808"/>
      <c r="EN301" s="1808"/>
      <c r="EO301" s="1808"/>
      <c r="EP301" s="1808"/>
      <c r="EQ301" s="1808"/>
      <c r="ER301" s="1808"/>
      <c r="ES301" s="1808"/>
      <c r="ET301" s="1808"/>
      <c r="EU301" s="1808"/>
      <c r="EV301" s="1808"/>
      <c r="EW301" s="1808"/>
      <c r="EX301" s="1808"/>
      <c r="EY301" s="1808"/>
      <c r="EZ301" s="1808"/>
      <c r="FA301" s="1808"/>
      <c r="FB301" s="1808"/>
      <c r="FC301" s="1808"/>
      <c r="FD301" s="1808"/>
      <c r="FE301" s="1808"/>
      <c r="FF301" s="1808"/>
      <c r="FG301" s="1808"/>
      <c r="FH301" s="1808"/>
      <c r="FI301" s="1808"/>
      <c r="FJ301" s="1808"/>
      <c r="FK301" s="1808"/>
      <c r="FL301" s="1808"/>
    </row>
    <row r="302" spans="1:168" s="1980" customFormat="1" ht="45" customHeight="1" x14ac:dyDescent="0.2">
      <c r="A302" s="1819"/>
      <c r="B302" s="1820"/>
      <c r="C302" s="1821"/>
      <c r="D302" s="1820"/>
      <c r="E302" s="1820"/>
      <c r="F302" s="1821"/>
      <c r="G302" s="1820"/>
      <c r="H302" s="1820"/>
      <c r="I302" s="1821"/>
      <c r="J302" s="3938"/>
      <c r="K302" s="4021"/>
      <c r="L302" s="3944"/>
      <c r="M302" s="4124"/>
      <c r="N302" s="3944"/>
      <c r="O302" s="3944"/>
      <c r="P302" s="3941"/>
      <c r="Q302" s="3966"/>
      <c r="R302" s="3969"/>
      <c r="S302" s="3941"/>
      <c r="T302" s="3941"/>
      <c r="U302" s="4121"/>
      <c r="V302" s="1979">
        <f>3195802120-81073317</f>
        <v>3114728803</v>
      </c>
      <c r="W302" s="1966">
        <v>58</v>
      </c>
      <c r="X302" s="1871" t="s">
        <v>1868</v>
      </c>
      <c r="Y302" s="3944"/>
      <c r="Z302" s="3944"/>
      <c r="AA302" s="3944"/>
      <c r="AB302" s="3944"/>
      <c r="AC302" s="3944"/>
      <c r="AD302" s="3944"/>
      <c r="AE302" s="3944"/>
      <c r="AF302" s="3944"/>
      <c r="AG302" s="3944"/>
      <c r="AH302" s="3944"/>
      <c r="AI302" s="3944"/>
      <c r="AJ302" s="3944"/>
      <c r="AK302" s="3944"/>
      <c r="AL302" s="3944"/>
      <c r="AM302" s="3944"/>
      <c r="AN302" s="3944"/>
      <c r="AO302" s="3972"/>
      <c r="AP302" s="3972"/>
      <c r="AQ302" s="3975"/>
      <c r="AR302" s="1808"/>
      <c r="AS302" s="1808"/>
      <c r="AT302" s="1808"/>
      <c r="AU302" s="1808"/>
      <c r="AV302" s="1808"/>
      <c r="AW302" s="1808"/>
      <c r="AX302" s="1808"/>
      <c r="AY302" s="1808"/>
      <c r="AZ302" s="1808"/>
      <c r="BA302" s="1808"/>
      <c r="BB302" s="1808"/>
      <c r="BC302" s="1808"/>
      <c r="BD302" s="1808"/>
      <c r="BE302" s="1808"/>
      <c r="BF302" s="1808"/>
      <c r="BG302" s="1808"/>
      <c r="BH302" s="1808"/>
      <c r="BI302" s="1808"/>
      <c r="BJ302" s="1808"/>
      <c r="BK302" s="1808"/>
      <c r="BL302" s="1808"/>
      <c r="BM302" s="1808"/>
      <c r="BN302" s="1808"/>
      <c r="BO302" s="1808"/>
      <c r="BP302" s="1808"/>
      <c r="BQ302" s="1808"/>
      <c r="BR302" s="1808"/>
      <c r="BS302" s="1808"/>
      <c r="BT302" s="1808"/>
      <c r="BU302" s="1808"/>
      <c r="BV302" s="1808"/>
      <c r="BW302" s="1808"/>
      <c r="BX302" s="1808"/>
      <c r="BY302" s="1808"/>
      <c r="BZ302" s="1808"/>
      <c r="CA302" s="1808"/>
      <c r="CB302" s="1808"/>
      <c r="CC302" s="1808"/>
      <c r="CD302" s="1808"/>
      <c r="CE302" s="1808"/>
      <c r="CF302" s="1808"/>
      <c r="CG302" s="1808"/>
      <c r="CH302" s="1808"/>
      <c r="CI302" s="1808"/>
      <c r="CJ302" s="1808"/>
      <c r="CK302" s="1808"/>
      <c r="CL302" s="1808"/>
      <c r="CM302" s="1808"/>
      <c r="CN302" s="1808"/>
      <c r="CO302" s="1808"/>
      <c r="CP302" s="1808"/>
      <c r="CQ302" s="1808"/>
      <c r="CR302" s="1808"/>
      <c r="CS302" s="1808"/>
      <c r="CT302" s="1808"/>
      <c r="CU302" s="1808"/>
      <c r="CV302" s="1808"/>
      <c r="CW302" s="1808"/>
      <c r="CX302" s="1808"/>
      <c r="CY302" s="1808"/>
      <c r="CZ302" s="1808"/>
      <c r="DA302" s="1808"/>
      <c r="DB302" s="1808"/>
      <c r="DC302" s="1808"/>
      <c r="DD302" s="1808"/>
      <c r="DE302" s="1808"/>
      <c r="DF302" s="1808"/>
      <c r="DG302" s="1808"/>
      <c r="DH302" s="1808"/>
      <c r="DI302" s="1808"/>
      <c r="DJ302" s="1808"/>
      <c r="DK302" s="1808"/>
      <c r="DL302" s="1808"/>
      <c r="DM302" s="1808"/>
      <c r="DN302" s="1808"/>
      <c r="DO302" s="1808"/>
      <c r="DP302" s="1808"/>
      <c r="DQ302" s="1808"/>
      <c r="DR302" s="1808"/>
      <c r="DS302" s="1808"/>
      <c r="DT302" s="1808"/>
      <c r="DU302" s="1808"/>
      <c r="DV302" s="1808"/>
      <c r="DW302" s="1808"/>
      <c r="DX302" s="1808"/>
      <c r="DY302" s="1808"/>
      <c r="DZ302" s="1808"/>
      <c r="EA302" s="1808"/>
      <c r="EB302" s="1808"/>
      <c r="EC302" s="1808"/>
      <c r="ED302" s="1808"/>
      <c r="EE302" s="1808"/>
      <c r="EF302" s="1808"/>
      <c r="EG302" s="1808"/>
      <c r="EH302" s="1808"/>
      <c r="EI302" s="1808"/>
      <c r="EJ302" s="1808"/>
      <c r="EK302" s="1808"/>
      <c r="EL302" s="1808"/>
      <c r="EM302" s="1808"/>
      <c r="EN302" s="1808"/>
      <c r="EO302" s="1808"/>
      <c r="EP302" s="1808"/>
      <c r="EQ302" s="1808"/>
      <c r="ER302" s="1808"/>
      <c r="ES302" s="1808"/>
      <c r="ET302" s="1808"/>
      <c r="EU302" s="1808"/>
      <c r="EV302" s="1808"/>
      <c r="EW302" s="1808"/>
      <c r="EX302" s="1808"/>
      <c r="EY302" s="1808"/>
      <c r="EZ302" s="1808"/>
      <c r="FA302" s="1808"/>
      <c r="FB302" s="1808"/>
      <c r="FC302" s="1808"/>
      <c r="FD302" s="1808"/>
      <c r="FE302" s="1808"/>
      <c r="FF302" s="1808"/>
      <c r="FG302" s="1808"/>
      <c r="FH302" s="1808"/>
      <c r="FI302" s="1808"/>
      <c r="FJ302" s="1808"/>
      <c r="FK302" s="1808"/>
      <c r="FL302" s="1808"/>
    </row>
    <row r="303" spans="1:168" s="1980" customFormat="1" ht="45" customHeight="1" x14ac:dyDescent="0.2">
      <c r="A303" s="1819"/>
      <c r="B303" s="1820"/>
      <c r="C303" s="1821"/>
      <c r="D303" s="1820"/>
      <c r="E303" s="1820"/>
      <c r="F303" s="1821"/>
      <c r="G303" s="1820"/>
      <c r="H303" s="1820"/>
      <c r="I303" s="1821"/>
      <c r="J303" s="3938"/>
      <c r="K303" s="4021"/>
      <c r="L303" s="3944"/>
      <c r="M303" s="4124"/>
      <c r="N303" s="3944"/>
      <c r="O303" s="3944"/>
      <c r="P303" s="3941"/>
      <c r="Q303" s="3966"/>
      <c r="R303" s="3969"/>
      <c r="S303" s="3941"/>
      <c r="T303" s="3941"/>
      <c r="U303" s="4121"/>
      <c r="V303" s="1979">
        <v>81073317</v>
      </c>
      <c r="W303" s="1966">
        <v>58</v>
      </c>
      <c r="X303" s="1871" t="s">
        <v>1869</v>
      </c>
      <c r="Y303" s="3944"/>
      <c r="Z303" s="3944"/>
      <c r="AA303" s="3944"/>
      <c r="AB303" s="3944"/>
      <c r="AC303" s="3944"/>
      <c r="AD303" s="3944"/>
      <c r="AE303" s="3944"/>
      <c r="AF303" s="3944"/>
      <c r="AG303" s="3944"/>
      <c r="AH303" s="3944"/>
      <c r="AI303" s="3944"/>
      <c r="AJ303" s="3944"/>
      <c r="AK303" s="3944"/>
      <c r="AL303" s="3944"/>
      <c r="AM303" s="3944"/>
      <c r="AN303" s="3944"/>
      <c r="AO303" s="3972"/>
      <c r="AP303" s="3972"/>
      <c r="AQ303" s="3975"/>
      <c r="AR303" s="1808"/>
      <c r="AS303" s="1808"/>
      <c r="AT303" s="1808"/>
      <c r="AU303" s="1808"/>
      <c r="AV303" s="1808"/>
      <c r="AW303" s="1808"/>
      <c r="AX303" s="1808"/>
      <c r="AY303" s="1808"/>
      <c r="AZ303" s="1808"/>
      <c r="BA303" s="1808"/>
      <c r="BB303" s="1808"/>
      <c r="BC303" s="1808"/>
      <c r="BD303" s="1808"/>
      <c r="BE303" s="1808"/>
      <c r="BF303" s="1808"/>
      <c r="BG303" s="1808"/>
      <c r="BH303" s="1808"/>
      <c r="BI303" s="1808"/>
      <c r="BJ303" s="1808"/>
      <c r="BK303" s="1808"/>
      <c r="BL303" s="1808"/>
      <c r="BM303" s="1808"/>
      <c r="BN303" s="1808"/>
      <c r="BO303" s="1808"/>
      <c r="BP303" s="1808"/>
      <c r="BQ303" s="1808"/>
      <c r="BR303" s="1808"/>
      <c r="BS303" s="1808"/>
      <c r="BT303" s="1808"/>
      <c r="BU303" s="1808"/>
      <c r="BV303" s="1808"/>
      <c r="BW303" s="1808"/>
      <c r="BX303" s="1808"/>
      <c r="BY303" s="1808"/>
      <c r="BZ303" s="1808"/>
      <c r="CA303" s="1808"/>
      <c r="CB303" s="1808"/>
      <c r="CC303" s="1808"/>
      <c r="CD303" s="1808"/>
      <c r="CE303" s="1808"/>
      <c r="CF303" s="1808"/>
      <c r="CG303" s="1808"/>
      <c r="CH303" s="1808"/>
      <c r="CI303" s="1808"/>
      <c r="CJ303" s="1808"/>
      <c r="CK303" s="1808"/>
      <c r="CL303" s="1808"/>
      <c r="CM303" s="1808"/>
      <c r="CN303" s="1808"/>
      <c r="CO303" s="1808"/>
      <c r="CP303" s="1808"/>
      <c r="CQ303" s="1808"/>
      <c r="CR303" s="1808"/>
      <c r="CS303" s="1808"/>
      <c r="CT303" s="1808"/>
      <c r="CU303" s="1808"/>
      <c r="CV303" s="1808"/>
      <c r="CW303" s="1808"/>
      <c r="CX303" s="1808"/>
      <c r="CY303" s="1808"/>
      <c r="CZ303" s="1808"/>
      <c r="DA303" s="1808"/>
      <c r="DB303" s="1808"/>
      <c r="DC303" s="1808"/>
      <c r="DD303" s="1808"/>
      <c r="DE303" s="1808"/>
      <c r="DF303" s="1808"/>
      <c r="DG303" s="1808"/>
      <c r="DH303" s="1808"/>
      <c r="DI303" s="1808"/>
      <c r="DJ303" s="1808"/>
      <c r="DK303" s="1808"/>
      <c r="DL303" s="1808"/>
      <c r="DM303" s="1808"/>
      <c r="DN303" s="1808"/>
      <c r="DO303" s="1808"/>
      <c r="DP303" s="1808"/>
      <c r="DQ303" s="1808"/>
      <c r="DR303" s="1808"/>
      <c r="DS303" s="1808"/>
      <c r="DT303" s="1808"/>
      <c r="DU303" s="1808"/>
      <c r="DV303" s="1808"/>
      <c r="DW303" s="1808"/>
      <c r="DX303" s="1808"/>
      <c r="DY303" s="1808"/>
      <c r="DZ303" s="1808"/>
      <c r="EA303" s="1808"/>
      <c r="EB303" s="1808"/>
      <c r="EC303" s="1808"/>
      <c r="ED303" s="1808"/>
      <c r="EE303" s="1808"/>
      <c r="EF303" s="1808"/>
      <c r="EG303" s="1808"/>
      <c r="EH303" s="1808"/>
      <c r="EI303" s="1808"/>
      <c r="EJ303" s="1808"/>
      <c r="EK303" s="1808"/>
      <c r="EL303" s="1808"/>
      <c r="EM303" s="1808"/>
      <c r="EN303" s="1808"/>
      <c r="EO303" s="1808"/>
      <c r="EP303" s="1808"/>
      <c r="EQ303" s="1808"/>
      <c r="ER303" s="1808"/>
      <c r="ES303" s="1808"/>
      <c r="ET303" s="1808"/>
      <c r="EU303" s="1808"/>
      <c r="EV303" s="1808"/>
      <c r="EW303" s="1808"/>
      <c r="EX303" s="1808"/>
      <c r="EY303" s="1808"/>
      <c r="EZ303" s="1808"/>
      <c r="FA303" s="1808"/>
      <c r="FB303" s="1808"/>
      <c r="FC303" s="1808"/>
      <c r="FD303" s="1808"/>
      <c r="FE303" s="1808"/>
      <c r="FF303" s="1808"/>
      <c r="FG303" s="1808"/>
      <c r="FH303" s="1808"/>
      <c r="FI303" s="1808"/>
      <c r="FJ303" s="1808"/>
      <c r="FK303" s="1808"/>
      <c r="FL303" s="1808"/>
    </row>
    <row r="304" spans="1:168" s="1980" customFormat="1" ht="45" customHeight="1" x14ac:dyDescent="0.2">
      <c r="A304" s="1819"/>
      <c r="B304" s="1820"/>
      <c r="C304" s="1821"/>
      <c r="D304" s="1820"/>
      <c r="E304" s="1820"/>
      <c r="F304" s="1821"/>
      <c r="G304" s="1820"/>
      <c r="H304" s="1820"/>
      <c r="I304" s="1821"/>
      <c r="J304" s="3938"/>
      <c r="K304" s="4021"/>
      <c r="L304" s="3944"/>
      <c r="M304" s="4124"/>
      <c r="N304" s="3944"/>
      <c r="O304" s="3944"/>
      <c r="P304" s="3941"/>
      <c r="Q304" s="3966"/>
      <c r="R304" s="3969"/>
      <c r="S304" s="3941"/>
      <c r="T304" s="3941"/>
      <c r="U304" s="4121"/>
      <c r="V304" s="1979">
        <f>4163056704+1353644949</f>
        <v>5516701653</v>
      </c>
      <c r="W304" s="1966">
        <v>59</v>
      </c>
      <c r="X304" s="1871" t="s">
        <v>1870</v>
      </c>
      <c r="Y304" s="3944"/>
      <c r="Z304" s="3944"/>
      <c r="AA304" s="3944"/>
      <c r="AB304" s="3944"/>
      <c r="AC304" s="3944"/>
      <c r="AD304" s="3944"/>
      <c r="AE304" s="3944"/>
      <c r="AF304" s="3944"/>
      <c r="AG304" s="3944"/>
      <c r="AH304" s="3944"/>
      <c r="AI304" s="3944"/>
      <c r="AJ304" s="3944"/>
      <c r="AK304" s="3944"/>
      <c r="AL304" s="3944"/>
      <c r="AM304" s="3944"/>
      <c r="AN304" s="3944"/>
      <c r="AO304" s="3972"/>
      <c r="AP304" s="3972"/>
      <c r="AQ304" s="3975"/>
      <c r="AR304" s="1808"/>
      <c r="AS304" s="1808"/>
      <c r="AT304" s="1808"/>
      <c r="AU304" s="1808"/>
      <c r="AV304" s="1808"/>
      <c r="AW304" s="1808"/>
      <c r="AX304" s="1808"/>
      <c r="AY304" s="1808"/>
      <c r="AZ304" s="1808"/>
      <c r="BA304" s="1808"/>
      <c r="BB304" s="1808"/>
      <c r="BC304" s="1808"/>
      <c r="BD304" s="1808"/>
      <c r="BE304" s="1808"/>
      <c r="BF304" s="1808"/>
      <c r="BG304" s="1808"/>
      <c r="BH304" s="1808"/>
      <c r="BI304" s="1808"/>
      <c r="BJ304" s="1808"/>
      <c r="BK304" s="1808"/>
      <c r="BL304" s="1808"/>
      <c r="BM304" s="1808"/>
      <c r="BN304" s="1808"/>
      <c r="BO304" s="1808"/>
      <c r="BP304" s="1808"/>
      <c r="BQ304" s="1808"/>
      <c r="BR304" s="1808"/>
      <c r="BS304" s="1808"/>
      <c r="BT304" s="1808"/>
      <c r="BU304" s="1808"/>
      <c r="BV304" s="1808"/>
      <c r="BW304" s="1808"/>
      <c r="BX304" s="1808"/>
      <c r="BY304" s="1808"/>
      <c r="BZ304" s="1808"/>
      <c r="CA304" s="1808"/>
      <c r="CB304" s="1808"/>
      <c r="CC304" s="1808"/>
      <c r="CD304" s="1808"/>
      <c r="CE304" s="1808"/>
      <c r="CF304" s="1808"/>
      <c r="CG304" s="1808"/>
      <c r="CH304" s="1808"/>
      <c r="CI304" s="1808"/>
      <c r="CJ304" s="1808"/>
      <c r="CK304" s="1808"/>
      <c r="CL304" s="1808"/>
      <c r="CM304" s="1808"/>
      <c r="CN304" s="1808"/>
      <c r="CO304" s="1808"/>
      <c r="CP304" s="1808"/>
      <c r="CQ304" s="1808"/>
      <c r="CR304" s="1808"/>
      <c r="CS304" s="1808"/>
      <c r="CT304" s="1808"/>
      <c r="CU304" s="1808"/>
      <c r="CV304" s="1808"/>
      <c r="CW304" s="1808"/>
      <c r="CX304" s="1808"/>
      <c r="CY304" s="1808"/>
      <c r="CZ304" s="1808"/>
      <c r="DA304" s="1808"/>
      <c r="DB304" s="1808"/>
      <c r="DC304" s="1808"/>
      <c r="DD304" s="1808"/>
      <c r="DE304" s="1808"/>
      <c r="DF304" s="1808"/>
      <c r="DG304" s="1808"/>
      <c r="DH304" s="1808"/>
      <c r="DI304" s="1808"/>
      <c r="DJ304" s="1808"/>
      <c r="DK304" s="1808"/>
      <c r="DL304" s="1808"/>
      <c r="DM304" s="1808"/>
      <c r="DN304" s="1808"/>
      <c r="DO304" s="1808"/>
      <c r="DP304" s="1808"/>
      <c r="DQ304" s="1808"/>
      <c r="DR304" s="1808"/>
      <c r="DS304" s="1808"/>
      <c r="DT304" s="1808"/>
      <c r="DU304" s="1808"/>
      <c r="DV304" s="1808"/>
      <c r="DW304" s="1808"/>
      <c r="DX304" s="1808"/>
      <c r="DY304" s="1808"/>
      <c r="DZ304" s="1808"/>
      <c r="EA304" s="1808"/>
      <c r="EB304" s="1808"/>
      <c r="EC304" s="1808"/>
      <c r="ED304" s="1808"/>
      <c r="EE304" s="1808"/>
      <c r="EF304" s="1808"/>
      <c r="EG304" s="1808"/>
      <c r="EH304" s="1808"/>
      <c r="EI304" s="1808"/>
      <c r="EJ304" s="1808"/>
      <c r="EK304" s="1808"/>
      <c r="EL304" s="1808"/>
      <c r="EM304" s="1808"/>
      <c r="EN304" s="1808"/>
      <c r="EO304" s="1808"/>
      <c r="EP304" s="1808"/>
      <c r="EQ304" s="1808"/>
      <c r="ER304" s="1808"/>
      <c r="ES304" s="1808"/>
      <c r="ET304" s="1808"/>
      <c r="EU304" s="1808"/>
      <c r="EV304" s="1808"/>
      <c r="EW304" s="1808"/>
      <c r="EX304" s="1808"/>
      <c r="EY304" s="1808"/>
      <c r="EZ304" s="1808"/>
      <c r="FA304" s="1808"/>
      <c r="FB304" s="1808"/>
      <c r="FC304" s="1808"/>
      <c r="FD304" s="1808"/>
      <c r="FE304" s="1808"/>
      <c r="FF304" s="1808"/>
      <c r="FG304" s="1808"/>
      <c r="FH304" s="1808"/>
      <c r="FI304" s="1808"/>
      <c r="FJ304" s="1808"/>
      <c r="FK304" s="1808"/>
      <c r="FL304" s="1808"/>
    </row>
    <row r="305" spans="1:168" s="1980" customFormat="1" ht="45" customHeight="1" x14ac:dyDescent="0.2">
      <c r="A305" s="1819"/>
      <c r="B305" s="1820"/>
      <c r="C305" s="1821"/>
      <c r="D305" s="1820"/>
      <c r="E305" s="1820"/>
      <c r="F305" s="1821"/>
      <c r="G305" s="1820"/>
      <c r="H305" s="1820"/>
      <c r="I305" s="1821"/>
      <c r="J305" s="3938"/>
      <c r="K305" s="4021"/>
      <c r="L305" s="3944"/>
      <c r="M305" s="4124"/>
      <c r="N305" s="3944"/>
      <c r="O305" s="3944"/>
      <c r="P305" s="3941"/>
      <c r="Q305" s="3966"/>
      <c r="R305" s="3969"/>
      <c r="S305" s="3941"/>
      <c r="T305" s="3941"/>
      <c r="U305" s="4121"/>
      <c r="V305" s="1979">
        <v>3888000000</v>
      </c>
      <c r="W305" s="1966">
        <v>60</v>
      </c>
      <c r="X305" s="1871" t="s">
        <v>1871</v>
      </c>
      <c r="Y305" s="3944"/>
      <c r="Z305" s="3944"/>
      <c r="AA305" s="3944"/>
      <c r="AB305" s="3944"/>
      <c r="AC305" s="3944"/>
      <c r="AD305" s="3944"/>
      <c r="AE305" s="3944"/>
      <c r="AF305" s="3944"/>
      <c r="AG305" s="3944"/>
      <c r="AH305" s="3944"/>
      <c r="AI305" s="3944"/>
      <c r="AJ305" s="3944"/>
      <c r="AK305" s="3944"/>
      <c r="AL305" s="3944"/>
      <c r="AM305" s="3944"/>
      <c r="AN305" s="3944"/>
      <c r="AO305" s="3972"/>
      <c r="AP305" s="3972"/>
      <c r="AQ305" s="3975"/>
      <c r="AR305" s="1808"/>
      <c r="AS305" s="1808"/>
      <c r="AT305" s="1808"/>
      <c r="AU305" s="1808"/>
      <c r="AV305" s="1808"/>
      <c r="AW305" s="1808"/>
      <c r="AX305" s="1808"/>
      <c r="AY305" s="1808"/>
      <c r="AZ305" s="1808"/>
      <c r="BA305" s="1808"/>
      <c r="BB305" s="1808"/>
      <c r="BC305" s="1808"/>
      <c r="BD305" s="1808"/>
      <c r="BE305" s="1808"/>
      <c r="BF305" s="1808"/>
      <c r="BG305" s="1808"/>
      <c r="BH305" s="1808"/>
      <c r="BI305" s="1808"/>
      <c r="BJ305" s="1808"/>
      <c r="BK305" s="1808"/>
      <c r="BL305" s="1808"/>
      <c r="BM305" s="1808"/>
      <c r="BN305" s="1808"/>
      <c r="BO305" s="1808"/>
      <c r="BP305" s="1808"/>
      <c r="BQ305" s="1808"/>
      <c r="BR305" s="1808"/>
      <c r="BS305" s="1808"/>
      <c r="BT305" s="1808"/>
      <c r="BU305" s="1808"/>
      <c r="BV305" s="1808"/>
      <c r="BW305" s="1808"/>
      <c r="BX305" s="1808"/>
      <c r="BY305" s="1808"/>
      <c r="BZ305" s="1808"/>
      <c r="CA305" s="1808"/>
      <c r="CB305" s="1808"/>
      <c r="CC305" s="1808"/>
      <c r="CD305" s="1808"/>
      <c r="CE305" s="1808"/>
      <c r="CF305" s="1808"/>
      <c r="CG305" s="1808"/>
      <c r="CH305" s="1808"/>
      <c r="CI305" s="1808"/>
      <c r="CJ305" s="1808"/>
      <c r="CK305" s="1808"/>
      <c r="CL305" s="1808"/>
      <c r="CM305" s="1808"/>
      <c r="CN305" s="1808"/>
      <c r="CO305" s="1808"/>
      <c r="CP305" s="1808"/>
      <c r="CQ305" s="1808"/>
      <c r="CR305" s="1808"/>
      <c r="CS305" s="1808"/>
      <c r="CT305" s="1808"/>
      <c r="CU305" s="1808"/>
      <c r="CV305" s="1808"/>
      <c r="CW305" s="1808"/>
      <c r="CX305" s="1808"/>
      <c r="CY305" s="1808"/>
      <c r="CZ305" s="1808"/>
      <c r="DA305" s="1808"/>
      <c r="DB305" s="1808"/>
      <c r="DC305" s="1808"/>
      <c r="DD305" s="1808"/>
      <c r="DE305" s="1808"/>
      <c r="DF305" s="1808"/>
      <c r="DG305" s="1808"/>
      <c r="DH305" s="1808"/>
      <c r="DI305" s="1808"/>
      <c r="DJ305" s="1808"/>
      <c r="DK305" s="1808"/>
      <c r="DL305" s="1808"/>
      <c r="DM305" s="1808"/>
      <c r="DN305" s="1808"/>
      <c r="DO305" s="1808"/>
      <c r="DP305" s="1808"/>
      <c r="DQ305" s="1808"/>
      <c r="DR305" s="1808"/>
      <c r="DS305" s="1808"/>
      <c r="DT305" s="1808"/>
      <c r="DU305" s="1808"/>
      <c r="DV305" s="1808"/>
      <c r="DW305" s="1808"/>
      <c r="DX305" s="1808"/>
      <c r="DY305" s="1808"/>
      <c r="DZ305" s="1808"/>
      <c r="EA305" s="1808"/>
      <c r="EB305" s="1808"/>
      <c r="EC305" s="1808"/>
      <c r="ED305" s="1808"/>
      <c r="EE305" s="1808"/>
      <c r="EF305" s="1808"/>
      <c r="EG305" s="1808"/>
      <c r="EH305" s="1808"/>
      <c r="EI305" s="1808"/>
      <c r="EJ305" s="1808"/>
      <c r="EK305" s="1808"/>
      <c r="EL305" s="1808"/>
      <c r="EM305" s="1808"/>
      <c r="EN305" s="1808"/>
      <c r="EO305" s="1808"/>
      <c r="EP305" s="1808"/>
      <c r="EQ305" s="1808"/>
      <c r="ER305" s="1808"/>
      <c r="ES305" s="1808"/>
      <c r="ET305" s="1808"/>
      <c r="EU305" s="1808"/>
      <c r="EV305" s="1808"/>
      <c r="EW305" s="1808"/>
      <c r="EX305" s="1808"/>
      <c r="EY305" s="1808"/>
      <c r="EZ305" s="1808"/>
      <c r="FA305" s="1808"/>
      <c r="FB305" s="1808"/>
      <c r="FC305" s="1808"/>
      <c r="FD305" s="1808"/>
      <c r="FE305" s="1808"/>
      <c r="FF305" s="1808"/>
      <c r="FG305" s="1808"/>
      <c r="FH305" s="1808"/>
      <c r="FI305" s="1808"/>
      <c r="FJ305" s="1808"/>
      <c r="FK305" s="1808"/>
      <c r="FL305" s="1808"/>
    </row>
    <row r="306" spans="1:168" s="1980" customFormat="1" ht="45" customHeight="1" x14ac:dyDescent="0.2">
      <c r="A306" s="1819"/>
      <c r="B306" s="1820"/>
      <c r="C306" s="1821"/>
      <c r="D306" s="1820"/>
      <c r="E306" s="1820"/>
      <c r="F306" s="1821"/>
      <c r="G306" s="1820"/>
      <c r="H306" s="1820"/>
      <c r="I306" s="1821"/>
      <c r="J306" s="3938"/>
      <c r="K306" s="4021"/>
      <c r="L306" s="3944"/>
      <c r="M306" s="4124"/>
      <c r="N306" s="3944"/>
      <c r="O306" s="3944"/>
      <c r="P306" s="3941"/>
      <c r="Q306" s="3966"/>
      <c r="R306" s="3969"/>
      <c r="S306" s="3941"/>
      <c r="T306" s="3941"/>
      <c r="U306" s="4121"/>
      <c r="V306" s="1979">
        <v>905255315</v>
      </c>
      <c r="W306" s="1966">
        <v>96</v>
      </c>
      <c r="X306" s="1871" t="s">
        <v>1872</v>
      </c>
      <c r="Y306" s="3944"/>
      <c r="Z306" s="3944"/>
      <c r="AA306" s="3944"/>
      <c r="AB306" s="3944"/>
      <c r="AC306" s="3944"/>
      <c r="AD306" s="3944"/>
      <c r="AE306" s="3944"/>
      <c r="AF306" s="3944"/>
      <c r="AG306" s="3944"/>
      <c r="AH306" s="3944"/>
      <c r="AI306" s="3944"/>
      <c r="AJ306" s="3944"/>
      <c r="AK306" s="3944"/>
      <c r="AL306" s="3944"/>
      <c r="AM306" s="3944"/>
      <c r="AN306" s="3944"/>
      <c r="AO306" s="3972"/>
      <c r="AP306" s="3972"/>
      <c r="AQ306" s="3975"/>
      <c r="AR306" s="1808"/>
      <c r="AS306" s="1808"/>
      <c r="AT306" s="1808"/>
      <c r="AU306" s="1808"/>
      <c r="AV306" s="1808"/>
      <c r="AW306" s="1808"/>
      <c r="AX306" s="1808"/>
      <c r="AY306" s="1808"/>
      <c r="AZ306" s="1808"/>
      <c r="BA306" s="1808"/>
      <c r="BB306" s="1808"/>
      <c r="BC306" s="1808"/>
      <c r="BD306" s="1808"/>
      <c r="BE306" s="1808"/>
      <c r="BF306" s="1808"/>
      <c r="BG306" s="1808"/>
      <c r="BH306" s="1808"/>
      <c r="BI306" s="1808"/>
      <c r="BJ306" s="1808"/>
      <c r="BK306" s="1808"/>
      <c r="BL306" s="1808"/>
      <c r="BM306" s="1808"/>
      <c r="BN306" s="1808"/>
      <c r="BO306" s="1808"/>
      <c r="BP306" s="1808"/>
      <c r="BQ306" s="1808"/>
      <c r="BR306" s="1808"/>
      <c r="BS306" s="1808"/>
      <c r="BT306" s="1808"/>
      <c r="BU306" s="1808"/>
      <c r="BV306" s="1808"/>
      <c r="BW306" s="1808"/>
      <c r="BX306" s="1808"/>
      <c r="BY306" s="1808"/>
      <c r="BZ306" s="1808"/>
      <c r="CA306" s="1808"/>
      <c r="CB306" s="1808"/>
      <c r="CC306" s="1808"/>
      <c r="CD306" s="1808"/>
      <c r="CE306" s="1808"/>
      <c r="CF306" s="1808"/>
      <c r="CG306" s="1808"/>
      <c r="CH306" s="1808"/>
      <c r="CI306" s="1808"/>
      <c r="CJ306" s="1808"/>
      <c r="CK306" s="1808"/>
      <c r="CL306" s="1808"/>
      <c r="CM306" s="1808"/>
      <c r="CN306" s="1808"/>
      <c r="CO306" s="1808"/>
      <c r="CP306" s="1808"/>
      <c r="CQ306" s="1808"/>
      <c r="CR306" s="1808"/>
      <c r="CS306" s="1808"/>
      <c r="CT306" s="1808"/>
      <c r="CU306" s="1808"/>
      <c r="CV306" s="1808"/>
      <c r="CW306" s="1808"/>
      <c r="CX306" s="1808"/>
      <c r="CY306" s="1808"/>
      <c r="CZ306" s="1808"/>
      <c r="DA306" s="1808"/>
      <c r="DB306" s="1808"/>
      <c r="DC306" s="1808"/>
      <c r="DD306" s="1808"/>
      <c r="DE306" s="1808"/>
      <c r="DF306" s="1808"/>
      <c r="DG306" s="1808"/>
      <c r="DH306" s="1808"/>
      <c r="DI306" s="1808"/>
      <c r="DJ306" s="1808"/>
      <c r="DK306" s="1808"/>
      <c r="DL306" s="1808"/>
      <c r="DM306" s="1808"/>
      <c r="DN306" s="1808"/>
      <c r="DO306" s="1808"/>
      <c r="DP306" s="1808"/>
      <c r="DQ306" s="1808"/>
      <c r="DR306" s="1808"/>
      <c r="DS306" s="1808"/>
      <c r="DT306" s="1808"/>
      <c r="DU306" s="1808"/>
      <c r="DV306" s="1808"/>
      <c r="DW306" s="1808"/>
      <c r="DX306" s="1808"/>
      <c r="DY306" s="1808"/>
      <c r="DZ306" s="1808"/>
      <c r="EA306" s="1808"/>
      <c r="EB306" s="1808"/>
      <c r="EC306" s="1808"/>
      <c r="ED306" s="1808"/>
      <c r="EE306" s="1808"/>
      <c r="EF306" s="1808"/>
      <c r="EG306" s="1808"/>
      <c r="EH306" s="1808"/>
      <c r="EI306" s="1808"/>
      <c r="EJ306" s="1808"/>
      <c r="EK306" s="1808"/>
      <c r="EL306" s="1808"/>
      <c r="EM306" s="1808"/>
      <c r="EN306" s="1808"/>
      <c r="EO306" s="1808"/>
      <c r="EP306" s="1808"/>
      <c r="EQ306" s="1808"/>
      <c r="ER306" s="1808"/>
      <c r="ES306" s="1808"/>
      <c r="ET306" s="1808"/>
      <c r="EU306" s="1808"/>
      <c r="EV306" s="1808"/>
      <c r="EW306" s="1808"/>
      <c r="EX306" s="1808"/>
      <c r="EY306" s="1808"/>
      <c r="EZ306" s="1808"/>
      <c r="FA306" s="1808"/>
      <c r="FB306" s="1808"/>
      <c r="FC306" s="1808"/>
      <c r="FD306" s="1808"/>
      <c r="FE306" s="1808"/>
      <c r="FF306" s="1808"/>
      <c r="FG306" s="1808"/>
      <c r="FH306" s="1808"/>
      <c r="FI306" s="1808"/>
      <c r="FJ306" s="1808"/>
      <c r="FK306" s="1808"/>
      <c r="FL306" s="1808"/>
    </row>
    <row r="307" spans="1:168" s="1980" customFormat="1" ht="45" customHeight="1" x14ac:dyDescent="0.2">
      <c r="A307" s="1819"/>
      <c r="B307" s="1820"/>
      <c r="C307" s="1821"/>
      <c r="D307" s="1820"/>
      <c r="E307" s="1820"/>
      <c r="F307" s="1821"/>
      <c r="G307" s="1820"/>
      <c r="H307" s="1820"/>
      <c r="I307" s="1821"/>
      <c r="J307" s="3938"/>
      <c r="K307" s="4021"/>
      <c r="L307" s="3944"/>
      <c r="M307" s="4124"/>
      <c r="N307" s="3944"/>
      <c r="O307" s="3944"/>
      <c r="P307" s="3941"/>
      <c r="Q307" s="3966"/>
      <c r="R307" s="3969"/>
      <c r="S307" s="3941"/>
      <c r="T307" s="3941"/>
      <c r="U307" s="4121"/>
      <c r="V307" s="1979">
        <v>573833621</v>
      </c>
      <c r="W307" s="1966">
        <v>97</v>
      </c>
      <c r="X307" s="1871" t="s">
        <v>1873</v>
      </c>
      <c r="Y307" s="3944"/>
      <c r="Z307" s="3944"/>
      <c r="AA307" s="3944"/>
      <c r="AB307" s="3944"/>
      <c r="AC307" s="3944"/>
      <c r="AD307" s="3944"/>
      <c r="AE307" s="3944"/>
      <c r="AF307" s="3944"/>
      <c r="AG307" s="3944"/>
      <c r="AH307" s="3944"/>
      <c r="AI307" s="3944"/>
      <c r="AJ307" s="3944"/>
      <c r="AK307" s="3944"/>
      <c r="AL307" s="3944"/>
      <c r="AM307" s="3944"/>
      <c r="AN307" s="3944"/>
      <c r="AO307" s="3972"/>
      <c r="AP307" s="3972"/>
      <c r="AQ307" s="3975"/>
      <c r="AR307" s="1808"/>
      <c r="AS307" s="1808"/>
      <c r="AT307" s="1808"/>
      <c r="AU307" s="1808"/>
      <c r="AV307" s="1808"/>
      <c r="AW307" s="1808"/>
      <c r="AX307" s="1808"/>
      <c r="AY307" s="1808"/>
      <c r="AZ307" s="1808"/>
      <c r="BA307" s="1808"/>
      <c r="BB307" s="1808"/>
      <c r="BC307" s="1808"/>
      <c r="BD307" s="1808"/>
      <c r="BE307" s="1808"/>
      <c r="BF307" s="1808"/>
      <c r="BG307" s="1808"/>
      <c r="BH307" s="1808"/>
      <c r="BI307" s="1808"/>
      <c r="BJ307" s="1808"/>
      <c r="BK307" s="1808"/>
      <c r="BL307" s="1808"/>
      <c r="BM307" s="1808"/>
      <c r="BN307" s="1808"/>
      <c r="BO307" s="1808"/>
      <c r="BP307" s="1808"/>
      <c r="BQ307" s="1808"/>
      <c r="BR307" s="1808"/>
      <c r="BS307" s="1808"/>
      <c r="BT307" s="1808"/>
      <c r="BU307" s="1808"/>
      <c r="BV307" s="1808"/>
      <c r="BW307" s="1808"/>
      <c r="BX307" s="1808"/>
      <c r="BY307" s="1808"/>
      <c r="BZ307" s="1808"/>
      <c r="CA307" s="1808"/>
      <c r="CB307" s="1808"/>
      <c r="CC307" s="1808"/>
      <c r="CD307" s="1808"/>
      <c r="CE307" s="1808"/>
      <c r="CF307" s="1808"/>
      <c r="CG307" s="1808"/>
      <c r="CH307" s="1808"/>
      <c r="CI307" s="1808"/>
      <c r="CJ307" s="1808"/>
      <c r="CK307" s="1808"/>
      <c r="CL307" s="1808"/>
      <c r="CM307" s="1808"/>
      <c r="CN307" s="1808"/>
      <c r="CO307" s="1808"/>
      <c r="CP307" s="1808"/>
      <c r="CQ307" s="1808"/>
      <c r="CR307" s="1808"/>
      <c r="CS307" s="1808"/>
      <c r="CT307" s="1808"/>
      <c r="CU307" s="1808"/>
      <c r="CV307" s="1808"/>
      <c r="CW307" s="1808"/>
      <c r="CX307" s="1808"/>
      <c r="CY307" s="1808"/>
      <c r="CZ307" s="1808"/>
      <c r="DA307" s="1808"/>
      <c r="DB307" s="1808"/>
      <c r="DC307" s="1808"/>
      <c r="DD307" s="1808"/>
      <c r="DE307" s="1808"/>
      <c r="DF307" s="1808"/>
      <c r="DG307" s="1808"/>
      <c r="DH307" s="1808"/>
      <c r="DI307" s="1808"/>
      <c r="DJ307" s="1808"/>
      <c r="DK307" s="1808"/>
      <c r="DL307" s="1808"/>
      <c r="DM307" s="1808"/>
      <c r="DN307" s="1808"/>
      <c r="DO307" s="1808"/>
      <c r="DP307" s="1808"/>
      <c r="DQ307" s="1808"/>
      <c r="DR307" s="1808"/>
      <c r="DS307" s="1808"/>
      <c r="DT307" s="1808"/>
      <c r="DU307" s="1808"/>
      <c r="DV307" s="1808"/>
      <c r="DW307" s="1808"/>
      <c r="DX307" s="1808"/>
      <c r="DY307" s="1808"/>
      <c r="DZ307" s="1808"/>
      <c r="EA307" s="1808"/>
      <c r="EB307" s="1808"/>
      <c r="EC307" s="1808"/>
      <c r="ED307" s="1808"/>
      <c r="EE307" s="1808"/>
      <c r="EF307" s="1808"/>
      <c r="EG307" s="1808"/>
      <c r="EH307" s="1808"/>
      <c r="EI307" s="1808"/>
      <c r="EJ307" s="1808"/>
      <c r="EK307" s="1808"/>
      <c r="EL307" s="1808"/>
      <c r="EM307" s="1808"/>
      <c r="EN307" s="1808"/>
      <c r="EO307" s="1808"/>
      <c r="EP307" s="1808"/>
      <c r="EQ307" s="1808"/>
      <c r="ER307" s="1808"/>
      <c r="ES307" s="1808"/>
      <c r="ET307" s="1808"/>
      <c r="EU307" s="1808"/>
      <c r="EV307" s="1808"/>
      <c r="EW307" s="1808"/>
      <c r="EX307" s="1808"/>
      <c r="EY307" s="1808"/>
      <c r="EZ307" s="1808"/>
      <c r="FA307" s="1808"/>
      <c r="FB307" s="1808"/>
      <c r="FC307" s="1808"/>
      <c r="FD307" s="1808"/>
      <c r="FE307" s="1808"/>
      <c r="FF307" s="1808"/>
      <c r="FG307" s="1808"/>
      <c r="FH307" s="1808"/>
      <c r="FI307" s="1808"/>
      <c r="FJ307" s="1808"/>
      <c r="FK307" s="1808"/>
      <c r="FL307" s="1808"/>
    </row>
    <row r="308" spans="1:168" s="1980" customFormat="1" ht="45" customHeight="1" x14ac:dyDescent="0.2">
      <c r="A308" s="1819"/>
      <c r="B308" s="1820"/>
      <c r="C308" s="1821"/>
      <c r="D308" s="1820"/>
      <c r="E308" s="1820"/>
      <c r="F308" s="1821"/>
      <c r="G308" s="1820"/>
      <c r="H308" s="1820"/>
      <c r="I308" s="1821"/>
      <c r="J308" s="3938"/>
      <c r="K308" s="4021"/>
      <c r="L308" s="3944"/>
      <c r="M308" s="4124"/>
      <c r="N308" s="3944"/>
      <c r="O308" s="3944"/>
      <c r="P308" s="3941"/>
      <c r="Q308" s="3966"/>
      <c r="R308" s="3969"/>
      <c r="S308" s="3941"/>
      <c r="T308" s="3941"/>
      <c r="U308" s="4121"/>
      <c r="V308" s="1979">
        <v>6866202</v>
      </c>
      <c r="W308" s="1966">
        <v>65</v>
      </c>
      <c r="X308" s="1871" t="s">
        <v>1874</v>
      </c>
      <c r="Y308" s="3944"/>
      <c r="Z308" s="3944"/>
      <c r="AA308" s="3944"/>
      <c r="AB308" s="3944"/>
      <c r="AC308" s="3944"/>
      <c r="AD308" s="3944"/>
      <c r="AE308" s="3944"/>
      <c r="AF308" s="3944"/>
      <c r="AG308" s="3944"/>
      <c r="AH308" s="3944"/>
      <c r="AI308" s="3944"/>
      <c r="AJ308" s="3944"/>
      <c r="AK308" s="3944"/>
      <c r="AL308" s="3944"/>
      <c r="AM308" s="3944"/>
      <c r="AN308" s="3944"/>
      <c r="AO308" s="3972"/>
      <c r="AP308" s="3972"/>
      <c r="AQ308" s="3975"/>
      <c r="AR308" s="1808"/>
      <c r="AS308" s="1808"/>
      <c r="AT308" s="1808"/>
      <c r="AU308" s="1808"/>
      <c r="AV308" s="1808"/>
      <c r="AW308" s="1808"/>
      <c r="AX308" s="1808"/>
      <c r="AY308" s="1808"/>
      <c r="AZ308" s="1808"/>
      <c r="BA308" s="1808"/>
      <c r="BB308" s="1808"/>
      <c r="BC308" s="1808"/>
      <c r="BD308" s="1808"/>
      <c r="BE308" s="1808"/>
      <c r="BF308" s="1808"/>
      <c r="BG308" s="1808"/>
      <c r="BH308" s="1808"/>
      <c r="BI308" s="1808"/>
      <c r="BJ308" s="1808"/>
      <c r="BK308" s="1808"/>
      <c r="BL308" s="1808"/>
      <c r="BM308" s="1808"/>
      <c r="BN308" s="1808"/>
      <c r="BO308" s="1808"/>
      <c r="BP308" s="1808"/>
      <c r="BQ308" s="1808"/>
      <c r="BR308" s="1808"/>
      <c r="BS308" s="1808"/>
      <c r="BT308" s="1808"/>
      <c r="BU308" s="1808"/>
      <c r="BV308" s="1808"/>
      <c r="BW308" s="1808"/>
      <c r="BX308" s="1808"/>
      <c r="BY308" s="1808"/>
      <c r="BZ308" s="1808"/>
      <c r="CA308" s="1808"/>
      <c r="CB308" s="1808"/>
      <c r="CC308" s="1808"/>
      <c r="CD308" s="1808"/>
      <c r="CE308" s="1808"/>
      <c r="CF308" s="1808"/>
      <c r="CG308" s="1808"/>
      <c r="CH308" s="1808"/>
      <c r="CI308" s="1808"/>
      <c r="CJ308" s="1808"/>
      <c r="CK308" s="1808"/>
      <c r="CL308" s="1808"/>
      <c r="CM308" s="1808"/>
      <c r="CN308" s="1808"/>
      <c r="CO308" s="1808"/>
      <c r="CP308" s="1808"/>
      <c r="CQ308" s="1808"/>
      <c r="CR308" s="1808"/>
      <c r="CS308" s="1808"/>
      <c r="CT308" s="1808"/>
      <c r="CU308" s="1808"/>
      <c r="CV308" s="1808"/>
      <c r="CW308" s="1808"/>
      <c r="CX308" s="1808"/>
      <c r="CY308" s="1808"/>
      <c r="CZ308" s="1808"/>
      <c r="DA308" s="1808"/>
      <c r="DB308" s="1808"/>
      <c r="DC308" s="1808"/>
      <c r="DD308" s="1808"/>
      <c r="DE308" s="1808"/>
      <c r="DF308" s="1808"/>
      <c r="DG308" s="1808"/>
      <c r="DH308" s="1808"/>
      <c r="DI308" s="1808"/>
      <c r="DJ308" s="1808"/>
      <c r="DK308" s="1808"/>
      <c r="DL308" s="1808"/>
      <c r="DM308" s="1808"/>
      <c r="DN308" s="1808"/>
      <c r="DO308" s="1808"/>
      <c r="DP308" s="1808"/>
      <c r="DQ308" s="1808"/>
      <c r="DR308" s="1808"/>
      <c r="DS308" s="1808"/>
      <c r="DT308" s="1808"/>
      <c r="DU308" s="1808"/>
      <c r="DV308" s="1808"/>
      <c r="DW308" s="1808"/>
      <c r="DX308" s="1808"/>
      <c r="DY308" s="1808"/>
      <c r="DZ308" s="1808"/>
      <c r="EA308" s="1808"/>
      <c r="EB308" s="1808"/>
      <c r="EC308" s="1808"/>
      <c r="ED308" s="1808"/>
      <c r="EE308" s="1808"/>
      <c r="EF308" s="1808"/>
      <c r="EG308" s="1808"/>
      <c r="EH308" s="1808"/>
      <c r="EI308" s="1808"/>
      <c r="EJ308" s="1808"/>
      <c r="EK308" s="1808"/>
      <c r="EL308" s="1808"/>
      <c r="EM308" s="1808"/>
      <c r="EN308" s="1808"/>
      <c r="EO308" s="1808"/>
      <c r="EP308" s="1808"/>
      <c r="EQ308" s="1808"/>
      <c r="ER308" s="1808"/>
      <c r="ES308" s="1808"/>
      <c r="ET308" s="1808"/>
      <c r="EU308" s="1808"/>
      <c r="EV308" s="1808"/>
      <c r="EW308" s="1808"/>
      <c r="EX308" s="1808"/>
      <c r="EY308" s="1808"/>
      <c r="EZ308" s="1808"/>
      <c r="FA308" s="1808"/>
      <c r="FB308" s="1808"/>
      <c r="FC308" s="1808"/>
      <c r="FD308" s="1808"/>
      <c r="FE308" s="1808"/>
      <c r="FF308" s="1808"/>
      <c r="FG308" s="1808"/>
      <c r="FH308" s="1808"/>
      <c r="FI308" s="1808"/>
      <c r="FJ308" s="1808"/>
      <c r="FK308" s="1808"/>
      <c r="FL308" s="1808"/>
    </row>
    <row r="309" spans="1:168" s="1980" customFormat="1" ht="45" customHeight="1" x14ac:dyDescent="0.2">
      <c r="A309" s="1819"/>
      <c r="B309" s="1820"/>
      <c r="C309" s="1821"/>
      <c r="D309" s="1820"/>
      <c r="E309" s="1820"/>
      <c r="F309" s="1821"/>
      <c r="G309" s="1820"/>
      <c r="H309" s="1820"/>
      <c r="I309" s="1821"/>
      <c r="J309" s="3938"/>
      <c r="K309" s="4021"/>
      <c r="L309" s="3944"/>
      <c r="M309" s="4124"/>
      <c r="N309" s="3944"/>
      <c r="O309" s="3944"/>
      <c r="P309" s="3941"/>
      <c r="Q309" s="3966"/>
      <c r="R309" s="3969"/>
      <c r="S309" s="3941"/>
      <c r="T309" s="3941"/>
      <c r="U309" s="4121"/>
      <c r="V309" s="1979">
        <v>134128260</v>
      </c>
      <c r="W309" s="1966">
        <v>156</v>
      </c>
      <c r="X309" s="1871" t="s">
        <v>1875</v>
      </c>
      <c r="Y309" s="3944"/>
      <c r="Z309" s="3944"/>
      <c r="AA309" s="3944"/>
      <c r="AB309" s="3944"/>
      <c r="AC309" s="3944"/>
      <c r="AD309" s="3944"/>
      <c r="AE309" s="3944"/>
      <c r="AF309" s="3944"/>
      <c r="AG309" s="3944"/>
      <c r="AH309" s="3944"/>
      <c r="AI309" s="3944"/>
      <c r="AJ309" s="3944"/>
      <c r="AK309" s="3944"/>
      <c r="AL309" s="3944"/>
      <c r="AM309" s="3944"/>
      <c r="AN309" s="3944"/>
      <c r="AO309" s="3972"/>
      <c r="AP309" s="3972"/>
      <c r="AQ309" s="3975"/>
      <c r="AR309" s="1808"/>
      <c r="AS309" s="1808"/>
      <c r="AT309" s="1808"/>
      <c r="AU309" s="1808"/>
      <c r="AV309" s="1808"/>
      <c r="AW309" s="1808"/>
      <c r="AX309" s="1808"/>
      <c r="AY309" s="1808"/>
      <c r="AZ309" s="1808"/>
      <c r="BA309" s="1808"/>
      <c r="BB309" s="1808"/>
      <c r="BC309" s="1808"/>
      <c r="BD309" s="1808"/>
      <c r="BE309" s="1808"/>
      <c r="BF309" s="1808"/>
      <c r="BG309" s="1808"/>
      <c r="BH309" s="1808"/>
      <c r="BI309" s="1808"/>
      <c r="BJ309" s="1808"/>
      <c r="BK309" s="1808"/>
      <c r="BL309" s="1808"/>
      <c r="BM309" s="1808"/>
      <c r="BN309" s="1808"/>
      <c r="BO309" s="1808"/>
      <c r="BP309" s="1808"/>
      <c r="BQ309" s="1808"/>
      <c r="BR309" s="1808"/>
      <c r="BS309" s="1808"/>
      <c r="BT309" s="1808"/>
      <c r="BU309" s="1808"/>
      <c r="BV309" s="1808"/>
      <c r="BW309" s="1808"/>
      <c r="BX309" s="1808"/>
      <c r="BY309" s="1808"/>
      <c r="BZ309" s="1808"/>
      <c r="CA309" s="1808"/>
      <c r="CB309" s="1808"/>
      <c r="CC309" s="1808"/>
      <c r="CD309" s="1808"/>
      <c r="CE309" s="1808"/>
      <c r="CF309" s="1808"/>
      <c r="CG309" s="1808"/>
      <c r="CH309" s="1808"/>
      <c r="CI309" s="1808"/>
      <c r="CJ309" s="1808"/>
      <c r="CK309" s="1808"/>
      <c r="CL309" s="1808"/>
      <c r="CM309" s="1808"/>
      <c r="CN309" s="1808"/>
      <c r="CO309" s="1808"/>
      <c r="CP309" s="1808"/>
      <c r="CQ309" s="1808"/>
      <c r="CR309" s="1808"/>
      <c r="CS309" s="1808"/>
      <c r="CT309" s="1808"/>
      <c r="CU309" s="1808"/>
      <c r="CV309" s="1808"/>
      <c r="CW309" s="1808"/>
      <c r="CX309" s="1808"/>
      <c r="CY309" s="1808"/>
      <c r="CZ309" s="1808"/>
      <c r="DA309" s="1808"/>
      <c r="DB309" s="1808"/>
      <c r="DC309" s="1808"/>
      <c r="DD309" s="1808"/>
      <c r="DE309" s="1808"/>
      <c r="DF309" s="1808"/>
      <c r="DG309" s="1808"/>
      <c r="DH309" s="1808"/>
      <c r="DI309" s="1808"/>
      <c r="DJ309" s="1808"/>
      <c r="DK309" s="1808"/>
      <c r="DL309" s="1808"/>
      <c r="DM309" s="1808"/>
      <c r="DN309" s="1808"/>
      <c r="DO309" s="1808"/>
      <c r="DP309" s="1808"/>
      <c r="DQ309" s="1808"/>
      <c r="DR309" s="1808"/>
      <c r="DS309" s="1808"/>
      <c r="DT309" s="1808"/>
      <c r="DU309" s="1808"/>
      <c r="DV309" s="1808"/>
      <c r="DW309" s="1808"/>
      <c r="DX309" s="1808"/>
      <c r="DY309" s="1808"/>
      <c r="DZ309" s="1808"/>
      <c r="EA309" s="1808"/>
      <c r="EB309" s="1808"/>
      <c r="EC309" s="1808"/>
      <c r="ED309" s="1808"/>
      <c r="EE309" s="1808"/>
      <c r="EF309" s="1808"/>
      <c r="EG309" s="1808"/>
      <c r="EH309" s="1808"/>
      <c r="EI309" s="1808"/>
      <c r="EJ309" s="1808"/>
      <c r="EK309" s="1808"/>
      <c r="EL309" s="1808"/>
      <c r="EM309" s="1808"/>
      <c r="EN309" s="1808"/>
      <c r="EO309" s="1808"/>
      <c r="EP309" s="1808"/>
      <c r="EQ309" s="1808"/>
      <c r="ER309" s="1808"/>
      <c r="ES309" s="1808"/>
      <c r="ET309" s="1808"/>
      <c r="EU309" s="1808"/>
      <c r="EV309" s="1808"/>
      <c r="EW309" s="1808"/>
      <c r="EX309" s="1808"/>
      <c r="EY309" s="1808"/>
      <c r="EZ309" s="1808"/>
      <c r="FA309" s="1808"/>
      <c r="FB309" s="1808"/>
      <c r="FC309" s="1808"/>
      <c r="FD309" s="1808"/>
      <c r="FE309" s="1808"/>
      <c r="FF309" s="1808"/>
      <c r="FG309" s="1808"/>
      <c r="FH309" s="1808"/>
      <c r="FI309" s="1808"/>
      <c r="FJ309" s="1808"/>
      <c r="FK309" s="1808"/>
      <c r="FL309" s="1808"/>
    </row>
    <row r="310" spans="1:168" s="1980" customFormat="1" ht="51.75" customHeight="1" x14ac:dyDescent="0.2">
      <c r="A310" s="1819"/>
      <c r="B310" s="1820"/>
      <c r="C310" s="1821"/>
      <c r="D310" s="1820"/>
      <c r="E310" s="1820"/>
      <c r="F310" s="1821"/>
      <c r="G310" s="1820"/>
      <c r="H310" s="1820"/>
      <c r="I310" s="1821"/>
      <c r="J310" s="3938"/>
      <c r="K310" s="4021"/>
      <c r="L310" s="3944"/>
      <c r="M310" s="4124"/>
      <c r="N310" s="3944"/>
      <c r="O310" s="3944"/>
      <c r="P310" s="3941"/>
      <c r="Q310" s="3966"/>
      <c r="R310" s="3969"/>
      <c r="S310" s="3941"/>
      <c r="T310" s="3941"/>
      <c r="U310" s="4121"/>
      <c r="V310" s="1979">
        <v>68256639</v>
      </c>
      <c r="W310" s="1966">
        <v>102</v>
      </c>
      <c r="X310" s="1871" t="s">
        <v>1876</v>
      </c>
      <c r="Y310" s="3944"/>
      <c r="Z310" s="3944"/>
      <c r="AA310" s="3944"/>
      <c r="AB310" s="3944"/>
      <c r="AC310" s="3944"/>
      <c r="AD310" s="3944"/>
      <c r="AE310" s="3944"/>
      <c r="AF310" s="3944"/>
      <c r="AG310" s="3944"/>
      <c r="AH310" s="3944"/>
      <c r="AI310" s="3944"/>
      <c r="AJ310" s="3944"/>
      <c r="AK310" s="3944"/>
      <c r="AL310" s="3944"/>
      <c r="AM310" s="3944"/>
      <c r="AN310" s="3944"/>
      <c r="AO310" s="3972"/>
      <c r="AP310" s="3972"/>
      <c r="AQ310" s="3975"/>
      <c r="AR310" s="1808"/>
      <c r="AS310" s="1808"/>
      <c r="AT310" s="1808"/>
      <c r="AU310" s="1808"/>
      <c r="AV310" s="1808"/>
      <c r="AW310" s="1808"/>
      <c r="AX310" s="1808"/>
      <c r="AY310" s="1808"/>
      <c r="AZ310" s="1808"/>
      <c r="BA310" s="1808"/>
      <c r="BB310" s="1808"/>
      <c r="BC310" s="1808"/>
      <c r="BD310" s="1808"/>
      <c r="BE310" s="1808"/>
      <c r="BF310" s="1808"/>
      <c r="BG310" s="1808"/>
      <c r="BH310" s="1808"/>
      <c r="BI310" s="1808"/>
      <c r="BJ310" s="1808"/>
      <c r="BK310" s="1808"/>
      <c r="BL310" s="1808"/>
      <c r="BM310" s="1808"/>
      <c r="BN310" s="1808"/>
      <c r="BO310" s="1808"/>
      <c r="BP310" s="1808"/>
      <c r="BQ310" s="1808"/>
      <c r="BR310" s="1808"/>
      <c r="BS310" s="1808"/>
      <c r="BT310" s="1808"/>
      <c r="BU310" s="1808"/>
      <c r="BV310" s="1808"/>
      <c r="BW310" s="1808"/>
      <c r="BX310" s="1808"/>
      <c r="BY310" s="1808"/>
      <c r="BZ310" s="1808"/>
      <c r="CA310" s="1808"/>
      <c r="CB310" s="1808"/>
      <c r="CC310" s="1808"/>
      <c r="CD310" s="1808"/>
      <c r="CE310" s="1808"/>
      <c r="CF310" s="1808"/>
      <c r="CG310" s="1808"/>
      <c r="CH310" s="1808"/>
      <c r="CI310" s="1808"/>
      <c r="CJ310" s="1808"/>
      <c r="CK310" s="1808"/>
      <c r="CL310" s="1808"/>
      <c r="CM310" s="1808"/>
      <c r="CN310" s="1808"/>
      <c r="CO310" s="1808"/>
      <c r="CP310" s="1808"/>
      <c r="CQ310" s="1808"/>
      <c r="CR310" s="1808"/>
      <c r="CS310" s="1808"/>
      <c r="CT310" s="1808"/>
      <c r="CU310" s="1808"/>
      <c r="CV310" s="1808"/>
      <c r="CW310" s="1808"/>
      <c r="CX310" s="1808"/>
      <c r="CY310" s="1808"/>
      <c r="CZ310" s="1808"/>
      <c r="DA310" s="1808"/>
      <c r="DB310" s="1808"/>
      <c r="DC310" s="1808"/>
      <c r="DD310" s="1808"/>
      <c r="DE310" s="1808"/>
      <c r="DF310" s="1808"/>
      <c r="DG310" s="1808"/>
      <c r="DH310" s="1808"/>
      <c r="DI310" s="1808"/>
      <c r="DJ310" s="1808"/>
      <c r="DK310" s="1808"/>
      <c r="DL310" s="1808"/>
      <c r="DM310" s="1808"/>
      <c r="DN310" s="1808"/>
      <c r="DO310" s="1808"/>
      <c r="DP310" s="1808"/>
      <c r="DQ310" s="1808"/>
      <c r="DR310" s="1808"/>
      <c r="DS310" s="1808"/>
      <c r="DT310" s="1808"/>
      <c r="DU310" s="1808"/>
      <c r="DV310" s="1808"/>
      <c r="DW310" s="1808"/>
      <c r="DX310" s="1808"/>
      <c r="DY310" s="1808"/>
      <c r="DZ310" s="1808"/>
      <c r="EA310" s="1808"/>
      <c r="EB310" s="1808"/>
      <c r="EC310" s="1808"/>
      <c r="ED310" s="1808"/>
      <c r="EE310" s="1808"/>
      <c r="EF310" s="1808"/>
      <c r="EG310" s="1808"/>
      <c r="EH310" s="1808"/>
      <c r="EI310" s="1808"/>
      <c r="EJ310" s="1808"/>
      <c r="EK310" s="1808"/>
      <c r="EL310" s="1808"/>
      <c r="EM310" s="1808"/>
      <c r="EN310" s="1808"/>
      <c r="EO310" s="1808"/>
      <c r="EP310" s="1808"/>
      <c r="EQ310" s="1808"/>
      <c r="ER310" s="1808"/>
      <c r="ES310" s="1808"/>
      <c r="ET310" s="1808"/>
      <c r="EU310" s="1808"/>
      <c r="EV310" s="1808"/>
      <c r="EW310" s="1808"/>
      <c r="EX310" s="1808"/>
      <c r="EY310" s="1808"/>
      <c r="EZ310" s="1808"/>
      <c r="FA310" s="1808"/>
      <c r="FB310" s="1808"/>
      <c r="FC310" s="1808"/>
      <c r="FD310" s="1808"/>
      <c r="FE310" s="1808"/>
      <c r="FF310" s="1808"/>
      <c r="FG310" s="1808"/>
      <c r="FH310" s="1808"/>
      <c r="FI310" s="1808"/>
      <c r="FJ310" s="1808"/>
      <c r="FK310" s="1808"/>
      <c r="FL310" s="1808"/>
    </row>
    <row r="311" spans="1:168" s="1980" customFormat="1" ht="42.75" customHeight="1" x14ac:dyDescent="0.2">
      <c r="A311" s="1819"/>
      <c r="B311" s="1820"/>
      <c r="C311" s="1821"/>
      <c r="D311" s="1820"/>
      <c r="E311" s="1820"/>
      <c r="F311" s="1821"/>
      <c r="G311" s="1820"/>
      <c r="H311" s="1820"/>
      <c r="I311" s="1821"/>
      <c r="J311" s="3938"/>
      <c r="K311" s="4021"/>
      <c r="L311" s="3944"/>
      <c r="M311" s="4124"/>
      <c r="N311" s="3944"/>
      <c r="O311" s="3944"/>
      <c r="P311" s="3941"/>
      <c r="Q311" s="3966"/>
      <c r="R311" s="3969"/>
      <c r="S311" s="3941"/>
      <c r="T311" s="3941"/>
      <c r="U311" s="4121"/>
      <c r="V311" s="1981">
        <v>151028573</v>
      </c>
      <c r="W311" s="1978">
        <v>148</v>
      </c>
      <c r="X311" s="1871" t="s">
        <v>1877</v>
      </c>
      <c r="Y311" s="3944"/>
      <c r="Z311" s="3944"/>
      <c r="AA311" s="3944"/>
      <c r="AB311" s="3944"/>
      <c r="AC311" s="3944"/>
      <c r="AD311" s="3944"/>
      <c r="AE311" s="3944"/>
      <c r="AF311" s="3944"/>
      <c r="AG311" s="3944"/>
      <c r="AH311" s="3944"/>
      <c r="AI311" s="3944"/>
      <c r="AJ311" s="3944"/>
      <c r="AK311" s="3944"/>
      <c r="AL311" s="3944"/>
      <c r="AM311" s="3944"/>
      <c r="AN311" s="3944"/>
      <c r="AO311" s="3972"/>
      <c r="AP311" s="3972"/>
      <c r="AQ311" s="3975"/>
      <c r="AR311" s="1808"/>
      <c r="AS311" s="1808"/>
      <c r="AT311" s="1808"/>
      <c r="AU311" s="1808"/>
      <c r="AV311" s="1808"/>
      <c r="AW311" s="1808"/>
      <c r="AX311" s="1808"/>
      <c r="AY311" s="1808"/>
      <c r="AZ311" s="1808"/>
      <c r="BA311" s="1808"/>
      <c r="BB311" s="1808"/>
      <c r="BC311" s="1808"/>
      <c r="BD311" s="1808"/>
      <c r="BE311" s="1808"/>
      <c r="BF311" s="1808"/>
      <c r="BG311" s="1808"/>
      <c r="BH311" s="1808"/>
      <c r="BI311" s="1808"/>
      <c r="BJ311" s="1808"/>
      <c r="BK311" s="1808"/>
      <c r="BL311" s="1808"/>
      <c r="BM311" s="1808"/>
      <c r="BN311" s="1808"/>
      <c r="BO311" s="1808"/>
      <c r="BP311" s="1808"/>
      <c r="BQ311" s="1808"/>
      <c r="BR311" s="1808"/>
      <c r="BS311" s="1808"/>
      <c r="BT311" s="1808"/>
      <c r="BU311" s="1808"/>
      <c r="BV311" s="1808"/>
      <c r="BW311" s="1808"/>
      <c r="BX311" s="1808"/>
      <c r="BY311" s="1808"/>
      <c r="BZ311" s="1808"/>
      <c r="CA311" s="1808"/>
      <c r="CB311" s="1808"/>
      <c r="CC311" s="1808"/>
      <c r="CD311" s="1808"/>
      <c r="CE311" s="1808"/>
      <c r="CF311" s="1808"/>
      <c r="CG311" s="1808"/>
      <c r="CH311" s="1808"/>
      <c r="CI311" s="1808"/>
      <c r="CJ311" s="1808"/>
      <c r="CK311" s="1808"/>
      <c r="CL311" s="1808"/>
      <c r="CM311" s="1808"/>
      <c r="CN311" s="1808"/>
      <c r="CO311" s="1808"/>
      <c r="CP311" s="1808"/>
      <c r="CQ311" s="1808"/>
      <c r="CR311" s="1808"/>
      <c r="CS311" s="1808"/>
      <c r="CT311" s="1808"/>
      <c r="CU311" s="1808"/>
      <c r="CV311" s="1808"/>
      <c r="CW311" s="1808"/>
      <c r="CX311" s="1808"/>
      <c r="CY311" s="1808"/>
      <c r="CZ311" s="1808"/>
      <c r="DA311" s="1808"/>
      <c r="DB311" s="1808"/>
      <c r="DC311" s="1808"/>
      <c r="DD311" s="1808"/>
      <c r="DE311" s="1808"/>
      <c r="DF311" s="1808"/>
      <c r="DG311" s="1808"/>
      <c r="DH311" s="1808"/>
      <c r="DI311" s="1808"/>
      <c r="DJ311" s="1808"/>
      <c r="DK311" s="1808"/>
      <c r="DL311" s="1808"/>
      <c r="DM311" s="1808"/>
      <c r="DN311" s="1808"/>
      <c r="DO311" s="1808"/>
      <c r="DP311" s="1808"/>
      <c r="DQ311" s="1808"/>
      <c r="DR311" s="1808"/>
      <c r="DS311" s="1808"/>
      <c r="DT311" s="1808"/>
      <c r="DU311" s="1808"/>
      <c r="DV311" s="1808"/>
      <c r="DW311" s="1808"/>
      <c r="DX311" s="1808"/>
      <c r="DY311" s="1808"/>
      <c r="DZ311" s="1808"/>
      <c r="EA311" s="1808"/>
      <c r="EB311" s="1808"/>
      <c r="EC311" s="1808"/>
      <c r="ED311" s="1808"/>
      <c r="EE311" s="1808"/>
      <c r="EF311" s="1808"/>
      <c r="EG311" s="1808"/>
      <c r="EH311" s="1808"/>
      <c r="EI311" s="1808"/>
      <c r="EJ311" s="1808"/>
      <c r="EK311" s="1808"/>
      <c r="EL311" s="1808"/>
      <c r="EM311" s="1808"/>
      <c r="EN311" s="1808"/>
      <c r="EO311" s="1808"/>
      <c r="EP311" s="1808"/>
      <c r="EQ311" s="1808"/>
      <c r="ER311" s="1808"/>
      <c r="ES311" s="1808"/>
      <c r="ET311" s="1808"/>
      <c r="EU311" s="1808"/>
      <c r="EV311" s="1808"/>
      <c r="EW311" s="1808"/>
      <c r="EX311" s="1808"/>
      <c r="EY311" s="1808"/>
      <c r="EZ311" s="1808"/>
      <c r="FA311" s="1808"/>
      <c r="FB311" s="1808"/>
      <c r="FC311" s="1808"/>
      <c r="FD311" s="1808"/>
      <c r="FE311" s="1808"/>
      <c r="FF311" s="1808"/>
      <c r="FG311" s="1808"/>
      <c r="FH311" s="1808"/>
      <c r="FI311" s="1808"/>
      <c r="FJ311" s="1808"/>
      <c r="FK311" s="1808"/>
      <c r="FL311" s="1808"/>
    </row>
    <row r="312" spans="1:168" s="1980" customFormat="1" ht="38.25" customHeight="1" x14ac:dyDescent="0.2">
      <c r="A312" s="1819"/>
      <c r="B312" s="1820"/>
      <c r="C312" s="1821"/>
      <c r="D312" s="1820"/>
      <c r="E312" s="1820"/>
      <c r="F312" s="1821"/>
      <c r="G312" s="1820"/>
      <c r="H312" s="1820"/>
      <c r="I312" s="1821"/>
      <c r="J312" s="3938"/>
      <c r="K312" s="4021"/>
      <c r="L312" s="3944"/>
      <c r="M312" s="4124"/>
      <c r="N312" s="3944"/>
      <c r="O312" s="3944"/>
      <c r="P312" s="3941"/>
      <c r="Q312" s="3966"/>
      <c r="R312" s="3969"/>
      <c r="S312" s="3941"/>
      <c r="T312" s="3941"/>
      <c r="U312" s="4121"/>
      <c r="V312" s="1981">
        <v>903327</v>
      </c>
      <c r="W312" s="1978">
        <v>152</v>
      </c>
      <c r="X312" s="1871" t="s">
        <v>1878</v>
      </c>
      <c r="Y312" s="3944"/>
      <c r="Z312" s="3944"/>
      <c r="AA312" s="3944"/>
      <c r="AB312" s="3944"/>
      <c r="AC312" s="3944"/>
      <c r="AD312" s="3944"/>
      <c r="AE312" s="3944"/>
      <c r="AF312" s="3944"/>
      <c r="AG312" s="3944"/>
      <c r="AH312" s="3944"/>
      <c r="AI312" s="3944"/>
      <c r="AJ312" s="3944"/>
      <c r="AK312" s="3944"/>
      <c r="AL312" s="3944"/>
      <c r="AM312" s="3944"/>
      <c r="AN312" s="3944"/>
      <c r="AO312" s="3972"/>
      <c r="AP312" s="3972"/>
      <c r="AQ312" s="3975"/>
      <c r="AR312" s="1808"/>
      <c r="AS312" s="1808"/>
      <c r="AT312" s="1808"/>
      <c r="AU312" s="1808"/>
      <c r="AV312" s="1808"/>
      <c r="AW312" s="1808"/>
      <c r="AX312" s="1808"/>
      <c r="AY312" s="1808"/>
      <c r="AZ312" s="1808"/>
      <c r="BA312" s="1808"/>
      <c r="BB312" s="1808"/>
      <c r="BC312" s="1808"/>
      <c r="BD312" s="1808"/>
      <c r="BE312" s="1808"/>
      <c r="BF312" s="1808"/>
      <c r="BG312" s="1808"/>
      <c r="BH312" s="1808"/>
      <c r="BI312" s="1808"/>
      <c r="BJ312" s="1808"/>
      <c r="BK312" s="1808"/>
      <c r="BL312" s="1808"/>
      <c r="BM312" s="1808"/>
      <c r="BN312" s="1808"/>
      <c r="BO312" s="1808"/>
      <c r="BP312" s="1808"/>
      <c r="BQ312" s="1808"/>
      <c r="BR312" s="1808"/>
      <c r="BS312" s="1808"/>
      <c r="BT312" s="1808"/>
      <c r="BU312" s="1808"/>
      <c r="BV312" s="1808"/>
      <c r="BW312" s="1808"/>
      <c r="BX312" s="1808"/>
      <c r="BY312" s="1808"/>
      <c r="BZ312" s="1808"/>
      <c r="CA312" s="1808"/>
      <c r="CB312" s="1808"/>
      <c r="CC312" s="1808"/>
      <c r="CD312" s="1808"/>
      <c r="CE312" s="1808"/>
      <c r="CF312" s="1808"/>
      <c r="CG312" s="1808"/>
      <c r="CH312" s="1808"/>
      <c r="CI312" s="1808"/>
      <c r="CJ312" s="1808"/>
      <c r="CK312" s="1808"/>
      <c r="CL312" s="1808"/>
      <c r="CM312" s="1808"/>
      <c r="CN312" s="1808"/>
      <c r="CO312" s="1808"/>
      <c r="CP312" s="1808"/>
      <c r="CQ312" s="1808"/>
      <c r="CR312" s="1808"/>
      <c r="CS312" s="1808"/>
      <c r="CT312" s="1808"/>
      <c r="CU312" s="1808"/>
      <c r="CV312" s="1808"/>
      <c r="CW312" s="1808"/>
      <c r="CX312" s="1808"/>
      <c r="CY312" s="1808"/>
      <c r="CZ312" s="1808"/>
      <c r="DA312" s="1808"/>
      <c r="DB312" s="1808"/>
      <c r="DC312" s="1808"/>
      <c r="DD312" s="1808"/>
      <c r="DE312" s="1808"/>
      <c r="DF312" s="1808"/>
      <c r="DG312" s="1808"/>
      <c r="DH312" s="1808"/>
      <c r="DI312" s="1808"/>
      <c r="DJ312" s="1808"/>
      <c r="DK312" s="1808"/>
      <c r="DL312" s="1808"/>
      <c r="DM312" s="1808"/>
      <c r="DN312" s="1808"/>
      <c r="DO312" s="1808"/>
      <c r="DP312" s="1808"/>
      <c r="DQ312" s="1808"/>
      <c r="DR312" s="1808"/>
      <c r="DS312" s="1808"/>
      <c r="DT312" s="1808"/>
      <c r="DU312" s="1808"/>
      <c r="DV312" s="1808"/>
      <c r="DW312" s="1808"/>
      <c r="DX312" s="1808"/>
      <c r="DY312" s="1808"/>
      <c r="DZ312" s="1808"/>
      <c r="EA312" s="1808"/>
      <c r="EB312" s="1808"/>
      <c r="EC312" s="1808"/>
      <c r="ED312" s="1808"/>
      <c r="EE312" s="1808"/>
      <c r="EF312" s="1808"/>
      <c r="EG312" s="1808"/>
      <c r="EH312" s="1808"/>
      <c r="EI312" s="1808"/>
      <c r="EJ312" s="1808"/>
      <c r="EK312" s="1808"/>
      <c r="EL312" s="1808"/>
      <c r="EM312" s="1808"/>
      <c r="EN312" s="1808"/>
      <c r="EO312" s="1808"/>
      <c r="EP312" s="1808"/>
      <c r="EQ312" s="1808"/>
      <c r="ER312" s="1808"/>
      <c r="ES312" s="1808"/>
      <c r="ET312" s="1808"/>
      <c r="EU312" s="1808"/>
      <c r="EV312" s="1808"/>
      <c r="EW312" s="1808"/>
      <c r="EX312" s="1808"/>
      <c r="EY312" s="1808"/>
      <c r="EZ312" s="1808"/>
      <c r="FA312" s="1808"/>
      <c r="FB312" s="1808"/>
      <c r="FC312" s="1808"/>
      <c r="FD312" s="1808"/>
      <c r="FE312" s="1808"/>
      <c r="FF312" s="1808"/>
      <c r="FG312" s="1808"/>
      <c r="FH312" s="1808"/>
      <c r="FI312" s="1808"/>
      <c r="FJ312" s="1808"/>
      <c r="FK312" s="1808"/>
      <c r="FL312" s="1808"/>
    </row>
    <row r="313" spans="1:168" s="1980" customFormat="1" ht="38.25" customHeight="1" x14ac:dyDescent="0.2">
      <c r="A313" s="1819"/>
      <c r="B313" s="1820"/>
      <c r="C313" s="1821"/>
      <c r="D313" s="1820"/>
      <c r="E313" s="1820"/>
      <c r="F313" s="1821"/>
      <c r="G313" s="1820"/>
      <c r="H313" s="1820"/>
      <c r="I313" s="1821"/>
      <c r="J313" s="3939"/>
      <c r="K313" s="4022"/>
      <c r="L313" s="3945"/>
      <c r="M313" s="4125"/>
      <c r="N313" s="3944"/>
      <c r="O313" s="3944"/>
      <c r="P313" s="3941"/>
      <c r="Q313" s="3967"/>
      <c r="R313" s="3969"/>
      <c r="S313" s="3941"/>
      <c r="T313" s="3942"/>
      <c r="U313" s="4122"/>
      <c r="V313" s="1981">
        <v>130836198</v>
      </c>
      <c r="W313" s="1978">
        <v>162</v>
      </c>
      <c r="X313" s="1871" t="s">
        <v>1879</v>
      </c>
      <c r="Y313" s="3944"/>
      <c r="Z313" s="3944"/>
      <c r="AA313" s="3944"/>
      <c r="AB313" s="3944"/>
      <c r="AC313" s="3944"/>
      <c r="AD313" s="3944"/>
      <c r="AE313" s="3944"/>
      <c r="AF313" s="3944"/>
      <c r="AG313" s="3944"/>
      <c r="AH313" s="3944"/>
      <c r="AI313" s="3944"/>
      <c r="AJ313" s="3944"/>
      <c r="AK313" s="3944"/>
      <c r="AL313" s="3944"/>
      <c r="AM313" s="3944"/>
      <c r="AN313" s="3944"/>
      <c r="AO313" s="3972"/>
      <c r="AP313" s="3972"/>
      <c r="AQ313" s="3975"/>
      <c r="AR313" s="1808"/>
      <c r="AS313" s="1808"/>
      <c r="AT313" s="1808"/>
      <c r="AU313" s="1808"/>
      <c r="AV313" s="1808"/>
      <c r="AW313" s="1808"/>
      <c r="AX313" s="1808"/>
      <c r="AY313" s="1808"/>
      <c r="AZ313" s="1808"/>
      <c r="BA313" s="1808"/>
      <c r="BB313" s="1808"/>
      <c r="BC313" s="1808"/>
      <c r="BD313" s="1808"/>
      <c r="BE313" s="1808"/>
      <c r="BF313" s="1808"/>
      <c r="BG313" s="1808"/>
      <c r="BH313" s="1808"/>
      <c r="BI313" s="1808"/>
      <c r="BJ313" s="1808"/>
      <c r="BK313" s="1808"/>
      <c r="BL313" s="1808"/>
      <c r="BM313" s="1808"/>
      <c r="BN313" s="1808"/>
      <c r="BO313" s="1808"/>
      <c r="BP313" s="1808"/>
      <c r="BQ313" s="1808"/>
      <c r="BR313" s="1808"/>
      <c r="BS313" s="1808"/>
      <c r="BT313" s="1808"/>
      <c r="BU313" s="1808"/>
      <c r="BV313" s="1808"/>
      <c r="BW313" s="1808"/>
      <c r="BX313" s="1808"/>
      <c r="BY313" s="1808"/>
      <c r="BZ313" s="1808"/>
      <c r="CA313" s="1808"/>
      <c r="CB313" s="1808"/>
      <c r="CC313" s="1808"/>
      <c r="CD313" s="1808"/>
      <c r="CE313" s="1808"/>
      <c r="CF313" s="1808"/>
      <c r="CG313" s="1808"/>
      <c r="CH313" s="1808"/>
      <c r="CI313" s="1808"/>
      <c r="CJ313" s="1808"/>
      <c r="CK313" s="1808"/>
      <c r="CL313" s="1808"/>
      <c r="CM313" s="1808"/>
      <c r="CN313" s="1808"/>
      <c r="CO313" s="1808"/>
      <c r="CP313" s="1808"/>
      <c r="CQ313" s="1808"/>
      <c r="CR313" s="1808"/>
      <c r="CS313" s="1808"/>
      <c r="CT313" s="1808"/>
      <c r="CU313" s="1808"/>
      <c r="CV313" s="1808"/>
      <c r="CW313" s="1808"/>
      <c r="CX313" s="1808"/>
      <c r="CY313" s="1808"/>
      <c r="CZ313" s="1808"/>
      <c r="DA313" s="1808"/>
      <c r="DB313" s="1808"/>
      <c r="DC313" s="1808"/>
      <c r="DD313" s="1808"/>
      <c r="DE313" s="1808"/>
      <c r="DF313" s="1808"/>
      <c r="DG313" s="1808"/>
      <c r="DH313" s="1808"/>
      <c r="DI313" s="1808"/>
      <c r="DJ313" s="1808"/>
      <c r="DK313" s="1808"/>
      <c r="DL313" s="1808"/>
      <c r="DM313" s="1808"/>
      <c r="DN313" s="1808"/>
      <c r="DO313" s="1808"/>
      <c r="DP313" s="1808"/>
      <c r="DQ313" s="1808"/>
      <c r="DR313" s="1808"/>
      <c r="DS313" s="1808"/>
      <c r="DT313" s="1808"/>
      <c r="DU313" s="1808"/>
      <c r="DV313" s="1808"/>
      <c r="DW313" s="1808"/>
      <c r="DX313" s="1808"/>
      <c r="DY313" s="1808"/>
      <c r="DZ313" s="1808"/>
      <c r="EA313" s="1808"/>
      <c r="EB313" s="1808"/>
      <c r="EC313" s="1808"/>
      <c r="ED313" s="1808"/>
      <c r="EE313" s="1808"/>
      <c r="EF313" s="1808"/>
      <c r="EG313" s="1808"/>
      <c r="EH313" s="1808"/>
      <c r="EI313" s="1808"/>
      <c r="EJ313" s="1808"/>
      <c r="EK313" s="1808"/>
      <c r="EL313" s="1808"/>
      <c r="EM313" s="1808"/>
      <c r="EN313" s="1808"/>
      <c r="EO313" s="1808"/>
      <c r="EP313" s="1808"/>
      <c r="EQ313" s="1808"/>
      <c r="ER313" s="1808"/>
      <c r="ES313" s="1808"/>
      <c r="ET313" s="1808"/>
      <c r="EU313" s="1808"/>
      <c r="EV313" s="1808"/>
      <c r="EW313" s="1808"/>
      <c r="EX313" s="1808"/>
      <c r="EY313" s="1808"/>
      <c r="EZ313" s="1808"/>
      <c r="FA313" s="1808"/>
      <c r="FB313" s="1808"/>
      <c r="FC313" s="1808"/>
      <c r="FD313" s="1808"/>
      <c r="FE313" s="1808"/>
      <c r="FF313" s="1808"/>
      <c r="FG313" s="1808"/>
      <c r="FH313" s="1808"/>
      <c r="FI313" s="1808"/>
      <c r="FJ313" s="1808"/>
      <c r="FK313" s="1808"/>
      <c r="FL313" s="1808"/>
    </row>
    <row r="314" spans="1:168" ht="61.5" customHeight="1" x14ac:dyDescent="0.2">
      <c r="A314" s="1819"/>
      <c r="B314" s="1820"/>
      <c r="C314" s="1821"/>
      <c r="D314" s="1820"/>
      <c r="E314" s="1820"/>
      <c r="F314" s="1821"/>
      <c r="G314" s="1820"/>
      <c r="H314" s="1820"/>
      <c r="I314" s="1821"/>
      <c r="J314" s="3937">
        <v>168</v>
      </c>
      <c r="K314" s="4020" t="s">
        <v>1880</v>
      </c>
      <c r="L314" s="3943" t="s">
        <v>1482</v>
      </c>
      <c r="M314" s="3943">
        <v>14</v>
      </c>
      <c r="N314" s="3944"/>
      <c r="O314" s="3944"/>
      <c r="P314" s="3941"/>
      <c r="Q314" s="3965">
        <v>0</v>
      </c>
      <c r="R314" s="3969"/>
      <c r="S314" s="3941"/>
      <c r="T314" s="3940" t="s">
        <v>1881</v>
      </c>
      <c r="U314" s="1958" t="s">
        <v>1882</v>
      </c>
      <c r="V314" s="1981">
        <v>0</v>
      </c>
      <c r="W314" s="1959"/>
      <c r="X314" s="1977"/>
      <c r="Y314" s="3944"/>
      <c r="Z314" s="3944"/>
      <c r="AA314" s="3944"/>
      <c r="AB314" s="3944"/>
      <c r="AC314" s="3944"/>
      <c r="AD314" s="3944"/>
      <c r="AE314" s="3944"/>
      <c r="AF314" s="3944"/>
      <c r="AG314" s="3944"/>
      <c r="AH314" s="3944"/>
      <c r="AI314" s="3944"/>
      <c r="AJ314" s="3944"/>
      <c r="AK314" s="3944"/>
      <c r="AL314" s="3944"/>
      <c r="AM314" s="3944"/>
      <c r="AN314" s="3944"/>
      <c r="AO314" s="3972"/>
      <c r="AP314" s="3972"/>
      <c r="AQ314" s="3975"/>
    </row>
    <row r="315" spans="1:168" ht="51.75" customHeight="1" x14ac:dyDescent="0.2">
      <c r="A315" s="1819"/>
      <c r="B315" s="1820"/>
      <c r="C315" s="1821"/>
      <c r="D315" s="1820"/>
      <c r="E315" s="1820"/>
      <c r="F315" s="1821"/>
      <c r="G315" s="1982"/>
      <c r="H315" s="1982"/>
      <c r="I315" s="1983"/>
      <c r="J315" s="3939"/>
      <c r="K315" s="4022"/>
      <c r="L315" s="3944"/>
      <c r="M315" s="3944"/>
      <c r="N315" s="3945"/>
      <c r="O315" s="3944"/>
      <c r="P315" s="3941"/>
      <c r="Q315" s="3967"/>
      <c r="R315" s="3969"/>
      <c r="S315" s="3941"/>
      <c r="T315" s="3942"/>
      <c r="U315" s="1958" t="s">
        <v>1883</v>
      </c>
      <c r="V315" s="1981"/>
      <c r="W315" s="1959"/>
      <c r="X315" s="1977"/>
      <c r="Y315" s="3945"/>
      <c r="Z315" s="3945"/>
      <c r="AA315" s="3945"/>
      <c r="AB315" s="3945"/>
      <c r="AC315" s="3945"/>
      <c r="AD315" s="3945"/>
      <c r="AE315" s="3945"/>
      <c r="AF315" s="3945"/>
      <c r="AG315" s="3945"/>
      <c r="AH315" s="3945"/>
      <c r="AI315" s="3945"/>
      <c r="AJ315" s="3945"/>
      <c r="AK315" s="3945"/>
      <c r="AL315" s="3945"/>
      <c r="AM315" s="3945"/>
      <c r="AN315" s="3945"/>
      <c r="AO315" s="3972"/>
      <c r="AP315" s="3972"/>
      <c r="AQ315" s="3976"/>
    </row>
    <row r="316" spans="1:168" ht="36" customHeight="1" x14ac:dyDescent="0.2">
      <c r="A316" s="1819"/>
      <c r="B316" s="1820"/>
      <c r="C316" s="1821"/>
      <c r="D316" s="1820"/>
      <c r="E316" s="1820"/>
      <c r="F316" s="1821"/>
      <c r="G316" s="1984">
        <v>51</v>
      </c>
      <c r="H316" s="1985" t="s">
        <v>1884</v>
      </c>
      <c r="I316" s="1985"/>
      <c r="J316" s="1968"/>
      <c r="K316" s="1924"/>
      <c r="L316" s="1825"/>
      <c r="M316" s="1825"/>
      <c r="N316" s="1827"/>
      <c r="O316" s="1825"/>
      <c r="P316" s="1826"/>
      <c r="Q316" s="1825"/>
      <c r="R316" s="1855"/>
      <c r="S316" s="1826"/>
      <c r="T316" s="1826"/>
      <c r="U316" s="1826"/>
      <c r="V316" s="1926"/>
      <c r="W316" s="1927"/>
      <c r="X316" s="1928"/>
      <c r="Y316" s="1827"/>
      <c r="Z316" s="1827"/>
      <c r="AA316" s="4126"/>
      <c r="AB316" s="4126"/>
      <c r="AC316" s="4126"/>
      <c r="AD316" s="4126"/>
      <c r="AE316" s="4126"/>
      <c r="AF316" s="4126"/>
      <c r="AG316" s="4126"/>
      <c r="AH316" s="4126"/>
      <c r="AI316" s="4126"/>
      <c r="AJ316" s="4126"/>
      <c r="AK316" s="4126"/>
      <c r="AL316" s="4126"/>
      <c r="AM316" s="4126"/>
      <c r="AN316" s="1986"/>
      <c r="AO316" s="1825"/>
      <c r="AP316" s="1825"/>
      <c r="AQ316" s="1832"/>
    </row>
    <row r="317" spans="1:168" ht="67.5" customHeight="1" x14ac:dyDescent="0.2">
      <c r="A317" s="1987"/>
      <c r="B317" s="1988"/>
      <c r="C317" s="1931"/>
      <c r="D317" s="1988"/>
      <c r="E317" s="1988"/>
      <c r="F317" s="1931"/>
      <c r="G317" s="1989"/>
      <c r="H317" s="1989"/>
      <c r="I317" s="1990"/>
      <c r="J317" s="3943">
        <v>169</v>
      </c>
      <c r="K317" s="3940" t="s">
        <v>1885</v>
      </c>
      <c r="L317" s="3943" t="s">
        <v>1482</v>
      </c>
      <c r="M317" s="3943">
        <v>12</v>
      </c>
      <c r="N317" s="3943" t="s">
        <v>1886</v>
      </c>
      <c r="O317" s="3943" t="s">
        <v>1887</v>
      </c>
      <c r="P317" s="3940" t="s">
        <v>1888</v>
      </c>
      <c r="Q317" s="3965">
        <v>1</v>
      </c>
      <c r="R317" s="3968">
        <f>SUM(V317+V318+V319)</f>
        <v>58080000</v>
      </c>
      <c r="S317" s="3940" t="s">
        <v>1889</v>
      </c>
      <c r="T317" s="1871" t="s">
        <v>1890</v>
      </c>
      <c r="U317" s="1991" t="s">
        <v>1891</v>
      </c>
      <c r="V317" s="1839">
        <v>19360000</v>
      </c>
      <c r="W317" s="1840">
        <v>20</v>
      </c>
      <c r="X317" s="3943" t="s">
        <v>72</v>
      </c>
      <c r="Y317" s="3943">
        <v>292684</v>
      </c>
      <c r="Z317" s="3943">
        <v>282326</v>
      </c>
      <c r="AA317" s="3943">
        <v>135912</v>
      </c>
      <c r="AB317" s="3943">
        <v>45122</v>
      </c>
      <c r="AC317" s="3943">
        <v>307101</v>
      </c>
      <c r="AD317" s="3943">
        <v>86875</v>
      </c>
      <c r="AE317" s="3943">
        <v>2145</v>
      </c>
      <c r="AF317" s="3943">
        <v>12718</v>
      </c>
      <c r="AG317" s="3943">
        <v>26</v>
      </c>
      <c r="AH317" s="3943">
        <v>37</v>
      </c>
      <c r="AI317" s="3943" t="s">
        <v>1489</v>
      </c>
      <c r="AJ317" s="3943" t="s">
        <v>1489</v>
      </c>
      <c r="AK317" s="3943">
        <v>53164</v>
      </c>
      <c r="AL317" s="3943">
        <v>16982</v>
      </c>
      <c r="AM317" s="3943">
        <v>60013</v>
      </c>
      <c r="AN317" s="3943">
        <v>575010</v>
      </c>
      <c r="AO317" s="4086">
        <v>43467</v>
      </c>
      <c r="AP317" s="4086">
        <v>43830</v>
      </c>
      <c r="AQ317" s="3974" t="s">
        <v>1490</v>
      </c>
    </row>
    <row r="318" spans="1:168" ht="67.5" customHeight="1" x14ac:dyDescent="0.2">
      <c r="A318" s="1987"/>
      <c r="B318" s="1988"/>
      <c r="C318" s="1931"/>
      <c r="D318" s="1988"/>
      <c r="E318" s="1988"/>
      <c r="F318" s="1931"/>
      <c r="G318" s="1988"/>
      <c r="H318" s="1988"/>
      <c r="I318" s="1931"/>
      <c r="J318" s="3944"/>
      <c r="K318" s="3941"/>
      <c r="L318" s="3944"/>
      <c r="M318" s="3944"/>
      <c r="N318" s="3944"/>
      <c r="O318" s="3944"/>
      <c r="P318" s="3941"/>
      <c r="Q318" s="3966"/>
      <c r="R318" s="3969"/>
      <c r="S318" s="3941"/>
      <c r="T318" s="1871" t="s">
        <v>1892</v>
      </c>
      <c r="U318" s="1991" t="s">
        <v>1893</v>
      </c>
      <c r="V318" s="1839">
        <v>19360000</v>
      </c>
      <c r="W318" s="1840">
        <v>20</v>
      </c>
      <c r="X318" s="3944"/>
      <c r="Y318" s="3944"/>
      <c r="Z318" s="3944"/>
      <c r="AA318" s="3944"/>
      <c r="AB318" s="3944"/>
      <c r="AC318" s="3944"/>
      <c r="AD318" s="3944"/>
      <c r="AE318" s="3944"/>
      <c r="AF318" s="3944"/>
      <c r="AG318" s="3944"/>
      <c r="AH318" s="3944"/>
      <c r="AI318" s="3944"/>
      <c r="AJ318" s="3944"/>
      <c r="AK318" s="3944"/>
      <c r="AL318" s="3944"/>
      <c r="AM318" s="3944"/>
      <c r="AN318" s="3944"/>
      <c r="AO318" s="4086"/>
      <c r="AP318" s="4086"/>
      <c r="AQ318" s="3975"/>
    </row>
    <row r="319" spans="1:168" ht="71.25" x14ac:dyDescent="0.2">
      <c r="A319" s="1833"/>
      <c r="B319" s="1834"/>
      <c r="C319" s="1835"/>
      <c r="D319" s="1834"/>
      <c r="E319" s="1834"/>
      <c r="F319" s="1835"/>
      <c r="G319" s="1844"/>
      <c r="H319" s="1844"/>
      <c r="I319" s="1845"/>
      <c r="J319" s="3945"/>
      <c r="K319" s="3942"/>
      <c r="L319" s="3945"/>
      <c r="M319" s="3945"/>
      <c r="N319" s="3945"/>
      <c r="O319" s="3945"/>
      <c r="P319" s="3942"/>
      <c r="Q319" s="3967"/>
      <c r="R319" s="3970"/>
      <c r="S319" s="3942"/>
      <c r="T319" s="1871" t="s">
        <v>1880</v>
      </c>
      <c r="U319" s="1991" t="s">
        <v>1894</v>
      </c>
      <c r="V319" s="1839">
        <v>19360000</v>
      </c>
      <c r="W319" s="1840">
        <v>20</v>
      </c>
      <c r="X319" s="3945"/>
      <c r="Y319" s="3945"/>
      <c r="Z319" s="3945"/>
      <c r="AA319" s="3945"/>
      <c r="AB319" s="3945"/>
      <c r="AC319" s="3945"/>
      <c r="AD319" s="3945"/>
      <c r="AE319" s="3945"/>
      <c r="AF319" s="3945"/>
      <c r="AG319" s="3945"/>
      <c r="AH319" s="3945"/>
      <c r="AI319" s="3945"/>
      <c r="AJ319" s="3945"/>
      <c r="AK319" s="3945"/>
      <c r="AL319" s="3945"/>
      <c r="AM319" s="3945"/>
      <c r="AN319" s="3945"/>
      <c r="AO319" s="4086"/>
      <c r="AP319" s="4086"/>
      <c r="AQ319" s="3976"/>
    </row>
    <row r="320" spans="1:168" ht="36" customHeight="1" x14ac:dyDescent="0.2">
      <c r="A320" s="1819"/>
      <c r="B320" s="1820"/>
      <c r="C320" s="1821"/>
      <c r="D320" s="1820"/>
      <c r="E320" s="1820"/>
      <c r="F320" s="1821"/>
      <c r="G320" s="1854">
        <v>52</v>
      </c>
      <c r="H320" s="1825" t="s">
        <v>1895</v>
      </c>
      <c r="I320" s="1825"/>
      <c r="J320" s="1962"/>
      <c r="K320" s="1963"/>
      <c r="L320" s="1825"/>
      <c r="M320" s="1825"/>
      <c r="N320" s="1827"/>
      <c r="O320" s="1825"/>
      <c r="P320" s="1826"/>
      <c r="Q320" s="1825"/>
      <c r="R320" s="1855"/>
      <c r="S320" s="1826"/>
      <c r="T320" s="1826"/>
      <c r="U320" s="1826"/>
      <c r="V320" s="1926"/>
      <c r="W320" s="1927"/>
      <c r="X320" s="1928"/>
      <c r="Y320" s="1827"/>
      <c r="Z320" s="1827"/>
      <c r="AA320" s="4127"/>
      <c r="AB320" s="4126"/>
      <c r="AC320" s="4126"/>
      <c r="AD320" s="4126"/>
      <c r="AE320" s="4126"/>
      <c r="AF320" s="4126"/>
      <c r="AG320" s="4126"/>
      <c r="AH320" s="4126"/>
      <c r="AI320" s="4126"/>
      <c r="AJ320" s="4126"/>
      <c r="AK320" s="4126"/>
      <c r="AL320" s="4126"/>
      <c r="AM320" s="4126"/>
      <c r="AN320" s="1992"/>
      <c r="AO320" s="1825"/>
      <c r="AP320" s="1825"/>
      <c r="AQ320" s="1832"/>
    </row>
    <row r="321" spans="1:43" ht="39.75" customHeight="1" x14ac:dyDescent="0.2">
      <c r="A321" s="1859"/>
      <c r="B321" s="1860"/>
      <c r="C321" s="1861"/>
      <c r="D321" s="1860"/>
      <c r="E321" s="1860"/>
      <c r="F321" s="1861"/>
      <c r="G321" s="1863"/>
      <c r="H321" s="1863"/>
      <c r="I321" s="1863"/>
      <c r="J321" s="4128">
        <v>170</v>
      </c>
      <c r="K321" s="4027" t="s">
        <v>1896</v>
      </c>
      <c r="L321" s="4070" t="s">
        <v>1482</v>
      </c>
      <c r="M321" s="4070">
        <v>14</v>
      </c>
      <c r="N321" s="3943" t="s">
        <v>1897</v>
      </c>
      <c r="O321" s="3943" t="s">
        <v>1898</v>
      </c>
      <c r="P321" s="3940" t="s">
        <v>1899</v>
      </c>
      <c r="Q321" s="3965">
        <f>(V321+V323+V322)/R321</f>
        <v>0.5</v>
      </c>
      <c r="R321" s="3968">
        <f>SUM(V321:V325)</f>
        <v>20000000</v>
      </c>
      <c r="S321" s="3940" t="s">
        <v>1900</v>
      </c>
      <c r="T321" s="3940" t="s">
        <v>1901</v>
      </c>
      <c r="U321" s="1993" t="s">
        <v>1902</v>
      </c>
      <c r="V321" s="1994">
        <v>3000000</v>
      </c>
      <c r="W321" s="1840">
        <v>20</v>
      </c>
      <c r="X321" s="1977" t="s">
        <v>72</v>
      </c>
      <c r="Y321" s="3943">
        <v>292684</v>
      </c>
      <c r="Z321" s="3943">
        <v>282326</v>
      </c>
      <c r="AA321" s="3943">
        <v>135912</v>
      </c>
      <c r="AB321" s="3943">
        <v>45122</v>
      </c>
      <c r="AC321" s="3943">
        <v>307101</v>
      </c>
      <c r="AD321" s="3943">
        <v>86875</v>
      </c>
      <c r="AE321" s="3943">
        <v>2145</v>
      </c>
      <c r="AF321" s="3943">
        <v>12718</v>
      </c>
      <c r="AG321" s="3943">
        <v>26</v>
      </c>
      <c r="AH321" s="3943">
        <v>37</v>
      </c>
      <c r="AI321" s="3943" t="s">
        <v>1489</v>
      </c>
      <c r="AJ321" s="3943" t="s">
        <v>1489</v>
      </c>
      <c r="AK321" s="3943">
        <v>53164</v>
      </c>
      <c r="AL321" s="3943">
        <v>16982</v>
      </c>
      <c r="AM321" s="3943">
        <v>60013</v>
      </c>
      <c r="AN321" s="3943">
        <v>575010</v>
      </c>
      <c r="AO321" s="4129">
        <v>43467</v>
      </c>
      <c r="AP321" s="4129">
        <v>43830</v>
      </c>
      <c r="AQ321" s="4130" t="s">
        <v>1490</v>
      </c>
    </row>
    <row r="322" spans="1:43" ht="37.5" customHeight="1" x14ac:dyDescent="0.2">
      <c r="A322" s="1859"/>
      <c r="B322" s="1860"/>
      <c r="C322" s="1861"/>
      <c r="D322" s="1860"/>
      <c r="E322" s="1860"/>
      <c r="F322" s="1861"/>
      <c r="G322" s="1860"/>
      <c r="H322" s="1860"/>
      <c r="I322" s="1860"/>
      <c r="J322" s="4128"/>
      <c r="K322" s="4027"/>
      <c r="L322" s="4070"/>
      <c r="M322" s="4070"/>
      <c r="N322" s="3944"/>
      <c r="O322" s="3944"/>
      <c r="P322" s="3941"/>
      <c r="Q322" s="3966"/>
      <c r="R322" s="3969"/>
      <c r="S322" s="3941"/>
      <c r="T322" s="3941"/>
      <c r="U322" s="1993" t="s">
        <v>1903</v>
      </c>
      <c r="V322" s="1994">
        <v>4000000</v>
      </c>
      <c r="W322" s="1840">
        <v>20</v>
      </c>
      <c r="X322" s="1977" t="s">
        <v>72</v>
      </c>
      <c r="Y322" s="3944"/>
      <c r="Z322" s="3944"/>
      <c r="AA322" s="3944"/>
      <c r="AB322" s="3944"/>
      <c r="AC322" s="3944"/>
      <c r="AD322" s="3944"/>
      <c r="AE322" s="3944"/>
      <c r="AF322" s="3944"/>
      <c r="AG322" s="3944"/>
      <c r="AH322" s="3944"/>
      <c r="AI322" s="3944"/>
      <c r="AJ322" s="3944"/>
      <c r="AK322" s="3944"/>
      <c r="AL322" s="3944"/>
      <c r="AM322" s="3944"/>
      <c r="AN322" s="3944"/>
      <c r="AO322" s="4007"/>
      <c r="AP322" s="4007"/>
      <c r="AQ322" s="4131"/>
    </row>
    <row r="323" spans="1:43" ht="49.5" customHeight="1" x14ac:dyDescent="0.2">
      <c r="A323" s="1859"/>
      <c r="B323" s="1860"/>
      <c r="C323" s="1861"/>
      <c r="D323" s="1860"/>
      <c r="E323" s="1860"/>
      <c r="F323" s="1861"/>
      <c r="G323" s="1860"/>
      <c r="H323" s="1860"/>
      <c r="I323" s="1860"/>
      <c r="J323" s="4128"/>
      <c r="K323" s="4027"/>
      <c r="L323" s="4070"/>
      <c r="M323" s="4070"/>
      <c r="N323" s="3944"/>
      <c r="O323" s="3944"/>
      <c r="P323" s="3941"/>
      <c r="Q323" s="3966"/>
      <c r="R323" s="3969"/>
      <c r="S323" s="3941"/>
      <c r="T323" s="3942"/>
      <c r="U323" s="1993" t="s">
        <v>1904</v>
      </c>
      <c r="V323" s="1839">
        <v>3000000</v>
      </c>
      <c r="W323" s="1840">
        <v>20</v>
      </c>
      <c r="X323" s="1977" t="s">
        <v>72</v>
      </c>
      <c r="Y323" s="3944"/>
      <c r="Z323" s="3944"/>
      <c r="AA323" s="3944"/>
      <c r="AB323" s="3944"/>
      <c r="AC323" s="3944"/>
      <c r="AD323" s="3944"/>
      <c r="AE323" s="3944"/>
      <c r="AF323" s="3944"/>
      <c r="AG323" s="3944"/>
      <c r="AH323" s="3944"/>
      <c r="AI323" s="3944"/>
      <c r="AJ323" s="3944"/>
      <c r="AK323" s="3944"/>
      <c r="AL323" s="3944"/>
      <c r="AM323" s="3944"/>
      <c r="AN323" s="3944"/>
      <c r="AO323" s="4007"/>
      <c r="AP323" s="4007"/>
      <c r="AQ323" s="4131"/>
    </row>
    <row r="324" spans="1:43" ht="38.25" customHeight="1" x14ac:dyDescent="0.2">
      <c r="A324" s="1859"/>
      <c r="B324" s="1860"/>
      <c r="C324" s="1861"/>
      <c r="D324" s="1860"/>
      <c r="E324" s="1860"/>
      <c r="F324" s="1861"/>
      <c r="G324" s="1860"/>
      <c r="H324" s="1860"/>
      <c r="I324" s="1860"/>
      <c r="J324" s="4128">
        <v>171</v>
      </c>
      <c r="K324" s="4026" t="s">
        <v>1905</v>
      </c>
      <c r="L324" s="4133" t="s">
        <v>1482</v>
      </c>
      <c r="M324" s="3944">
        <v>1</v>
      </c>
      <c r="N324" s="3944"/>
      <c r="O324" s="3944"/>
      <c r="P324" s="3941"/>
      <c r="Q324" s="3965">
        <f>+SUM(V324:V325)/R321</f>
        <v>0.5</v>
      </c>
      <c r="R324" s="3969"/>
      <c r="S324" s="3941"/>
      <c r="T324" s="3940" t="s">
        <v>1906</v>
      </c>
      <c r="U324" s="1993" t="s">
        <v>1907</v>
      </c>
      <c r="V324" s="1839">
        <v>5000000</v>
      </c>
      <c r="W324" s="1840">
        <v>20</v>
      </c>
      <c r="X324" s="1977" t="s">
        <v>72</v>
      </c>
      <c r="Y324" s="3944"/>
      <c r="Z324" s="3944"/>
      <c r="AA324" s="3944"/>
      <c r="AB324" s="3944"/>
      <c r="AC324" s="3944"/>
      <c r="AD324" s="3944"/>
      <c r="AE324" s="3944"/>
      <c r="AF324" s="3944"/>
      <c r="AG324" s="3944"/>
      <c r="AH324" s="3944"/>
      <c r="AI324" s="3944"/>
      <c r="AJ324" s="3944"/>
      <c r="AK324" s="3944"/>
      <c r="AL324" s="3944"/>
      <c r="AM324" s="3944"/>
      <c r="AN324" s="3944"/>
      <c r="AO324" s="4007"/>
      <c r="AP324" s="4007"/>
      <c r="AQ324" s="4131"/>
    </row>
    <row r="325" spans="1:43" ht="50.25" customHeight="1" x14ac:dyDescent="0.2">
      <c r="A325" s="1859"/>
      <c r="B325" s="1860"/>
      <c r="C325" s="1861"/>
      <c r="D325" s="1860"/>
      <c r="E325" s="1860"/>
      <c r="F325" s="1861"/>
      <c r="G325" s="1860"/>
      <c r="H325" s="1860"/>
      <c r="I325" s="1860"/>
      <c r="J325" s="4128"/>
      <c r="K325" s="4026"/>
      <c r="L325" s="4134"/>
      <c r="M325" s="3945"/>
      <c r="N325" s="3945"/>
      <c r="O325" s="3945"/>
      <c r="P325" s="3942"/>
      <c r="Q325" s="3967"/>
      <c r="R325" s="3970"/>
      <c r="S325" s="3942"/>
      <c r="T325" s="3942"/>
      <c r="U325" s="1993" t="s">
        <v>1908</v>
      </c>
      <c r="V325" s="1839">
        <v>5000000</v>
      </c>
      <c r="W325" s="1840">
        <v>20</v>
      </c>
      <c r="X325" s="1977" t="s">
        <v>72</v>
      </c>
      <c r="Y325" s="3945"/>
      <c r="Z325" s="3945"/>
      <c r="AA325" s="3945"/>
      <c r="AB325" s="3945"/>
      <c r="AC325" s="3945"/>
      <c r="AD325" s="3945"/>
      <c r="AE325" s="3945"/>
      <c r="AF325" s="3945"/>
      <c r="AG325" s="3945"/>
      <c r="AH325" s="3945"/>
      <c r="AI325" s="3945"/>
      <c r="AJ325" s="3945"/>
      <c r="AK325" s="3945"/>
      <c r="AL325" s="3945"/>
      <c r="AM325" s="3945"/>
      <c r="AN325" s="3945"/>
      <c r="AO325" s="4008"/>
      <c r="AP325" s="4008"/>
      <c r="AQ325" s="4132"/>
    </row>
    <row r="326" spans="1:43" ht="53.25" customHeight="1" x14ac:dyDescent="0.2">
      <c r="A326" s="1859"/>
      <c r="B326" s="1860"/>
      <c r="C326" s="1861"/>
      <c r="D326" s="1860"/>
      <c r="E326" s="1860"/>
      <c r="F326" s="1861"/>
      <c r="G326" s="1860"/>
      <c r="H326" s="1860"/>
      <c r="I326" s="1861"/>
      <c r="J326" s="3938">
        <v>172</v>
      </c>
      <c r="K326" s="3941" t="s">
        <v>1909</v>
      </c>
      <c r="L326" s="3943" t="s">
        <v>1482</v>
      </c>
      <c r="M326" s="3943">
        <v>12</v>
      </c>
      <c r="N326" s="3943" t="s">
        <v>1910</v>
      </c>
      <c r="O326" s="3943" t="s">
        <v>1911</v>
      </c>
      <c r="P326" s="3940" t="s">
        <v>1912</v>
      </c>
      <c r="Q326" s="3965">
        <f>SUM(V326:V333)/R326</f>
        <v>1</v>
      </c>
      <c r="R326" s="3968">
        <f>SUM(V326:V333)</f>
        <v>674441641</v>
      </c>
      <c r="S326" s="3940" t="s">
        <v>1913</v>
      </c>
      <c r="T326" s="3940" t="s">
        <v>1914</v>
      </c>
      <c r="U326" s="4135" t="s">
        <v>1915</v>
      </c>
      <c r="V326" s="1839">
        <v>100000000</v>
      </c>
      <c r="W326" s="1840">
        <v>20</v>
      </c>
      <c r="X326" s="1940" t="s">
        <v>72</v>
      </c>
      <c r="Y326" s="3943">
        <v>292684</v>
      </c>
      <c r="Z326" s="3943">
        <v>282326</v>
      </c>
      <c r="AA326" s="3943">
        <v>135912</v>
      </c>
      <c r="AB326" s="3943">
        <v>45122</v>
      </c>
      <c r="AC326" s="3943">
        <v>307101</v>
      </c>
      <c r="AD326" s="3943">
        <v>86875</v>
      </c>
      <c r="AE326" s="3943">
        <v>2145</v>
      </c>
      <c r="AF326" s="3943">
        <v>12718</v>
      </c>
      <c r="AG326" s="3943">
        <v>26</v>
      </c>
      <c r="AH326" s="3943">
        <v>37</v>
      </c>
      <c r="AI326" s="3943" t="s">
        <v>1489</v>
      </c>
      <c r="AJ326" s="3943" t="s">
        <v>1489</v>
      </c>
      <c r="AK326" s="3943">
        <v>53164</v>
      </c>
      <c r="AL326" s="3943">
        <v>16982</v>
      </c>
      <c r="AM326" s="3943">
        <v>60013</v>
      </c>
      <c r="AN326" s="3943">
        <v>575010</v>
      </c>
      <c r="AO326" s="3971">
        <v>43467</v>
      </c>
      <c r="AP326" s="3971">
        <v>43830</v>
      </c>
      <c r="AQ326" s="3974" t="s">
        <v>1490</v>
      </c>
    </row>
    <row r="327" spans="1:43" ht="53.25" customHeight="1" x14ac:dyDescent="0.2">
      <c r="A327" s="1859"/>
      <c r="B327" s="1860"/>
      <c r="C327" s="1861"/>
      <c r="D327" s="1860"/>
      <c r="E327" s="1860"/>
      <c r="F327" s="1861"/>
      <c r="G327" s="1860"/>
      <c r="H327" s="1860"/>
      <c r="I327" s="1861"/>
      <c r="J327" s="3938"/>
      <c r="K327" s="3941"/>
      <c r="L327" s="3944"/>
      <c r="M327" s="3944"/>
      <c r="N327" s="3944"/>
      <c r="O327" s="3944"/>
      <c r="P327" s="3941"/>
      <c r="Q327" s="3966"/>
      <c r="R327" s="3969"/>
      <c r="S327" s="3941"/>
      <c r="T327" s="3941"/>
      <c r="U327" s="4136"/>
      <c r="V327" s="1839">
        <v>114000000</v>
      </c>
      <c r="W327" s="1840">
        <v>96</v>
      </c>
      <c r="X327" s="1940" t="s">
        <v>1916</v>
      </c>
      <c r="Y327" s="3944"/>
      <c r="Z327" s="3944"/>
      <c r="AA327" s="3944"/>
      <c r="AB327" s="3944"/>
      <c r="AC327" s="3944"/>
      <c r="AD327" s="3944"/>
      <c r="AE327" s="3944"/>
      <c r="AF327" s="3944"/>
      <c r="AG327" s="3944"/>
      <c r="AH327" s="3944"/>
      <c r="AI327" s="3944"/>
      <c r="AJ327" s="3944"/>
      <c r="AK327" s="3944"/>
      <c r="AL327" s="3944"/>
      <c r="AM327" s="3944"/>
      <c r="AN327" s="3944"/>
      <c r="AO327" s="3972"/>
      <c r="AP327" s="3972"/>
      <c r="AQ327" s="3975"/>
    </row>
    <row r="328" spans="1:43" ht="42" customHeight="1" x14ac:dyDescent="0.2">
      <c r="A328" s="1859"/>
      <c r="B328" s="1860"/>
      <c r="C328" s="1861"/>
      <c r="D328" s="1860"/>
      <c r="E328" s="1860"/>
      <c r="F328" s="1861"/>
      <c r="G328" s="1860"/>
      <c r="H328" s="1860"/>
      <c r="I328" s="1861"/>
      <c r="J328" s="3938"/>
      <c r="K328" s="3941"/>
      <c r="L328" s="3944"/>
      <c r="M328" s="3944"/>
      <c r="N328" s="3944"/>
      <c r="O328" s="3944"/>
      <c r="P328" s="3941"/>
      <c r="Q328" s="3966"/>
      <c r="R328" s="3969"/>
      <c r="S328" s="3941"/>
      <c r="T328" s="3941"/>
      <c r="U328" s="1995" t="s">
        <v>1917</v>
      </c>
      <c r="V328" s="1839">
        <v>10000000</v>
      </c>
      <c r="W328" s="1840">
        <v>20</v>
      </c>
      <c r="X328" s="1940" t="s">
        <v>72</v>
      </c>
      <c r="Y328" s="3944"/>
      <c r="Z328" s="3944"/>
      <c r="AA328" s="3944"/>
      <c r="AB328" s="3944"/>
      <c r="AC328" s="3944"/>
      <c r="AD328" s="3944"/>
      <c r="AE328" s="3944"/>
      <c r="AF328" s="3944"/>
      <c r="AG328" s="3944"/>
      <c r="AH328" s="3944"/>
      <c r="AI328" s="3944"/>
      <c r="AJ328" s="3944"/>
      <c r="AK328" s="3944"/>
      <c r="AL328" s="3944"/>
      <c r="AM328" s="3944"/>
      <c r="AN328" s="3944"/>
      <c r="AO328" s="3972"/>
      <c r="AP328" s="3972"/>
      <c r="AQ328" s="3975"/>
    </row>
    <row r="329" spans="1:43" ht="69" customHeight="1" x14ac:dyDescent="0.2">
      <c r="A329" s="1859"/>
      <c r="B329" s="1860"/>
      <c r="C329" s="1861"/>
      <c r="D329" s="1860"/>
      <c r="E329" s="1860"/>
      <c r="F329" s="1861"/>
      <c r="G329" s="1860"/>
      <c r="H329" s="1860"/>
      <c r="I329" s="1861"/>
      <c r="J329" s="3938"/>
      <c r="K329" s="3941"/>
      <c r="L329" s="3944"/>
      <c r="M329" s="3944"/>
      <c r="N329" s="3944"/>
      <c r="O329" s="3944"/>
      <c r="P329" s="3941"/>
      <c r="Q329" s="3966"/>
      <c r="R329" s="3969"/>
      <c r="S329" s="3941"/>
      <c r="T329" s="3941"/>
      <c r="U329" s="4137" t="s">
        <v>1918</v>
      </c>
      <c r="V329" s="1839">
        <v>15441641</v>
      </c>
      <c r="W329" s="1840">
        <v>20</v>
      </c>
      <c r="X329" s="1940" t="s">
        <v>72</v>
      </c>
      <c r="Y329" s="3944"/>
      <c r="Z329" s="3944"/>
      <c r="AA329" s="3944"/>
      <c r="AB329" s="3944"/>
      <c r="AC329" s="3944"/>
      <c r="AD329" s="3944"/>
      <c r="AE329" s="3944"/>
      <c r="AF329" s="3944"/>
      <c r="AG329" s="3944"/>
      <c r="AH329" s="3944"/>
      <c r="AI329" s="3944"/>
      <c r="AJ329" s="3944"/>
      <c r="AK329" s="3944"/>
      <c r="AL329" s="3944"/>
      <c r="AM329" s="3944"/>
      <c r="AN329" s="3944"/>
      <c r="AO329" s="3972"/>
      <c r="AP329" s="3972"/>
      <c r="AQ329" s="3975"/>
    </row>
    <row r="330" spans="1:43" ht="69" customHeight="1" x14ac:dyDescent="0.2">
      <c r="A330" s="1859"/>
      <c r="B330" s="1860"/>
      <c r="C330" s="1861"/>
      <c r="D330" s="1860"/>
      <c r="E330" s="1860"/>
      <c r="F330" s="1861"/>
      <c r="G330" s="1860"/>
      <c r="H330" s="1860"/>
      <c r="I330" s="1861"/>
      <c r="J330" s="3938"/>
      <c r="K330" s="3941"/>
      <c r="L330" s="3944"/>
      <c r="M330" s="3944"/>
      <c r="N330" s="3944"/>
      <c r="O330" s="3944"/>
      <c r="P330" s="3941"/>
      <c r="Q330" s="3966"/>
      <c r="R330" s="3969"/>
      <c r="S330" s="3941"/>
      <c r="T330" s="3941"/>
      <c r="U330" s="4138"/>
      <c r="V330" s="1858">
        <v>400000000</v>
      </c>
      <c r="W330" s="1925">
        <v>88</v>
      </c>
      <c r="X330" s="1939" t="s">
        <v>1919</v>
      </c>
      <c r="Y330" s="3944"/>
      <c r="Z330" s="3944"/>
      <c r="AA330" s="3944"/>
      <c r="AB330" s="3944"/>
      <c r="AC330" s="3944"/>
      <c r="AD330" s="3944"/>
      <c r="AE330" s="3944"/>
      <c r="AF330" s="3944"/>
      <c r="AG330" s="3944"/>
      <c r="AH330" s="3944"/>
      <c r="AI330" s="3944"/>
      <c r="AJ330" s="3944"/>
      <c r="AK330" s="3944"/>
      <c r="AL330" s="3944"/>
      <c r="AM330" s="3944"/>
      <c r="AN330" s="3944"/>
      <c r="AO330" s="3972"/>
      <c r="AP330" s="3972"/>
      <c r="AQ330" s="3975"/>
    </row>
    <row r="331" spans="1:43" ht="39" customHeight="1" x14ac:dyDescent="0.2">
      <c r="A331" s="1859"/>
      <c r="B331" s="1860"/>
      <c r="C331" s="1861"/>
      <c r="D331" s="1860"/>
      <c r="E331" s="1860"/>
      <c r="F331" s="1861"/>
      <c r="G331" s="1860"/>
      <c r="H331" s="1860"/>
      <c r="I331" s="1861"/>
      <c r="J331" s="3938"/>
      <c r="K331" s="3941"/>
      <c r="L331" s="3944"/>
      <c r="M331" s="3944"/>
      <c r="N331" s="3944"/>
      <c r="O331" s="3944"/>
      <c r="P331" s="3941"/>
      <c r="Q331" s="3966"/>
      <c r="R331" s="3969"/>
      <c r="S331" s="3941"/>
      <c r="T331" s="3941"/>
      <c r="U331" s="1995" t="s">
        <v>1920</v>
      </c>
      <c r="V331" s="1839">
        <v>10000000</v>
      </c>
      <c r="W331" s="1840">
        <v>20</v>
      </c>
      <c r="X331" s="1940" t="s">
        <v>72</v>
      </c>
      <c r="Y331" s="3944"/>
      <c r="Z331" s="3944"/>
      <c r="AA331" s="3944"/>
      <c r="AB331" s="3944"/>
      <c r="AC331" s="3944"/>
      <c r="AD331" s="3944"/>
      <c r="AE331" s="3944"/>
      <c r="AF331" s="3944"/>
      <c r="AG331" s="3944"/>
      <c r="AH331" s="3944"/>
      <c r="AI331" s="3944"/>
      <c r="AJ331" s="3944"/>
      <c r="AK331" s="3944"/>
      <c r="AL331" s="3944"/>
      <c r="AM331" s="3944"/>
      <c r="AN331" s="3944"/>
      <c r="AO331" s="3972"/>
      <c r="AP331" s="3972"/>
      <c r="AQ331" s="3975"/>
    </row>
    <row r="332" spans="1:43" ht="28.5" x14ac:dyDescent="0.2">
      <c r="A332" s="1859"/>
      <c r="B332" s="1860"/>
      <c r="C332" s="1861"/>
      <c r="D332" s="1860"/>
      <c r="E332" s="1860"/>
      <c r="F332" s="1861"/>
      <c r="G332" s="1860"/>
      <c r="H332" s="1860"/>
      <c r="I332" s="1861"/>
      <c r="J332" s="3938"/>
      <c r="K332" s="3941"/>
      <c r="L332" s="3944"/>
      <c r="M332" s="3944"/>
      <c r="N332" s="3944"/>
      <c r="O332" s="3944"/>
      <c r="P332" s="3941"/>
      <c r="Q332" s="3966"/>
      <c r="R332" s="3969"/>
      <c r="S332" s="3941"/>
      <c r="T332" s="3942"/>
      <c r="U332" s="1995" t="s">
        <v>1921</v>
      </c>
      <c r="V332" s="1839">
        <v>10000000</v>
      </c>
      <c r="W332" s="1840">
        <v>20</v>
      </c>
      <c r="X332" s="1940" t="s">
        <v>72</v>
      </c>
      <c r="Y332" s="3944"/>
      <c r="Z332" s="3944"/>
      <c r="AA332" s="3944"/>
      <c r="AB332" s="3944"/>
      <c r="AC332" s="3944"/>
      <c r="AD332" s="3944"/>
      <c r="AE332" s="3944"/>
      <c r="AF332" s="3944"/>
      <c r="AG332" s="3944"/>
      <c r="AH332" s="3944"/>
      <c r="AI332" s="3944"/>
      <c r="AJ332" s="3944"/>
      <c r="AK332" s="3944"/>
      <c r="AL332" s="3944"/>
      <c r="AM332" s="3944"/>
      <c r="AN332" s="3944"/>
      <c r="AO332" s="3972"/>
      <c r="AP332" s="3972"/>
      <c r="AQ332" s="3975"/>
    </row>
    <row r="333" spans="1:43" ht="42.75" x14ac:dyDescent="0.2">
      <c r="A333" s="1859"/>
      <c r="B333" s="1860"/>
      <c r="C333" s="1861"/>
      <c r="D333" s="1860"/>
      <c r="E333" s="1860"/>
      <c r="F333" s="1861"/>
      <c r="G333" s="1869"/>
      <c r="H333" s="1869"/>
      <c r="I333" s="1870"/>
      <c r="J333" s="3939"/>
      <c r="K333" s="3942"/>
      <c r="L333" s="3945"/>
      <c r="M333" s="3945"/>
      <c r="N333" s="3945"/>
      <c r="O333" s="3945"/>
      <c r="P333" s="3942"/>
      <c r="Q333" s="3967"/>
      <c r="R333" s="3970"/>
      <c r="S333" s="3942"/>
      <c r="T333" s="1871" t="s">
        <v>1922</v>
      </c>
      <c r="U333" s="1996" t="s">
        <v>1923</v>
      </c>
      <c r="V333" s="1839">
        <v>15000000</v>
      </c>
      <c r="W333" s="1840">
        <v>20</v>
      </c>
      <c r="X333" s="1940" t="s">
        <v>72</v>
      </c>
      <c r="Y333" s="3945"/>
      <c r="Z333" s="3945"/>
      <c r="AA333" s="3945"/>
      <c r="AB333" s="3945"/>
      <c r="AC333" s="3945"/>
      <c r="AD333" s="3945"/>
      <c r="AE333" s="3945"/>
      <c r="AF333" s="3945"/>
      <c r="AG333" s="3945"/>
      <c r="AH333" s="3945"/>
      <c r="AI333" s="3945"/>
      <c r="AJ333" s="3945"/>
      <c r="AK333" s="3945"/>
      <c r="AL333" s="3945"/>
      <c r="AM333" s="3945"/>
      <c r="AN333" s="3945"/>
      <c r="AO333" s="3973"/>
      <c r="AP333" s="3973"/>
      <c r="AQ333" s="3976"/>
    </row>
    <row r="334" spans="1:43" ht="36" customHeight="1" x14ac:dyDescent="0.2">
      <c r="A334" s="1819"/>
      <c r="B334" s="1820"/>
      <c r="C334" s="1821"/>
      <c r="D334" s="1820"/>
      <c r="E334" s="1820"/>
      <c r="F334" s="1821"/>
      <c r="G334" s="1854">
        <v>53</v>
      </c>
      <c r="H334" s="1825" t="s">
        <v>1924</v>
      </c>
      <c r="I334" s="1825"/>
      <c r="J334" s="1962"/>
      <c r="K334" s="1963"/>
      <c r="L334" s="1825"/>
      <c r="M334" s="1825"/>
      <c r="N334" s="1827"/>
      <c r="O334" s="1825"/>
      <c r="P334" s="1826"/>
      <c r="Q334" s="1825"/>
      <c r="R334" s="1855"/>
      <c r="S334" s="1826"/>
      <c r="T334" s="1826"/>
      <c r="U334" s="1826"/>
      <c r="V334" s="1926"/>
      <c r="W334" s="1927"/>
      <c r="X334" s="1928"/>
      <c r="Y334" s="1827"/>
      <c r="Z334" s="1827"/>
      <c r="AA334" s="1997"/>
      <c r="AB334" s="1997"/>
      <c r="AC334" s="1998"/>
      <c r="AD334" s="1997"/>
      <c r="AE334" s="1997"/>
      <c r="AF334" s="1997"/>
      <c r="AG334" s="1997"/>
      <c r="AH334" s="1999"/>
      <c r="AI334" s="1997"/>
      <c r="AJ334" s="1998"/>
      <c r="AK334" s="1997"/>
      <c r="AL334" s="1997"/>
      <c r="AM334" s="1998"/>
      <c r="AN334" s="1998"/>
      <c r="AO334" s="1825"/>
      <c r="AP334" s="1825"/>
      <c r="AQ334" s="1832"/>
    </row>
    <row r="335" spans="1:43" ht="70.5" customHeight="1" x14ac:dyDescent="0.2">
      <c r="A335" s="1833"/>
      <c r="B335" s="1834"/>
      <c r="C335" s="1835"/>
      <c r="D335" s="1834"/>
      <c r="E335" s="1834"/>
      <c r="F335" s="1835"/>
      <c r="G335" s="1837"/>
      <c r="H335" s="1837"/>
      <c r="I335" s="1837"/>
      <c r="J335" s="4128">
        <v>173</v>
      </c>
      <c r="K335" s="4026" t="s">
        <v>1925</v>
      </c>
      <c r="L335" s="4140" t="s">
        <v>1482</v>
      </c>
      <c r="M335" s="4141">
        <v>7</v>
      </c>
      <c r="N335" s="3943" t="s">
        <v>1926</v>
      </c>
      <c r="O335" s="3943" t="s">
        <v>1927</v>
      </c>
      <c r="P335" s="3940" t="s">
        <v>1928</v>
      </c>
      <c r="Q335" s="3277">
        <f>SUM(V335:V343)/R335</f>
        <v>0.46524064171122997</v>
      </c>
      <c r="R335" s="3968">
        <f>SUM(V335:V344)</f>
        <v>56100000</v>
      </c>
      <c r="S335" s="3940" t="s">
        <v>1929</v>
      </c>
      <c r="T335" s="3940" t="s">
        <v>1930</v>
      </c>
      <c r="U335" s="2000" t="s">
        <v>1931</v>
      </c>
      <c r="V335" s="1914">
        <v>2000000</v>
      </c>
      <c r="W335" s="1840">
        <v>20</v>
      </c>
      <c r="X335" s="1940" t="s">
        <v>72</v>
      </c>
      <c r="Y335" s="3943">
        <v>292684</v>
      </c>
      <c r="Z335" s="3943">
        <v>282326</v>
      </c>
      <c r="AA335" s="3943">
        <v>135912</v>
      </c>
      <c r="AB335" s="3943">
        <v>45122</v>
      </c>
      <c r="AC335" s="3943">
        <v>307101</v>
      </c>
      <c r="AD335" s="3943">
        <v>86875</v>
      </c>
      <c r="AE335" s="3943">
        <v>2145</v>
      </c>
      <c r="AF335" s="3943">
        <v>12718</v>
      </c>
      <c r="AG335" s="3943">
        <v>26</v>
      </c>
      <c r="AH335" s="3943">
        <v>37</v>
      </c>
      <c r="AI335" s="3943" t="s">
        <v>1489</v>
      </c>
      <c r="AJ335" s="3943" t="s">
        <v>1489</v>
      </c>
      <c r="AK335" s="3943">
        <v>53164</v>
      </c>
      <c r="AL335" s="3943">
        <v>16982</v>
      </c>
      <c r="AM335" s="3943">
        <v>60013</v>
      </c>
      <c r="AN335" s="3943">
        <v>575010</v>
      </c>
      <c r="AO335" s="3971">
        <v>43467</v>
      </c>
      <c r="AP335" s="3971">
        <v>43830</v>
      </c>
      <c r="AQ335" s="3974" t="s">
        <v>1490</v>
      </c>
    </row>
    <row r="336" spans="1:43" ht="60.75" customHeight="1" x14ac:dyDescent="0.2">
      <c r="A336" s="1833"/>
      <c r="B336" s="1834"/>
      <c r="C336" s="1835"/>
      <c r="D336" s="1834"/>
      <c r="E336" s="1834"/>
      <c r="F336" s="1835"/>
      <c r="G336" s="1834"/>
      <c r="H336" s="1834"/>
      <c r="I336" s="1834"/>
      <c r="J336" s="4128"/>
      <c r="K336" s="4026"/>
      <c r="L336" s="4133"/>
      <c r="M336" s="4142"/>
      <c r="N336" s="3944"/>
      <c r="O336" s="3944"/>
      <c r="P336" s="3941"/>
      <c r="Q336" s="3278"/>
      <c r="R336" s="3969"/>
      <c r="S336" s="3941"/>
      <c r="T336" s="3941"/>
      <c r="U336" s="2000" t="s">
        <v>1932</v>
      </c>
      <c r="V336" s="1914">
        <v>2000000</v>
      </c>
      <c r="W336" s="1840">
        <v>20</v>
      </c>
      <c r="X336" s="1940" t="s">
        <v>72</v>
      </c>
      <c r="Y336" s="3944"/>
      <c r="Z336" s="3944"/>
      <c r="AA336" s="3944"/>
      <c r="AB336" s="3944"/>
      <c r="AC336" s="3944"/>
      <c r="AD336" s="3944"/>
      <c r="AE336" s="3944"/>
      <c r="AF336" s="3944"/>
      <c r="AG336" s="3944"/>
      <c r="AH336" s="3944"/>
      <c r="AI336" s="3944"/>
      <c r="AJ336" s="3944"/>
      <c r="AK336" s="3944"/>
      <c r="AL336" s="3944"/>
      <c r="AM336" s="3944"/>
      <c r="AN336" s="3944"/>
      <c r="AO336" s="3972"/>
      <c r="AP336" s="3972"/>
      <c r="AQ336" s="3975"/>
    </row>
    <row r="337" spans="1:43" ht="42.75" customHeight="1" x14ac:dyDescent="0.2">
      <c r="A337" s="1833"/>
      <c r="B337" s="1834"/>
      <c r="C337" s="1835"/>
      <c r="D337" s="1834"/>
      <c r="E337" s="1834"/>
      <c r="F337" s="1835"/>
      <c r="G337" s="1834"/>
      <c r="H337" s="1834"/>
      <c r="I337" s="1834"/>
      <c r="J337" s="4128"/>
      <c r="K337" s="4026"/>
      <c r="L337" s="4133"/>
      <c r="M337" s="4142"/>
      <c r="N337" s="3944"/>
      <c r="O337" s="3944"/>
      <c r="P337" s="3941"/>
      <c r="Q337" s="3278"/>
      <c r="R337" s="3969"/>
      <c r="S337" s="3941"/>
      <c r="T337" s="3941"/>
      <c r="U337" s="4143" t="s">
        <v>1933</v>
      </c>
      <c r="V337" s="1914">
        <v>2000000</v>
      </c>
      <c r="W337" s="1840">
        <v>20</v>
      </c>
      <c r="X337" s="1940" t="s">
        <v>72</v>
      </c>
      <c r="Y337" s="3944"/>
      <c r="Z337" s="3944"/>
      <c r="AA337" s="3944"/>
      <c r="AB337" s="3944"/>
      <c r="AC337" s="3944"/>
      <c r="AD337" s="3944"/>
      <c r="AE337" s="3944"/>
      <c r="AF337" s="3944"/>
      <c r="AG337" s="3944"/>
      <c r="AH337" s="3944"/>
      <c r="AI337" s="3944"/>
      <c r="AJ337" s="3944"/>
      <c r="AK337" s="3944"/>
      <c r="AL337" s="3944"/>
      <c r="AM337" s="3944"/>
      <c r="AN337" s="3944"/>
      <c r="AO337" s="3972"/>
      <c r="AP337" s="3972"/>
      <c r="AQ337" s="3975"/>
    </row>
    <row r="338" spans="1:43" ht="33" customHeight="1" x14ac:dyDescent="0.2">
      <c r="A338" s="1833"/>
      <c r="B338" s="1834"/>
      <c r="C338" s="1835"/>
      <c r="D338" s="1834"/>
      <c r="E338" s="1834"/>
      <c r="F338" s="1835"/>
      <c r="G338" s="1834"/>
      <c r="H338" s="1834"/>
      <c r="I338" s="1834"/>
      <c r="J338" s="4128"/>
      <c r="K338" s="4026"/>
      <c r="L338" s="4133"/>
      <c r="M338" s="4142"/>
      <c r="N338" s="3944"/>
      <c r="O338" s="3944"/>
      <c r="P338" s="3941"/>
      <c r="Q338" s="3278"/>
      <c r="R338" s="3969"/>
      <c r="S338" s="3941"/>
      <c r="T338" s="3942"/>
      <c r="U338" s="4144"/>
      <c r="V338" s="1916">
        <v>4000000</v>
      </c>
      <c r="W338" s="1925">
        <v>96</v>
      </c>
      <c r="X338" s="1939" t="s">
        <v>1853</v>
      </c>
      <c r="Y338" s="3944"/>
      <c r="Z338" s="3944"/>
      <c r="AA338" s="3944"/>
      <c r="AB338" s="3944"/>
      <c r="AC338" s="3944"/>
      <c r="AD338" s="3944"/>
      <c r="AE338" s="3944"/>
      <c r="AF338" s="3944"/>
      <c r="AG338" s="3944"/>
      <c r="AH338" s="3944"/>
      <c r="AI338" s="3944"/>
      <c r="AJ338" s="3944"/>
      <c r="AK338" s="3944"/>
      <c r="AL338" s="3944"/>
      <c r="AM338" s="3944"/>
      <c r="AN338" s="3944"/>
      <c r="AO338" s="3972"/>
      <c r="AP338" s="3972"/>
      <c r="AQ338" s="3975"/>
    </row>
    <row r="339" spans="1:43" ht="34.5" customHeight="1" x14ac:dyDescent="0.2">
      <c r="A339" s="1833"/>
      <c r="B339" s="1834"/>
      <c r="C339" s="1835"/>
      <c r="D339" s="1834"/>
      <c r="E339" s="1834"/>
      <c r="F339" s="1835"/>
      <c r="G339" s="1834"/>
      <c r="H339" s="1834"/>
      <c r="I339" s="1834"/>
      <c r="J339" s="4128"/>
      <c r="K339" s="4026"/>
      <c r="L339" s="4133"/>
      <c r="M339" s="4142"/>
      <c r="N339" s="3944"/>
      <c r="O339" s="3944"/>
      <c r="P339" s="3941"/>
      <c r="Q339" s="3278"/>
      <c r="R339" s="3969"/>
      <c r="S339" s="3941"/>
      <c r="T339" s="3940" t="s">
        <v>1934</v>
      </c>
      <c r="U339" s="4143" t="s">
        <v>1935</v>
      </c>
      <c r="V339" s="1916">
        <v>5000000</v>
      </c>
      <c r="W339" s="1925">
        <v>20</v>
      </c>
      <c r="X339" s="1939" t="s">
        <v>72</v>
      </c>
      <c r="Y339" s="3944"/>
      <c r="Z339" s="3944"/>
      <c r="AA339" s="3944"/>
      <c r="AB339" s="3944"/>
      <c r="AC339" s="3944"/>
      <c r="AD339" s="3944"/>
      <c r="AE339" s="3944"/>
      <c r="AF339" s="3944"/>
      <c r="AG339" s="3944"/>
      <c r="AH339" s="3944"/>
      <c r="AI339" s="3944"/>
      <c r="AJ339" s="3944"/>
      <c r="AK339" s="3944"/>
      <c r="AL339" s="3944"/>
      <c r="AM339" s="3944"/>
      <c r="AN339" s="3944"/>
      <c r="AO339" s="3972"/>
      <c r="AP339" s="3972"/>
      <c r="AQ339" s="3975"/>
    </row>
    <row r="340" spans="1:43" ht="51" customHeight="1" x14ac:dyDescent="0.2">
      <c r="A340" s="1833"/>
      <c r="B340" s="1834"/>
      <c r="C340" s="1835"/>
      <c r="D340" s="1834"/>
      <c r="E340" s="1834"/>
      <c r="F340" s="1835"/>
      <c r="G340" s="1834"/>
      <c r="H340" s="1834"/>
      <c r="I340" s="1834"/>
      <c r="J340" s="4128"/>
      <c r="K340" s="4026"/>
      <c r="L340" s="4133"/>
      <c r="M340" s="4142"/>
      <c r="N340" s="3944"/>
      <c r="O340" s="3944"/>
      <c r="P340" s="3941"/>
      <c r="Q340" s="3278"/>
      <c r="R340" s="3969"/>
      <c r="S340" s="3941"/>
      <c r="T340" s="4145"/>
      <c r="U340" s="4144"/>
      <c r="V340" s="1916">
        <v>3500000</v>
      </c>
      <c r="W340" s="1925">
        <v>96</v>
      </c>
      <c r="X340" s="1939" t="s">
        <v>1853</v>
      </c>
      <c r="Y340" s="3944"/>
      <c r="Z340" s="3944"/>
      <c r="AA340" s="3944"/>
      <c r="AB340" s="3944"/>
      <c r="AC340" s="3944"/>
      <c r="AD340" s="3944"/>
      <c r="AE340" s="3944"/>
      <c r="AF340" s="3944"/>
      <c r="AG340" s="3944"/>
      <c r="AH340" s="3944"/>
      <c r="AI340" s="3944"/>
      <c r="AJ340" s="3944"/>
      <c r="AK340" s="3944"/>
      <c r="AL340" s="3944"/>
      <c r="AM340" s="3944"/>
      <c r="AN340" s="3944"/>
      <c r="AO340" s="3972"/>
      <c r="AP340" s="3972"/>
      <c r="AQ340" s="3975"/>
    </row>
    <row r="341" spans="1:43" ht="44.25" customHeight="1" x14ac:dyDescent="0.2">
      <c r="A341" s="1833"/>
      <c r="B341" s="1834"/>
      <c r="C341" s="1835"/>
      <c r="D341" s="1834"/>
      <c r="E341" s="1834"/>
      <c r="F341" s="1835"/>
      <c r="G341" s="1834"/>
      <c r="H341" s="1834"/>
      <c r="I341" s="1834"/>
      <c r="J341" s="4128"/>
      <c r="K341" s="4026"/>
      <c r="L341" s="4133"/>
      <c r="M341" s="4142"/>
      <c r="N341" s="3944"/>
      <c r="O341" s="3944"/>
      <c r="P341" s="3941"/>
      <c r="Q341" s="3278"/>
      <c r="R341" s="3969"/>
      <c r="S341" s="4118"/>
      <c r="T341" s="4026" t="s">
        <v>1936</v>
      </c>
      <c r="U341" s="2001" t="s">
        <v>1937</v>
      </c>
      <c r="V341" s="1914">
        <v>3000000</v>
      </c>
      <c r="W341" s="1840">
        <v>20</v>
      </c>
      <c r="X341" s="1940" t="s">
        <v>72</v>
      </c>
      <c r="Y341" s="3944"/>
      <c r="Z341" s="3944"/>
      <c r="AA341" s="3944"/>
      <c r="AB341" s="3944"/>
      <c r="AC341" s="3944"/>
      <c r="AD341" s="3944"/>
      <c r="AE341" s="3944"/>
      <c r="AF341" s="3944"/>
      <c r="AG341" s="3944"/>
      <c r="AH341" s="3944"/>
      <c r="AI341" s="3944"/>
      <c r="AJ341" s="3944"/>
      <c r="AK341" s="3944"/>
      <c r="AL341" s="3944"/>
      <c r="AM341" s="3944"/>
      <c r="AN341" s="3944"/>
      <c r="AO341" s="3972"/>
      <c r="AP341" s="3972"/>
      <c r="AQ341" s="3975"/>
    </row>
    <row r="342" spans="1:43" ht="57" x14ac:dyDescent="0.2">
      <c r="A342" s="1833"/>
      <c r="B342" s="1834"/>
      <c r="C342" s="1835"/>
      <c r="D342" s="1834"/>
      <c r="E342" s="1834"/>
      <c r="F342" s="1835"/>
      <c r="G342" s="1834"/>
      <c r="H342" s="1834"/>
      <c r="I342" s="1834"/>
      <c r="J342" s="4128"/>
      <c r="K342" s="4026"/>
      <c r="L342" s="4133"/>
      <c r="M342" s="4142"/>
      <c r="N342" s="3944"/>
      <c r="O342" s="3944"/>
      <c r="P342" s="3941"/>
      <c r="Q342" s="3278"/>
      <c r="R342" s="3969"/>
      <c r="S342" s="4118"/>
      <c r="T342" s="4026"/>
      <c r="U342" s="2001" t="s">
        <v>1938</v>
      </c>
      <c r="V342" s="1914">
        <v>3000000</v>
      </c>
      <c r="W342" s="1840">
        <v>20</v>
      </c>
      <c r="X342" s="1940" t="s">
        <v>72</v>
      </c>
      <c r="Y342" s="3944"/>
      <c r="Z342" s="3944"/>
      <c r="AA342" s="3944"/>
      <c r="AB342" s="3944"/>
      <c r="AC342" s="3944"/>
      <c r="AD342" s="3944"/>
      <c r="AE342" s="3944"/>
      <c r="AF342" s="3944"/>
      <c r="AG342" s="3944"/>
      <c r="AH342" s="3944"/>
      <c r="AI342" s="3944"/>
      <c r="AJ342" s="3944"/>
      <c r="AK342" s="3944"/>
      <c r="AL342" s="3944"/>
      <c r="AM342" s="3944"/>
      <c r="AN342" s="3944"/>
      <c r="AO342" s="3972"/>
      <c r="AP342" s="3972"/>
      <c r="AQ342" s="3975"/>
    </row>
    <row r="343" spans="1:43" ht="58.5" customHeight="1" x14ac:dyDescent="0.2">
      <c r="A343" s="1833"/>
      <c r="B343" s="1834"/>
      <c r="C343" s="1835"/>
      <c r="D343" s="1834"/>
      <c r="E343" s="1834"/>
      <c r="F343" s="1835"/>
      <c r="G343" s="1834"/>
      <c r="H343" s="1834"/>
      <c r="I343" s="1834"/>
      <c r="J343" s="4139"/>
      <c r="K343" s="4026"/>
      <c r="L343" s="4133"/>
      <c r="M343" s="4142"/>
      <c r="N343" s="3944"/>
      <c r="O343" s="3944"/>
      <c r="P343" s="3941"/>
      <c r="Q343" s="3279"/>
      <c r="R343" s="3969"/>
      <c r="S343" s="4118"/>
      <c r="T343" s="4026"/>
      <c r="U343" s="2001" t="s">
        <v>1939</v>
      </c>
      <c r="V343" s="1914">
        <v>1600000</v>
      </c>
      <c r="W343" s="1840">
        <v>20</v>
      </c>
      <c r="X343" s="1940" t="s">
        <v>72</v>
      </c>
      <c r="Y343" s="3944"/>
      <c r="Z343" s="3944"/>
      <c r="AA343" s="3944"/>
      <c r="AB343" s="3944"/>
      <c r="AC343" s="3944"/>
      <c r="AD343" s="3944"/>
      <c r="AE343" s="3944"/>
      <c r="AF343" s="3944"/>
      <c r="AG343" s="3944"/>
      <c r="AH343" s="3944"/>
      <c r="AI343" s="3944"/>
      <c r="AJ343" s="3944"/>
      <c r="AK343" s="3944"/>
      <c r="AL343" s="3944"/>
      <c r="AM343" s="3944"/>
      <c r="AN343" s="3944"/>
      <c r="AO343" s="3972"/>
      <c r="AP343" s="3972"/>
      <c r="AQ343" s="3975"/>
    </row>
    <row r="344" spans="1:43" ht="60" customHeight="1" x14ac:dyDescent="0.2">
      <c r="A344" s="1987"/>
      <c r="B344" s="1988"/>
      <c r="C344" s="1931"/>
      <c r="D344" s="1988"/>
      <c r="E344" s="1988"/>
      <c r="F344" s="1931"/>
      <c r="G344" s="2002"/>
      <c r="H344" s="2002"/>
      <c r="I344" s="2002"/>
      <c r="J344" s="2003">
        <v>174</v>
      </c>
      <c r="K344" s="2004" t="s">
        <v>1940</v>
      </c>
      <c r="L344" s="1940" t="s">
        <v>1482</v>
      </c>
      <c r="M344" s="1940">
        <v>150</v>
      </c>
      <c r="N344" s="3945"/>
      <c r="O344" s="3945"/>
      <c r="P344" s="3942"/>
      <c r="Q344" s="1941">
        <f>V344/R335</f>
        <v>0.53475935828877008</v>
      </c>
      <c r="R344" s="3970"/>
      <c r="S344" s="4119"/>
      <c r="T344" s="2005" t="s">
        <v>1941</v>
      </c>
      <c r="U344" s="2006" t="s">
        <v>1942</v>
      </c>
      <c r="V344" s="1914">
        <v>30000000</v>
      </c>
      <c r="W344" s="1840">
        <v>20</v>
      </c>
      <c r="X344" s="1940" t="s">
        <v>72</v>
      </c>
      <c r="Y344" s="3945"/>
      <c r="Z344" s="3945"/>
      <c r="AA344" s="3945"/>
      <c r="AB344" s="3945"/>
      <c r="AC344" s="3945"/>
      <c r="AD344" s="3945"/>
      <c r="AE344" s="3945"/>
      <c r="AF344" s="3945"/>
      <c r="AG344" s="3945"/>
      <c r="AH344" s="3945"/>
      <c r="AI344" s="3945"/>
      <c r="AJ344" s="3945"/>
      <c r="AK344" s="3945"/>
      <c r="AL344" s="3945"/>
      <c r="AM344" s="3945"/>
      <c r="AN344" s="3945"/>
      <c r="AO344" s="3973"/>
      <c r="AP344" s="3973"/>
      <c r="AQ344" s="3976"/>
    </row>
    <row r="345" spans="1:43" ht="36" customHeight="1" x14ac:dyDescent="0.2">
      <c r="A345" s="1819"/>
      <c r="B345" s="1820"/>
      <c r="C345" s="1821"/>
      <c r="D345" s="1820"/>
      <c r="E345" s="1820"/>
      <c r="F345" s="1821"/>
      <c r="G345" s="1971">
        <v>54</v>
      </c>
      <c r="H345" s="1962" t="s">
        <v>1943</v>
      </c>
      <c r="I345" s="1962"/>
      <c r="J345" s="1968"/>
      <c r="K345" s="1924"/>
      <c r="L345" s="1825"/>
      <c r="M345" s="1825"/>
      <c r="N345" s="1827"/>
      <c r="O345" s="1825"/>
      <c r="P345" s="1826"/>
      <c r="Q345" s="1825"/>
      <c r="R345" s="1855"/>
      <c r="S345" s="1826"/>
      <c r="T345" s="1924"/>
      <c r="U345" s="1826"/>
      <c r="V345" s="1926"/>
      <c r="W345" s="1927"/>
      <c r="X345" s="1928"/>
      <c r="Y345" s="1827"/>
      <c r="Z345" s="1827"/>
      <c r="AA345" s="1997"/>
      <c r="AB345" s="1997"/>
      <c r="AC345" s="1998"/>
      <c r="AD345" s="1997"/>
      <c r="AE345" s="1997"/>
      <c r="AF345" s="1997"/>
      <c r="AG345" s="1997"/>
      <c r="AH345" s="1999"/>
      <c r="AI345" s="1997"/>
      <c r="AJ345" s="1998"/>
      <c r="AK345" s="1997"/>
      <c r="AL345" s="1997"/>
      <c r="AM345" s="1998"/>
      <c r="AN345" s="1998"/>
      <c r="AO345" s="1825"/>
      <c r="AP345" s="1825"/>
      <c r="AQ345" s="1832"/>
    </row>
    <row r="346" spans="1:43" ht="39" customHeight="1" x14ac:dyDescent="0.2">
      <c r="A346" s="1833"/>
      <c r="B346" s="1834"/>
      <c r="C346" s="1835"/>
      <c r="D346" s="1834"/>
      <c r="E346" s="1834"/>
      <c r="F346" s="1834"/>
      <c r="G346" s="1836"/>
      <c r="H346" s="1837"/>
      <c r="I346" s="1838"/>
      <c r="J346" s="3937">
        <v>175</v>
      </c>
      <c r="K346" s="4020" t="s">
        <v>1944</v>
      </c>
      <c r="L346" s="3937" t="s">
        <v>1482</v>
      </c>
      <c r="M346" s="3937">
        <v>14</v>
      </c>
      <c r="N346" s="3937" t="s">
        <v>1945</v>
      </c>
      <c r="O346" s="3937" t="s">
        <v>1946</v>
      </c>
      <c r="P346" s="4020" t="s">
        <v>1947</v>
      </c>
      <c r="Q346" s="4146">
        <f>SUM(V346:V349)/R346</f>
        <v>0.96471418489767113</v>
      </c>
      <c r="R346" s="4116">
        <f>SUM(V346:V350)</f>
        <v>340080000</v>
      </c>
      <c r="S346" s="4020" t="s">
        <v>1948</v>
      </c>
      <c r="T346" s="4020" t="s">
        <v>1949</v>
      </c>
      <c r="U346" s="2000" t="s">
        <v>1950</v>
      </c>
      <c r="V346" s="2007">
        <v>10000000</v>
      </c>
      <c r="W346" s="1840">
        <v>20</v>
      </c>
      <c r="X346" s="1940" t="s">
        <v>72</v>
      </c>
      <c r="Y346" s="3943">
        <v>292684</v>
      </c>
      <c r="Z346" s="3943">
        <v>282326</v>
      </c>
      <c r="AA346" s="3943">
        <v>135912</v>
      </c>
      <c r="AB346" s="3943">
        <v>45122</v>
      </c>
      <c r="AC346" s="3943">
        <v>307101</v>
      </c>
      <c r="AD346" s="3943">
        <v>86875</v>
      </c>
      <c r="AE346" s="3943">
        <v>2145</v>
      </c>
      <c r="AF346" s="3943">
        <v>12718</v>
      </c>
      <c r="AG346" s="3943">
        <v>26</v>
      </c>
      <c r="AH346" s="3943">
        <v>37</v>
      </c>
      <c r="AI346" s="3943" t="s">
        <v>1489</v>
      </c>
      <c r="AJ346" s="3943" t="s">
        <v>1489</v>
      </c>
      <c r="AK346" s="3943">
        <v>53164</v>
      </c>
      <c r="AL346" s="3943">
        <v>16982</v>
      </c>
      <c r="AM346" s="3943">
        <v>60013</v>
      </c>
      <c r="AN346" s="3943">
        <v>575010</v>
      </c>
      <c r="AO346" s="4150">
        <v>43467</v>
      </c>
      <c r="AP346" s="4150">
        <v>43830</v>
      </c>
      <c r="AQ346" s="3974" t="s">
        <v>1490</v>
      </c>
    </row>
    <row r="347" spans="1:43" ht="37.5" customHeight="1" x14ac:dyDescent="0.2">
      <c r="A347" s="1833"/>
      <c r="B347" s="1834"/>
      <c r="C347" s="1835"/>
      <c r="D347" s="1834"/>
      <c r="E347" s="1834"/>
      <c r="F347" s="1834"/>
      <c r="G347" s="1842"/>
      <c r="H347" s="1834"/>
      <c r="I347" s="1835"/>
      <c r="J347" s="3938"/>
      <c r="K347" s="4021"/>
      <c r="L347" s="3938"/>
      <c r="M347" s="3938"/>
      <c r="N347" s="3938"/>
      <c r="O347" s="3938"/>
      <c r="P347" s="4021"/>
      <c r="Q347" s="4147"/>
      <c r="R347" s="4116"/>
      <c r="S347" s="4021"/>
      <c r="T347" s="4021"/>
      <c r="U347" s="2000" t="s">
        <v>1951</v>
      </c>
      <c r="V347" s="2007">
        <v>8080000</v>
      </c>
      <c r="W347" s="1840">
        <v>20</v>
      </c>
      <c r="X347" s="1940" t="s">
        <v>72</v>
      </c>
      <c r="Y347" s="3944"/>
      <c r="Z347" s="3944"/>
      <c r="AA347" s="3944"/>
      <c r="AB347" s="3944"/>
      <c r="AC347" s="3944"/>
      <c r="AD347" s="3944"/>
      <c r="AE347" s="3944"/>
      <c r="AF347" s="3944"/>
      <c r="AG347" s="3944"/>
      <c r="AH347" s="3944"/>
      <c r="AI347" s="3944"/>
      <c r="AJ347" s="3944"/>
      <c r="AK347" s="3944"/>
      <c r="AL347" s="3944"/>
      <c r="AM347" s="3944"/>
      <c r="AN347" s="3944"/>
      <c r="AO347" s="4150"/>
      <c r="AP347" s="4150"/>
      <c r="AQ347" s="3975"/>
    </row>
    <row r="348" spans="1:43" ht="48" customHeight="1" x14ac:dyDescent="0.2">
      <c r="A348" s="1833"/>
      <c r="B348" s="1834"/>
      <c r="C348" s="1835"/>
      <c r="D348" s="1834"/>
      <c r="E348" s="1834"/>
      <c r="F348" s="1834"/>
      <c r="G348" s="1842"/>
      <c r="H348" s="1834"/>
      <c r="I348" s="1835"/>
      <c r="J348" s="3938"/>
      <c r="K348" s="4021"/>
      <c r="L348" s="3938"/>
      <c r="M348" s="3938"/>
      <c r="N348" s="3938"/>
      <c r="O348" s="3938"/>
      <c r="P348" s="4021"/>
      <c r="Q348" s="4147"/>
      <c r="R348" s="4116"/>
      <c r="S348" s="4021"/>
      <c r="T348" s="4021"/>
      <c r="U348" s="4143" t="s">
        <v>1952</v>
      </c>
      <c r="V348" s="1839">
        <v>10000000</v>
      </c>
      <c r="W348" s="1840">
        <v>20</v>
      </c>
      <c r="X348" s="1940" t="s">
        <v>72</v>
      </c>
      <c r="Y348" s="3944"/>
      <c r="Z348" s="3944"/>
      <c r="AA348" s="3944"/>
      <c r="AB348" s="3944"/>
      <c r="AC348" s="3944"/>
      <c r="AD348" s="3944"/>
      <c r="AE348" s="3944"/>
      <c r="AF348" s="3944"/>
      <c r="AG348" s="3944"/>
      <c r="AH348" s="3944"/>
      <c r="AI348" s="3944"/>
      <c r="AJ348" s="3944"/>
      <c r="AK348" s="3944"/>
      <c r="AL348" s="3944"/>
      <c r="AM348" s="3944"/>
      <c r="AN348" s="3944"/>
      <c r="AO348" s="4151"/>
      <c r="AP348" s="4151"/>
      <c r="AQ348" s="3975"/>
    </row>
    <row r="349" spans="1:43" ht="48" customHeight="1" x14ac:dyDescent="0.2">
      <c r="A349" s="1833"/>
      <c r="B349" s="1834"/>
      <c r="C349" s="1835"/>
      <c r="D349" s="1834"/>
      <c r="E349" s="1834"/>
      <c r="F349" s="1834"/>
      <c r="G349" s="1842"/>
      <c r="H349" s="1834"/>
      <c r="I349" s="1835"/>
      <c r="J349" s="1915"/>
      <c r="K349" s="2008"/>
      <c r="L349" s="1915"/>
      <c r="M349" s="1915"/>
      <c r="N349" s="3938"/>
      <c r="O349" s="3938"/>
      <c r="P349" s="4021"/>
      <c r="Q349" s="4148"/>
      <c r="R349" s="4116"/>
      <c r="S349" s="4021"/>
      <c r="T349" s="4022"/>
      <c r="U349" s="4144"/>
      <c r="V349" s="1858">
        <v>300000000</v>
      </c>
      <c r="W349" s="1925">
        <v>88</v>
      </c>
      <c r="X349" s="1939" t="s">
        <v>1919</v>
      </c>
      <c r="Y349" s="3944"/>
      <c r="Z349" s="3944"/>
      <c r="AA349" s="3944"/>
      <c r="AB349" s="3944"/>
      <c r="AC349" s="3944"/>
      <c r="AD349" s="3944"/>
      <c r="AE349" s="3944"/>
      <c r="AF349" s="3944"/>
      <c r="AG349" s="3944"/>
      <c r="AH349" s="3944"/>
      <c r="AI349" s="3944"/>
      <c r="AJ349" s="3944"/>
      <c r="AK349" s="3944"/>
      <c r="AL349" s="3944"/>
      <c r="AM349" s="3944"/>
      <c r="AN349" s="3944"/>
      <c r="AO349" s="4151"/>
      <c r="AP349" s="4151"/>
      <c r="AQ349" s="3975"/>
    </row>
    <row r="350" spans="1:43" ht="66.75" customHeight="1" x14ac:dyDescent="0.2">
      <c r="A350" s="1833"/>
      <c r="B350" s="1834"/>
      <c r="C350" s="1835"/>
      <c r="D350" s="1844"/>
      <c r="E350" s="1844"/>
      <c r="F350" s="1844"/>
      <c r="G350" s="1842"/>
      <c r="H350" s="1834"/>
      <c r="I350" s="1835"/>
      <c r="J350" s="1939">
        <v>176</v>
      </c>
      <c r="K350" s="2009" t="s">
        <v>1953</v>
      </c>
      <c r="L350" s="1939" t="s">
        <v>17</v>
      </c>
      <c r="M350" s="1939">
        <v>2</v>
      </c>
      <c r="N350" s="3939"/>
      <c r="O350" s="3939"/>
      <c r="P350" s="4022"/>
      <c r="Q350" s="2010">
        <f>V350/R346</f>
        <v>3.5285815102328866E-2</v>
      </c>
      <c r="R350" s="4116"/>
      <c r="S350" s="4021"/>
      <c r="T350" s="1974" t="s">
        <v>1954</v>
      </c>
      <c r="U350" s="2000" t="s">
        <v>1955</v>
      </c>
      <c r="V350" s="1839">
        <v>12000000</v>
      </c>
      <c r="W350" s="1840">
        <v>20</v>
      </c>
      <c r="X350" s="1940" t="s">
        <v>72</v>
      </c>
      <c r="Y350" s="3945"/>
      <c r="Z350" s="3945"/>
      <c r="AA350" s="3945"/>
      <c r="AB350" s="3945"/>
      <c r="AC350" s="3945"/>
      <c r="AD350" s="3945"/>
      <c r="AE350" s="3945"/>
      <c r="AF350" s="3945"/>
      <c r="AG350" s="3945"/>
      <c r="AH350" s="3945"/>
      <c r="AI350" s="3945"/>
      <c r="AJ350" s="3945"/>
      <c r="AK350" s="3945"/>
      <c r="AL350" s="3945"/>
      <c r="AM350" s="3945"/>
      <c r="AN350" s="3945"/>
      <c r="AO350" s="4151"/>
      <c r="AP350" s="4151"/>
      <c r="AQ350" s="3976"/>
    </row>
    <row r="351" spans="1:43" ht="36" customHeight="1" x14ac:dyDescent="0.2">
      <c r="A351" s="1819"/>
      <c r="C351" s="1847"/>
      <c r="D351" s="1970">
        <v>15</v>
      </c>
      <c r="E351" s="1810" t="s">
        <v>1956</v>
      </c>
      <c r="F351" s="1810"/>
      <c r="G351" s="1950"/>
      <c r="H351" s="1950"/>
      <c r="I351" s="1950"/>
      <c r="J351" s="1811"/>
      <c r="K351" s="1812"/>
      <c r="L351" s="1811"/>
      <c r="M351" s="1811"/>
      <c r="N351" s="1813"/>
      <c r="O351" s="1811"/>
      <c r="P351" s="1812"/>
      <c r="Q351" s="1811"/>
      <c r="R351" s="1851"/>
      <c r="S351" s="1812"/>
      <c r="T351" s="1812"/>
      <c r="U351" s="1812"/>
      <c r="V351" s="1954"/>
      <c r="W351" s="1955"/>
      <c r="X351" s="1956"/>
      <c r="Y351" s="1813"/>
      <c r="Z351" s="1813"/>
      <c r="AA351" s="2011"/>
      <c r="AB351" s="2011"/>
      <c r="AC351" s="2012"/>
      <c r="AD351" s="2011"/>
      <c r="AE351" s="2011"/>
      <c r="AF351" s="2011"/>
      <c r="AG351" s="2011"/>
      <c r="AH351" s="2013"/>
      <c r="AI351" s="2011"/>
      <c r="AJ351" s="2012"/>
      <c r="AK351" s="2011"/>
      <c r="AL351" s="2011"/>
      <c r="AM351" s="2012"/>
      <c r="AN351" s="2012"/>
      <c r="AO351" s="1811"/>
      <c r="AP351" s="1811"/>
      <c r="AQ351" s="1818"/>
    </row>
    <row r="352" spans="1:43" ht="36" customHeight="1" x14ac:dyDescent="0.2">
      <c r="A352" s="1819"/>
      <c r="B352" s="1820"/>
      <c r="C352" s="1821"/>
      <c r="D352" s="1822"/>
      <c r="E352" s="1822"/>
      <c r="F352" s="1823"/>
      <c r="G352" s="1854">
        <v>55</v>
      </c>
      <c r="H352" s="1825" t="s">
        <v>1957</v>
      </c>
      <c r="I352" s="1825"/>
      <c r="J352" s="1825"/>
      <c r="K352" s="1826"/>
      <c r="L352" s="1825"/>
      <c r="M352" s="1825"/>
      <c r="N352" s="1827"/>
      <c r="O352" s="1825"/>
      <c r="P352" s="1826"/>
      <c r="Q352" s="1825"/>
      <c r="R352" s="1855"/>
      <c r="S352" s="1826"/>
      <c r="T352" s="1826"/>
      <c r="U352" s="1826"/>
      <c r="V352" s="1926"/>
      <c r="W352" s="1927"/>
      <c r="X352" s="1928"/>
      <c r="Y352" s="2014"/>
      <c r="Z352" s="2014"/>
      <c r="AA352" s="2015"/>
      <c r="AB352" s="2015"/>
      <c r="AC352" s="2016"/>
      <c r="AD352" s="2015"/>
      <c r="AE352" s="2015"/>
      <c r="AF352" s="2015"/>
      <c r="AG352" s="2015"/>
      <c r="AH352" s="2017"/>
      <c r="AI352" s="2015"/>
      <c r="AJ352" s="2016"/>
      <c r="AK352" s="2015"/>
      <c r="AL352" s="2015"/>
      <c r="AM352" s="2016"/>
      <c r="AN352" s="2016"/>
      <c r="AO352" s="1825"/>
      <c r="AP352" s="1825"/>
      <c r="AQ352" s="1832"/>
    </row>
    <row r="353" spans="1:301" s="1841" customFormat="1" ht="59.25" customHeight="1" x14ac:dyDescent="0.2">
      <c r="A353" s="1859"/>
      <c r="B353" s="1860"/>
      <c r="C353" s="1861"/>
      <c r="D353" s="1860"/>
      <c r="E353" s="1860"/>
      <c r="F353" s="1861"/>
      <c r="G353" s="1863"/>
      <c r="H353" s="1863"/>
      <c r="I353" s="1864"/>
      <c r="J353" s="1936">
        <v>177</v>
      </c>
      <c r="K353" s="1888" t="s">
        <v>1958</v>
      </c>
      <c r="L353" s="1936" t="s">
        <v>1482</v>
      </c>
      <c r="M353" s="1936">
        <v>2</v>
      </c>
      <c r="N353" s="3943" t="s">
        <v>1959</v>
      </c>
      <c r="O353" s="3943" t="s">
        <v>1960</v>
      </c>
      <c r="P353" s="3940" t="s">
        <v>1961</v>
      </c>
      <c r="Q353" s="2018">
        <v>0</v>
      </c>
      <c r="R353" s="3968">
        <f>SUM(V353:V359)</f>
        <v>150000000</v>
      </c>
      <c r="S353" s="3940" t="s">
        <v>1962</v>
      </c>
      <c r="T353" s="2019" t="s">
        <v>1963</v>
      </c>
      <c r="U353" s="1991" t="s">
        <v>1964</v>
      </c>
      <c r="V353" s="2020">
        <v>0</v>
      </c>
      <c r="W353" s="2021"/>
      <c r="X353" s="1940"/>
      <c r="Y353" s="3943">
        <v>292684</v>
      </c>
      <c r="Z353" s="3943">
        <v>282326</v>
      </c>
      <c r="AA353" s="3943">
        <v>135912</v>
      </c>
      <c r="AB353" s="3943">
        <v>45122</v>
      </c>
      <c r="AC353" s="3943">
        <v>307101</v>
      </c>
      <c r="AD353" s="3943">
        <v>86875</v>
      </c>
      <c r="AE353" s="3943">
        <v>2145</v>
      </c>
      <c r="AF353" s="3943">
        <v>12718</v>
      </c>
      <c r="AG353" s="3943">
        <v>26</v>
      </c>
      <c r="AH353" s="3943">
        <v>37</v>
      </c>
      <c r="AI353" s="3943" t="s">
        <v>1489</v>
      </c>
      <c r="AJ353" s="3943" t="s">
        <v>1489</v>
      </c>
      <c r="AK353" s="3943">
        <v>53164</v>
      </c>
      <c r="AL353" s="3943">
        <v>16982</v>
      </c>
      <c r="AM353" s="3943">
        <v>60013</v>
      </c>
      <c r="AN353" s="3943">
        <v>575010</v>
      </c>
      <c r="AO353" s="3971">
        <v>43467</v>
      </c>
      <c r="AP353" s="3971">
        <v>43830</v>
      </c>
      <c r="AQ353" s="3974" t="s">
        <v>1490</v>
      </c>
    </row>
    <row r="354" spans="1:301" ht="54.75" customHeight="1" x14ac:dyDescent="0.2">
      <c r="A354" s="1859"/>
      <c r="B354" s="1860"/>
      <c r="C354" s="1861"/>
      <c r="D354" s="1860"/>
      <c r="E354" s="1860"/>
      <c r="F354" s="1861"/>
      <c r="G354" s="1860"/>
      <c r="H354" s="1860"/>
      <c r="I354" s="1861"/>
      <c r="J354" s="3943">
        <v>178</v>
      </c>
      <c r="K354" s="3940" t="s">
        <v>1965</v>
      </c>
      <c r="L354" s="3943" t="s">
        <v>1482</v>
      </c>
      <c r="M354" s="3943">
        <v>3</v>
      </c>
      <c r="N354" s="3944"/>
      <c r="O354" s="3944"/>
      <c r="P354" s="3941"/>
      <c r="Q354" s="3277">
        <f>SUM(V354:V358)/R353</f>
        <v>1</v>
      </c>
      <c r="R354" s="3969"/>
      <c r="S354" s="3941"/>
      <c r="T354" s="4010" t="s">
        <v>1966</v>
      </c>
      <c r="U354" s="2022" t="s">
        <v>1967</v>
      </c>
      <c r="V354" s="1839">
        <v>60000000</v>
      </c>
      <c r="W354" s="2021">
        <v>72</v>
      </c>
      <c r="X354" s="1940" t="s">
        <v>1968</v>
      </c>
      <c r="Y354" s="3944"/>
      <c r="Z354" s="3944"/>
      <c r="AA354" s="3944"/>
      <c r="AB354" s="3944"/>
      <c r="AC354" s="3944"/>
      <c r="AD354" s="3944"/>
      <c r="AE354" s="3944"/>
      <c r="AF354" s="3944"/>
      <c r="AG354" s="3944"/>
      <c r="AH354" s="3944"/>
      <c r="AI354" s="3944"/>
      <c r="AJ354" s="3944"/>
      <c r="AK354" s="3944"/>
      <c r="AL354" s="3944"/>
      <c r="AM354" s="3944"/>
      <c r="AN354" s="3944"/>
      <c r="AO354" s="3972"/>
      <c r="AP354" s="3972"/>
      <c r="AQ354" s="3975"/>
    </row>
    <row r="355" spans="1:301" ht="37.5" customHeight="1" x14ac:dyDescent="0.2">
      <c r="A355" s="1859"/>
      <c r="B355" s="1860"/>
      <c r="C355" s="1861"/>
      <c r="D355" s="1860"/>
      <c r="E355" s="1860"/>
      <c r="F355" s="1861"/>
      <c r="G355" s="1860"/>
      <c r="H355" s="1860"/>
      <c r="I355" s="1861"/>
      <c r="J355" s="3944"/>
      <c r="K355" s="3941"/>
      <c r="L355" s="3944"/>
      <c r="M355" s="3944"/>
      <c r="N355" s="3944"/>
      <c r="O355" s="3944"/>
      <c r="P355" s="3941"/>
      <c r="Q355" s="3278"/>
      <c r="R355" s="3969"/>
      <c r="S355" s="3941"/>
      <c r="T355" s="4010"/>
      <c r="U355" s="2022" t="s">
        <v>1969</v>
      </c>
      <c r="V355" s="1839">
        <v>40000000</v>
      </c>
      <c r="W355" s="2021">
        <v>72</v>
      </c>
      <c r="X355" s="1940" t="s">
        <v>1968</v>
      </c>
      <c r="Y355" s="3944"/>
      <c r="Z355" s="3944"/>
      <c r="AA355" s="3944"/>
      <c r="AB355" s="3944"/>
      <c r="AC355" s="3944"/>
      <c r="AD355" s="3944"/>
      <c r="AE355" s="3944"/>
      <c r="AF355" s="3944"/>
      <c r="AG355" s="3944"/>
      <c r="AH355" s="3944"/>
      <c r="AI355" s="3944"/>
      <c r="AJ355" s="3944"/>
      <c r="AK355" s="3944"/>
      <c r="AL355" s="3944"/>
      <c r="AM355" s="3944"/>
      <c r="AN355" s="3944"/>
      <c r="AO355" s="3972"/>
      <c r="AP355" s="3972"/>
      <c r="AQ355" s="3975"/>
    </row>
    <row r="356" spans="1:301" ht="38.25" customHeight="1" x14ac:dyDescent="0.2">
      <c r="A356" s="1859"/>
      <c r="B356" s="1860"/>
      <c r="C356" s="1861"/>
      <c r="D356" s="1860"/>
      <c r="E356" s="1860"/>
      <c r="F356" s="1861"/>
      <c r="G356" s="1860"/>
      <c r="H356" s="1860"/>
      <c r="I356" s="1861"/>
      <c r="J356" s="3944"/>
      <c r="K356" s="3941"/>
      <c r="L356" s="3944"/>
      <c r="M356" s="3944"/>
      <c r="N356" s="3944"/>
      <c r="O356" s="3944"/>
      <c r="P356" s="3941"/>
      <c r="Q356" s="3278"/>
      <c r="R356" s="3969"/>
      <c r="S356" s="3941"/>
      <c r="T356" s="4010"/>
      <c r="U356" s="2022" t="s">
        <v>1970</v>
      </c>
      <c r="V356" s="1839">
        <v>20000000</v>
      </c>
      <c r="W356" s="2021">
        <v>72</v>
      </c>
      <c r="X356" s="1940" t="s">
        <v>1968</v>
      </c>
      <c r="Y356" s="3944"/>
      <c r="Z356" s="3944"/>
      <c r="AA356" s="3944"/>
      <c r="AB356" s="3944"/>
      <c r="AC356" s="3944"/>
      <c r="AD356" s="3944"/>
      <c r="AE356" s="3944"/>
      <c r="AF356" s="3944"/>
      <c r="AG356" s="3944"/>
      <c r="AH356" s="3944"/>
      <c r="AI356" s="3944"/>
      <c r="AJ356" s="3944"/>
      <c r="AK356" s="3944"/>
      <c r="AL356" s="3944"/>
      <c r="AM356" s="3944"/>
      <c r="AN356" s="3944"/>
      <c r="AO356" s="3972"/>
      <c r="AP356" s="3972"/>
      <c r="AQ356" s="3975"/>
    </row>
    <row r="357" spans="1:301" ht="37.5" customHeight="1" x14ac:dyDescent="0.2">
      <c r="A357" s="1859"/>
      <c r="B357" s="1860"/>
      <c r="C357" s="1861"/>
      <c r="D357" s="1860"/>
      <c r="E357" s="1860"/>
      <c r="F357" s="1861"/>
      <c r="G357" s="1860"/>
      <c r="H357" s="1860"/>
      <c r="I357" s="1861"/>
      <c r="J357" s="3944"/>
      <c r="K357" s="3941"/>
      <c r="L357" s="3944"/>
      <c r="M357" s="3944"/>
      <c r="N357" s="3944"/>
      <c r="O357" s="3944"/>
      <c r="P357" s="3941"/>
      <c r="Q357" s="3278"/>
      <c r="R357" s="3969"/>
      <c r="S357" s="3941"/>
      <c r="T357" s="4010" t="s">
        <v>1971</v>
      </c>
      <c r="U357" s="2023" t="s">
        <v>1972</v>
      </c>
      <c r="V357" s="1839">
        <v>15000000</v>
      </c>
      <c r="W357" s="2021">
        <v>72</v>
      </c>
      <c r="X357" s="1940" t="s">
        <v>1968</v>
      </c>
      <c r="Y357" s="3944"/>
      <c r="Z357" s="3944"/>
      <c r="AA357" s="3944"/>
      <c r="AB357" s="3944"/>
      <c r="AC357" s="3944"/>
      <c r="AD357" s="3944"/>
      <c r="AE357" s="3944"/>
      <c r="AF357" s="3944"/>
      <c r="AG357" s="3944"/>
      <c r="AH357" s="3944"/>
      <c r="AI357" s="3944"/>
      <c r="AJ357" s="3944"/>
      <c r="AK357" s="3944"/>
      <c r="AL357" s="3944"/>
      <c r="AM357" s="3944"/>
      <c r="AN357" s="3944"/>
      <c r="AO357" s="3972"/>
      <c r="AP357" s="3972"/>
      <c r="AQ357" s="3975"/>
    </row>
    <row r="358" spans="1:301" ht="40.5" customHeight="1" x14ac:dyDescent="0.2">
      <c r="A358" s="1859"/>
      <c r="B358" s="1860"/>
      <c r="C358" s="1861"/>
      <c r="D358" s="1860"/>
      <c r="E358" s="1860"/>
      <c r="F358" s="1861"/>
      <c r="G358" s="1860"/>
      <c r="H358" s="1860"/>
      <c r="I358" s="1861"/>
      <c r="J358" s="3945"/>
      <c r="K358" s="3942"/>
      <c r="L358" s="3945"/>
      <c r="M358" s="3945"/>
      <c r="N358" s="3944"/>
      <c r="O358" s="3944"/>
      <c r="P358" s="3941"/>
      <c r="Q358" s="3279"/>
      <c r="R358" s="3969"/>
      <c r="S358" s="3941"/>
      <c r="T358" s="4010"/>
      <c r="U358" s="2023" t="s">
        <v>1973</v>
      </c>
      <c r="V358" s="1839">
        <v>15000000</v>
      </c>
      <c r="W358" s="2021">
        <v>72</v>
      </c>
      <c r="X358" s="1940" t="s">
        <v>1968</v>
      </c>
      <c r="Y358" s="3944"/>
      <c r="Z358" s="3944"/>
      <c r="AA358" s="3944"/>
      <c r="AB358" s="3944"/>
      <c r="AC358" s="3944"/>
      <c r="AD358" s="3944"/>
      <c r="AE358" s="3944"/>
      <c r="AF358" s="3944"/>
      <c r="AG358" s="3944"/>
      <c r="AH358" s="3944"/>
      <c r="AI358" s="3944"/>
      <c r="AJ358" s="3944"/>
      <c r="AK358" s="3944"/>
      <c r="AL358" s="3944"/>
      <c r="AM358" s="3944"/>
      <c r="AN358" s="3944"/>
      <c r="AO358" s="3972"/>
      <c r="AP358" s="3972"/>
      <c r="AQ358" s="3975"/>
    </row>
    <row r="359" spans="1:301" s="2025" customFormat="1" ht="71.25" customHeight="1" thickBot="1" x14ac:dyDescent="0.25">
      <c r="A359" s="1859"/>
      <c r="B359" s="1860"/>
      <c r="C359" s="1861"/>
      <c r="D359" s="1860"/>
      <c r="E359" s="1860"/>
      <c r="F359" s="1861"/>
      <c r="G359" s="1860"/>
      <c r="H359" s="1860"/>
      <c r="I359" s="1861"/>
      <c r="J359" s="1929">
        <v>179</v>
      </c>
      <c r="K359" s="2019" t="s">
        <v>1974</v>
      </c>
      <c r="L359" s="1929" t="s">
        <v>1482</v>
      </c>
      <c r="M359" s="1929">
        <v>4</v>
      </c>
      <c r="N359" s="3944"/>
      <c r="O359" s="3944"/>
      <c r="P359" s="3941"/>
      <c r="Q359" s="1976">
        <v>0</v>
      </c>
      <c r="R359" s="3969"/>
      <c r="S359" s="3941"/>
      <c r="T359" s="2019" t="s">
        <v>1975</v>
      </c>
      <c r="U359" s="2024" t="s">
        <v>1976</v>
      </c>
      <c r="V359" s="1839">
        <v>0</v>
      </c>
      <c r="W359" s="2021"/>
      <c r="X359" s="1940"/>
      <c r="Y359" s="4149"/>
      <c r="Z359" s="4149"/>
      <c r="AA359" s="4149"/>
      <c r="AB359" s="4149"/>
      <c r="AC359" s="4149"/>
      <c r="AD359" s="4149"/>
      <c r="AE359" s="4149"/>
      <c r="AF359" s="4149"/>
      <c r="AG359" s="4149"/>
      <c r="AH359" s="4149"/>
      <c r="AI359" s="4149"/>
      <c r="AJ359" s="4149"/>
      <c r="AK359" s="4149"/>
      <c r="AL359" s="4149"/>
      <c r="AM359" s="4149"/>
      <c r="AN359" s="4149"/>
      <c r="AO359" s="3972"/>
      <c r="AP359" s="3972"/>
      <c r="AQ359" s="4152"/>
      <c r="AR359" s="1808"/>
      <c r="AS359" s="1808"/>
      <c r="AT359" s="1808"/>
      <c r="AU359" s="1808"/>
      <c r="AV359" s="1808"/>
      <c r="AW359" s="1808"/>
      <c r="AX359" s="1808"/>
      <c r="AY359" s="1808"/>
      <c r="AZ359" s="1808"/>
      <c r="BA359" s="1808"/>
      <c r="BB359" s="1808"/>
      <c r="BC359" s="1808"/>
      <c r="BD359" s="1808"/>
      <c r="BE359" s="1808"/>
      <c r="BF359" s="1808"/>
      <c r="BG359" s="1808"/>
      <c r="BH359" s="1808"/>
      <c r="BI359" s="1808"/>
      <c r="BJ359" s="1808"/>
      <c r="BK359" s="1808"/>
      <c r="BL359" s="1808"/>
      <c r="BM359" s="1808"/>
      <c r="BN359" s="1808"/>
      <c r="BO359" s="1808"/>
      <c r="BP359" s="1808"/>
      <c r="BQ359" s="1808"/>
      <c r="BR359" s="1808"/>
      <c r="BS359" s="1808"/>
      <c r="BT359" s="1808"/>
      <c r="BU359" s="1808"/>
      <c r="BV359" s="1808"/>
      <c r="BW359" s="1808"/>
      <c r="BX359" s="1808"/>
      <c r="BY359" s="1808"/>
      <c r="BZ359" s="1808"/>
      <c r="CA359" s="1808"/>
      <c r="CB359" s="1808"/>
      <c r="CC359" s="1808"/>
      <c r="CD359" s="1808"/>
      <c r="CE359" s="1808"/>
      <c r="CF359" s="1808"/>
      <c r="CG359" s="1808"/>
      <c r="CH359" s="1808"/>
      <c r="CI359" s="1808"/>
      <c r="CJ359" s="1808"/>
      <c r="CK359" s="1808"/>
      <c r="CL359" s="1808"/>
      <c r="CM359" s="1808"/>
      <c r="CN359" s="1808"/>
      <c r="CO359" s="1808"/>
      <c r="CP359" s="1808"/>
      <c r="CQ359" s="1808"/>
      <c r="CR359" s="1808"/>
      <c r="CS359" s="1808"/>
      <c r="CT359" s="1808"/>
      <c r="CU359" s="1808"/>
      <c r="CV359" s="1808"/>
      <c r="CW359" s="1808"/>
      <c r="CX359" s="1808"/>
      <c r="CY359" s="1808"/>
      <c r="CZ359" s="1808"/>
      <c r="DA359" s="1808"/>
      <c r="DB359" s="1808"/>
      <c r="DC359" s="1808"/>
      <c r="DD359" s="1808"/>
      <c r="DE359" s="1808"/>
      <c r="DF359" s="1808"/>
      <c r="DG359" s="1808"/>
      <c r="DH359" s="1808"/>
      <c r="DI359" s="1808"/>
      <c r="DJ359" s="1808"/>
      <c r="DK359" s="1808"/>
      <c r="DL359" s="1808"/>
      <c r="DM359" s="1808"/>
      <c r="DN359" s="1808"/>
      <c r="DO359" s="1808"/>
      <c r="DP359" s="1808"/>
      <c r="DQ359" s="1808"/>
      <c r="DR359" s="1808"/>
      <c r="DS359" s="1808"/>
      <c r="DT359" s="1808"/>
      <c r="DU359" s="1808"/>
      <c r="DV359" s="1808"/>
      <c r="DW359" s="1808"/>
      <c r="DX359" s="1808"/>
      <c r="DY359" s="1808"/>
      <c r="DZ359" s="1808"/>
      <c r="EA359" s="1808"/>
      <c r="EB359" s="1808"/>
      <c r="EC359" s="1808"/>
      <c r="ED359" s="1808"/>
      <c r="EE359" s="1808"/>
      <c r="EF359" s="1808"/>
      <c r="EG359" s="1808"/>
      <c r="EH359" s="1808"/>
      <c r="EI359" s="1808"/>
      <c r="EJ359" s="1808"/>
      <c r="EK359" s="1808"/>
      <c r="EL359" s="1808"/>
      <c r="EM359" s="1808"/>
      <c r="EN359" s="1808"/>
      <c r="EO359" s="1808"/>
      <c r="EP359" s="1808"/>
      <c r="EQ359" s="1808"/>
      <c r="ER359" s="1808"/>
      <c r="ES359" s="1808"/>
      <c r="ET359" s="1808"/>
      <c r="EU359" s="1808"/>
      <c r="EV359" s="1808"/>
      <c r="EW359" s="1808"/>
      <c r="EX359" s="1808"/>
      <c r="EY359" s="1808"/>
      <c r="EZ359" s="1808"/>
      <c r="FA359" s="1808"/>
      <c r="FB359" s="1808"/>
      <c r="FC359" s="1808"/>
      <c r="FD359" s="1808"/>
      <c r="FE359" s="1808"/>
      <c r="FF359" s="1808"/>
      <c r="FG359" s="1808"/>
      <c r="FH359" s="1808"/>
      <c r="FI359" s="1808"/>
      <c r="FJ359" s="1808"/>
      <c r="FK359" s="1808"/>
      <c r="FL359" s="1808"/>
      <c r="FM359" s="1808"/>
      <c r="FN359" s="1808"/>
      <c r="FO359" s="1808"/>
      <c r="FP359" s="1808"/>
      <c r="FQ359" s="1808"/>
      <c r="FR359" s="1808"/>
      <c r="FS359" s="1808"/>
      <c r="FT359" s="1808"/>
      <c r="FU359" s="1808"/>
      <c r="FV359" s="1808"/>
      <c r="FW359" s="1808"/>
      <c r="FX359" s="1808"/>
      <c r="FY359" s="1808"/>
      <c r="FZ359" s="1808"/>
      <c r="GA359" s="1808"/>
      <c r="GB359" s="1808"/>
      <c r="GC359" s="1808"/>
      <c r="GD359" s="1808"/>
      <c r="GE359" s="1808"/>
      <c r="GF359" s="1808"/>
      <c r="GG359" s="1808"/>
      <c r="GH359" s="1808"/>
      <c r="GI359" s="1808"/>
      <c r="GJ359" s="1808"/>
      <c r="GK359" s="1808"/>
      <c r="GL359" s="1808"/>
      <c r="GM359" s="1808"/>
      <c r="GN359" s="1808"/>
      <c r="GO359" s="1808"/>
      <c r="GP359" s="1808"/>
      <c r="GQ359" s="1808"/>
      <c r="GR359" s="1808"/>
      <c r="GS359" s="1808"/>
      <c r="GT359" s="1808"/>
      <c r="GU359" s="1808"/>
      <c r="GV359" s="1808"/>
      <c r="GW359" s="1808"/>
      <c r="GX359" s="1808"/>
      <c r="GY359" s="1808"/>
      <c r="GZ359" s="1808"/>
      <c r="HA359" s="1808"/>
      <c r="HB359" s="1808"/>
      <c r="HC359" s="1808"/>
      <c r="HD359" s="1808"/>
      <c r="HE359" s="1808"/>
      <c r="HF359" s="1808"/>
      <c r="HG359" s="1808"/>
      <c r="HH359" s="1808"/>
      <c r="HI359" s="1808"/>
      <c r="HJ359" s="1808"/>
      <c r="HK359" s="1808"/>
      <c r="HL359" s="1808"/>
      <c r="HM359" s="1808"/>
      <c r="HN359" s="1808"/>
      <c r="HO359" s="1808"/>
      <c r="HP359" s="1808"/>
      <c r="HQ359" s="1808"/>
      <c r="HR359" s="1808"/>
      <c r="HS359" s="1808"/>
      <c r="HT359" s="1808"/>
      <c r="HU359" s="1808"/>
      <c r="HV359" s="1808"/>
      <c r="HW359" s="1808"/>
      <c r="HX359" s="1808"/>
      <c r="HY359" s="1808"/>
      <c r="HZ359" s="1808"/>
      <c r="IA359" s="1808"/>
      <c r="IB359" s="1808"/>
      <c r="IC359" s="1808"/>
      <c r="ID359" s="1808"/>
      <c r="IE359" s="1808"/>
      <c r="IF359" s="1808"/>
      <c r="IG359" s="1808"/>
      <c r="IH359" s="1808"/>
      <c r="II359" s="1808"/>
      <c r="IJ359" s="1808"/>
      <c r="IK359" s="1808"/>
      <c r="IL359" s="1808"/>
      <c r="IM359" s="1808"/>
      <c r="IN359" s="1808"/>
      <c r="IO359" s="1808"/>
      <c r="IP359" s="1808"/>
      <c r="IQ359" s="1808"/>
      <c r="IR359" s="1808"/>
      <c r="IS359" s="1808"/>
      <c r="IT359" s="1808"/>
      <c r="IU359" s="1808"/>
      <c r="IV359" s="1808"/>
      <c r="IW359" s="1808"/>
      <c r="IX359" s="1808"/>
      <c r="IY359" s="1808"/>
      <c r="IZ359" s="1808"/>
      <c r="JA359" s="1808"/>
      <c r="JB359" s="1808"/>
      <c r="JC359" s="1808"/>
      <c r="JD359" s="1808"/>
      <c r="JE359" s="1808"/>
      <c r="JF359" s="1808"/>
      <c r="JG359" s="1808"/>
      <c r="JH359" s="1808"/>
      <c r="JI359" s="1808"/>
      <c r="JJ359" s="1808"/>
      <c r="JK359" s="1808"/>
      <c r="JL359" s="1808"/>
      <c r="JM359" s="1808"/>
      <c r="JN359" s="1808"/>
      <c r="JO359" s="1808"/>
      <c r="JP359" s="1808"/>
      <c r="JQ359" s="1808"/>
      <c r="JR359" s="1808"/>
      <c r="JS359" s="1808"/>
      <c r="JT359" s="1808"/>
      <c r="JU359" s="1808"/>
      <c r="JV359" s="1808"/>
      <c r="JW359" s="1808"/>
      <c r="JX359" s="1808"/>
      <c r="JY359" s="1808"/>
      <c r="JZ359" s="1808"/>
      <c r="KA359" s="1808"/>
      <c r="KB359" s="1808"/>
      <c r="KC359" s="1808"/>
      <c r="KD359" s="1808"/>
      <c r="KE359" s="1808"/>
      <c r="KF359" s="1808"/>
      <c r="KG359" s="1808"/>
      <c r="KH359" s="1808"/>
      <c r="KI359" s="1808"/>
      <c r="KJ359" s="1808"/>
      <c r="KK359" s="1808"/>
      <c r="KL359" s="1808"/>
      <c r="KM359" s="1808"/>
      <c r="KN359" s="1808"/>
      <c r="KO359" s="1808"/>
    </row>
    <row r="360" spans="1:301" ht="30" customHeight="1" thickBot="1" x14ac:dyDescent="0.25">
      <c r="A360" s="4153"/>
      <c r="B360" s="4154"/>
      <c r="C360" s="4154"/>
      <c r="D360" s="4154"/>
      <c r="E360" s="4154"/>
      <c r="F360" s="4154"/>
      <c r="G360" s="4154"/>
      <c r="H360" s="4154"/>
      <c r="I360" s="4154"/>
      <c r="J360" s="4154"/>
      <c r="K360" s="4154"/>
      <c r="L360" s="4154"/>
      <c r="M360" s="4154"/>
      <c r="N360" s="4154"/>
      <c r="O360" s="4154"/>
      <c r="P360" s="4154"/>
      <c r="Q360" s="4155"/>
      <c r="R360" s="2026">
        <f>SUM(R12:R359)</f>
        <v>46222727020</v>
      </c>
      <c r="S360" s="2027"/>
      <c r="T360" s="2028"/>
      <c r="U360" s="2029"/>
      <c r="V360" s="2030">
        <f>SUM(V12:V359)</f>
        <v>46222727020</v>
      </c>
      <c r="W360" s="2031"/>
      <c r="X360" s="2032"/>
      <c r="Y360" s="2033"/>
      <c r="Z360" s="2033"/>
      <c r="AA360" s="2034"/>
      <c r="AB360" s="2033"/>
      <c r="AC360" s="2033"/>
      <c r="AD360" s="2033"/>
      <c r="AE360" s="2033"/>
      <c r="AF360" s="2035"/>
      <c r="AG360" s="2033"/>
      <c r="AH360" s="2034"/>
      <c r="AI360" s="2033"/>
      <c r="AJ360" s="2033"/>
      <c r="AK360" s="2034"/>
      <c r="AL360" s="2034"/>
      <c r="AM360" s="2034"/>
      <c r="AN360" s="2034"/>
      <c r="AO360" s="2036"/>
      <c r="AP360" s="2036"/>
      <c r="AQ360" s="2037"/>
    </row>
    <row r="361" spans="1:301" x14ac:dyDescent="0.2">
      <c r="V361" s="2041"/>
    </row>
    <row r="362" spans="1:301" ht="43.5" customHeight="1" x14ac:dyDescent="0.2">
      <c r="K362" s="2527"/>
      <c r="L362" s="2527"/>
      <c r="M362" s="2527"/>
      <c r="N362" s="2527"/>
      <c r="O362" s="2527"/>
      <c r="P362" s="2527"/>
      <c r="Q362" s="2527"/>
    </row>
    <row r="363" spans="1:301" ht="43.5" customHeight="1" x14ac:dyDescent="0.2">
      <c r="R363" s="2045"/>
      <c r="V363" s="2046"/>
    </row>
    <row r="364" spans="1:301" ht="43.5" customHeight="1" x14ac:dyDescent="0.25">
      <c r="K364" s="4156" t="s">
        <v>1977</v>
      </c>
      <c r="L364" s="4156"/>
      <c r="M364" s="4156"/>
      <c r="V364" s="2047"/>
    </row>
    <row r="365" spans="1:301" s="2039" customFormat="1" ht="43.5" customHeight="1" x14ac:dyDescent="0.2">
      <c r="A365" s="1808"/>
      <c r="B365" s="1808"/>
      <c r="C365" s="1808"/>
      <c r="D365" s="1808"/>
      <c r="E365" s="1808"/>
      <c r="F365" s="1808"/>
      <c r="G365" s="1808"/>
      <c r="H365" s="1808"/>
      <c r="I365" s="1808"/>
      <c r="J365" s="1808"/>
      <c r="K365" s="4157" t="s">
        <v>1978</v>
      </c>
      <c r="L365" s="4157"/>
      <c r="M365" s="4157"/>
      <c r="N365" s="1935"/>
      <c r="O365" s="1841"/>
      <c r="P365" s="2038"/>
      <c r="R365" s="1935"/>
      <c r="S365" s="1841"/>
      <c r="T365" s="2038"/>
      <c r="U365" s="2040"/>
      <c r="V365" s="2040"/>
      <c r="Y365" s="2042"/>
      <c r="Z365" s="2042"/>
      <c r="AA365" s="2043"/>
      <c r="AB365" s="2042"/>
      <c r="AC365" s="2042"/>
      <c r="AD365" s="2042"/>
      <c r="AE365" s="2042"/>
      <c r="AF365" s="2044"/>
      <c r="AG365" s="2042"/>
      <c r="AH365" s="2043"/>
      <c r="AI365" s="2042"/>
      <c r="AJ365" s="2042"/>
      <c r="AK365" s="2043"/>
      <c r="AL365" s="2043"/>
      <c r="AM365" s="2043"/>
      <c r="AN365" s="2043"/>
      <c r="AO365" s="1808"/>
      <c r="AP365" s="1808"/>
      <c r="AQ365" s="1808"/>
      <c r="AR365" s="1808"/>
      <c r="AS365" s="1808"/>
      <c r="AT365" s="1808"/>
      <c r="AU365" s="1808"/>
      <c r="AV365" s="1808"/>
      <c r="AW365" s="1808"/>
      <c r="AX365" s="1808"/>
      <c r="AY365" s="1808"/>
      <c r="AZ365" s="1808"/>
      <c r="BA365" s="1808"/>
      <c r="BB365" s="1808"/>
      <c r="BC365" s="1808"/>
      <c r="BD365" s="1808"/>
      <c r="BE365" s="1808"/>
      <c r="BF365" s="1808"/>
      <c r="BG365" s="1808"/>
      <c r="BH365" s="1808"/>
      <c r="BI365" s="1808"/>
      <c r="BJ365" s="1808"/>
      <c r="BK365" s="1808"/>
      <c r="BL365" s="1808"/>
      <c r="BM365" s="1808"/>
      <c r="BN365" s="1808"/>
      <c r="BO365" s="1808"/>
      <c r="BP365" s="1808"/>
      <c r="BQ365" s="1808"/>
      <c r="BR365" s="1808"/>
      <c r="BS365" s="1808"/>
      <c r="BT365" s="1808"/>
      <c r="BU365" s="1808"/>
      <c r="BV365" s="1808"/>
      <c r="BW365" s="1808"/>
      <c r="BX365" s="1808"/>
      <c r="BY365" s="1808"/>
      <c r="BZ365" s="1808"/>
      <c r="CA365" s="1808"/>
      <c r="CB365" s="1808"/>
      <c r="CC365" s="1808"/>
      <c r="CD365" s="1808"/>
      <c r="CE365" s="1808"/>
      <c r="CF365" s="1808"/>
      <c r="CG365" s="1808"/>
      <c r="CH365" s="1808"/>
      <c r="CI365" s="1808"/>
      <c r="CJ365" s="1808"/>
      <c r="CK365" s="1808"/>
      <c r="CL365" s="1808"/>
      <c r="CM365" s="1808"/>
      <c r="CN365" s="1808"/>
      <c r="CO365" s="1808"/>
      <c r="CP365" s="1808"/>
      <c r="CQ365" s="1808"/>
      <c r="CR365" s="1808"/>
      <c r="CS365" s="1808"/>
      <c r="CT365" s="1808"/>
      <c r="CU365" s="1808"/>
      <c r="CV365" s="1808"/>
      <c r="CW365" s="1808"/>
      <c r="CX365" s="1808"/>
      <c r="CY365" s="1808"/>
      <c r="CZ365" s="1808"/>
      <c r="DA365" s="1808"/>
      <c r="DB365" s="1808"/>
      <c r="DC365" s="1808"/>
      <c r="DD365" s="1808"/>
      <c r="DE365" s="1808"/>
      <c r="DF365" s="1808"/>
      <c r="DG365" s="1808"/>
      <c r="DH365" s="1808"/>
      <c r="DI365" s="1808"/>
      <c r="DJ365" s="1808"/>
      <c r="DK365" s="1808"/>
      <c r="DL365" s="1808"/>
      <c r="DM365" s="1808"/>
      <c r="DN365" s="1808"/>
      <c r="DO365" s="1808"/>
      <c r="DP365" s="1808"/>
      <c r="DQ365" s="1808"/>
      <c r="DR365" s="1808"/>
      <c r="DS365" s="1808"/>
      <c r="DT365" s="1808"/>
      <c r="DU365" s="1808"/>
      <c r="DV365" s="1808"/>
      <c r="DW365" s="1808"/>
      <c r="DX365" s="1808"/>
      <c r="DY365" s="1808"/>
      <c r="DZ365" s="1808"/>
      <c r="EA365" s="1808"/>
      <c r="EB365" s="1808"/>
      <c r="EC365" s="1808"/>
      <c r="ED365" s="1808"/>
      <c r="EE365" s="1808"/>
      <c r="EF365" s="1808"/>
      <c r="EG365" s="1808"/>
      <c r="EH365" s="1808"/>
      <c r="EI365" s="1808"/>
      <c r="EJ365" s="1808"/>
      <c r="EK365" s="1808"/>
      <c r="EL365" s="1808"/>
      <c r="EM365" s="1808"/>
      <c r="EN365" s="1808"/>
      <c r="EO365" s="1808"/>
      <c r="EP365" s="1808"/>
      <c r="EQ365" s="1808"/>
      <c r="ER365" s="1808"/>
      <c r="ES365" s="1808"/>
      <c r="ET365" s="1808"/>
      <c r="EU365" s="1808"/>
      <c r="EV365" s="1808"/>
      <c r="EW365" s="1808"/>
      <c r="EX365" s="1808"/>
      <c r="EY365" s="1808"/>
      <c r="EZ365" s="1808"/>
      <c r="FA365" s="1808"/>
      <c r="FB365" s="1808"/>
      <c r="FC365" s="1808"/>
      <c r="FD365" s="1808"/>
      <c r="FE365" s="1808"/>
      <c r="FF365" s="1808"/>
      <c r="FG365" s="1808"/>
      <c r="FH365" s="1808"/>
      <c r="FI365" s="1808"/>
      <c r="FJ365" s="1808"/>
      <c r="FK365" s="1808"/>
      <c r="FL365" s="1808"/>
      <c r="FM365" s="1808"/>
      <c r="FN365" s="1808"/>
      <c r="FO365" s="1808"/>
      <c r="FP365" s="1808"/>
      <c r="FQ365" s="1808"/>
      <c r="FR365" s="1808"/>
      <c r="FS365" s="1808"/>
      <c r="FT365" s="1808"/>
      <c r="FU365" s="1808"/>
      <c r="FV365" s="1808"/>
      <c r="FW365" s="1808"/>
      <c r="FX365" s="1808"/>
      <c r="FY365" s="1808"/>
      <c r="FZ365" s="1808"/>
      <c r="GA365" s="1808"/>
      <c r="GB365" s="1808"/>
      <c r="GC365" s="1808"/>
      <c r="GD365" s="1808"/>
      <c r="GE365" s="1808"/>
      <c r="GF365" s="1808"/>
      <c r="GG365" s="1808"/>
      <c r="GH365" s="1808"/>
      <c r="GI365" s="1808"/>
      <c r="GJ365" s="1808"/>
      <c r="GK365" s="1808"/>
      <c r="GL365" s="1808"/>
      <c r="GM365" s="1808"/>
      <c r="GN365" s="1808"/>
      <c r="GO365" s="1808"/>
      <c r="GP365" s="1808"/>
      <c r="GQ365" s="1808"/>
      <c r="GR365" s="1808"/>
      <c r="GS365" s="1808"/>
      <c r="GT365" s="1808"/>
      <c r="GU365" s="1808"/>
      <c r="GV365" s="1808"/>
      <c r="GW365" s="1808"/>
      <c r="GX365" s="1808"/>
      <c r="GY365" s="1808"/>
      <c r="GZ365" s="1808"/>
      <c r="HA365" s="1808"/>
      <c r="HB365" s="1808"/>
      <c r="HC365" s="1808"/>
      <c r="HD365" s="1808"/>
      <c r="HE365" s="1808"/>
      <c r="HF365" s="1808"/>
      <c r="HG365" s="1808"/>
      <c r="HH365" s="1808"/>
      <c r="HI365" s="1808"/>
      <c r="HJ365" s="1808"/>
      <c r="HK365" s="1808"/>
      <c r="HL365" s="1808"/>
      <c r="HM365" s="1808"/>
      <c r="HN365" s="1808"/>
      <c r="HO365" s="1808"/>
      <c r="HP365" s="1808"/>
      <c r="HQ365" s="1808"/>
      <c r="HR365" s="1808"/>
      <c r="HS365" s="1808"/>
      <c r="HT365" s="1808"/>
      <c r="HU365" s="1808"/>
      <c r="HV365" s="1808"/>
      <c r="HW365" s="1808"/>
      <c r="HX365" s="1808"/>
      <c r="HY365" s="1808"/>
      <c r="HZ365" s="1808"/>
      <c r="IA365" s="1808"/>
      <c r="IB365" s="1808"/>
      <c r="IC365" s="1808"/>
      <c r="ID365" s="1808"/>
      <c r="IE365" s="1808"/>
      <c r="IF365" s="1808"/>
      <c r="IG365" s="1808"/>
      <c r="IH365" s="1808"/>
      <c r="II365" s="1808"/>
      <c r="IJ365" s="1808"/>
      <c r="IK365" s="1808"/>
      <c r="IL365" s="1808"/>
      <c r="IM365" s="1808"/>
      <c r="IN365" s="1808"/>
      <c r="IO365" s="1808"/>
      <c r="IP365" s="1808"/>
      <c r="IQ365" s="1808"/>
      <c r="IR365" s="1808"/>
      <c r="IS365" s="1808"/>
      <c r="IT365" s="1808"/>
      <c r="IU365" s="1808"/>
      <c r="IV365" s="1808"/>
      <c r="IW365" s="1808"/>
      <c r="IX365" s="1808"/>
      <c r="IY365" s="1808"/>
      <c r="IZ365" s="1808"/>
      <c r="JA365" s="1808"/>
      <c r="JB365" s="1808"/>
      <c r="JC365" s="1808"/>
      <c r="JD365" s="1808"/>
      <c r="JE365" s="1808"/>
      <c r="JF365" s="1808"/>
      <c r="JG365" s="1808"/>
      <c r="JH365" s="1808"/>
      <c r="JI365" s="1808"/>
      <c r="JJ365" s="1808"/>
      <c r="JK365" s="1808"/>
      <c r="JL365" s="1808"/>
      <c r="JM365" s="1808"/>
      <c r="JN365" s="1808"/>
      <c r="JO365" s="1808"/>
      <c r="JP365" s="1808"/>
      <c r="JQ365" s="1808"/>
      <c r="JR365" s="1808"/>
      <c r="JS365" s="1808"/>
      <c r="JT365" s="1808"/>
      <c r="JU365" s="1808"/>
      <c r="JV365" s="1808"/>
      <c r="JW365" s="1808"/>
      <c r="JX365" s="1808"/>
      <c r="JY365" s="1808"/>
      <c r="JZ365" s="1808"/>
      <c r="KA365" s="1808"/>
      <c r="KB365" s="1808"/>
      <c r="KC365" s="1808"/>
      <c r="KD365" s="1808"/>
      <c r="KE365" s="1808"/>
      <c r="KF365" s="1808"/>
      <c r="KG365" s="1808"/>
      <c r="KH365" s="1808"/>
      <c r="KI365" s="1808"/>
      <c r="KJ365" s="1808"/>
      <c r="KK365" s="1808"/>
      <c r="KL365" s="1808"/>
      <c r="KM365" s="1808"/>
      <c r="KN365" s="1808"/>
      <c r="KO365" s="1808"/>
    </row>
    <row r="366" spans="1:301" s="2039" customFormat="1" ht="43.5" customHeight="1" x14ac:dyDescent="0.2">
      <c r="A366" s="1808"/>
      <c r="B366" s="1808"/>
      <c r="C366" s="1808"/>
      <c r="D366" s="1808"/>
      <c r="E366" s="1808"/>
      <c r="F366" s="1808"/>
      <c r="G366" s="1808"/>
      <c r="H366" s="1808"/>
      <c r="I366" s="1808"/>
      <c r="J366" s="1808"/>
      <c r="K366" s="2038"/>
      <c r="L366" s="1841"/>
      <c r="M366" s="1841"/>
      <c r="N366" s="1935"/>
      <c r="O366" s="1841"/>
      <c r="P366" s="2038"/>
      <c r="R366" s="1935"/>
      <c r="S366" s="1841"/>
      <c r="T366" s="2038"/>
      <c r="U366" s="2040"/>
      <c r="V366" s="2047"/>
      <c r="Y366" s="2042"/>
      <c r="Z366" s="2042"/>
      <c r="AA366" s="2043"/>
      <c r="AB366" s="2042"/>
      <c r="AC366" s="2042"/>
      <c r="AD366" s="2042"/>
      <c r="AE366" s="2042"/>
      <c r="AF366" s="2044"/>
      <c r="AG366" s="2042"/>
      <c r="AH366" s="2043"/>
      <c r="AI366" s="2042"/>
      <c r="AJ366" s="2042"/>
      <c r="AK366" s="2043"/>
      <c r="AL366" s="2043"/>
      <c r="AM366" s="2043"/>
      <c r="AN366" s="2043"/>
      <c r="AO366" s="1808"/>
      <c r="AP366" s="1808"/>
      <c r="AQ366" s="1808"/>
      <c r="AR366" s="1808"/>
      <c r="AS366" s="1808"/>
      <c r="AT366" s="1808"/>
      <c r="AU366" s="1808"/>
      <c r="AV366" s="1808"/>
      <c r="AW366" s="1808"/>
      <c r="AX366" s="1808"/>
      <c r="AY366" s="1808"/>
      <c r="AZ366" s="1808"/>
      <c r="BA366" s="1808"/>
      <c r="BB366" s="1808"/>
      <c r="BC366" s="1808"/>
      <c r="BD366" s="1808"/>
      <c r="BE366" s="1808"/>
      <c r="BF366" s="1808"/>
      <c r="BG366" s="1808"/>
      <c r="BH366" s="1808"/>
      <c r="BI366" s="1808"/>
      <c r="BJ366" s="1808"/>
      <c r="BK366" s="1808"/>
      <c r="BL366" s="1808"/>
      <c r="BM366" s="1808"/>
      <c r="BN366" s="1808"/>
      <c r="BO366" s="1808"/>
      <c r="BP366" s="1808"/>
      <c r="BQ366" s="1808"/>
      <c r="BR366" s="1808"/>
      <c r="BS366" s="1808"/>
      <c r="BT366" s="1808"/>
      <c r="BU366" s="1808"/>
      <c r="BV366" s="1808"/>
      <c r="BW366" s="1808"/>
      <c r="BX366" s="1808"/>
      <c r="BY366" s="1808"/>
      <c r="BZ366" s="1808"/>
      <c r="CA366" s="1808"/>
      <c r="CB366" s="1808"/>
      <c r="CC366" s="1808"/>
      <c r="CD366" s="1808"/>
      <c r="CE366" s="1808"/>
      <c r="CF366" s="1808"/>
      <c r="CG366" s="1808"/>
      <c r="CH366" s="1808"/>
      <c r="CI366" s="1808"/>
      <c r="CJ366" s="1808"/>
      <c r="CK366" s="1808"/>
      <c r="CL366" s="1808"/>
      <c r="CM366" s="1808"/>
      <c r="CN366" s="1808"/>
      <c r="CO366" s="1808"/>
      <c r="CP366" s="1808"/>
      <c r="CQ366" s="1808"/>
      <c r="CR366" s="1808"/>
      <c r="CS366" s="1808"/>
      <c r="CT366" s="1808"/>
      <c r="CU366" s="1808"/>
      <c r="CV366" s="1808"/>
      <c r="CW366" s="1808"/>
      <c r="CX366" s="1808"/>
      <c r="CY366" s="1808"/>
      <c r="CZ366" s="1808"/>
      <c r="DA366" s="1808"/>
      <c r="DB366" s="1808"/>
      <c r="DC366" s="1808"/>
      <c r="DD366" s="1808"/>
      <c r="DE366" s="1808"/>
      <c r="DF366" s="1808"/>
      <c r="DG366" s="1808"/>
      <c r="DH366" s="1808"/>
      <c r="DI366" s="1808"/>
      <c r="DJ366" s="1808"/>
      <c r="DK366" s="1808"/>
      <c r="DL366" s="1808"/>
      <c r="DM366" s="1808"/>
      <c r="DN366" s="1808"/>
      <c r="DO366" s="1808"/>
      <c r="DP366" s="1808"/>
      <c r="DQ366" s="1808"/>
      <c r="DR366" s="1808"/>
      <c r="DS366" s="1808"/>
      <c r="DT366" s="1808"/>
      <c r="DU366" s="1808"/>
      <c r="DV366" s="1808"/>
      <c r="DW366" s="1808"/>
      <c r="DX366" s="1808"/>
      <c r="DY366" s="1808"/>
      <c r="DZ366" s="1808"/>
      <c r="EA366" s="1808"/>
      <c r="EB366" s="1808"/>
      <c r="EC366" s="1808"/>
      <c r="ED366" s="1808"/>
      <c r="EE366" s="1808"/>
      <c r="EF366" s="1808"/>
      <c r="EG366" s="1808"/>
      <c r="EH366" s="1808"/>
      <c r="EI366" s="1808"/>
      <c r="EJ366" s="1808"/>
      <c r="EK366" s="1808"/>
      <c r="EL366" s="1808"/>
      <c r="EM366" s="1808"/>
      <c r="EN366" s="1808"/>
      <c r="EO366" s="1808"/>
      <c r="EP366" s="1808"/>
      <c r="EQ366" s="1808"/>
      <c r="ER366" s="1808"/>
      <c r="ES366" s="1808"/>
      <c r="ET366" s="1808"/>
      <c r="EU366" s="1808"/>
      <c r="EV366" s="1808"/>
      <c r="EW366" s="1808"/>
      <c r="EX366" s="1808"/>
      <c r="EY366" s="1808"/>
      <c r="EZ366" s="1808"/>
      <c r="FA366" s="1808"/>
      <c r="FB366" s="1808"/>
      <c r="FC366" s="1808"/>
      <c r="FD366" s="1808"/>
      <c r="FE366" s="1808"/>
      <c r="FF366" s="1808"/>
      <c r="FG366" s="1808"/>
      <c r="FH366" s="1808"/>
      <c r="FI366" s="1808"/>
      <c r="FJ366" s="1808"/>
      <c r="FK366" s="1808"/>
      <c r="FL366" s="1808"/>
      <c r="FM366" s="1808"/>
      <c r="FN366" s="1808"/>
      <c r="FO366" s="1808"/>
      <c r="FP366" s="1808"/>
      <c r="FQ366" s="1808"/>
      <c r="FR366" s="1808"/>
      <c r="FS366" s="1808"/>
      <c r="FT366" s="1808"/>
      <c r="FU366" s="1808"/>
      <c r="FV366" s="1808"/>
      <c r="FW366" s="1808"/>
      <c r="FX366" s="1808"/>
      <c r="FY366" s="1808"/>
      <c r="FZ366" s="1808"/>
      <c r="GA366" s="1808"/>
      <c r="GB366" s="1808"/>
      <c r="GC366" s="1808"/>
      <c r="GD366" s="1808"/>
      <c r="GE366" s="1808"/>
      <c r="GF366" s="1808"/>
      <c r="GG366" s="1808"/>
      <c r="GH366" s="1808"/>
      <c r="GI366" s="1808"/>
      <c r="GJ366" s="1808"/>
      <c r="GK366" s="1808"/>
      <c r="GL366" s="1808"/>
      <c r="GM366" s="1808"/>
      <c r="GN366" s="1808"/>
      <c r="GO366" s="1808"/>
      <c r="GP366" s="1808"/>
      <c r="GQ366" s="1808"/>
      <c r="GR366" s="1808"/>
      <c r="GS366" s="1808"/>
      <c r="GT366" s="1808"/>
      <c r="GU366" s="1808"/>
      <c r="GV366" s="1808"/>
      <c r="GW366" s="1808"/>
      <c r="GX366" s="1808"/>
      <c r="GY366" s="1808"/>
      <c r="GZ366" s="1808"/>
      <c r="HA366" s="1808"/>
      <c r="HB366" s="1808"/>
      <c r="HC366" s="1808"/>
      <c r="HD366" s="1808"/>
      <c r="HE366" s="1808"/>
      <c r="HF366" s="1808"/>
      <c r="HG366" s="1808"/>
      <c r="HH366" s="1808"/>
      <c r="HI366" s="1808"/>
      <c r="HJ366" s="1808"/>
      <c r="HK366" s="1808"/>
      <c r="HL366" s="1808"/>
      <c r="HM366" s="1808"/>
      <c r="HN366" s="1808"/>
      <c r="HO366" s="1808"/>
      <c r="HP366" s="1808"/>
      <c r="HQ366" s="1808"/>
      <c r="HR366" s="1808"/>
      <c r="HS366" s="1808"/>
      <c r="HT366" s="1808"/>
      <c r="HU366" s="1808"/>
      <c r="HV366" s="1808"/>
      <c r="HW366" s="1808"/>
      <c r="HX366" s="1808"/>
      <c r="HY366" s="1808"/>
      <c r="HZ366" s="1808"/>
      <c r="IA366" s="1808"/>
      <c r="IB366" s="1808"/>
      <c r="IC366" s="1808"/>
      <c r="ID366" s="1808"/>
      <c r="IE366" s="1808"/>
      <c r="IF366" s="1808"/>
      <c r="IG366" s="1808"/>
      <c r="IH366" s="1808"/>
      <c r="II366" s="1808"/>
      <c r="IJ366" s="1808"/>
      <c r="IK366" s="1808"/>
      <c r="IL366" s="1808"/>
      <c r="IM366" s="1808"/>
      <c r="IN366" s="1808"/>
      <c r="IO366" s="1808"/>
      <c r="IP366" s="1808"/>
      <c r="IQ366" s="1808"/>
      <c r="IR366" s="1808"/>
      <c r="IS366" s="1808"/>
      <c r="IT366" s="1808"/>
      <c r="IU366" s="1808"/>
      <c r="IV366" s="1808"/>
      <c r="IW366" s="1808"/>
      <c r="IX366" s="1808"/>
      <c r="IY366" s="1808"/>
      <c r="IZ366" s="1808"/>
      <c r="JA366" s="1808"/>
      <c r="JB366" s="1808"/>
      <c r="JC366" s="1808"/>
      <c r="JD366" s="1808"/>
      <c r="JE366" s="1808"/>
      <c r="JF366" s="1808"/>
      <c r="JG366" s="1808"/>
      <c r="JH366" s="1808"/>
      <c r="JI366" s="1808"/>
      <c r="JJ366" s="1808"/>
      <c r="JK366" s="1808"/>
      <c r="JL366" s="1808"/>
      <c r="JM366" s="1808"/>
      <c r="JN366" s="1808"/>
      <c r="JO366" s="1808"/>
      <c r="JP366" s="1808"/>
      <c r="JQ366" s="1808"/>
      <c r="JR366" s="1808"/>
      <c r="JS366" s="1808"/>
      <c r="JT366" s="1808"/>
      <c r="JU366" s="1808"/>
      <c r="JV366" s="1808"/>
      <c r="JW366" s="1808"/>
      <c r="JX366" s="1808"/>
      <c r="JY366" s="1808"/>
      <c r="JZ366" s="1808"/>
      <c r="KA366" s="1808"/>
      <c r="KB366" s="1808"/>
      <c r="KC366" s="1808"/>
      <c r="KD366" s="1808"/>
      <c r="KE366" s="1808"/>
      <c r="KF366" s="1808"/>
      <c r="KG366" s="1808"/>
      <c r="KH366" s="1808"/>
      <c r="KI366" s="1808"/>
      <c r="KJ366" s="1808"/>
      <c r="KK366" s="1808"/>
      <c r="KL366" s="1808"/>
      <c r="KM366" s="1808"/>
      <c r="KN366" s="1808"/>
      <c r="KO366" s="1808"/>
    </row>
    <row r="367" spans="1:301" s="2039" customFormat="1" ht="43.5" customHeight="1" x14ac:dyDescent="0.2">
      <c r="A367" s="1808"/>
      <c r="B367" s="1808"/>
      <c r="C367" s="1808"/>
      <c r="D367" s="1808"/>
      <c r="E367" s="1808"/>
      <c r="F367" s="1808"/>
      <c r="G367" s="1808"/>
      <c r="H367" s="1808"/>
      <c r="I367" s="1808"/>
      <c r="J367" s="1808"/>
      <c r="K367" s="2038"/>
      <c r="L367" s="1841"/>
      <c r="M367" s="1841"/>
      <c r="N367" s="1935"/>
      <c r="O367" s="1841"/>
      <c r="P367" s="2038"/>
      <c r="R367" s="1935"/>
      <c r="S367" s="1841"/>
      <c r="T367" s="2038"/>
      <c r="U367" s="2040"/>
      <c r="V367" s="2040"/>
      <c r="Y367" s="2042"/>
      <c r="Z367" s="2042"/>
      <c r="AA367" s="2043"/>
      <c r="AB367" s="2042"/>
      <c r="AC367" s="2042"/>
      <c r="AD367" s="2042"/>
      <c r="AE367" s="2042"/>
      <c r="AF367" s="2044"/>
      <c r="AG367" s="2042"/>
      <c r="AH367" s="2043"/>
      <c r="AI367" s="2042"/>
      <c r="AJ367" s="2042"/>
      <c r="AK367" s="2043"/>
      <c r="AL367" s="2043"/>
      <c r="AM367" s="2043"/>
      <c r="AN367" s="2043"/>
      <c r="AO367" s="1808"/>
      <c r="AP367" s="1808"/>
      <c r="AQ367" s="1808"/>
      <c r="AR367" s="1808"/>
      <c r="AS367" s="1808"/>
      <c r="AT367" s="1808"/>
      <c r="AU367" s="1808"/>
      <c r="AV367" s="1808"/>
      <c r="AW367" s="1808"/>
      <c r="AX367" s="1808"/>
      <c r="AY367" s="1808"/>
      <c r="AZ367" s="1808"/>
      <c r="BA367" s="1808"/>
      <c r="BB367" s="1808"/>
      <c r="BC367" s="1808"/>
      <c r="BD367" s="1808"/>
      <c r="BE367" s="1808"/>
      <c r="BF367" s="1808"/>
      <c r="BG367" s="1808"/>
      <c r="BH367" s="1808"/>
      <c r="BI367" s="1808"/>
      <c r="BJ367" s="1808"/>
      <c r="BK367" s="1808"/>
      <c r="BL367" s="1808"/>
      <c r="BM367" s="1808"/>
      <c r="BN367" s="1808"/>
      <c r="BO367" s="1808"/>
      <c r="BP367" s="1808"/>
      <c r="BQ367" s="1808"/>
      <c r="BR367" s="1808"/>
      <c r="BS367" s="1808"/>
      <c r="BT367" s="1808"/>
      <c r="BU367" s="1808"/>
      <c r="BV367" s="1808"/>
      <c r="BW367" s="1808"/>
      <c r="BX367" s="1808"/>
      <c r="BY367" s="1808"/>
      <c r="BZ367" s="1808"/>
      <c r="CA367" s="1808"/>
      <c r="CB367" s="1808"/>
      <c r="CC367" s="1808"/>
      <c r="CD367" s="1808"/>
      <c r="CE367" s="1808"/>
      <c r="CF367" s="1808"/>
      <c r="CG367" s="1808"/>
      <c r="CH367" s="1808"/>
      <c r="CI367" s="1808"/>
      <c r="CJ367" s="1808"/>
      <c r="CK367" s="1808"/>
      <c r="CL367" s="1808"/>
      <c r="CM367" s="1808"/>
      <c r="CN367" s="1808"/>
      <c r="CO367" s="1808"/>
      <c r="CP367" s="1808"/>
      <c r="CQ367" s="1808"/>
      <c r="CR367" s="1808"/>
      <c r="CS367" s="1808"/>
      <c r="CT367" s="1808"/>
      <c r="CU367" s="1808"/>
      <c r="CV367" s="1808"/>
      <c r="CW367" s="1808"/>
      <c r="CX367" s="1808"/>
      <c r="CY367" s="1808"/>
      <c r="CZ367" s="1808"/>
      <c r="DA367" s="1808"/>
      <c r="DB367" s="1808"/>
      <c r="DC367" s="1808"/>
      <c r="DD367" s="1808"/>
      <c r="DE367" s="1808"/>
      <c r="DF367" s="1808"/>
      <c r="DG367" s="1808"/>
      <c r="DH367" s="1808"/>
      <c r="DI367" s="1808"/>
      <c r="DJ367" s="1808"/>
      <c r="DK367" s="1808"/>
      <c r="DL367" s="1808"/>
      <c r="DM367" s="1808"/>
      <c r="DN367" s="1808"/>
      <c r="DO367" s="1808"/>
      <c r="DP367" s="1808"/>
      <c r="DQ367" s="1808"/>
      <c r="DR367" s="1808"/>
      <c r="DS367" s="1808"/>
      <c r="DT367" s="1808"/>
      <c r="DU367" s="1808"/>
      <c r="DV367" s="1808"/>
      <c r="DW367" s="1808"/>
      <c r="DX367" s="1808"/>
      <c r="DY367" s="1808"/>
      <c r="DZ367" s="1808"/>
      <c r="EA367" s="1808"/>
      <c r="EB367" s="1808"/>
      <c r="EC367" s="1808"/>
      <c r="ED367" s="1808"/>
      <c r="EE367" s="1808"/>
      <c r="EF367" s="1808"/>
      <c r="EG367" s="1808"/>
      <c r="EH367" s="1808"/>
      <c r="EI367" s="1808"/>
      <c r="EJ367" s="1808"/>
      <c r="EK367" s="1808"/>
      <c r="EL367" s="1808"/>
      <c r="EM367" s="1808"/>
      <c r="EN367" s="1808"/>
      <c r="EO367" s="1808"/>
      <c r="EP367" s="1808"/>
      <c r="EQ367" s="1808"/>
      <c r="ER367" s="1808"/>
      <c r="ES367" s="1808"/>
      <c r="ET367" s="1808"/>
      <c r="EU367" s="1808"/>
      <c r="EV367" s="1808"/>
      <c r="EW367" s="1808"/>
      <c r="EX367" s="1808"/>
      <c r="EY367" s="1808"/>
      <c r="EZ367" s="1808"/>
      <c r="FA367" s="1808"/>
      <c r="FB367" s="1808"/>
      <c r="FC367" s="1808"/>
      <c r="FD367" s="1808"/>
      <c r="FE367" s="1808"/>
      <c r="FF367" s="1808"/>
      <c r="FG367" s="1808"/>
      <c r="FH367" s="1808"/>
      <c r="FI367" s="1808"/>
      <c r="FJ367" s="1808"/>
      <c r="FK367" s="1808"/>
      <c r="FL367" s="1808"/>
      <c r="FM367" s="1808"/>
      <c r="FN367" s="1808"/>
      <c r="FO367" s="1808"/>
      <c r="FP367" s="1808"/>
      <c r="FQ367" s="1808"/>
      <c r="FR367" s="1808"/>
      <c r="FS367" s="1808"/>
      <c r="FT367" s="1808"/>
      <c r="FU367" s="1808"/>
      <c r="FV367" s="1808"/>
      <c r="FW367" s="1808"/>
      <c r="FX367" s="1808"/>
      <c r="FY367" s="1808"/>
      <c r="FZ367" s="1808"/>
      <c r="GA367" s="1808"/>
      <c r="GB367" s="1808"/>
      <c r="GC367" s="1808"/>
      <c r="GD367" s="1808"/>
      <c r="GE367" s="1808"/>
      <c r="GF367" s="1808"/>
      <c r="GG367" s="1808"/>
      <c r="GH367" s="1808"/>
      <c r="GI367" s="1808"/>
      <c r="GJ367" s="1808"/>
      <c r="GK367" s="1808"/>
      <c r="GL367" s="1808"/>
      <c r="GM367" s="1808"/>
      <c r="GN367" s="1808"/>
      <c r="GO367" s="1808"/>
      <c r="GP367" s="1808"/>
      <c r="GQ367" s="1808"/>
      <c r="GR367" s="1808"/>
      <c r="GS367" s="1808"/>
      <c r="GT367" s="1808"/>
      <c r="GU367" s="1808"/>
      <c r="GV367" s="1808"/>
      <c r="GW367" s="1808"/>
      <c r="GX367" s="1808"/>
      <c r="GY367" s="1808"/>
      <c r="GZ367" s="1808"/>
      <c r="HA367" s="1808"/>
      <c r="HB367" s="1808"/>
      <c r="HC367" s="1808"/>
      <c r="HD367" s="1808"/>
      <c r="HE367" s="1808"/>
      <c r="HF367" s="1808"/>
      <c r="HG367" s="1808"/>
      <c r="HH367" s="1808"/>
      <c r="HI367" s="1808"/>
      <c r="HJ367" s="1808"/>
      <c r="HK367" s="1808"/>
      <c r="HL367" s="1808"/>
      <c r="HM367" s="1808"/>
      <c r="HN367" s="1808"/>
      <c r="HO367" s="1808"/>
      <c r="HP367" s="1808"/>
      <c r="HQ367" s="1808"/>
      <c r="HR367" s="1808"/>
      <c r="HS367" s="1808"/>
      <c r="HT367" s="1808"/>
      <c r="HU367" s="1808"/>
      <c r="HV367" s="1808"/>
      <c r="HW367" s="1808"/>
      <c r="HX367" s="1808"/>
      <c r="HY367" s="1808"/>
      <c r="HZ367" s="1808"/>
      <c r="IA367" s="1808"/>
      <c r="IB367" s="1808"/>
      <c r="IC367" s="1808"/>
      <c r="ID367" s="1808"/>
      <c r="IE367" s="1808"/>
      <c r="IF367" s="1808"/>
      <c r="IG367" s="1808"/>
      <c r="IH367" s="1808"/>
      <c r="II367" s="1808"/>
      <c r="IJ367" s="1808"/>
      <c r="IK367" s="1808"/>
      <c r="IL367" s="1808"/>
      <c r="IM367" s="1808"/>
      <c r="IN367" s="1808"/>
      <c r="IO367" s="1808"/>
      <c r="IP367" s="1808"/>
      <c r="IQ367" s="1808"/>
      <c r="IR367" s="1808"/>
      <c r="IS367" s="1808"/>
      <c r="IT367" s="1808"/>
      <c r="IU367" s="1808"/>
      <c r="IV367" s="1808"/>
      <c r="IW367" s="1808"/>
      <c r="IX367" s="1808"/>
      <c r="IY367" s="1808"/>
      <c r="IZ367" s="1808"/>
      <c r="JA367" s="1808"/>
      <c r="JB367" s="1808"/>
      <c r="JC367" s="1808"/>
      <c r="JD367" s="1808"/>
      <c r="JE367" s="1808"/>
      <c r="JF367" s="1808"/>
      <c r="JG367" s="1808"/>
      <c r="JH367" s="1808"/>
      <c r="JI367" s="1808"/>
      <c r="JJ367" s="1808"/>
      <c r="JK367" s="1808"/>
      <c r="JL367" s="1808"/>
      <c r="JM367" s="1808"/>
      <c r="JN367" s="1808"/>
      <c r="JO367" s="1808"/>
      <c r="JP367" s="1808"/>
      <c r="JQ367" s="1808"/>
      <c r="JR367" s="1808"/>
      <c r="JS367" s="1808"/>
      <c r="JT367" s="1808"/>
      <c r="JU367" s="1808"/>
      <c r="JV367" s="1808"/>
      <c r="JW367" s="1808"/>
      <c r="JX367" s="1808"/>
      <c r="JY367" s="1808"/>
      <c r="JZ367" s="1808"/>
      <c r="KA367" s="1808"/>
      <c r="KB367" s="1808"/>
      <c r="KC367" s="1808"/>
      <c r="KD367" s="1808"/>
      <c r="KE367" s="1808"/>
      <c r="KF367" s="1808"/>
      <c r="KG367" s="1808"/>
      <c r="KH367" s="1808"/>
      <c r="KI367" s="1808"/>
      <c r="KJ367" s="1808"/>
      <c r="KK367" s="1808"/>
      <c r="KL367" s="1808"/>
      <c r="KM367" s="1808"/>
      <c r="KN367" s="1808"/>
      <c r="KO367" s="1808"/>
    </row>
  </sheetData>
  <sheetProtection password="A60F" sheet="1" objects="1" scenarios="1"/>
  <mergeCells count="969">
    <mergeCell ref="A360:Q360"/>
    <mergeCell ref="K362:Q362"/>
    <mergeCell ref="K364:M364"/>
    <mergeCell ref="R353:R359"/>
    <mergeCell ref="S353:S359"/>
    <mergeCell ref="Y353:Y359"/>
    <mergeCell ref="K365:M365"/>
    <mergeCell ref="J354:J358"/>
    <mergeCell ref="K354:K358"/>
    <mergeCell ref="L354:L358"/>
    <mergeCell ref="M354:M358"/>
    <mergeCell ref="Q354:Q358"/>
    <mergeCell ref="N353:N359"/>
    <mergeCell ref="O353:O359"/>
    <mergeCell ref="P353:P359"/>
    <mergeCell ref="AM353:AM359"/>
    <mergeCell ref="AN353:AN359"/>
    <mergeCell ref="AO353:AO359"/>
    <mergeCell ref="AP353:AP359"/>
    <mergeCell ref="AQ353:AQ359"/>
    <mergeCell ref="AF353:AF359"/>
    <mergeCell ref="AG353:AG359"/>
    <mergeCell ref="AH353:AH359"/>
    <mergeCell ref="AI353:AI359"/>
    <mergeCell ref="AJ353:AJ359"/>
    <mergeCell ref="AK353:AK359"/>
    <mergeCell ref="AM346:AM350"/>
    <mergeCell ref="AN346:AN350"/>
    <mergeCell ref="AO346:AO350"/>
    <mergeCell ref="AP346:AP350"/>
    <mergeCell ref="AQ346:AQ350"/>
    <mergeCell ref="AF346:AF350"/>
    <mergeCell ref="AG346:AG350"/>
    <mergeCell ref="AH346:AH350"/>
    <mergeCell ref="AI346:AI350"/>
    <mergeCell ref="AJ346:AJ350"/>
    <mergeCell ref="AK346:AK350"/>
    <mergeCell ref="Z346:Z350"/>
    <mergeCell ref="AA346:AA350"/>
    <mergeCell ref="AB346:AB350"/>
    <mergeCell ref="AC346:AC350"/>
    <mergeCell ref="AD346:AD350"/>
    <mergeCell ref="AE346:AE350"/>
    <mergeCell ref="T354:T356"/>
    <mergeCell ref="T357:T358"/>
    <mergeCell ref="AL353:AL359"/>
    <mergeCell ref="AL346:AL350"/>
    <mergeCell ref="Z353:Z359"/>
    <mergeCell ref="AA353:AA359"/>
    <mergeCell ref="AB353:AB359"/>
    <mergeCell ref="AC353:AC359"/>
    <mergeCell ref="AD353:AD359"/>
    <mergeCell ref="AE353:AE359"/>
    <mergeCell ref="P346:P350"/>
    <mergeCell ref="Q346:Q349"/>
    <mergeCell ref="R346:R350"/>
    <mergeCell ref="S346:S350"/>
    <mergeCell ref="T346:T349"/>
    <mergeCell ref="Y346:Y350"/>
    <mergeCell ref="U348:U349"/>
    <mergeCell ref="J346:J348"/>
    <mergeCell ref="K346:K348"/>
    <mergeCell ref="L346:L348"/>
    <mergeCell ref="M346:M348"/>
    <mergeCell ref="N346:N350"/>
    <mergeCell ref="O346:O350"/>
    <mergeCell ref="AN335:AN344"/>
    <mergeCell ref="AO335:AO344"/>
    <mergeCell ref="AP335:AP344"/>
    <mergeCell ref="AQ335:AQ344"/>
    <mergeCell ref="U337:U338"/>
    <mergeCell ref="T339:T340"/>
    <mergeCell ref="U339:U340"/>
    <mergeCell ref="T341:T343"/>
    <mergeCell ref="AH335:AH344"/>
    <mergeCell ref="AI335:AI344"/>
    <mergeCell ref="AJ335:AJ344"/>
    <mergeCell ref="AK335:AK344"/>
    <mergeCell ref="AL335:AL344"/>
    <mergeCell ref="AM335:AM344"/>
    <mergeCell ref="AB335:AB344"/>
    <mergeCell ref="AC335:AC344"/>
    <mergeCell ref="AD335:AD344"/>
    <mergeCell ref="AE335:AE344"/>
    <mergeCell ref="AF335:AF344"/>
    <mergeCell ref="AG335:AG344"/>
    <mergeCell ref="R335:R344"/>
    <mergeCell ref="S335:S344"/>
    <mergeCell ref="T335:T338"/>
    <mergeCell ref="Y335:Y344"/>
    <mergeCell ref="Z335:Z344"/>
    <mergeCell ref="AA335:AA344"/>
    <mergeCell ref="AQ326:AQ333"/>
    <mergeCell ref="U329:U330"/>
    <mergeCell ref="J335:J343"/>
    <mergeCell ref="K335:K343"/>
    <mergeCell ref="L335:L343"/>
    <mergeCell ref="M335:M343"/>
    <mergeCell ref="N335:N344"/>
    <mergeCell ref="O335:O344"/>
    <mergeCell ref="P335:P344"/>
    <mergeCell ref="Q335:Q343"/>
    <mergeCell ref="AK326:AK333"/>
    <mergeCell ref="AL326:AL333"/>
    <mergeCell ref="AM326:AM333"/>
    <mergeCell ref="AN326:AN333"/>
    <mergeCell ref="AO326:AO333"/>
    <mergeCell ref="AP326:AP333"/>
    <mergeCell ref="AE326:AE333"/>
    <mergeCell ref="AF326:AF333"/>
    <mergeCell ref="AG326:AG333"/>
    <mergeCell ref="AH326:AH333"/>
    <mergeCell ref="AI326:AI333"/>
    <mergeCell ref="AJ326:AJ333"/>
    <mergeCell ref="Y326:Y333"/>
    <mergeCell ref="Z326:Z333"/>
    <mergeCell ref="AA326:AA333"/>
    <mergeCell ref="AB326:AB333"/>
    <mergeCell ref="AC326:AC333"/>
    <mergeCell ref="AD326:AD333"/>
    <mergeCell ref="P326:P333"/>
    <mergeCell ref="Q326:Q333"/>
    <mergeCell ref="R326:R333"/>
    <mergeCell ref="S326:S333"/>
    <mergeCell ref="T326:T332"/>
    <mergeCell ref="U326:U327"/>
    <mergeCell ref="J326:J333"/>
    <mergeCell ref="K326:K333"/>
    <mergeCell ref="L326:L333"/>
    <mergeCell ref="M326:M333"/>
    <mergeCell ref="N326:N333"/>
    <mergeCell ref="O326:O333"/>
    <mergeCell ref="J324:J325"/>
    <mergeCell ref="K324:K325"/>
    <mergeCell ref="L324:L325"/>
    <mergeCell ref="M324:M325"/>
    <mergeCell ref="Q324:Q325"/>
    <mergeCell ref="T324:T325"/>
    <mergeCell ref="AL321:AL325"/>
    <mergeCell ref="AM321:AM325"/>
    <mergeCell ref="AN321:AN325"/>
    <mergeCell ref="Z321:Z325"/>
    <mergeCell ref="AA321:AA325"/>
    <mergeCell ref="AB321:AB325"/>
    <mergeCell ref="AC321:AC325"/>
    <mergeCell ref="AD321:AD325"/>
    <mergeCell ref="AE321:AE325"/>
    <mergeCell ref="P321:P325"/>
    <mergeCell ref="Q321:Q323"/>
    <mergeCell ref="R321:R325"/>
    <mergeCell ref="S321:S325"/>
    <mergeCell ref="T321:T323"/>
    <mergeCell ref="Y321:Y325"/>
    <mergeCell ref="AO321:AO325"/>
    <mergeCell ref="AP321:AP325"/>
    <mergeCell ref="AQ321:AQ325"/>
    <mergeCell ref="AF321:AF325"/>
    <mergeCell ref="AG321:AG325"/>
    <mergeCell ref="AH321:AH325"/>
    <mergeCell ref="AI321:AI325"/>
    <mergeCell ref="AJ321:AJ325"/>
    <mergeCell ref="AK321:AK325"/>
    <mergeCell ref="AO317:AO319"/>
    <mergeCell ref="AP317:AP319"/>
    <mergeCell ref="AQ317:AQ319"/>
    <mergeCell ref="AA320:AM320"/>
    <mergeCell ref="J321:J323"/>
    <mergeCell ref="K321:K323"/>
    <mergeCell ref="L321:L323"/>
    <mergeCell ref="M321:M323"/>
    <mergeCell ref="N321:N325"/>
    <mergeCell ref="O321:O325"/>
    <mergeCell ref="AI317:AI319"/>
    <mergeCell ref="AJ317:AJ319"/>
    <mergeCell ref="AK317:AK319"/>
    <mergeCell ref="AL317:AL319"/>
    <mergeCell ref="AM317:AM319"/>
    <mergeCell ref="AN317:AN319"/>
    <mergeCell ref="AC317:AC319"/>
    <mergeCell ref="AD317:AD319"/>
    <mergeCell ref="AE317:AE319"/>
    <mergeCell ref="AF317:AF319"/>
    <mergeCell ref="AG317:AG319"/>
    <mergeCell ref="AH317:AH319"/>
    <mergeCell ref="S317:S319"/>
    <mergeCell ref="X317:X319"/>
    <mergeCell ref="Y317:Y319"/>
    <mergeCell ref="Z317:Z319"/>
    <mergeCell ref="AA317:AA319"/>
    <mergeCell ref="AB317:AB319"/>
    <mergeCell ref="AA316:AM316"/>
    <mergeCell ref="J317:J319"/>
    <mergeCell ref="K317:K319"/>
    <mergeCell ref="L317:L319"/>
    <mergeCell ref="M317:M319"/>
    <mergeCell ref="N317:N319"/>
    <mergeCell ref="O317:O319"/>
    <mergeCell ref="P317:P319"/>
    <mergeCell ref="Q317:Q319"/>
    <mergeCell ref="R317:R319"/>
    <mergeCell ref="J314:J315"/>
    <mergeCell ref="K314:K315"/>
    <mergeCell ref="L314:L315"/>
    <mergeCell ref="M314:M315"/>
    <mergeCell ref="Q314:Q315"/>
    <mergeCell ref="T314:T315"/>
    <mergeCell ref="J301:J313"/>
    <mergeCell ref="K301:K313"/>
    <mergeCell ref="L301:L313"/>
    <mergeCell ref="M301:M313"/>
    <mergeCell ref="Q301:Q313"/>
    <mergeCell ref="T301:T313"/>
    <mergeCell ref="AL300:AL315"/>
    <mergeCell ref="AM300:AM315"/>
    <mergeCell ref="AN300:AN315"/>
    <mergeCell ref="AO300:AO315"/>
    <mergeCell ref="AP300:AP315"/>
    <mergeCell ref="AQ300:AQ315"/>
    <mergeCell ref="AF300:AF315"/>
    <mergeCell ref="AG300:AG315"/>
    <mergeCell ref="AH300:AH315"/>
    <mergeCell ref="AI300:AI315"/>
    <mergeCell ref="AJ300:AJ315"/>
    <mergeCell ref="AK300:AK315"/>
    <mergeCell ref="Z300:Z315"/>
    <mergeCell ref="AA300:AA315"/>
    <mergeCell ref="AB300:AB315"/>
    <mergeCell ref="AC300:AC315"/>
    <mergeCell ref="AD300:AD315"/>
    <mergeCell ref="AE300:AE315"/>
    <mergeCell ref="N300:N315"/>
    <mergeCell ref="O300:O315"/>
    <mergeCell ref="P300:P315"/>
    <mergeCell ref="R300:R315"/>
    <mergeCell ref="S300:S315"/>
    <mergeCell ref="Y300:Y315"/>
    <mergeCell ref="U301:U313"/>
    <mergeCell ref="AO287:AO297"/>
    <mergeCell ref="AP287:AP297"/>
    <mergeCell ref="AQ287:AQ297"/>
    <mergeCell ref="AK287:AK297"/>
    <mergeCell ref="AL287:AL297"/>
    <mergeCell ref="AM287:AM297"/>
    <mergeCell ref="AN287:AN297"/>
    <mergeCell ref="O287:O297"/>
    <mergeCell ref="P287:P297"/>
    <mergeCell ref="Q287:Q288"/>
    <mergeCell ref="R287:R297"/>
    <mergeCell ref="S287:S297"/>
    <mergeCell ref="N290:N292"/>
    <mergeCell ref="Q290:Q292"/>
    <mergeCell ref="AI287:AI297"/>
    <mergeCell ref="AJ287:AJ297"/>
    <mergeCell ref="AC287:AC297"/>
    <mergeCell ref="AD287:AD297"/>
    <mergeCell ref="AE287:AE297"/>
    <mergeCell ref="AF287:AF297"/>
    <mergeCell ref="AG287:AG297"/>
    <mergeCell ref="AH287:AH297"/>
    <mergeCell ref="T287:T288"/>
    <mergeCell ref="X287:X288"/>
    <mergeCell ref="Y287:Y297"/>
    <mergeCell ref="Z287:Z297"/>
    <mergeCell ref="AA287:AA297"/>
    <mergeCell ref="AB287:AB297"/>
    <mergeCell ref="T290:T292"/>
    <mergeCell ref="U290:U292"/>
    <mergeCell ref="N287:N288"/>
    <mergeCell ref="N294:N297"/>
    <mergeCell ref="Q294:Q297"/>
    <mergeCell ref="T294:T297"/>
    <mergeCell ref="U294:U295"/>
    <mergeCell ref="U296:U297"/>
    <mergeCell ref="D286:F297"/>
    <mergeCell ref="G287:I288"/>
    <mergeCell ref="J287:J288"/>
    <mergeCell ref="K287:K288"/>
    <mergeCell ref="L287:L288"/>
    <mergeCell ref="M287:M288"/>
    <mergeCell ref="G294:I297"/>
    <mergeCell ref="J294:J297"/>
    <mergeCell ref="K294:K297"/>
    <mergeCell ref="L294:L297"/>
    <mergeCell ref="G290:I292"/>
    <mergeCell ref="J290:J292"/>
    <mergeCell ref="K290:K292"/>
    <mergeCell ref="L290:L292"/>
    <mergeCell ref="M290:M292"/>
    <mergeCell ref="M294:M297"/>
    <mergeCell ref="AQ273:AQ284"/>
    <mergeCell ref="U274:U275"/>
    <mergeCell ref="U276:U277"/>
    <mergeCell ref="J279:J284"/>
    <mergeCell ref="K279:K284"/>
    <mergeCell ref="L279:L284"/>
    <mergeCell ref="M279:M284"/>
    <mergeCell ref="Q279:Q284"/>
    <mergeCell ref="T279:T284"/>
    <mergeCell ref="U281:U282"/>
    <mergeCell ref="AK273:AK284"/>
    <mergeCell ref="AL273:AL284"/>
    <mergeCell ref="AM273:AM284"/>
    <mergeCell ref="AN273:AN284"/>
    <mergeCell ref="AO273:AO284"/>
    <mergeCell ref="AP273:AP284"/>
    <mergeCell ref="AE273:AE284"/>
    <mergeCell ref="AF273:AF284"/>
    <mergeCell ref="AG273:AG284"/>
    <mergeCell ref="AH273:AH284"/>
    <mergeCell ref="AI273:AI284"/>
    <mergeCell ref="AJ273:AJ284"/>
    <mergeCell ref="Y273:Y284"/>
    <mergeCell ref="Z273:Z284"/>
    <mergeCell ref="AA273:AA284"/>
    <mergeCell ref="AB273:AB284"/>
    <mergeCell ref="AC273:AC284"/>
    <mergeCell ref="AD273:AD284"/>
    <mergeCell ref="P273:P284"/>
    <mergeCell ref="Q273:Q278"/>
    <mergeCell ref="R273:R284"/>
    <mergeCell ref="S273:S284"/>
    <mergeCell ref="T273:T278"/>
    <mergeCell ref="X273:X284"/>
    <mergeCell ref="J273:J278"/>
    <mergeCell ref="K273:K278"/>
    <mergeCell ref="L273:L278"/>
    <mergeCell ref="M273:M278"/>
    <mergeCell ref="N273:N284"/>
    <mergeCell ref="O273:O284"/>
    <mergeCell ref="AO258:AO272"/>
    <mergeCell ref="AP258:AP272"/>
    <mergeCell ref="AQ258:AQ272"/>
    <mergeCell ref="U262:U263"/>
    <mergeCell ref="T264:T270"/>
    <mergeCell ref="U267:U270"/>
    <mergeCell ref="T271:T272"/>
    <mergeCell ref="U271:U272"/>
    <mergeCell ref="AI258:AI272"/>
    <mergeCell ref="AJ258:AJ272"/>
    <mergeCell ref="AK258:AK272"/>
    <mergeCell ref="AL258:AL272"/>
    <mergeCell ref="AM258:AM272"/>
    <mergeCell ref="AN258:AN272"/>
    <mergeCell ref="AC258:AC272"/>
    <mergeCell ref="AD258:AD272"/>
    <mergeCell ref="AE258:AE272"/>
    <mergeCell ref="AF258:AF272"/>
    <mergeCell ref="AG258:AG272"/>
    <mergeCell ref="AH258:AH272"/>
    <mergeCell ref="U258:U261"/>
    <mergeCell ref="X258:X272"/>
    <mergeCell ref="Y258:Y272"/>
    <mergeCell ref="Z258:Z272"/>
    <mergeCell ref="AA258:AA272"/>
    <mergeCell ref="AB258:AB272"/>
    <mergeCell ref="O258:O272"/>
    <mergeCell ref="P258:P272"/>
    <mergeCell ref="Q258:Q272"/>
    <mergeCell ref="R258:R272"/>
    <mergeCell ref="S258:S272"/>
    <mergeCell ref="T258:T263"/>
    <mergeCell ref="AO249:AO256"/>
    <mergeCell ref="AP249:AP256"/>
    <mergeCell ref="AQ249:AQ256"/>
    <mergeCell ref="U251:U252"/>
    <mergeCell ref="U254:U255"/>
    <mergeCell ref="J258:J272"/>
    <mergeCell ref="K258:K272"/>
    <mergeCell ref="L258:L272"/>
    <mergeCell ref="M258:M272"/>
    <mergeCell ref="N258:N272"/>
    <mergeCell ref="AI249:AI256"/>
    <mergeCell ref="AJ249:AJ256"/>
    <mergeCell ref="AK249:AK256"/>
    <mergeCell ref="AL249:AL256"/>
    <mergeCell ref="AM249:AM256"/>
    <mergeCell ref="AN249:AN256"/>
    <mergeCell ref="AC249:AC256"/>
    <mergeCell ref="AD249:AD256"/>
    <mergeCell ref="AE249:AE256"/>
    <mergeCell ref="AF249:AF256"/>
    <mergeCell ref="AG249:AG256"/>
    <mergeCell ref="AH249:AH256"/>
    <mergeCell ref="U249:U250"/>
    <mergeCell ref="X249:X256"/>
    <mergeCell ref="J249:J255"/>
    <mergeCell ref="K249:K255"/>
    <mergeCell ref="L249:L255"/>
    <mergeCell ref="M249:M255"/>
    <mergeCell ref="N249:N256"/>
    <mergeCell ref="Y249:Y256"/>
    <mergeCell ref="Z249:Z256"/>
    <mergeCell ref="AA249:AA256"/>
    <mergeCell ref="AB249:AB256"/>
    <mergeCell ref="O249:O256"/>
    <mergeCell ref="P249:P256"/>
    <mergeCell ref="Q249:Q255"/>
    <mergeCell ref="R249:R256"/>
    <mergeCell ref="S249:S256"/>
    <mergeCell ref="T249:T255"/>
    <mergeCell ref="AQ217:AQ247"/>
    <mergeCell ref="U222:U223"/>
    <mergeCell ref="J224:J232"/>
    <mergeCell ref="K224:K232"/>
    <mergeCell ref="L224:L232"/>
    <mergeCell ref="M224:M232"/>
    <mergeCell ref="Q224:Q232"/>
    <mergeCell ref="T224:T232"/>
    <mergeCell ref="U226:U227"/>
    <mergeCell ref="J233:J239"/>
    <mergeCell ref="AK217:AK247"/>
    <mergeCell ref="AL217:AL247"/>
    <mergeCell ref="AM217:AM247"/>
    <mergeCell ref="AN217:AN247"/>
    <mergeCell ref="AO217:AO247"/>
    <mergeCell ref="AP217:AP247"/>
    <mergeCell ref="AE217:AE247"/>
    <mergeCell ref="AF217:AF247"/>
    <mergeCell ref="AG217:AG247"/>
    <mergeCell ref="AH217:AH247"/>
    <mergeCell ref="AI217:AI247"/>
    <mergeCell ref="AJ217:AJ247"/>
    <mergeCell ref="Y217:Y247"/>
    <mergeCell ref="Z217:Z247"/>
    <mergeCell ref="AA217:AA247"/>
    <mergeCell ref="AB217:AB247"/>
    <mergeCell ref="AC217:AC247"/>
    <mergeCell ref="AD217:AD247"/>
    <mergeCell ref="P217:P247"/>
    <mergeCell ref="Q217:Q223"/>
    <mergeCell ref="R217:R247"/>
    <mergeCell ref="S217:S247"/>
    <mergeCell ref="T217:T223"/>
    <mergeCell ref="X217:X247"/>
    <mergeCell ref="Q233:Q239"/>
    <mergeCell ref="T233:T239"/>
    <mergeCell ref="U236:U237"/>
    <mergeCell ref="Q240:Q247"/>
    <mergeCell ref="T240:T247"/>
    <mergeCell ref="J217:J223"/>
    <mergeCell ref="K217:K223"/>
    <mergeCell ref="L217:L223"/>
    <mergeCell ref="M217:M223"/>
    <mergeCell ref="N217:N247"/>
    <mergeCell ref="O217:O247"/>
    <mergeCell ref="K233:K239"/>
    <mergeCell ref="L233:L239"/>
    <mergeCell ref="M233:M239"/>
    <mergeCell ref="J240:J247"/>
    <mergeCell ref="K240:K247"/>
    <mergeCell ref="L240:L247"/>
    <mergeCell ref="M240:M247"/>
    <mergeCell ref="Z201:Z215"/>
    <mergeCell ref="AA201:AA215"/>
    <mergeCell ref="AB201:AB215"/>
    <mergeCell ref="AC201:AC215"/>
    <mergeCell ref="AD201:AD215"/>
    <mergeCell ref="AE201:AE215"/>
    <mergeCell ref="Q201:Q205"/>
    <mergeCell ref="R201:R215"/>
    <mergeCell ref="S201:S215"/>
    <mergeCell ref="T201:T205"/>
    <mergeCell ref="X201:X215"/>
    <mergeCell ref="Y201:Y215"/>
    <mergeCell ref="U202:U204"/>
    <mergeCell ref="Q206:Q207"/>
    <mergeCell ref="T206:T215"/>
    <mergeCell ref="U206:U207"/>
    <mergeCell ref="Q208:Q215"/>
    <mergeCell ref="U209:U210"/>
    <mergeCell ref="AO201:AO215"/>
    <mergeCell ref="AP201:AP215"/>
    <mergeCell ref="AQ201:AQ215"/>
    <mergeCell ref="AF201:AF215"/>
    <mergeCell ref="AG201:AG215"/>
    <mergeCell ref="AH201:AH215"/>
    <mergeCell ref="AI201:AI215"/>
    <mergeCell ref="AJ201:AJ215"/>
    <mergeCell ref="AK201:AK215"/>
    <mergeCell ref="AL201:AL215"/>
    <mergeCell ref="AM201:AM215"/>
    <mergeCell ref="AN201:AN215"/>
    <mergeCell ref="J201:J205"/>
    <mergeCell ref="K201:K205"/>
    <mergeCell ref="L201:L205"/>
    <mergeCell ref="M201:M205"/>
    <mergeCell ref="O201:O215"/>
    <mergeCell ref="P201:P215"/>
    <mergeCell ref="J206:J207"/>
    <mergeCell ref="K206:K207"/>
    <mergeCell ref="L206:L207"/>
    <mergeCell ref="M206:M207"/>
    <mergeCell ref="J208:J215"/>
    <mergeCell ref="K208:K215"/>
    <mergeCell ref="L208:L215"/>
    <mergeCell ref="M208:M215"/>
    <mergeCell ref="AQ189:AQ199"/>
    <mergeCell ref="J195:J199"/>
    <mergeCell ref="K195:K199"/>
    <mergeCell ref="L195:L199"/>
    <mergeCell ref="M195:M199"/>
    <mergeCell ref="Q195:Q199"/>
    <mergeCell ref="T195:T199"/>
    <mergeCell ref="AK189:AK199"/>
    <mergeCell ref="AL189:AL199"/>
    <mergeCell ref="AM189:AM199"/>
    <mergeCell ref="AN189:AN199"/>
    <mergeCell ref="AO189:AO199"/>
    <mergeCell ref="AP189:AP199"/>
    <mergeCell ref="AE189:AE199"/>
    <mergeCell ref="AF189:AF199"/>
    <mergeCell ref="AG189:AG199"/>
    <mergeCell ref="AH189:AH199"/>
    <mergeCell ref="AI189:AI199"/>
    <mergeCell ref="AJ189:AJ199"/>
    <mergeCell ref="Y189:Y199"/>
    <mergeCell ref="Z189:Z199"/>
    <mergeCell ref="AA189:AA199"/>
    <mergeCell ref="AB189:AB199"/>
    <mergeCell ref="AC189:AC199"/>
    <mergeCell ref="AD189:AD199"/>
    <mergeCell ref="P189:P199"/>
    <mergeCell ref="Q189:Q194"/>
    <mergeCell ref="R189:R199"/>
    <mergeCell ref="S189:S199"/>
    <mergeCell ref="T189:T194"/>
    <mergeCell ref="X189:X199"/>
    <mergeCell ref="J189:J194"/>
    <mergeCell ref="K189:K194"/>
    <mergeCell ref="L189:L194"/>
    <mergeCell ref="M189:M194"/>
    <mergeCell ref="N189:N199"/>
    <mergeCell ref="O189:O199"/>
    <mergeCell ref="AM179:AM187"/>
    <mergeCell ref="AN179:AN187"/>
    <mergeCell ref="AO179:AO187"/>
    <mergeCell ref="AP179:AP187"/>
    <mergeCell ref="AQ179:AQ187"/>
    <mergeCell ref="J183:J187"/>
    <mergeCell ref="K183:K187"/>
    <mergeCell ref="L183:L187"/>
    <mergeCell ref="M183:M187"/>
    <mergeCell ref="Q183:Q187"/>
    <mergeCell ref="AG179:AG187"/>
    <mergeCell ref="AH179:AH187"/>
    <mergeCell ref="AI179:AI187"/>
    <mergeCell ref="AJ179:AJ187"/>
    <mergeCell ref="AK179:AK187"/>
    <mergeCell ref="AL179:AL187"/>
    <mergeCell ref="AA179:AA187"/>
    <mergeCell ref="AB179:AB187"/>
    <mergeCell ref="AC179:AC187"/>
    <mergeCell ref="AD179:AD187"/>
    <mergeCell ref="AE179:AE187"/>
    <mergeCell ref="AF179:AF187"/>
    <mergeCell ref="S179:S187"/>
    <mergeCell ref="T179:T182"/>
    <mergeCell ref="U179:U180"/>
    <mergeCell ref="X179:X187"/>
    <mergeCell ref="Y179:Y187"/>
    <mergeCell ref="Z179:Z187"/>
    <mergeCell ref="T183:T187"/>
    <mergeCell ref="U183:U184"/>
    <mergeCell ref="V178:X178"/>
    <mergeCell ref="J179:J182"/>
    <mergeCell ref="K179:K182"/>
    <mergeCell ref="L179:L182"/>
    <mergeCell ref="M179:M182"/>
    <mergeCell ref="N179:N187"/>
    <mergeCell ref="O179:O187"/>
    <mergeCell ref="P179:P187"/>
    <mergeCell ref="Q179:Q182"/>
    <mergeCell ref="R179:R187"/>
    <mergeCell ref="AN154:AN177"/>
    <mergeCell ref="AO154:AO177"/>
    <mergeCell ref="AP154:AP177"/>
    <mergeCell ref="AQ154:AQ177"/>
    <mergeCell ref="U157:U160"/>
    <mergeCell ref="U162:U164"/>
    <mergeCell ref="U165:U167"/>
    <mergeCell ref="U168:U170"/>
    <mergeCell ref="U172:U174"/>
    <mergeCell ref="U175:U177"/>
    <mergeCell ref="AH154:AH177"/>
    <mergeCell ref="AI154:AI177"/>
    <mergeCell ref="AJ154:AJ177"/>
    <mergeCell ref="AK154:AK177"/>
    <mergeCell ref="AL154:AL177"/>
    <mergeCell ref="AM154:AM177"/>
    <mergeCell ref="AB154:AB177"/>
    <mergeCell ref="AC154:AC177"/>
    <mergeCell ref="AD154:AD177"/>
    <mergeCell ref="AE154:AE177"/>
    <mergeCell ref="AF154:AF177"/>
    <mergeCell ref="AG154:AG177"/>
    <mergeCell ref="T154:T164"/>
    <mergeCell ref="U154:U156"/>
    <mergeCell ref="X154:X177"/>
    <mergeCell ref="Y154:Y177"/>
    <mergeCell ref="Z154:Z177"/>
    <mergeCell ref="AA154:AA177"/>
    <mergeCell ref="T165:T170"/>
    <mergeCell ref="T171:T177"/>
    <mergeCell ref="U152:U153"/>
    <mergeCell ref="Z130:Z153"/>
    <mergeCell ref="AA130:AA153"/>
    <mergeCell ref="J154:J177"/>
    <mergeCell ref="K154:K177"/>
    <mergeCell ref="L154:L177"/>
    <mergeCell ref="M154:M177"/>
    <mergeCell ref="O154:O177"/>
    <mergeCell ref="P154:P177"/>
    <mergeCell ref="Q154:Q177"/>
    <mergeCell ref="R154:R177"/>
    <mergeCell ref="S154:S177"/>
    <mergeCell ref="AP130:AP153"/>
    <mergeCell ref="AQ130:AQ153"/>
    <mergeCell ref="U134:U136"/>
    <mergeCell ref="V135:V136"/>
    <mergeCell ref="W135:W136"/>
    <mergeCell ref="U137:U139"/>
    <mergeCell ref="U140:U141"/>
    <mergeCell ref="U142:U143"/>
    <mergeCell ref="U144:U145"/>
    <mergeCell ref="U146:U147"/>
    <mergeCell ref="AJ130:AJ153"/>
    <mergeCell ref="AK130:AK153"/>
    <mergeCell ref="AL130:AL153"/>
    <mergeCell ref="AM130:AM153"/>
    <mergeCell ref="AN130:AN153"/>
    <mergeCell ref="AO130:AO153"/>
    <mergeCell ref="AD130:AD153"/>
    <mergeCell ref="AE130:AE153"/>
    <mergeCell ref="AF130:AF153"/>
    <mergeCell ref="AG130:AG153"/>
    <mergeCell ref="AH130:AH153"/>
    <mergeCell ref="AI130:AI153"/>
    <mergeCell ref="X130:X153"/>
    <mergeCell ref="Y130:Y153"/>
    <mergeCell ref="AB130:AB153"/>
    <mergeCell ref="AC130:AC153"/>
    <mergeCell ref="P130:P153"/>
    <mergeCell ref="Q130:Q145"/>
    <mergeCell ref="R130:R153"/>
    <mergeCell ref="S130:S153"/>
    <mergeCell ref="T130:T145"/>
    <mergeCell ref="U130:U133"/>
    <mergeCell ref="Q146:Q153"/>
    <mergeCell ref="T146:T153"/>
    <mergeCell ref="U148:U149"/>
    <mergeCell ref="U150:U151"/>
    <mergeCell ref="J130:J145"/>
    <mergeCell ref="K130:K145"/>
    <mergeCell ref="L130:L145"/>
    <mergeCell ref="M130:M145"/>
    <mergeCell ref="N130:N153"/>
    <mergeCell ref="O130:O153"/>
    <mergeCell ref="J146:J153"/>
    <mergeCell ref="K146:K153"/>
    <mergeCell ref="L146:L153"/>
    <mergeCell ref="M146:M153"/>
    <mergeCell ref="AP120:AP129"/>
    <mergeCell ref="AQ120:AQ129"/>
    <mergeCell ref="U123:U124"/>
    <mergeCell ref="J125:J129"/>
    <mergeCell ref="K125:K129"/>
    <mergeCell ref="L125:L129"/>
    <mergeCell ref="M125:M129"/>
    <mergeCell ref="Q125:Q129"/>
    <mergeCell ref="T125:T129"/>
    <mergeCell ref="U125:U126"/>
    <mergeCell ref="AJ120:AJ129"/>
    <mergeCell ref="AK120:AK129"/>
    <mergeCell ref="AL120:AL129"/>
    <mergeCell ref="AM120:AM129"/>
    <mergeCell ref="AN120:AN129"/>
    <mergeCell ref="AO120:AO129"/>
    <mergeCell ref="AD120:AD129"/>
    <mergeCell ref="AE120:AE129"/>
    <mergeCell ref="AF120:AF129"/>
    <mergeCell ref="AG120:AG129"/>
    <mergeCell ref="AH120:AH129"/>
    <mergeCell ref="AI120:AI129"/>
    <mergeCell ref="X120:X129"/>
    <mergeCell ref="Y120:Y129"/>
    <mergeCell ref="J120:J124"/>
    <mergeCell ref="K120:K124"/>
    <mergeCell ref="L120:L124"/>
    <mergeCell ref="M120:M124"/>
    <mergeCell ref="N120:N129"/>
    <mergeCell ref="Z120:Z129"/>
    <mergeCell ref="AA120:AA129"/>
    <mergeCell ref="AB120:AB129"/>
    <mergeCell ref="AC120:AC129"/>
    <mergeCell ref="O120:O129"/>
    <mergeCell ref="P120:P129"/>
    <mergeCell ref="Q120:Q124"/>
    <mergeCell ref="R120:R129"/>
    <mergeCell ref="S120:S129"/>
    <mergeCell ref="T120:T124"/>
    <mergeCell ref="AD106:AD118"/>
    <mergeCell ref="P106:P118"/>
    <mergeCell ref="Q106:Q110"/>
    <mergeCell ref="R106:R118"/>
    <mergeCell ref="S106:S118"/>
    <mergeCell ref="T106:T110"/>
    <mergeCell ref="X106:X118"/>
    <mergeCell ref="AQ106:AQ118"/>
    <mergeCell ref="U107:U108"/>
    <mergeCell ref="Q111:Q114"/>
    <mergeCell ref="T111:T114"/>
    <mergeCell ref="AK106:AK118"/>
    <mergeCell ref="AL106:AL118"/>
    <mergeCell ref="AM106:AM118"/>
    <mergeCell ref="AN106:AN118"/>
    <mergeCell ref="AO106:AO118"/>
    <mergeCell ref="AP106:AP118"/>
    <mergeCell ref="AE106:AE118"/>
    <mergeCell ref="AF106:AF118"/>
    <mergeCell ref="AG106:AG118"/>
    <mergeCell ref="AH106:AH118"/>
    <mergeCell ref="AI106:AI118"/>
    <mergeCell ref="AJ106:AJ118"/>
    <mergeCell ref="Y106:Y118"/>
    <mergeCell ref="J106:J110"/>
    <mergeCell ref="K106:K110"/>
    <mergeCell ref="L106:L110"/>
    <mergeCell ref="M106:M110"/>
    <mergeCell ref="N106:N118"/>
    <mergeCell ref="O106:O118"/>
    <mergeCell ref="AA106:AA118"/>
    <mergeCell ref="AB106:AB118"/>
    <mergeCell ref="AC106:AC118"/>
    <mergeCell ref="J111:J114"/>
    <mergeCell ref="K111:K114"/>
    <mergeCell ref="L111:L114"/>
    <mergeCell ref="M111:M114"/>
    <mergeCell ref="J115:J118"/>
    <mergeCell ref="K115:K118"/>
    <mergeCell ref="Z106:Z118"/>
    <mergeCell ref="L115:L118"/>
    <mergeCell ref="M115:M118"/>
    <mergeCell ref="Q115:Q118"/>
    <mergeCell ref="T115:T118"/>
    <mergeCell ref="U117:U118"/>
    <mergeCell ref="AC84:AC104"/>
    <mergeCell ref="AD84:AD104"/>
    <mergeCell ref="Q84:Q94"/>
    <mergeCell ref="R84:R104"/>
    <mergeCell ref="S84:S104"/>
    <mergeCell ref="T84:T94"/>
    <mergeCell ref="U84:U85"/>
    <mergeCell ref="X84:X104"/>
    <mergeCell ref="AQ84:AQ104"/>
    <mergeCell ref="U86:U87"/>
    <mergeCell ref="Q95:Q99"/>
    <mergeCell ref="T95:T99"/>
    <mergeCell ref="AK84:AK104"/>
    <mergeCell ref="AL84:AL104"/>
    <mergeCell ref="AM84:AM104"/>
    <mergeCell ref="AN84:AN104"/>
    <mergeCell ref="AO84:AO104"/>
    <mergeCell ref="AP84:AP104"/>
    <mergeCell ref="AE84:AE104"/>
    <mergeCell ref="AF84:AF104"/>
    <mergeCell ref="AG84:AG104"/>
    <mergeCell ref="AH84:AH104"/>
    <mergeCell ref="AI84:AI104"/>
    <mergeCell ref="AJ84:AJ104"/>
    <mergeCell ref="J84:J94"/>
    <mergeCell ref="K84:K94"/>
    <mergeCell ref="L84:L94"/>
    <mergeCell ref="M84:M94"/>
    <mergeCell ref="N84:N104"/>
    <mergeCell ref="O84:O104"/>
    <mergeCell ref="P84:P104"/>
    <mergeCell ref="AA84:AA104"/>
    <mergeCell ref="AB84:AB104"/>
    <mergeCell ref="J95:J99"/>
    <mergeCell ref="K95:K99"/>
    <mergeCell ref="L95:L99"/>
    <mergeCell ref="M95:M99"/>
    <mergeCell ref="J100:J104"/>
    <mergeCell ref="K100:K104"/>
    <mergeCell ref="Y84:Y104"/>
    <mergeCell ref="Z84:Z104"/>
    <mergeCell ref="L100:L104"/>
    <mergeCell ref="M100:M104"/>
    <mergeCell ref="Q100:Q104"/>
    <mergeCell ref="T100:T104"/>
    <mergeCell ref="AP55:AP82"/>
    <mergeCell ref="AQ55:AQ82"/>
    <mergeCell ref="U57:U58"/>
    <mergeCell ref="J61:J65"/>
    <mergeCell ref="K61:K65"/>
    <mergeCell ref="L61:L65"/>
    <mergeCell ref="M61:M65"/>
    <mergeCell ref="Q61:Q65"/>
    <mergeCell ref="J66:J77"/>
    <mergeCell ref="K66:K77"/>
    <mergeCell ref="AJ55:AJ82"/>
    <mergeCell ref="AK55:AK82"/>
    <mergeCell ref="AL55:AL82"/>
    <mergeCell ref="AM55:AM82"/>
    <mergeCell ref="AN55:AN82"/>
    <mergeCell ref="AO55:AO82"/>
    <mergeCell ref="AD55:AD82"/>
    <mergeCell ref="AE55:AE82"/>
    <mergeCell ref="AF55:AF82"/>
    <mergeCell ref="AG55:AG82"/>
    <mergeCell ref="AH55:AH82"/>
    <mergeCell ref="AI55:AI82"/>
    <mergeCell ref="X55:X82"/>
    <mergeCell ref="Y55:Y82"/>
    <mergeCell ref="Z55:Z82"/>
    <mergeCell ref="AA55:AA82"/>
    <mergeCell ref="AB55:AB82"/>
    <mergeCell ref="AC55:AC82"/>
    <mergeCell ref="P55:P82"/>
    <mergeCell ref="Q55:Q60"/>
    <mergeCell ref="R55:R82"/>
    <mergeCell ref="S55:S82"/>
    <mergeCell ref="T55:T65"/>
    <mergeCell ref="U55:U56"/>
    <mergeCell ref="Q66:Q77"/>
    <mergeCell ref="T66:T82"/>
    <mergeCell ref="Q78:Q82"/>
    <mergeCell ref="J55:J60"/>
    <mergeCell ref="K55:K60"/>
    <mergeCell ref="L55:L60"/>
    <mergeCell ref="M55:M60"/>
    <mergeCell ref="N55:N82"/>
    <mergeCell ref="O55:O82"/>
    <mergeCell ref="L66:L77"/>
    <mergeCell ref="M66:M77"/>
    <mergeCell ref="J78:J82"/>
    <mergeCell ref="K78:K82"/>
    <mergeCell ref="L78:L82"/>
    <mergeCell ref="M78:M82"/>
    <mergeCell ref="AP48:AP53"/>
    <mergeCell ref="AQ48:AQ53"/>
    <mergeCell ref="J50:J53"/>
    <mergeCell ref="K50:K53"/>
    <mergeCell ref="L50:L53"/>
    <mergeCell ref="M50:M53"/>
    <mergeCell ref="Q50:Q53"/>
    <mergeCell ref="T50:T53"/>
    <mergeCell ref="U51:U52"/>
    <mergeCell ref="AJ48:AJ53"/>
    <mergeCell ref="AK48:AK53"/>
    <mergeCell ref="AL48:AL53"/>
    <mergeCell ref="AM48:AM53"/>
    <mergeCell ref="AN48:AN53"/>
    <mergeCell ref="AO48:AO53"/>
    <mergeCell ref="AD48:AD53"/>
    <mergeCell ref="AE48:AE53"/>
    <mergeCell ref="AF48:AF53"/>
    <mergeCell ref="AG48:AG53"/>
    <mergeCell ref="AH48:AH53"/>
    <mergeCell ref="AI48:AI53"/>
    <mergeCell ref="X48:X53"/>
    <mergeCell ref="Y48:Y53"/>
    <mergeCell ref="Z48:Z53"/>
    <mergeCell ref="J48:J49"/>
    <mergeCell ref="K48:K49"/>
    <mergeCell ref="L48:L49"/>
    <mergeCell ref="M48:M49"/>
    <mergeCell ref="N48:N53"/>
    <mergeCell ref="O48:O53"/>
    <mergeCell ref="AA48:AA53"/>
    <mergeCell ref="AB48:AB53"/>
    <mergeCell ref="AC48:AC53"/>
    <mergeCell ref="P48:P53"/>
    <mergeCell ref="Q48:Q49"/>
    <mergeCell ref="R48:R53"/>
    <mergeCell ref="S48:S53"/>
    <mergeCell ref="T48:T49"/>
    <mergeCell ref="U48:U49"/>
    <mergeCell ref="AO12:AO45"/>
    <mergeCell ref="AP12:AP45"/>
    <mergeCell ref="AQ12:AQ45"/>
    <mergeCell ref="U15:U16"/>
    <mergeCell ref="U17:U18"/>
    <mergeCell ref="J22:J31"/>
    <mergeCell ref="K22:K31"/>
    <mergeCell ref="L22:L31"/>
    <mergeCell ref="M22:M31"/>
    <mergeCell ref="Q22:Q31"/>
    <mergeCell ref="AI12:AI45"/>
    <mergeCell ref="AJ12:AJ45"/>
    <mergeCell ref="AK12:AK45"/>
    <mergeCell ref="AL12:AL45"/>
    <mergeCell ref="AM12:AM45"/>
    <mergeCell ref="AN12:AN45"/>
    <mergeCell ref="AC12:AC45"/>
    <mergeCell ref="AD12:AD45"/>
    <mergeCell ref="AE12:AE45"/>
    <mergeCell ref="AF12:AF45"/>
    <mergeCell ref="AG12:AG45"/>
    <mergeCell ref="AH12:AH45"/>
    <mergeCell ref="U12:U13"/>
    <mergeCell ref="X12:X45"/>
    <mergeCell ref="AA12:AA45"/>
    <mergeCell ref="AB12:AB45"/>
    <mergeCell ref="U22:U23"/>
    <mergeCell ref="U24:U25"/>
    <mergeCell ref="U26:U27"/>
    <mergeCell ref="U28:U29"/>
    <mergeCell ref="O12:O45"/>
    <mergeCell ref="P12:P45"/>
    <mergeCell ref="Q12:Q21"/>
    <mergeCell ref="R12:R45"/>
    <mergeCell ref="S12:S45"/>
    <mergeCell ref="T12:T21"/>
    <mergeCell ref="T22:T31"/>
    <mergeCell ref="U30:U31"/>
    <mergeCell ref="Q32:Q45"/>
    <mergeCell ref="T32:T45"/>
    <mergeCell ref="U32:U33"/>
    <mergeCell ref="U34:U35"/>
    <mergeCell ref="U36:U37"/>
    <mergeCell ref="U38:U39"/>
    <mergeCell ref="U40:U41"/>
    <mergeCell ref="U42:U43"/>
    <mergeCell ref="U44:U45"/>
    <mergeCell ref="A10:C10"/>
    <mergeCell ref="J12:J21"/>
    <mergeCell ref="K12:K21"/>
    <mergeCell ref="L12:L21"/>
    <mergeCell ref="M12:M21"/>
    <mergeCell ref="N12:N45"/>
    <mergeCell ref="W7:W8"/>
    <mergeCell ref="X7:X8"/>
    <mergeCell ref="Y7:Z7"/>
    <mergeCell ref="Q7:Q8"/>
    <mergeCell ref="R7:R8"/>
    <mergeCell ref="S7:S8"/>
    <mergeCell ref="T7:T8"/>
    <mergeCell ref="U7:U8"/>
    <mergeCell ref="V7:V8"/>
    <mergeCell ref="K7:K8"/>
    <mergeCell ref="L7:L8"/>
    <mergeCell ref="Y12:Y45"/>
    <mergeCell ref="Z12:Z45"/>
    <mergeCell ref="J32:J45"/>
    <mergeCell ref="K32:K45"/>
    <mergeCell ref="L32:L45"/>
    <mergeCell ref="M32:M45"/>
    <mergeCell ref="M7:M8"/>
    <mergeCell ref="N7:N8"/>
    <mergeCell ref="O7:O8"/>
    <mergeCell ref="P7:P8"/>
    <mergeCell ref="A1:AO4"/>
    <mergeCell ref="A5:O6"/>
    <mergeCell ref="P5:AQ6"/>
    <mergeCell ref="A7:A8"/>
    <mergeCell ref="B7:C8"/>
    <mergeCell ref="D7:D8"/>
    <mergeCell ref="E7:F8"/>
    <mergeCell ref="G7:G8"/>
    <mergeCell ref="H7:I8"/>
    <mergeCell ref="J7:J8"/>
    <mergeCell ref="AN7:AN8"/>
    <mergeCell ref="AO7:AO8"/>
    <mergeCell ref="AP7:AP8"/>
    <mergeCell ref="AQ7:AQ8"/>
    <mergeCell ref="AA7:AD7"/>
    <mergeCell ref="AE7:AJ7"/>
    <mergeCell ref="AK7:AM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2"/>
  <sheetViews>
    <sheetView showGridLines="0" topLeftCell="A2" zoomScale="70" zoomScaleNormal="70" workbookViewId="0">
      <selection activeCell="N18" sqref="N18:N22"/>
    </sheetView>
  </sheetViews>
  <sheetFormatPr baseColWidth="10" defaultColWidth="11.42578125" defaultRowHeight="15" x14ac:dyDescent="0.2"/>
  <cols>
    <col min="1" max="1" width="11" style="369" customWidth="1"/>
    <col min="2" max="2" width="6" style="369" customWidth="1"/>
    <col min="3" max="3" width="11.7109375" style="369" customWidth="1"/>
    <col min="4" max="4" width="12.7109375" style="369" customWidth="1"/>
    <col min="5" max="5" width="5.85546875" style="369" customWidth="1"/>
    <col min="6" max="6" width="12.42578125" style="369" customWidth="1"/>
    <col min="7" max="7" width="15.5703125" style="369" customWidth="1"/>
    <col min="8" max="8" width="6.5703125" style="369" customWidth="1"/>
    <col min="9" max="9" width="14.5703125" style="369" customWidth="1"/>
    <col min="10" max="10" width="11" style="521" customWidth="1"/>
    <col min="11" max="11" width="29" style="521" customWidth="1"/>
    <col min="12" max="12" width="26.42578125" style="521" customWidth="1"/>
    <col min="13" max="13" width="18.42578125" style="521" customWidth="1"/>
    <col min="14" max="14" width="33" style="521" customWidth="1"/>
    <col min="15" max="15" width="20.42578125" style="521" customWidth="1"/>
    <col min="16" max="16" width="35" style="521" customWidth="1"/>
    <col min="17" max="17" width="13.28515625" style="522" customWidth="1"/>
    <col min="18" max="18" width="22.7109375" style="521" customWidth="1"/>
    <col min="19" max="19" width="35.5703125" style="521" customWidth="1"/>
    <col min="20" max="20" width="41" style="521" customWidth="1"/>
    <col min="21" max="21" width="38.140625" style="521" customWidth="1"/>
    <col min="22" max="22" width="22" style="369" customWidth="1"/>
    <col min="23" max="23" width="11.7109375" style="369" customWidth="1"/>
    <col min="24" max="24" width="34.7109375" style="369" bestFit="1" customWidth="1"/>
    <col min="25" max="26" width="11" style="369" bestFit="1" customWidth="1"/>
    <col min="27" max="27" width="9.5703125" style="369" bestFit="1" customWidth="1"/>
    <col min="28" max="28" width="8.7109375" style="369" bestFit="1" customWidth="1"/>
    <col min="29" max="29" width="9.5703125" style="369" customWidth="1"/>
    <col min="30" max="30" width="9" style="369" bestFit="1" customWidth="1"/>
    <col min="31" max="31" width="7.28515625" style="369" bestFit="1" customWidth="1"/>
    <col min="32" max="32" width="8.28515625" style="369" bestFit="1" customWidth="1"/>
    <col min="33" max="36" width="6.42578125" style="369" customWidth="1"/>
    <col min="37" max="37" width="8.7109375" style="369" bestFit="1" customWidth="1"/>
    <col min="38" max="39" width="9" style="369" bestFit="1" customWidth="1"/>
    <col min="40" max="40" width="13.5703125" style="369" customWidth="1"/>
    <col min="41" max="41" width="18.42578125" style="369" customWidth="1"/>
    <col min="42" max="42" width="18.85546875" style="369" customWidth="1"/>
    <col min="43" max="43" width="28" style="369" customWidth="1"/>
    <col min="44" max="16384" width="11.42578125" style="369"/>
  </cols>
  <sheetData>
    <row r="1" spans="1:43" hidden="1" x14ac:dyDescent="0.2">
      <c r="A1" s="4193" t="s">
        <v>2234</v>
      </c>
      <c r="B1" s="4194"/>
      <c r="C1" s="4194"/>
      <c r="D1" s="4194"/>
      <c r="E1" s="4194"/>
      <c r="F1" s="4194"/>
      <c r="G1" s="4194"/>
      <c r="H1" s="4194"/>
      <c r="I1" s="4194"/>
      <c r="J1" s="4194"/>
      <c r="K1" s="4194"/>
      <c r="L1" s="4194"/>
      <c r="M1" s="4194"/>
      <c r="N1" s="4194"/>
      <c r="O1" s="4194"/>
      <c r="P1" s="4194"/>
      <c r="Q1" s="4194"/>
      <c r="R1" s="4194"/>
      <c r="S1" s="4194"/>
      <c r="T1" s="4194"/>
      <c r="U1" s="4194"/>
      <c r="V1" s="4194"/>
      <c r="W1" s="4194"/>
      <c r="X1" s="4194"/>
      <c r="Y1" s="4194"/>
      <c r="Z1" s="4194"/>
      <c r="AA1" s="4194"/>
      <c r="AB1" s="4194"/>
      <c r="AC1" s="4194"/>
      <c r="AD1" s="4194"/>
      <c r="AE1" s="4194"/>
      <c r="AF1" s="4194"/>
      <c r="AG1" s="4194"/>
      <c r="AH1" s="4194"/>
      <c r="AI1" s="4194"/>
      <c r="AJ1" s="4194"/>
      <c r="AK1" s="4194"/>
      <c r="AL1" s="4194"/>
      <c r="AM1" s="4194"/>
      <c r="AN1" s="4194"/>
      <c r="AO1" s="4194"/>
      <c r="AP1" s="528" t="s">
        <v>0</v>
      </c>
      <c r="AQ1" s="529" t="s">
        <v>1</v>
      </c>
    </row>
    <row r="2" spans="1:43" ht="22.5" customHeight="1" x14ac:dyDescent="0.2">
      <c r="A2" s="4195"/>
      <c r="B2" s="4196"/>
      <c r="C2" s="4196"/>
      <c r="D2" s="4196"/>
      <c r="E2" s="4196"/>
      <c r="F2" s="4196"/>
      <c r="G2" s="4196"/>
      <c r="H2" s="4196"/>
      <c r="I2" s="4196"/>
      <c r="J2" s="4196"/>
      <c r="K2" s="4196"/>
      <c r="L2" s="4196"/>
      <c r="M2" s="4196"/>
      <c r="N2" s="4196"/>
      <c r="O2" s="4196"/>
      <c r="P2" s="4196"/>
      <c r="Q2" s="4196"/>
      <c r="R2" s="4196"/>
      <c r="S2" s="4196"/>
      <c r="T2" s="4196"/>
      <c r="U2" s="4196"/>
      <c r="V2" s="4196"/>
      <c r="W2" s="4196"/>
      <c r="X2" s="4196"/>
      <c r="Y2" s="4196"/>
      <c r="Z2" s="4196"/>
      <c r="AA2" s="4196"/>
      <c r="AB2" s="4196"/>
      <c r="AC2" s="4196"/>
      <c r="AD2" s="4196"/>
      <c r="AE2" s="4196"/>
      <c r="AF2" s="4196"/>
      <c r="AG2" s="4196"/>
      <c r="AH2" s="4196"/>
      <c r="AI2" s="4196"/>
      <c r="AJ2" s="4196"/>
      <c r="AK2" s="4196"/>
      <c r="AL2" s="4196"/>
      <c r="AM2" s="4196"/>
      <c r="AN2" s="4196"/>
      <c r="AO2" s="4196"/>
      <c r="AP2" s="370" t="s">
        <v>2</v>
      </c>
      <c r="AQ2" s="530" t="s">
        <v>319</v>
      </c>
    </row>
    <row r="3" spans="1:43" ht="22.5" customHeight="1" x14ac:dyDescent="0.2">
      <c r="A3" s="4195"/>
      <c r="B3" s="4196"/>
      <c r="C3" s="4196"/>
      <c r="D3" s="4196"/>
      <c r="E3" s="4196"/>
      <c r="F3" s="4196"/>
      <c r="G3" s="4196"/>
      <c r="H3" s="4196"/>
      <c r="I3" s="4196"/>
      <c r="J3" s="4196"/>
      <c r="K3" s="4196"/>
      <c r="L3" s="4196"/>
      <c r="M3" s="4196"/>
      <c r="N3" s="4196"/>
      <c r="O3" s="4196"/>
      <c r="P3" s="4196"/>
      <c r="Q3" s="4196"/>
      <c r="R3" s="4196"/>
      <c r="S3" s="4196"/>
      <c r="T3" s="4196"/>
      <c r="U3" s="4196"/>
      <c r="V3" s="4196"/>
      <c r="W3" s="4196"/>
      <c r="X3" s="4196"/>
      <c r="Y3" s="4196"/>
      <c r="Z3" s="4196"/>
      <c r="AA3" s="4196"/>
      <c r="AB3" s="4196"/>
      <c r="AC3" s="4196"/>
      <c r="AD3" s="4196"/>
      <c r="AE3" s="4196"/>
      <c r="AF3" s="4196"/>
      <c r="AG3" s="4196"/>
      <c r="AH3" s="4196"/>
      <c r="AI3" s="4196"/>
      <c r="AJ3" s="4196"/>
      <c r="AK3" s="4196"/>
      <c r="AL3" s="4196"/>
      <c r="AM3" s="4196"/>
      <c r="AN3" s="4196"/>
      <c r="AO3" s="4196"/>
      <c r="AP3" s="368" t="s">
        <v>3</v>
      </c>
      <c r="AQ3" s="531" t="s">
        <v>4</v>
      </c>
    </row>
    <row r="4" spans="1:43" ht="22.5" customHeight="1" x14ac:dyDescent="0.2">
      <c r="A4" s="4197"/>
      <c r="B4" s="2476"/>
      <c r="C4" s="2476"/>
      <c r="D4" s="2476"/>
      <c r="E4" s="2476"/>
      <c r="F4" s="2476"/>
      <c r="G4" s="2476"/>
      <c r="H4" s="2476"/>
      <c r="I4" s="2476"/>
      <c r="J4" s="2476"/>
      <c r="K4" s="2476"/>
      <c r="L4" s="2476"/>
      <c r="M4" s="2476"/>
      <c r="N4" s="2476"/>
      <c r="O4" s="2476"/>
      <c r="P4" s="2476"/>
      <c r="Q4" s="2476"/>
      <c r="R4" s="2476"/>
      <c r="S4" s="2476"/>
      <c r="T4" s="2476"/>
      <c r="U4" s="2476"/>
      <c r="V4" s="2476"/>
      <c r="W4" s="2476"/>
      <c r="X4" s="2476"/>
      <c r="Y4" s="2476"/>
      <c r="Z4" s="2476"/>
      <c r="AA4" s="2476"/>
      <c r="AB4" s="2476"/>
      <c r="AC4" s="2476"/>
      <c r="AD4" s="2476"/>
      <c r="AE4" s="2476"/>
      <c r="AF4" s="2476"/>
      <c r="AG4" s="2476"/>
      <c r="AH4" s="2476"/>
      <c r="AI4" s="2476"/>
      <c r="AJ4" s="2476"/>
      <c r="AK4" s="2476"/>
      <c r="AL4" s="2476"/>
      <c r="AM4" s="2476"/>
      <c r="AN4" s="2476"/>
      <c r="AO4" s="2476"/>
      <c r="AP4" s="368" t="s">
        <v>5</v>
      </c>
      <c r="AQ4" s="532" t="s">
        <v>93</v>
      </c>
    </row>
    <row r="5" spans="1:43" ht="15.75" customHeight="1" x14ac:dyDescent="0.2">
      <c r="A5" s="4198" t="s">
        <v>7</v>
      </c>
      <c r="B5" s="2477"/>
      <c r="C5" s="2477"/>
      <c r="D5" s="2477"/>
      <c r="E5" s="2477"/>
      <c r="F5" s="2477"/>
      <c r="G5" s="2477"/>
      <c r="H5" s="2477"/>
      <c r="I5" s="2477"/>
      <c r="J5" s="2477"/>
      <c r="K5" s="2477"/>
      <c r="L5" s="2477"/>
      <c r="M5" s="2477"/>
      <c r="N5" s="2479" t="s">
        <v>8</v>
      </c>
      <c r="O5" s="2479"/>
      <c r="P5" s="2479"/>
      <c r="Q5" s="2479"/>
      <c r="R5" s="2479"/>
      <c r="S5" s="2479"/>
      <c r="T5" s="2479"/>
      <c r="U5" s="2479"/>
      <c r="V5" s="2479"/>
      <c r="W5" s="2479"/>
      <c r="X5" s="2479"/>
      <c r="Y5" s="2479"/>
      <c r="Z5" s="2479"/>
      <c r="AA5" s="2479"/>
      <c r="AB5" s="2479"/>
      <c r="AC5" s="2479"/>
      <c r="AD5" s="2479"/>
      <c r="AE5" s="2479"/>
      <c r="AF5" s="2479"/>
      <c r="AG5" s="2479"/>
      <c r="AH5" s="2479"/>
      <c r="AI5" s="2479"/>
      <c r="AJ5" s="2479"/>
      <c r="AK5" s="2479"/>
      <c r="AL5" s="2479"/>
      <c r="AM5" s="2479"/>
      <c r="AN5" s="2479"/>
      <c r="AO5" s="2479"/>
      <c r="AP5" s="2479"/>
      <c r="AQ5" s="4200"/>
    </row>
    <row r="6" spans="1:43" ht="15.75" x14ac:dyDescent="0.2">
      <c r="A6" s="4199"/>
      <c r="B6" s="2478"/>
      <c r="C6" s="2478"/>
      <c r="D6" s="2478"/>
      <c r="E6" s="2478"/>
      <c r="F6" s="2478"/>
      <c r="G6" s="2478"/>
      <c r="H6" s="2478"/>
      <c r="I6" s="2478"/>
      <c r="J6" s="2478"/>
      <c r="K6" s="2478"/>
      <c r="L6" s="2478"/>
      <c r="M6" s="2478"/>
      <c r="N6" s="373"/>
      <c r="O6" s="374"/>
      <c r="P6" s="374"/>
      <c r="Q6" s="375"/>
      <c r="R6" s="374"/>
      <c r="S6" s="374"/>
      <c r="T6" s="374"/>
      <c r="U6" s="374"/>
      <c r="V6" s="376"/>
      <c r="W6" s="376"/>
      <c r="X6" s="376"/>
      <c r="Y6" s="2480" t="s">
        <v>320</v>
      </c>
      <c r="Z6" s="2478"/>
      <c r="AA6" s="2478"/>
      <c r="AB6" s="2478"/>
      <c r="AC6" s="2478"/>
      <c r="AD6" s="2478"/>
      <c r="AE6" s="2478"/>
      <c r="AF6" s="2478"/>
      <c r="AG6" s="2478"/>
      <c r="AH6" s="2478"/>
      <c r="AI6" s="2478"/>
      <c r="AJ6" s="2478"/>
      <c r="AK6" s="2478"/>
      <c r="AL6" s="2478"/>
      <c r="AM6" s="2481"/>
      <c r="AN6" s="377"/>
      <c r="AO6" s="376"/>
      <c r="AP6" s="376"/>
      <c r="AQ6" s="533"/>
    </row>
    <row r="7" spans="1:43" ht="15.75" customHeight="1" x14ac:dyDescent="0.2">
      <c r="A7" s="4201" t="s">
        <v>9</v>
      </c>
      <c r="B7" s="2484" t="s">
        <v>10</v>
      </c>
      <c r="C7" s="2485"/>
      <c r="D7" s="2485" t="s">
        <v>9</v>
      </c>
      <c r="E7" s="2484" t="s">
        <v>11</v>
      </c>
      <c r="F7" s="2485"/>
      <c r="G7" s="2485" t="s">
        <v>9</v>
      </c>
      <c r="H7" s="2484" t="s">
        <v>12</v>
      </c>
      <c r="I7" s="2485"/>
      <c r="J7" s="2485" t="s">
        <v>9</v>
      </c>
      <c r="K7" s="2484" t="s">
        <v>13</v>
      </c>
      <c r="L7" s="2462" t="s">
        <v>14</v>
      </c>
      <c r="M7" s="2462" t="s">
        <v>15</v>
      </c>
      <c r="N7" s="2462" t="s">
        <v>16</v>
      </c>
      <c r="O7" s="2462" t="s">
        <v>94</v>
      </c>
      <c r="P7" s="2462" t="s">
        <v>8</v>
      </c>
      <c r="Q7" s="2491" t="s">
        <v>18</v>
      </c>
      <c r="R7" s="2493" t="s">
        <v>19</v>
      </c>
      <c r="S7" s="2462" t="s">
        <v>20</v>
      </c>
      <c r="T7" s="2462" t="s">
        <v>21</v>
      </c>
      <c r="U7" s="2462" t="s">
        <v>22</v>
      </c>
      <c r="V7" s="2462" t="s">
        <v>19</v>
      </c>
      <c r="W7" s="379"/>
      <c r="X7" s="2462" t="s">
        <v>23</v>
      </c>
      <c r="Y7" s="2471" t="s">
        <v>24</v>
      </c>
      <c r="Z7" s="2472"/>
      <c r="AA7" s="2473" t="s">
        <v>25</v>
      </c>
      <c r="AB7" s="2474"/>
      <c r="AC7" s="2474"/>
      <c r="AD7" s="2474"/>
      <c r="AE7" s="2504" t="s">
        <v>26</v>
      </c>
      <c r="AF7" s="2505"/>
      <c r="AG7" s="2505"/>
      <c r="AH7" s="2505"/>
      <c r="AI7" s="2505"/>
      <c r="AJ7" s="2505"/>
      <c r="AK7" s="2473" t="s">
        <v>27</v>
      </c>
      <c r="AL7" s="2474"/>
      <c r="AM7" s="2474"/>
      <c r="AN7" s="2495" t="s">
        <v>28</v>
      </c>
      <c r="AO7" s="2498" t="s">
        <v>29</v>
      </c>
      <c r="AP7" s="2498" t="s">
        <v>30</v>
      </c>
      <c r="AQ7" s="4203" t="s">
        <v>31</v>
      </c>
    </row>
    <row r="8" spans="1:43" x14ac:dyDescent="0.2">
      <c r="A8" s="4202"/>
      <c r="B8" s="2486"/>
      <c r="C8" s="2487"/>
      <c r="D8" s="2487"/>
      <c r="E8" s="2486"/>
      <c r="F8" s="2487"/>
      <c r="G8" s="2487"/>
      <c r="H8" s="2486"/>
      <c r="I8" s="2487"/>
      <c r="J8" s="2487"/>
      <c r="K8" s="2486"/>
      <c r="L8" s="2463"/>
      <c r="M8" s="2463"/>
      <c r="N8" s="2463"/>
      <c r="O8" s="2463"/>
      <c r="P8" s="2463"/>
      <c r="Q8" s="2492"/>
      <c r="R8" s="2494"/>
      <c r="S8" s="2463"/>
      <c r="T8" s="2463"/>
      <c r="U8" s="2463"/>
      <c r="V8" s="2463"/>
      <c r="W8" s="2467" t="s">
        <v>9</v>
      </c>
      <c r="X8" s="2463"/>
      <c r="Y8" s="2468" t="s">
        <v>32</v>
      </c>
      <c r="Z8" s="2506" t="s">
        <v>33</v>
      </c>
      <c r="AA8" s="2468" t="s">
        <v>34</v>
      </c>
      <c r="AB8" s="2468" t="s">
        <v>321</v>
      </c>
      <c r="AC8" s="2468" t="s">
        <v>322</v>
      </c>
      <c r="AD8" s="2468" t="s">
        <v>323</v>
      </c>
      <c r="AE8" s="2468" t="s">
        <v>38</v>
      </c>
      <c r="AF8" s="2468" t="s">
        <v>39</v>
      </c>
      <c r="AG8" s="2468" t="s">
        <v>40</v>
      </c>
      <c r="AH8" s="2468" t="s">
        <v>41</v>
      </c>
      <c r="AI8" s="2468" t="s">
        <v>42</v>
      </c>
      <c r="AJ8" s="2468" t="s">
        <v>43</v>
      </c>
      <c r="AK8" s="2468" t="s">
        <v>44</v>
      </c>
      <c r="AL8" s="2468" t="s">
        <v>45</v>
      </c>
      <c r="AM8" s="2468" t="s">
        <v>46</v>
      </c>
      <c r="AN8" s="2496"/>
      <c r="AO8" s="2499"/>
      <c r="AP8" s="2499"/>
      <c r="AQ8" s="4204"/>
    </row>
    <row r="9" spans="1:43" ht="15" customHeight="1" x14ac:dyDescent="0.2">
      <c r="A9" s="4202"/>
      <c r="B9" s="2486"/>
      <c r="C9" s="2487"/>
      <c r="D9" s="2487"/>
      <c r="E9" s="2486"/>
      <c r="F9" s="2487"/>
      <c r="G9" s="2487"/>
      <c r="H9" s="2486"/>
      <c r="I9" s="2487"/>
      <c r="J9" s="2487"/>
      <c r="K9" s="2486"/>
      <c r="L9" s="2463"/>
      <c r="M9" s="2463"/>
      <c r="N9" s="2463"/>
      <c r="O9" s="2463"/>
      <c r="P9" s="2463"/>
      <c r="Q9" s="2492"/>
      <c r="R9" s="2494"/>
      <c r="S9" s="2463"/>
      <c r="T9" s="2463"/>
      <c r="U9" s="2463"/>
      <c r="V9" s="2463"/>
      <c r="W9" s="2467"/>
      <c r="X9" s="2463"/>
      <c r="Y9" s="2469"/>
      <c r="Z9" s="2507"/>
      <c r="AA9" s="2469"/>
      <c r="AB9" s="2469"/>
      <c r="AC9" s="2469"/>
      <c r="AD9" s="2469"/>
      <c r="AE9" s="2469"/>
      <c r="AF9" s="2469"/>
      <c r="AG9" s="2469"/>
      <c r="AH9" s="2469"/>
      <c r="AI9" s="2469"/>
      <c r="AJ9" s="2469"/>
      <c r="AK9" s="2469"/>
      <c r="AL9" s="2469"/>
      <c r="AM9" s="2469"/>
      <c r="AN9" s="2496"/>
      <c r="AO9" s="2499"/>
      <c r="AP9" s="2499"/>
      <c r="AQ9" s="4204"/>
    </row>
    <row r="10" spans="1:43" ht="15" customHeight="1" x14ac:dyDescent="0.2">
      <c r="A10" s="4202"/>
      <c r="B10" s="2486"/>
      <c r="C10" s="2487"/>
      <c r="D10" s="2487"/>
      <c r="E10" s="2486"/>
      <c r="F10" s="2487"/>
      <c r="G10" s="2487"/>
      <c r="H10" s="2486"/>
      <c r="I10" s="2487"/>
      <c r="J10" s="2487"/>
      <c r="K10" s="2486"/>
      <c r="L10" s="2463"/>
      <c r="M10" s="2463"/>
      <c r="N10" s="2463"/>
      <c r="O10" s="2463"/>
      <c r="P10" s="2463"/>
      <c r="Q10" s="2492"/>
      <c r="R10" s="2494"/>
      <c r="S10" s="2463"/>
      <c r="T10" s="2463"/>
      <c r="U10" s="2463"/>
      <c r="V10" s="2463"/>
      <c r="W10" s="2467"/>
      <c r="X10" s="2463"/>
      <c r="Y10" s="2469"/>
      <c r="Z10" s="2507"/>
      <c r="AA10" s="2469"/>
      <c r="AB10" s="2469"/>
      <c r="AC10" s="2469"/>
      <c r="AD10" s="2469"/>
      <c r="AE10" s="2469"/>
      <c r="AF10" s="2469"/>
      <c r="AG10" s="2469"/>
      <c r="AH10" s="2469"/>
      <c r="AI10" s="2469"/>
      <c r="AJ10" s="2469"/>
      <c r="AK10" s="2469"/>
      <c r="AL10" s="2469"/>
      <c r="AM10" s="2469"/>
      <c r="AN10" s="2496"/>
      <c r="AO10" s="2499"/>
      <c r="AP10" s="2499"/>
      <c r="AQ10" s="4204"/>
    </row>
    <row r="11" spans="1:43" ht="15" customHeight="1" x14ac:dyDescent="0.2">
      <c r="A11" s="4202"/>
      <c r="B11" s="2486"/>
      <c r="C11" s="2487"/>
      <c r="D11" s="2487"/>
      <c r="E11" s="2486"/>
      <c r="F11" s="2487"/>
      <c r="G11" s="2487"/>
      <c r="H11" s="2486"/>
      <c r="I11" s="2487"/>
      <c r="J11" s="2487"/>
      <c r="K11" s="2486"/>
      <c r="L11" s="2463"/>
      <c r="M11" s="2463"/>
      <c r="N11" s="2463"/>
      <c r="O11" s="2463"/>
      <c r="P11" s="2463"/>
      <c r="Q11" s="2492"/>
      <c r="R11" s="2494"/>
      <c r="S11" s="2463"/>
      <c r="T11" s="2463"/>
      <c r="U11" s="2463"/>
      <c r="V11" s="2463"/>
      <c r="W11" s="2467"/>
      <c r="X11" s="2463"/>
      <c r="Y11" s="2469"/>
      <c r="Z11" s="2507"/>
      <c r="AA11" s="2469"/>
      <c r="AB11" s="2469"/>
      <c r="AC11" s="2469"/>
      <c r="AD11" s="2469"/>
      <c r="AE11" s="2469"/>
      <c r="AF11" s="2469"/>
      <c r="AG11" s="2469"/>
      <c r="AH11" s="2469"/>
      <c r="AI11" s="2469"/>
      <c r="AJ11" s="2469"/>
      <c r="AK11" s="2469"/>
      <c r="AL11" s="2469"/>
      <c r="AM11" s="2469"/>
      <c r="AN11" s="2496"/>
      <c r="AO11" s="2499"/>
      <c r="AP11" s="2499"/>
      <c r="AQ11" s="4204"/>
    </row>
    <row r="12" spans="1:43" ht="44.25" customHeight="1" x14ac:dyDescent="0.2">
      <c r="A12" s="4202"/>
      <c r="B12" s="2486"/>
      <c r="C12" s="2487"/>
      <c r="D12" s="2487"/>
      <c r="E12" s="2486"/>
      <c r="F12" s="2487"/>
      <c r="G12" s="2487"/>
      <c r="H12" s="2486"/>
      <c r="I12" s="2487"/>
      <c r="J12" s="2487"/>
      <c r="K12" s="2486"/>
      <c r="L12" s="2463"/>
      <c r="M12" s="2463"/>
      <c r="N12" s="2463"/>
      <c r="O12" s="2463"/>
      <c r="P12" s="2463"/>
      <c r="Q12" s="2492"/>
      <c r="R12" s="2494"/>
      <c r="S12" s="2463"/>
      <c r="T12" s="2463"/>
      <c r="U12" s="2463"/>
      <c r="V12" s="2463"/>
      <c r="W12" s="2467"/>
      <c r="X12" s="2463"/>
      <c r="Y12" s="2470"/>
      <c r="Z12" s="2508"/>
      <c r="AA12" s="2470"/>
      <c r="AB12" s="2470"/>
      <c r="AC12" s="2470"/>
      <c r="AD12" s="2470"/>
      <c r="AE12" s="2470"/>
      <c r="AF12" s="2470"/>
      <c r="AG12" s="2470"/>
      <c r="AH12" s="2470"/>
      <c r="AI12" s="2470"/>
      <c r="AJ12" s="2470"/>
      <c r="AK12" s="2470"/>
      <c r="AL12" s="2470"/>
      <c r="AM12" s="2470"/>
      <c r="AN12" s="2497"/>
      <c r="AO12" s="2500"/>
      <c r="AP12" s="2500"/>
      <c r="AQ12" s="4204"/>
    </row>
    <row r="13" spans="1:43" ht="15.75" x14ac:dyDescent="0.2">
      <c r="A13" s="534">
        <v>5</v>
      </c>
      <c r="B13" s="381" t="s">
        <v>47</v>
      </c>
      <c r="C13" s="381"/>
      <c r="D13" s="381"/>
      <c r="E13" s="381"/>
      <c r="F13" s="381"/>
      <c r="G13" s="381"/>
      <c r="H13" s="381"/>
      <c r="I13" s="381"/>
      <c r="J13" s="382"/>
      <c r="K13" s="382"/>
      <c r="L13" s="388"/>
      <c r="M13" s="382"/>
      <c r="N13" s="382"/>
      <c r="O13" s="382"/>
      <c r="P13" s="382"/>
      <c r="Q13" s="384"/>
      <c r="R13" s="385"/>
      <c r="S13" s="382"/>
      <c r="T13" s="382"/>
      <c r="U13" s="382"/>
      <c r="V13" s="386"/>
      <c r="W13" s="387"/>
      <c r="X13" s="388"/>
      <c r="Y13" s="381"/>
      <c r="Z13" s="381"/>
      <c r="AA13" s="381"/>
      <c r="AB13" s="381"/>
      <c r="AC13" s="381"/>
      <c r="AD13" s="381"/>
      <c r="AE13" s="381"/>
      <c r="AF13" s="381"/>
      <c r="AG13" s="381"/>
      <c r="AH13" s="381"/>
      <c r="AI13" s="381"/>
      <c r="AJ13" s="381"/>
      <c r="AK13" s="381"/>
      <c r="AL13" s="381"/>
      <c r="AM13" s="381"/>
      <c r="AN13" s="381"/>
      <c r="AO13" s="389"/>
      <c r="AP13" s="389"/>
      <c r="AQ13" s="535"/>
    </row>
    <row r="14" spans="1:43" ht="15.75" x14ac:dyDescent="0.2">
      <c r="A14" s="536"/>
      <c r="B14" s="392"/>
      <c r="C14" s="393"/>
      <c r="D14" s="394">
        <v>28</v>
      </c>
      <c r="E14" s="395" t="s">
        <v>324</v>
      </c>
      <c r="F14" s="395"/>
      <c r="G14" s="395"/>
      <c r="H14" s="395"/>
      <c r="I14" s="395"/>
      <c r="J14" s="396"/>
      <c r="K14" s="396"/>
      <c r="L14" s="396"/>
      <c r="M14" s="396"/>
      <c r="N14" s="396"/>
      <c r="O14" s="396"/>
      <c r="P14" s="396"/>
      <c r="Q14" s="397"/>
      <c r="R14" s="398"/>
      <c r="S14" s="396"/>
      <c r="T14" s="396"/>
      <c r="U14" s="396"/>
      <c r="V14" s="399"/>
      <c r="W14" s="400"/>
      <c r="X14" s="401"/>
      <c r="Y14" s="395"/>
      <c r="Z14" s="395"/>
      <c r="AA14" s="395"/>
      <c r="AB14" s="395"/>
      <c r="AC14" s="395"/>
      <c r="AD14" s="395"/>
      <c r="AE14" s="395"/>
      <c r="AF14" s="395"/>
      <c r="AG14" s="395"/>
      <c r="AH14" s="395"/>
      <c r="AI14" s="395"/>
      <c r="AJ14" s="395"/>
      <c r="AK14" s="395"/>
      <c r="AL14" s="395"/>
      <c r="AM14" s="395"/>
      <c r="AN14" s="395"/>
      <c r="AO14" s="402"/>
      <c r="AP14" s="402"/>
      <c r="AQ14" s="537"/>
    </row>
    <row r="15" spans="1:43" ht="15.75" x14ac:dyDescent="0.2">
      <c r="A15" s="538"/>
      <c r="B15" s="539"/>
      <c r="C15" s="406"/>
      <c r="D15" s="407"/>
      <c r="E15" s="408"/>
      <c r="F15" s="409"/>
      <c r="G15" s="410">
        <v>89</v>
      </c>
      <c r="H15" s="411" t="s">
        <v>325</v>
      </c>
      <c r="I15" s="411"/>
      <c r="J15" s="412"/>
      <c r="K15" s="412"/>
      <c r="L15" s="412"/>
      <c r="M15" s="412"/>
      <c r="N15" s="412"/>
      <c r="O15" s="412"/>
      <c r="P15" s="412"/>
      <c r="Q15" s="413"/>
      <c r="R15" s="414"/>
      <c r="S15" s="412"/>
      <c r="T15" s="412"/>
      <c r="U15" s="412"/>
      <c r="V15" s="415"/>
      <c r="W15" s="416"/>
      <c r="X15" s="417"/>
      <c r="Y15" s="411"/>
      <c r="Z15" s="411"/>
      <c r="AA15" s="411"/>
      <c r="AB15" s="411"/>
      <c r="AC15" s="411"/>
      <c r="AD15" s="411"/>
      <c r="AE15" s="411"/>
      <c r="AF15" s="411"/>
      <c r="AG15" s="411"/>
      <c r="AH15" s="411"/>
      <c r="AI15" s="411"/>
      <c r="AJ15" s="411"/>
      <c r="AK15" s="411"/>
      <c r="AL15" s="411"/>
      <c r="AM15" s="411"/>
      <c r="AN15" s="411"/>
      <c r="AO15" s="418"/>
      <c r="AP15" s="418"/>
      <c r="AQ15" s="540"/>
    </row>
    <row r="16" spans="1:43" ht="54.75" customHeight="1" x14ac:dyDescent="0.2">
      <c r="A16" s="541"/>
      <c r="B16" s="542"/>
      <c r="C16" s="422"/>
      <c r="D16" s="423"/>
      <c r="E16" s="543"/>
      <c r="F16" s="425"/>
      <c r="G16" s="426"/>
      <c r="H16" s="427"/>
      <c r="I16" s="428"/>
      <c r="J16" s="4178">
        <v>282</v>
      </c>
      <c r="K16" s="2808" t="s">
        <v>326</v>
      </c>
      <c r="L16" s="2808" t="s">
        <v>327</v>
      </c>
      <c r="M16" s="4178">
        <v>2</v>
      </c>
      <c r="N16" s="4178" t="s">
        <v>386</v>
      </c>
      <c r="O16" s="4191" t="s">
        <v>329</v>
      </c>
      <c r="P16" s="2903" t="s">
        <v>330</v>
      </c>
      <c r="Q16" s="4180">
        <f>+(V16+V17)/R16</f>
        <v>1</v>
      </c>
      <c r="R16" s="4182">
        <f>V16+V17</f>
        <v>396200</v>
      </c>
      <c r="S16" s="4184" t="s">
        <v>331</v>
      </c>
      <c r="T16" s="4184" t="s">
        <v>332</v>
      </c>
      <c r="U16" s="448" t="s">
        <v>333</v>
      </c>
      <c r="V16" s="465">
        <v>396200</v>
      </c>
      <c r="W16" s="438" t="s">
        <v>202</v>
      </c>
      <c r="X16" s="447" t="s">
        <v>72</v>
      </c>
      <c r="Y16" s="2513">
        <v>292684</v>
      </c>
      <c r="Z16" s="2513">
        <v>282326</v>
      </c>
      <c r="AA16" s="2513">
        <v>135912</v>
      </c>
      <c r="AB16" s="2513">
        <v>45122</v>
      </c>
      <c r="AC16" s="2513">
        <v>307101</v>
      </c>
      <c r="AD16" s="2513">
        <v>86875</v>
      </c>
      <c r="AE16" s="2513">
        <v>2145</v>
      </c>
      <c r="AF16" s="2513">
        <v>12718</v>
      </c>
      <c r="AG16" s="2513">
        <v>26</v>
      </c>
      <c r="AH16" s="2513">
        <v>37</v>
      </c>
      <c r="AI16" s="2513">
        <v>0</v>
      </c>
      <c r="AJ16" s="2513">
        <v>0</v>
      </c>
      <c r="AK16" s="2513">
        <v>53164</v>
      </c>
      <c r="AL16" s="2513">
        <v>16982</v>
      </c>
      <c r="AM16" s="2513">
        <v>60013</v>
      </c>
      <c r="AN16" s="2513">
        <v>575010</v>
      </c>
      <c r="AO16" s="4167">
        <v>43467</v>
      </c>
      <c r="AP16" s="4167">
        <v>43830</v>
      </c>
      <c r="AQ16" s="4189" t="s">
        <v>387</v>
      </c>
    </row>
    <row r="17" spans="1:43" ht="40.5" customHeight="1" x14ac:dyDescent="0.2">
      <c r="A17" s="541"/>
      <c r="B17" s="542"/>
      <c r="C17" s="422"/>
      <c r="D17" s="423"/>
      <c r="E17" s="543"/>
      <c r="F17" s="425"/>
      <c r="G17" s="444"/>
      <c r="H17" s="544"/>
      <c r="I17" s="446"/>
      <c r="J17" s="4186"/>
      <c r="K17" s="4187"/>
      <c r="L17" s="4187"/>
      <c r="M17" s="4186"/>
      <c r="N17" s="4186"/>
      <c r="O17" s="4192"/>
      <c r="P17" s="2920"/>
      <c r="Q17" s="4181"/>
      <c r="R17" s="4183"/>
      <c r="S17" s="4185"/>
      <c r="T17" s="4185"/>
      <c r="U17" s="448" t="s">
        <v>388</v>
      </c>
      <c r="V17" s="465">
        <v>0</v>
      </c>
      <c r="W17" s="545"/>
      <c r="X17" s="447"/>
      <c r="Y17" s="4179"/>
      <c r="Z17" s="4179"/>
      <c r="AA17" s="4179"/>
      <c r="AB17" s="4179"/>
      <c r="AC17" s="4179"/>
      <c r="AD17" s="4179"/>
      <c r="AE17" s="4179"/>
      <c r="AF17" s="4179"/>
      <c r="AG17" s="4179"/>
      <c r="AH17" s="4179"/>
      <c r="AI17" s="4179"/>
      <c r="AJ17" s="4179"/>
      <c r="AK17" s="4179"/>
      <c r="AL17" s="4179"/>
      <c r="AM17" s="4179"/>
      <c r="AN17" s="4179"/>
      <c r="AO17" s="4188"/>
      <c r="AP17" s="4188"/>
      <c r="AQ17" s="4190"/>
    </row>
    <row r="18" spans="1:43" ht="28.5" customHeight="1" x14ac:dyDescent="0.2">
      <c r="A18" s="538"/>
      <c r="B18" s="539"/>
      <c r="C18" s="406"/>
      <c r="D18" s="456"/>
      <c r="E18" s="546"/>
      <c r="F18" s="458"/>
      <c r="G18" s="459"/>
      <c r="H18" s="547"/>
      <c r="I18" s="461"/>
      <c r="J18" s="2533">
        <v>284</v>
      </c>
      <c r="K18" s="2890" t="s">
        <v>389</v>
      </c>
      <c r="L18" s="2501" t="s">
        <v>390</v>
      </c>
      <c r="M18" s="2509">
        <v>1</v>
      </c>
      <c r="N18" s="2501" t="s">
        <v>391</v>
      </c>
      <c r="O18" s="2509" t="s">
        <v>392</v>
      </c>
      <c r="P18" s="2501" t="s">
        <v>393</v>
      </c>
      <c r="Q18" s="4171">
        <f>SUM(V18:V22)/R18</f>
        <v>1</v>
      </c>
      <c r="R18" s="4173">
        <f>SUM(V18:V22)</f>
        <v>422500000</v>
      </c>
      <c r="S18" s="2501" t="s">
        <v>394</v>
      </c>
      <c r="T18" s="4175" t="s">
        <v>331</v>
      </c>
      <c r="U18" s="2903" t="s">
        <v>395</v>
      </c>
      <c r="V18" s="548">
        <f>92500000-4025889</f>
        <v>88474111</v>
      </c>
      <c r="W18" s="549">
        <v>20</v>
      </c>
      <c r="X18" s="550" t="s">
        <v>72</v>
      </c>
      <c r="Y18" s="4169">
        <v>292684</v>
      </c>
      <c r="Z18" s="2502">
        <v>282326</v>
      </c>
      <c r="AA18" s="2502">
        <v>135912</v>
      </c>
      <c r="AB18" s="2502">
        <v>45122</v>
      </c>
      <c r="AC18" s="2502">
        <v>307101</v>
      </c>
      <c r="AD18" s="2502">
        <v>86875</v>
      </c>
      <c r="AE18" s="2502">
        <v>2145</v>
      </c>
      <c r="AF18" s="2502">
        <v>12718</v>
      </c>
      <c r="AG18" s="2502">
        <v>26</v>
      </c>
      <c r="AH18" s="2502">
        <v>37</v>
      </c>
      <c r="AI18" s="2502">
        <v>0</v>
      </c>
      <c r="AJ18" s="2502">
        <v>0</v>
      </c>
      <c r="AK18" s="2502">
        <v>53164</v>
      </c>
      <c r="AL18" s="2502">
        <v>16982</v>
      </c>
      <c r="AM18" s="2502">
        <v>60013</v>
      </c>
      <c r="AN18" s="2502">
        <v>575010</v>
      </c>
      <c r="AO18" s="4167">
        <v>43467</v>
      </c>
      <c r="AP18" s="4167">
        <v>43830</v>
      </c>
      <c r="AQ18" s="2517" t="s">
        <v>396</v>
      </c>
    </row>
    <row r="19" spans="1:43" ht="28.5" customHeight="1" x14ac:dyDescent="0.2">
      <c r="A19" s="538"/>
      <c r="B19" s="539"/>
      <c r="C19" s="406"/>
      <c r="D19" s="456"/>
      <c r="E19" s="546"/>
      <c r="F19" s="458"/>
      <c r="G19" s="459"/>
      <c r="H19" s="547"/>
      <c r="I19" s="461"/>
      <c r="J19" s="2534"/>
      <c r="K19" s="2903"/>
      <c r="L19" s="2808"/>
      <c r="M19" s="4178"/>
      <c r="N19" s="2808"/>
      <c r="O19" s="4178"/>
      <c r="P19" s="2808"/>
      <c r="Q19" s="4172"/>
      <c r="R19" s="4174"/>
      <c r="S19" s="2808"/>
      <c r="T19" s="4176"/>
      <c r="U19" s="2904"/>
      <c r="V19" s="551">
        <f>0+20000000</f>
        <v>20000000</v>
      </c>
      <c r="W19" s="552">
        <v>88</v>
      </c>
      <c r="X19" s="553" t="s">
        <v>61</v>
      </c>
      <c r="Y19" s="4170"/>
      <c r="Z19" s="2513"/>
      <c r="AA19" s="2513"/>
      <c r="AB19" s="2513"/>
      <c r="AC19" s="2513"/>
      <c r="AD19" s="2513"/>
      <c r="AE19" s="2513"/>
      <c r="AF19" s="2513"/>
      <c r="AG19" s="2513"/>
      <c r="AH19" s="2513"/>
      <c r="AI19" s="2513"/>
      <c r="AJ19" s="2513"/>
      <c r="AK19" s="2513"/>
      <c r="AL19" s="2513"/>
      <c r="AM19" s="2513"/>
      <c r="AN19" s="2513"/>
      <c r="AO19" s="4168"/>
      <c r="AP19" s="4168"/>
      <c r="AQ19" s="4163"/>
    </row>
    <row r="20" spans="1:43" ht="28.5" customHeight="1" x14ac:dyDescent="0.2">
      <c r="A20" s="538"/>
      <c r="B20" s="539"/>
      <c r="C20" s="406"/>
      <c r="D20" s="456"/>
      <c r="E20" s="546"/>
      <c r="F20" s="458"/>
      <c r="G20" s="459"/>
      <c r="H20" s="547"/>
      <c r="I20" s="461"/>
      <c r="J20" s="2534"/>
      <c r="K20" s="2903"/>
      <c r="L20" s="2808"/>
      <c r="M20" s="4178"/>
      <c r="N20" s="2808"/>
      <c r="O20" s="4178"/>
      <c r="P20" s="2808"/>
      <c r="Q20" s="4172"/>
      <c r="R20" s="4174"/>
      <c r="S20" s="2808"/>
      <c r="T20" s="4177"/>
      <c r="U20" s="3686" t="s">
        <v>397</v>
      </c>
      <c r="V20" s="554">
        <f>0+8342140</f>
        <v>8342140</v>
      </c>
      <c r="W20" s="549">
        <v>20</v>
      </c>
      <c r="X20" s="550" t="s">
        <v>72</v>
      </c>
      <c r="Y20" s="4170"/>
      <c r="Z20" s="2513"/>
      <c r="AA20" s="2513"/>
      <c r="AB20" s="2513"/>
      <c r="AC20" s="2513"/>
      <c r="AD20" s="2513"/>
      <c r="AE20" s="2513"/>
      <c r="AF20" s="2513"/>
      <c r="AG20" s="2513"/>
      <c r="AH20" s="2513"/>
      <c r="AI20" s="2513"/>
      <c r="AJ20" s="2513"/>
      <c r="AK20" s="2513"/>
      <c r="AL20" s="2513"/>
      <c r="AM20" s="2513"/>
      <c r="AN20" s="2513"/>
      <c r="AO20" s="4168"/>
      <c r="AP20" s="4168"/>
      <c r="AQ20" s="4163"/>
    </row>
    <row r="21" spans="1:43" ht="28.5" customHeight="1" x14ac:dyDescent="0.2">
      <c r="A21" s="538"/>
      <c r="B21" s="539"/>
      <c r="C21" s="406"/>
      <c r="D21" s="456"/>
      <c r="E21" s="546"/>
      <c r="F21" s="458"/>
      <c r="G21" s="459"/>
      <c r="H21" s="547"/>
      <c r="I21" s="461"/>
      <c r="J21" s="2534"/>
      <c r="K21" s="2903"/>
      <c r="L21" s="2808"/>
      <c r="M21" s="4178"/>
      <c r="N21" s="2808"/>
      <c r="O21" s="4178"/>
      <c r="P21" s="2808"/>
      <c r="Q21" s="4172"/>
      <c r="R21" s="4174"/>
      <c r="S21" s="2808"/>
      <c r="T21" s="4177"/>
      <c r="U21" s="3686"/>
      <c r="V21" s="554">
        <f>0+300000000</f>
        <v>300000000</v>
      </c>
      <c r="W21" s="552">
        <v>88</v>
      </c>
      <c r="X21" s="553" t="s">
        <v>61</v>
      </c>
      <c r="Y21" s="4170"/>
      <c r="Z21" s="2513"/>
      <c r="AA21" s="2513"/>
      <c r="AB21" s="2513"/>
      <c r="AC21" s="2513"/>
      <c r="AD21" s="2513"/>
      <c r="AE21" s="2513"/>
      <c r="AF21" s="2513"/>
      <c r="AG21" s="2513"/>
      <c r="AH21" s="2513"/>
      <c r="AI21" s="2513"/>
      <c r="AJ21" s="2513"/>
      <c r="AK21" s="2513"/>
      <c r="AL21" s="2513"/>
      <c r="AM21" s="2513"/>
      <c r="AN21" s="2513"/>
      <c r="AO21" s="4168"/>
      <c r="AP21" s="4168"/>
      <c r="AQ21" s="4163"/>
    </row>
    <row r="22" spans="1:43" ht="75" x14ac:dyDescent="0.2">
      <c r="A22" s="538"/>
      <c r="B22" s="539"/>
      <c r="C22" s="406"/>
      <c r="D22" s="456"/>
      <c r="E22" s="546"/>
      <c r="F22" s="458"/>
      <c r="G22" s="459"/>
      <c r="H22" s="547"/>
      <c r="I22" s="461"/>
      <c r="J22" s="2534"/>
      <c r="K22" s="2903"/>
      <c r="L22" s="2808"/>
      <c r="M22" s="4178"/>
      <c r="N22" s="2808"/>
      <c r="O22" s="4178"/>
      <c r="P22" s="2808"/>
      <c r="Q22" s="4172"/>
      <c r="R22" s="4174"/>
      <c r="S22" s="2808"/>
      <c r="T22" s="430" t="s">
        <v>398</v>
      </c>
      <c r="U22" s="555" t="s">
        <v>399</v>
      </c>
      <c r="V22" s="556">
        <f>10000000-4316251</f>
        <v>5683749</v>
      </c>
      <c r="W22" s="552">
        <v>20</v>
      </c>
      <c r="X22" s="553" t="s">
        <v>72</v>
      </c>
      <c r="Y22" s="4170"/>
      <c r="Z22" s="2513"/>
      <c r="AA22" s="2513"/>
      <c r="AB22" s="2513"/>
      <c r="AC22" s="2513"/>
      <c r="AD22" s="2513"/>
      <c r="AE22" s="2513"/>
      <c r="AF22" s="2513"/>
      <c r="AG22" s="2513"/>
      <c r="AH22" s="2513"/>
      <c r="AI22" s="2513"/>
      <c r="AJ22" s="2513"/>
      <c r="AK22" s="2513"/>
      <c r="AL22" s="2513"/>
      <c r="AM22" s="2513"/>
      <c r="AN22" s="2513"/>
      <c r="AO22" s="4168"/>
      <c r="AP22" s="4168"/>
      <c r="AQ22" s="4163"/>
    </row>
    <row r="23" spans="1:43" ht="51.75" customHeight="1" x14ac:dyDescent="0.2">
      <c r="A23" s="538"/>
      <c r="B23" s="539"/>
      <c r="C23" s="406"/>
      <c r="D23" s="456"/>
      <c r="E23" s="546"/>
      <c r="F23" s="546"/>
      <c r="G23" s="557"/>
      <c r="H23" s="547"/>
      <c r="I23" s="547"/>
      <c r="J23" s="4162">
        <v>285</v>
      </c>
      <c r="K23" s="3686" t="s">
        <v>348</v>
      </c>
      <c r="L23" s="4164" t="s">
        <v>349</v>
      </c>
      <c r="M23" s="4164">
        <v>1</v>
      </c>
      <c r="N23" s="4164" t="s">
        <v>400</v>
      </c>
      <c r="O23" s="4164" t="s">
        <v>351</v>
      </c>
      <c r="P23" s="4165" t="s">
        <v>352</v>
      </c>
      <c r="Q23" s="4166">
        <f>SUM(V23:V24)/R23</f>
        <v>1</v>
      </c>
      <c r="R23" s="4161">
        <f>SUM(V23:V24)</f>
        <v>90995333</v>
      </c>
      <c r="S23" s="3686" t="s">
        <v>353</v>
      </c>
      <c r="T23" s="3686" t="s">
        <v>354</v>
      </c>
      <c r="U23" s="4162" t="s">
        <v>355</v>
      </c>
      <c r="V23" s="558">
        <f>10995333</f>
        <v>10995333</v>
      </c>
      <c r="W23" s="559">
        <v>20</v>
      </c>
      <c r="X23" s="560" t="s">
        <v>72</v>
      </c>
      <c r="Y23" s="4158">
        <v>292684</v>
      </c>
      <c r="Z23" s="4158">
        <v>282326</v>
      </c>
      <c r="AA23" s="4158">
        <v>135912</v>
      </c>
      <c r="AB23" s="4158">
        <v>45122</v>
      </c>
      <c r="AC23" s="4158">
        <v>307101</v>
      </c>
      <c r="AD23" s="4158">
        <v>86875</v>
      </c>
      <c r="AE23" s="4158">
        <v>2145</v>
      </c>
      <c r="AF23" s="4158">
        <v>12718</v>
      </c>
      <c r="AG23" s="4158">
        <v>26</v>
      </c>
      <c r="AH23" s="4158">
        <v>37</v>
      </c>
      <c r="AI23" s="4158">
        <v>0</v>
      </c>
      <c r="AJ23" s="4158">
        <v>0</v>
      </c>
      <c r="AK23" s="4158">
        <v>53164</v>
      </c>
      <c r="AL23" s="4158">
        <v>16982</v>
      </c>
      <c r="AM23" s="4158">
        <v>60013</v>
      </c>
      <c r="AN23" s="4158">
        <v>575010</v>
      </c>
      <c r="AO23" s="4159">
        <v>43467</v>
      </c>
      <c r="AP23" s="4159">
        <v>43830</v>
      </c>
      <c r="AQ23" s="4160" t="s">
        <v>396</v>
      </c>
    </row>
    <row r="24" spans="1:43" ht="51.75" customHeight="1" thickBot="1" x14ac:dyDescent="0.25">
      <c r="A24" s="538"/>
      <c r="B24" s="539"/>
      <c r="C24" s="561"/>
      <c r="D24" s="546"/>
      <c r="E24" s="546"/>
      <c r="F24" s="546"/>
      <c r="G24" s="557"/>
      <c r="H24" s="547"/>
      <c r="I24" s="547"/>
      <c r="J24" s="4162"/>
      <c r="K24" s="3686"/>
      <c r="L24" s="4164"/>
      <c r="M24" s="4164"/>
      <c r="N24" s="4164"/>
      <c r="O24" s="4164"/>
      <c r="P24" s="4165"/>
      <c r="Q24" s="4166"/>
      <c r="R24" s="4161"/>
      <c r="S24" s="3686"/>
      <c r="T24" s="3686"/>
      <c r="U24" s="4162"/>
      <c r="V24" s="558">
        <v>80000000</v>
      </c>
      <c r="W24" s="559">
        <v>88</v>
      </c>
      <c r="X24" s="560" t="s">
        <v>61</v>
      </c>
      <c r="Y24" s="4158"/>
      <c r="Z24" s="4158"/>
      <c r="AA24" s="4158"/>
      <c r="AB24" s="4158"/>
      <c r="AC24" s="4158"/>
      <c r="AD24" s="4158"/>
      <c r="AE24" s="4158"/>
      <c r="AF24" s="4158"/>
      <c r="AG24" s="4158"/>
      <c r="AH24" s="4158"/>
      <c r="AI24" s="4158"/>
      <c r="AJ24" s="4158"/>
      <c r="AK24" s="4158"/>
      <c r="AL24" s="4158"/>
      <c r="AM24" s="4158"/>
      <c r="AN24" s="4158"/>
      <c r="AO24" s="4159"/>
      <c r="AP24" s="4159"/>
      <c r="AQ24" s="4160"/>
    </row>
    <row r="25" spans="1:43" ht="16.5" thickBot="1" x14ac:dyDescent="0.3">
      <c r="A25" s="493" t="s">
        <v>383</v>
      </c>
      <c r="B25" s="494"/>
      <c r="C25" s="494"/>
      <c r="D25" s="494"/>
      <c r="E25" s="494"/>
      <c r="F25" s="494"/>
      <c r="G25" s="494"/>
      <c r="H25" s="494"/>
      <c r="I25" s="494"/>
      <c r="J25" s="562"/>
      <c r="K25" s="563"/>
      <c r="L25" s="564"/>
      <c r="M25" s="565"/>
      <c r="N25" s="563"/>
      <c r="O25" s="564"/>
      <c r="P25" s="564"/>
      <c r="Q25" s="566"/>
      <c r="R25" s="567">
        <f>SUM(R16:R24)</f>
        <v>513891533</v>
      </c>
      <c r="S25" s="568"/>
      <c r="T25" s="563"/>
      <c r="U25" s="569"/>
      <c r="V25" s="570">
        <f>SUM(V16:V24)</f>
        <v>513891533</v>
      </c>
      <c r="W25" s="571"/>
      <c r="X25" s="572"/>
      <c r="Y25" s="573"/>
      <c r="Z25" s="573"/>
      <c r="AA25" s="573"/>
      <c r="AB25" s="573"/>
      <c r="AC25" s="573"/>
      <c r="AD25" s="573"/>
      <c r="AE25" s="572"/>
      <c r="AF25" s="572"/>
      <c r="AG25" s="572"/>
      <c r="AH25" s="572"/>
      <c r="AI25" s="572"/>
      <c r="AJ25" s="572"/>
      <c r="AK25" s="572"/>
      <c r="AL25" s="572"/>
      <c r="AM25" s="572"/>
      <c r="AN25" s="572"/>
      <c r="AO25" s="574"/>
      <c r="AP25" s="574"/>
      <c r="AQ25" s="575"/>
    </row>
    <row r="27" spans="1:43" ht="33" customHeight="1" x14ac:dyDescent="0.2">
      <c r="K27" s="2527"/>
      <c r="L27" s="2527"/>
      <c r="M27" s="2527"/>
      <c r="N27" s="2527"/>
      <c r="O27" s="2527"/>
      <c r="P27" s="2527"/>
      <c r="Q27" s="2527"/>
    </row>
    <row r="31" spans="1:43" ht="15.75" x14ac:dyDescent="0.25">
      <c r="K31" s="520" t="s">
        <v>401</v>
      </c>
    </row>
    <row r="32" spans="1:43" x14ac:dyDescent="0.2">
      <c r="K32" s="369" t="s">
        <v>402</v>
      </c>
    </row>
  </sheetData>
  <sheetProtection password="A60F" sheet="1" objects="1" scenarios="1"/>
  <mergeCells count="142">
    <mergeCell ref="A1:AO4"/>
    <mergeCell ref="A5:M6"/>
    <mergeCell ref="N5:AQ5"/>
    <mergeCell ref="Y6:AM6"/>
    <mergeCell ref="A7:A12"/>
    <mergeCell ref="B7:C12"/>
    <mergeCell ref="D7:D12"/>
    <mergeCell ref="E7:F12"/>
    <mergeCell ref="G7:G12"/>
    <mergeCell ref="H7:I12"/>
    <mergeCell ref="AN7:AN12"/>
    <mergeCell ref="AO7:AO12"/>
    <mergeCell ref="AP7:AP12"/>
    <mergeCell ref="AQ7:AQ12"/>
    <mergeCell ref="W8:W12"/>
    <mergeCell ref="Y8:Y12"/>
    <mergeCell ref="Z8:Z12"/>
    <mergeCell ref="AA8:AA12"/>
    <mergeCell ref="AE8:AE12"/>
    <mergeCell ref="AF8:AF12"/>
    <mergeCell ref="AG8:AG12"/>
    <mergeCell ref="J7:J12"/>
    <mergeCell ref="K7:K12"/>
    <mergeCell ref="L7:L12"/>
    <mergeCell ref="M7:M12"/>
    <mergeCell ref="N7:N12"/>
    <mergeCell ref="O7:O12"/>
    <mergeCell ref="M16:M17"/>
    <mergeCell ref="N16:N17"/>
    <mergeCell ref="O16:O17"/>
    <mergeCell ref="AH8:AH12"/>
    <mergeCell ref="AI8:AI12"/>
    <mergeCell ref="AJ8:AJ12"/>
    <mergeCell ref="AK8:AK12"/>
    <mergeCell ref="AL8:AL12"/>
    <mergeCell ref="AM8:AM12"/>
    <mergeCell ref="V7:V12"/>
    <mergeCell ref="P7:P12"/>
    <mergeCell ref="Q7:Q12"/>
    <mergeCell ref="R7:R12"/>
    <mergeCell ref="S7:S12"/>
    <mergeCell ref="T7:T12"/>
    <mergeCell ref="U7:U12"/>
    <mergeCell ref="AB8:AB12"/>
    <mergeCell ref="AC8:AC12"/>
    <mergeCell ref="X7:X12"/>
    <mergeCell ref="Y7:Z7"/>
    <mergeCell ref="AA7:AD7"/>
    <mergeCell ref="AE7:AJ7"/>
    <mergeCell ref="AK7:AM7"/>
    <mergeCell ref="AD8:AD12"/>
    <mergeCell ref="AO16:AO17"/>
    <mergeCell ref="AP16:AP17"/>
    <mergeCell ref="AQ16:AQ17"/>
    <mergeCell ref="AF16:AF17"/>
    <mergeCell ref="AG16:AG17"/>
    <mergeCell ref="AH16:AH17"/>
    <mergeCell ref="AI16:AI17"/>
    <mergeCell ref="AJ16:AJ17"/>
    <mergeCell ref="AK16:AK17"/>
    <mergeCell ref="J18:J22"/>
    <mergeCell ref="K18:K22"/>
    <mergeCell ref="L18:L22"/>
    <mergeCell ref="M18:M22"/>
    <mergeCell ref="N18:N22"/>
    <mergeCell ref="O18:O22"/>
    <mergeCell ref="AL16:AL17"/>
    <mergeCell ref="AM16:AM17"/>
    <mergeCell ref="AN16:AN17"/>
    <mergeCell ref="Z16:Z17"/>
    <mergeCell ref="AA16:AA17"/>
    <mergeCell ref="AB16:AB17"/>
    <mergeCell ref="AC16:AC17"/>
    <mergeCell ref="AD16:AD17"/>
    <mergeCell ref="AE16:AE17"/>
    <mergeCell ref="P16:P17"/>
    <mergeCell ref="Q16:Q17"/>
    <mergeCell ref="R16:R17"/>
    <mergeCell ref="S16:S17"/>
    <mergeCell ref="T16:T17"/>
    <mergeCell ref="Y16:Y17"/>
    <mergeCell ref="J16:J17"/>
    <mergeCell ref="K16:K17"/>
    <mergeCell ref="L16:L17"/>
    <mergeCell ref="AA18:AA22"/>
    <mergeCell ref="AB18:AB22"/>
    <mergeCell ref="AC18:AC22"/>
    <mergeCell ref="AD18:AD22"/>
    <mergeCell ref="P18:P22"/>
    <mergeCell ref="Q18:Q22"/>
    <mergeCell ref="R18:R22"/>
    <mergeCell ref="S18:S22"/>
    <mergeCell ref="T18:T21"/>
    <mergeCell ref="U18:U19"/>
    <mergeCell ref="AQ18:AQ22"/>
    <mergeCell ref="U20:U21"/>
    <mergeCell ref="J23:J24"/>
    <mergeCell ref="K23:K24"/>
    <mergeCell ref="L23:L24"/>
    <mergeCell ref="M23:M24"/>
    <mergeCell ref="N23:N24"/>
    <mergeCell ref="O23:O24"/>
    <mergeCell ref="P23:P24"/>
    <mergeCell ref="Q23:Q24"/>
    <mergeCell ref="AK18:AK22"/>
    <mergeCell ref="AL18:AL22"/>
    <mergeCell ref="AM18:AM22"/>
    <mergeCell ref="AN18:AN22"/>
    <mergeCell ref="AO18:AO22"/>
    <mergeCell ref="AP18:AP22"/>
    <mergeCell ref="AE18:AE22"/>
    <mergeCell ref="AF18:AF22"/>
    <mergeCell ref="AG18:AG22"/>
    <mergeCell ref="AH18:AH22"/>
    <mergeCell ref="AI18:AI22"/>
    <mergeCell ref="AJ18:AJ22"/>
    <mergeCell ref="Y18:Y22"/>
    <mergeCell ref="Z18:Z22"/>
    <mergeCell ref="AM23:AM24"/>
    <mergeCell ref="AN23:AN24"/>
    <mergeCell ref="AO23:AO24"/>
    <mergeCell ref="AP23:AP24"/>
    <mergeCell ref="AQ23:AQ24"/>
    <mergeCell ref="K27:Q27"/>
    <mergeCell ref="AG23:AG24"/>
    <mergeCell ref="AH23:AH24"/>
    <mergeCell ref="AI23:AI24"/>
    <mergeCell ref="AJ23:AJ24"/>
    <mergeCell ref="AK23:AK24"/>
    <mergeCell ref="AL23:AL24"/>
    <mergeCell ref="AA23:AA24"/>
    <mergeCell ref="AB23:AB24"/>
    <mergeCell ref="AC23:AC24"/>
    <mergeCell ref="AD23:AD24"/>
    <mergeCell ref="AE23:AE24"/>
    <mergeCell ref="AF23:AF24"/>
    <mergeCell ref="R23:R24"/>
    <mergeCell ref="S23:S24"/>
    <mergeCell ref="T23:T24"/>
    <mergeCell ref="U23:U24"/>
    <mergeCell ref="Y23:Y24"/>
    <mergeCell ref="Z23:Z2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2"/>
  <sheetViews>
    <sheetView showGridLines="0" zoomScale="70" zoomScaleNormal="70" workbookViewId="0">
      <selection sqref="A1:AO4"/>
    </sheetView>
  </sheetViews>
  <sheetFormatPr baseColWidth="10" defaultColWidth="11.42578125" defaultRowHeight="15" x14ac:dyDescent="0.2"/>
  <cols>
    <col min="1" max="1" width="12.85546875" style="1402" customWidth="1"/>
    <col min="2" max="2" width="4" style="1315" customWidth="1"/>
    <col min="3" max="3" width="18.140625" style="1315" customWidth="1"/>
    <col min="4" max="4" width="12.42578125" style="1315" customWidth="1"/>
    <col min="5" max="5" width="6.42578125" style="1315" customWidth="1"/>
    <col min="6" max="6" width="12.85546875" style="1315" customWidth="1"/>
    <col min="7" max="7" width="11.85546875" style="1315" customWidth="1"/>
    <col min="8" max="8" width="4.5703125" style="1315" customWidth="1"/>
    <col min="9" max="9" width="15.140625" style="1315" customWidth="1"/>
    <col min="10" max="10" width="13.42578125" style="1315" bestFit="1" customWidth="1"/>
    <col min="11" max="11" width="32.85546875" style="1403" customWidth="1"/>
    <col min="12" max="12" width="18.7109375" style="1404" customWidth="1"/>
    <col min="13" max="13" width="24" style="1335" customWidth="1"/>
    <col min="14" max="14" width="27.7109375" style="1405" customWidth="1"/>
    <col min="15" max="15" width="25" style="1405" customWidth="1"/>
    <col min="16" max="16" width="29.28515625" style="1403" customWidth="1"/>
    <col min="17" max="17" width="19.7109375" style="1406" customWidth="1"/>
    <col min="18" max="18" width="23.7109375" style="1407" customWidth="1"/>
    <col min="19" max="19" width="29" style="1403" customWidth="1"/>
    <col min="20" max="20" width="21.28515625" style="1403" customWidth="1"/>
    <col min="21" max="21" width="36.42578125" style="1403" customWidth="1"/>
    <col min="22" max="22" width="34.5703125" style="1408" bestFit="1" customWidth="1"/>
    <col min="23" max="23" width="17.42578125" style="1409" customWidth="1"/>
    <col min="24" max="24" width="26.28515625" style="1384" customWidth="1"/>
    <col min="25" max="25" width="9.42578125" style="1315" bestFit="1" customWidth="1"/>
    <col min="26" max="26" width="9.5703125" style="1315" bestFit="1" customWidth="1"/>
    <col min="27" max="39" width="8.7109375" style="1315" customWidth="1"/>
    <col min="40" max="40" width="10.28515625" style="1315" customWidth="1"/>
    <col min="41" max="41" width="19.85546875" style="1410" customWidth="1"/>
    <col min="42" max="42" width="20.140625" style="1411" customWidth="1"/>
    <col min="43" max="43" width="23.85546875" style="1315" bestFit="1" customWidth="1"/>
    <col min="44" max="255" width="11.42578125" style="1315"/>
    <col min="256" max="256" width="13.140625" style="1315" customWidth="1"/>
    <col min="257" max="257" width="4" style="1315" customWidth="1"/>
    <col min="258" max="258" width="12.85546875" style="1315" customWidth="1"/>
    <col min="259" max="259" width="14.7109375" style="1315" customWidth="1"/>
    <col min="260" max="260" width="10" style="1315" customWidth="1"/>
    <col min="261" max="261" width="6.28515625" style="1315" customWidth="1"/>
    <col min="262" max="262" width="12.28515625" style="1315" customWidth="1"/>
    <col min="263" max="263" width="8.5703125" style="1315" customWidth="1"/>
    <col min="264" max="264" width="13.7109375" style="1315" customWidth="1"/>
    <col min="265" max="265" width="11.5703125" style="1315" customWidth="1"/>
    <col min="266" max="266" width="34.28515625" style="1315" customWidth="1"/>
    <col min="267" max="267" width="24.28515625" style="1315" customWidth="1"/>
    <col min="268" max="268" width="21.140625" style="1315" customWidth="1"/>
    <col min="269" max="269" width="22.140625" style="1315" customWidth="1"/>
    <col min="270" max="270" width="8" style="1315" customWidth="1"/>
    <col min="271" max="271" width="17" style="1315" customWidth="1"/>
    <col min="272" max="272" width="12.7109375" style="1315" customWidth="1"/>
    <col min="273" max="273" width="24.5703125" style="1315" customWidth="1"/>
    <col min="274" max="274" width="29" style="1315" customWidth="1"/>
    <col min="275" max="275" width="17.7109375" style="1315" customWidth="1"/>
    <col min="276" max="276" width="36.42578125" style="1315" customWidth="1"/>
    <col min="277" max="277" width="21.85546875" style="1315" customWidth="1"/>
    <col min="278" max="278" width="11.7109375" style="1315" customWidth="1"/>
    <col min="279" max="279" width="26.28515625" style="1315" customWidth="1"/>
    <col min="280" max="280" width="9" style="1315" customWidth="1"/>
    <col min="281" max="281" width="6.28515625" style="1315" customWidth="1"/>
    <col min="282" max="283" width="7.28515625" style="1315" customWidth="1"/>
    <col min="284" max="284" width="8.42578125" style="1315" customWidth="1"/>
    <col min="285" max="285" width="9.5703125" style="1315" customWidth="1"/>
    <col min="286" max="286" width="6.28515625" style="1315" customWidth="1"/>
    <col min="287" max="287" width="5.85546875" style="1315" customWidth="1"/>
    <col min="288" max="289" width="4.42578125" style="1315" customWidth="1"/>
    <col min="290" max="290" width="5" style="1315" customWidth="1"/>
    <col min="291" max="291" width="5.85546875" style="1315" customWidth="1"/>
    <col min="292" max="292" width="6.140625" style="1315" customWidth="1"/>
    <col min="293" max="293" width="6.28515625" style="1315" customWidth="1"/>
    <col min="294" max="294" width="11.140625" style="1315" customWidth="1"/>
    <col min="295" max="295" width="14.140625" style="1315" customWidth="1"/>
    <col min="296" max="296" width="19.85546875" style="1315" customWidth="1"/>
    <col min="297" max="297" width="17" style="1315" customWidth="1"/>
    <col min="298" max="298" width="20.85546875" style="1315" customWidth="1"/>
    <col min="299" max="511" width="11.42578125" style="1315"/>
    <col min="512" max="512" width="13.140625" style="1315" customWidth="1"/>
    <col min="513" max="513" width="4" style="1315" customWidth="1"/>
    <col min="514" max="514" width="12.85546875" style="1315" customWidth="1"/>
    <col min="515" max="515" width="14.7109375" style="1315" customWidth="1"/>
    <col min="516" max="516" width="10" style="1315" customWidth="1"/>
    <col min="517" max="517" width="6.28515625" style="1315" customWidth="1"/>
    <col min="518" max="518" width="12.28515625" style="1315" customWidth="1"/>
    <col min="519" max="519" width="8.5703125" style="1315" customWidth="1"/>
    <col min="520" max="520" width="13.7109375" style="1315" customWidth="1"/>
    <col min="521" max="521" width="11.5703125" style="1315" customWidth="1"/>
    <col min="522" max="522" width="34.28515625" style="1315" customWidth="1"/>
    <col min="523" max="523" width="24.28515625" style="1315" customWidth="1"/>
    <col min="524" max="524" width="21.140625" style="1315" customWidth="1"/>
    <col min="525" max="525" width="22.140625" style="1315" customWidth="1"/>
    <col min="526" max="526" width="8" style="1315" customWidth="1"/>
    <col min="527" max="527" width="17" style="1315" customWidth="1"/>
    <col min="528" max="528" width="12.7109375" style="1315" customWidth="1"/>
    <col min="529" max="529" width="24.5703125" style="1315" customWidth="1"/>
    <col min="530" max="530" width="29" style="1315" customWidth="1"/>
    <col min="531" max="531" width="17.7109375" style="1315" customWidth="1"/>
    <col min="532" max="532" width="36.42578125" style="1315" customWidth="1"/>
    <col min="533" max="533" width="21.85546875" style="1315" customWidth="1"/>
    <col min="534" max="534" width="11.7109375" style="1315" customWidth="1"/>
    <col min="535" max="535" width="26.28515625" style="1315" customWidth="1"/>
    <col min="536" max="536" width="9" style="1315" customWidth="1"/>
    <col min="537" max="537" width="6.28515625" style="1315" customWidth="1"/>
    <col min="538" max="539" width="7.28515625" style="1315" customWidth="1"/>
    <col min="540" max="540" width="8.42578125" style="1315" customWidth="1"/>
    <col min="541" max="541" width="9.5703125" style="1315" customWidth="1"/>
    <col min="542" max="542" width="6.28515625" style="1315" customWidth="1"/>
    <col min="543" max="543" width="5.85546875" style="1315" customWidth="1"/>
    <col min="544" max="545" width="4.42578125" style="1315" customWidth="1"/>
    <col min="546" max="546" width="5" style="1315" customWidth="1"/>
    <col min="547" max="547" width="5.85546875" style="1315" customWidth="1"/>
    <col min="548" max="548" width="6.140625" style="1315" customWidth="1"/>
    <col min="549" max="549" width="6.28515625" style="1315" customWidth="1"/>
    <col min="550" max="550" width="11.140625" style="1315" customWidth="1"/>
    <col min="551" max="551" width="14.140625" style="1315" customWidth="1"/>
    <col min="552" max="552" width="19.85546875" style="1315" customWidth="1"/>
    <col min="553" max="553" width="17" style="1315" customWidth="1"/>
    <col min="554" max="554" width="20.85546875" style="1315" customWidth="1"/>
    <col min="555" max="767" width="11.42578125" style="1315"/>
    <col min="768" max="768" width="13.140625" style="1315" customWidth="1"/>
    <col min="769" max="769" width="4" style="1315" customWidth="1"/>
    <col min="770" max="770" width="12.85546875" style="1315" customWidth="1"/>
    <col min="771" max="771" width="14.7109375" style="1315" customWidth="1"/>
    <col min="772" max="772" width="10" style="1315" customWidth="1"/>
    <col min="773" max="773" width="6.28515625" style="1315" customWidth="1"/>
    <col min="774" max="774" width="12.28515625" style="1315" customWidth="1"/>
    <col min="775" max="775" width="8.5703125" style="1315" customWidth="1"/>
    <col min="776" max="776" width="13.7109375" style="1315" customWidth="1"/>
    <col min="777" max="777" width="11.5703125" style="1315" customWidth="1"/>
    <col min="778" max="778" width="34.28515625" style="1315" customWidth="1"/>
    <col min="779" max="779" width="24.28515625" style="1315" customWidth="1"/>
    <col min="780" max="780" width="21.140625" style="1315" customWidth="1"/>
    <col min="781" max="781" width="22.140625" style="1315" customWidth="1"/>
    <col min="782" max="782" width="8" style="1315" customWidth="1"/>
    <col min="783" max="783" width="17" style="1315" customWidth="1"/>
    <col min="784" max="784" width="12.7109375" style="1315" customWidth="1"/>
    <col min="785" max="785" width="24.5703125" style="1315" customWidth="1"/>
    <col min="786" max="786" width="29" style="1315" customWidth="1"/>
    <col min="787" max="787" width="17.7109375" style="1315" customWidth="1"/>
    <col min="788" max="788" width="36.42578125" style="1315" customWidth="1"/>
    <col min="789" max="789" width="21.85546875" style="1315" customWidth="1"/>
    <col min="790" max="790" width="11.7109375" style="1315" customWidth="1"/>
    <col min="791" max="791" width="26.28515625" style="1315" customWidth="1"/>
    <col min="792" max="792" width="9" style="1315" customWidth="1"/>
    <col min="793" max="793" width="6.28515625" style="1315" customWidth="1"/>
    <col min="794" max="795" width="7.28515625" style="1315" customWidth="1"/>
    <col min="796" max="796" width="8.42578125" style="1315" customWidth="1"/>
    <col min="797" max="797" width="9.5703125" style="1315" customWidth="1"/>
    <col min="798" max="798" width="6.28515625" style="1315" customWidth="1"/>
    <col min="799" max="799" width="5.85546875" style="1315" customWidth="1"/>
    <col min="800" max="801" width="4.42578125" style="1315" customWidth="1"/>
    <col min="802" max="802" width="5" style="1315" customWidth="1"/>
    <col min="803" max="803" width="5.85546875" style="1315" customWidth="1"/>
    <col min="804" max="804" width="6.140625" style="1315" customWidth="1"/>
    <col min="805" max="805" width="6.28515625" style="1315" customWidth="1"/>
    <col min="806" max="806" width="11.140625" style="1315" customWidth="1"/>
    <col min="807" max="807" width="14.140625" style="1315" customWidth="1"/>
    <col min="808" max="808" width="19.85546875" style="1315" customWidth="1"/>
    <col min="809" max="809" width="17" style="1315" customWidth="1"/>
    <col min="810" max="810" width="20.85546875" style="1315" customWidth="1"/>
    <col min="811" max="1023" width="11.42578125" style="1315"/>
    <col min="1024" max="1024" width="13.140625" style="1315" customWidth="1"/>
    <col min="1025" max="1025" width="4" style="1315" customWidth="1"/>
    <col min="1026" max="1026" width="12.85546875" style="1315" customWidth="1"/>
    <col min="1027" max="1027" width="14.7109375" style="1315" customWidth="1"/>
    <col min="1028" max="1028" width="10" style="1315" customWidth="1"/>
    <col min="1029" max="1029" width="6.28515625" style="1315" customWidth="1"/>
    <col min="1030" max="1030" width="12.28515625" style="1315" customWidth="1"/>
    <col min="1031" max="1031" width="8.5703125" style="1315" customWidth="1"/>
    <col min="1032" max="1032" width="13.7109375" style="1315" customWidth="1"/>
    <col min="1033" max="1033" width="11.5703125" style="1315" customWidth="1"/>
    <col min="1034" max="1034" width="34.28515625" style="1315" customWidth="1"/>
    <col min="1035" max="1035" width="24.28515625" style="1315" customWidth="1"/>
    <col min="1036" max="1036" width="21.140625" style="1315" customWidth="1"/>
    <col min="1037" max="1037" width="22.140625" style="1315" customWidth="1"/>
    <col min="1038" max="1038" width="8" style="1315" customWidth="1"/>
    <col min="1039" max="1039" width="17" style="1315" customWidth="1"/>
    <col min="1040" max="1040" width="12.7109375" style="1315" customWidth="1"/>
    <col min="1041" max="1041" width="24.5703125" style="1315" customWidth="1"/>
    <col min="1042" max="1042" width="29" style="1315" customWidth="1"/>
    <col min="1043" max="1043" width="17.7109375" style="1315" customWidth="1"/>
    <col min="1044" max="1044" width="36.42578125" style="1315" customWidth="1"/>
    <col min="1045" max="1045" width="21.85546875" style="1315" customWidth="1"/>
    <col min="1046" max="1046" width="11.7109375" style="1315" customWidth="1"/>
    <col min="1047" max="1047" width="26.28515625" style="1315" customWidth="1"/>
    <col min="1048" max="1048" width="9" style="1315" customWidth="1"/>
    <col min="1049" max="1049" width="6.28515625" style="1315" customWidth="1"/>
    <col min="1050" max="1051" width="7.28515625" style="1315" customWidth="1"/>
    <col min="1052" max="1052" width="8.42578125" style="1315" customWidth="1"/>
    <col min="1053" max="1053" width="9.5703125" style="1315" customWidth="1"/>
    <col min="1054" max="1054" width="6.28515625" style="1315" customWidth="1"/>
    <col min="1055" max="1055" width="5.85546875" style="1315" customWidth="1"/>
    <col min="1056" max="1057" width="4.42578125" style="1315" customWidth="1"/>
    <col min="1058" max="1058" width="5" style="1315" customWidth="1"/>
    <col min="1059" max="1059" width="5.85546875" style="1315" customWidth="1"/>
    <col min="1060" max="1060" width="6.140625" style="1315" customWidth="1"/>
    <col min="1061" max="1061" width="6.28515625" style="1315" customWidth="1"/>
    <col min="1062" max="1062" width="11.140625" style="1315" customWidth="1"/>
    <col min="1063" max="1063" width="14.140625" style="1315" customWidth="1"/>
    <col min="1064" max="1064" width="19.85546875" style="1315" customWidth="1"/>
    <col min="1065" max="1065" width="17" style="1315" customWidth="1"/>
    <col min="1066" max="1066" width="20.85546875" style="1315" customWidth="1"/>
    <col min="1067" max="1279" width="11.42578125" style="1315"/>
    <col min="1280" max="1280" width="13.140625" style="1315" customWidth="1"/>
    <col min="1281" max="1281" width="4" style="1315" customWidth="1"/>
    <col min="1282" max="1282" width="12.85546875" style="1315" customWidth="1"/>
    <col min="1283" max="1283" width="14.7109375" style="1315" customWidth="1"/>
    <col min="1284" max="1284" width="10" style="1315" customWidth="1"/>
    <col min="1285" max="1285" width="6.28515625" style="1315" customWidth="1"/>
    <col min="1286" max="1286" width="12.28515625" style="1315" customWidth="1"/>
    <col min="1287" max="1287" width="8.5703125" style="1315" customWidth="1"/>
    <col min="1288" max="1288" width="13.7109375" style="1315" customWidth="1"/>
    <col min="1289" max="1289" width="11.5703125" style="1315" customWidth="1"/>
    <col min="1290" max="1290" width="34.28515625" style="1315" customWidth="1"/>
    <col min="1291" max="1291" width="24.28515625" style="1315" customWidth="1"/>
    <col min="1292" max="1292" width="21.140625" style="1315" customWidth="1"/>
    <col min="1293" max="1293" width="22.140625" style="1315" customWidth="1"/>
    <col min="1294" max="1294" width="8" style="1315" customWidth="1"/>
    <col min="1295" max="1295" width="17" style="1315" customWidth="1"/>
    <col min="1296" max="1296" width="12.7109375" style="1315" customWidth="1"/>
    <col min="1297" max="1297" width="24.5703125" style="1315" customWidth="1"/>
    <col min="1298" max="1298" width="29" style="1315" customWidth="1"/>
    <col min="1299" max="1299" width="17.7109375" style="1315" customWidth="1"/>
    <col min="1300" max="1300" width="36.42578125" style="1315" customWidth="1"/>
    <col min="1301" max="1301" width="21.85546875" style="1315" customWidth="1"/>
    <col min="1302" max="1302" width="11.7109375" style="1315" customWidth="1"/>
    <col min="1303" max="1303" width="26.28515625" style="1315" customWidth="1"/>
    <col min="1304" max="1304" width="9" style="1315" customWidth="1"/>
    <col min="1305" max="1305" width="6.28515625" style="1315" customWidth="1"/>
    <col min="1306" max="1307" width="7.28515625" style="1315" customWidth="1"/>
    <col min="1308" max="1308" width="8.42578125" style="1315" customWidth="1"/>
    <col min="1309" max="1309" width="9.5703125" style="1315" customWidth="1"/>
    <col min="1310" max="1310" width="6.28515625" style="1315" customWidth="1"/>
    <col min="1311" max="1311" width="5.85546875" style="1315" customWidth="1"/>
    <col min="1312" max="1313" width="4.42578125" style="1315" customWidth="1"/>
    <col min="1314" max="1314" width="5" style="1315" customWidth="1"/>
    <col min="1315" max="1315" width="5.85546875" style="1315" customWidth="1"/>
    <col min="1316" max="1316" width="6.140625" style="1315" customWidth="1"/>
    <col min="1317" max="1317" width="6.28515625" style="1315" customWidth="1"/>
    <col min="1318" max="1318" width="11.140625" style="1315" customWidth="1"/>
    <col min="1319" max="1319" width="14.140625" style="1315" customWidth="1"/>
    <col min="1320" max="1320" width="19.85546875" style="1315" customWidth="1"/>
    <col min="1321" max="1321" width="17" style="1315" customWidth="1"/>
    <col min="1322" max="1322" width="20.85546875" style="1315" customWidth="1"/>
    <col min="1323" max="1535" width="11.42578125" style="1315"/>
    <col min="1536" max="1536" width="13.140625" style="1315" customWidth="1"/>
    <col min="1537" max="1537" width="4" style="1315" customWidth="1"/>
    <col min="1538" max="1538" width="12.85546875" style="1315" customWidth="1"/>
    <col min="1539" max="1539" width="14.7109375" style="1315" customWidth="1"/>
    <col min="1540" max="1540" width="10" style="1315" customWidth="1"/>
    <col min="1541" max="1541" width="6.28515625" style="1315" customWidth="1"/>
    <col min="1542" max="1542" width="12.28515625" style="1315" customWidth="1"/>
    <col min="1543" max="1543" width="8.5703125" style="1315" customWidth="1"/>
    <col min="1544" max="1544" width="13.7109375" style="1315" customWidth="1"/>
    <col min="1545" max="1545" width="11.5703125" style="1315" customWidth="1"/>
    <col min="1546" max="1546" width="34.28515625" style="1315" customWidth="1"/>
    <col min="1547" max="1547" width="24.28515625" style="1315" customWidth="1"/>
    <col min="1548" max="1548" width="21.140625" style="1315" customWidth="1"/>
    <col min="1549" max="1549" width="22.140625" style="1315" customWidth="1"/>
    <col min="1550" max="1550" width="8" style="1315" customWidth="1"/>
    <col min="1551" max="1551" width="17" style="1315" customWidth="1"/>
    <col min="1552" max="1552" width="12.7109375" style="1315" customWidth="1"/>
    <col min="1553" max="1553" width="24.5703125" style="1315" customWidth="1"/>
    <col min="1554" max="1554" width="29" style="1315" customWidth="1"/>
    <col min="1555" max="1555" width="17.7109375" style="1315" customWidth="1"/>
    <col min="1556" max="1556" width="36.42578125" style="1315" customWidth="1"/>
    <col min="1557" max="1557" width="21.85546875" style="1315" customWidth="1"/>
    <col min="1558" max="1558" width="11.7109375" style="1315" customWidth="1"/>
    <col min="1559" max="1559" width="26.28515625" style="1315" customWidth="1"/>
    <col min="1560" max="1560" width="9" style="1315" customWidth="1"/>
    <col min="1561" max="1561" width="6.28515625" style="1315" customWidth="1"/>
    <col min="1562" max="1563" width="7.28515625" style="1315" customWidth="1"/>
    <col min="1564" max="1564" width="8.42578125" style="1315" customWidth="1"/>
    <col min="1565" max="1565" width="9.5703125" style="1315" customWidth="1"/>
    <col min="1566" max="1566" width="6.28515625" style="1315" customWidth="1"/>
    <col min="1567" max="1567" width="5.85546875" style="1315" customWidth="1"/>
    <col min="1568" max="1569" width="4.42578125" style="1315" customWidth="1"/>
    <col min="1570" max="1570" width="5" style="1315" customWidth="1"/>
    <col min="1571" max="1571" width="5.85546875" style="1315" customWidth="1"/>
    <col min="1572" max="1572" width="6.140625" style="1315" customWidth="1"/>
    <col min="1573" max="1573" width="6.28515625" style="1315" customWidth="1"/>
    <col min="1574" max="1574" width="11.140625" style="1315" customWidth="1"/>
    <col min="1575" max="1575" width="14.140625" style="1315" customWidth="1"/>
    <col min="1576" max="1576" width="19.85546875" style="1315" customWidth="1"/>
    <col min="1577" max="1577" width="17" style="1315" customWidth="1"/>
    <col min="1578" max="1578" width="20.85546875" style="1315" customWidth="1"/>
    <col min="1579" max="1791" width="11.42578125" style="1315"/>
    <col min="1792" max="1792" width="13.140625" style="1315" customWidth="1"/>
    <col min="1793" max="1793" width="4" style="1315" customWidth="1"/>
    <col min="1794" max="1794" width="12.85546875" style="1315" customWidth="1"/>
    <col min="1795" max="1795" width="14.7109375" style="1315" customWidth="1"/>
    <col min="1796" max="1796" width="10" style="1315" customWidth="1"/>
    <col min="1797" max="1797" width="6.28515625" style="1315" customWidth="1"/>
    <col min="1798" max="1798" width="12.28515625" style="1315" customWidth="1"/>
    <col min="1799" max="1799" width="8.5703125" style="1315" customWidth="1"/>
    <col min="1800" max="1800" width="13.7109375" style="1315" customWidth="1"/>
    <col min="1801" max="1801" width="11.5703125" style="1315" customWidth="1"/>
    <col min="1802" max="1802" width="34.28515625" style="1315" customWidth="1"/>
    <col min="1803" max="1803" width="24.28515625" style="1315" customWidth="1"/>
    <col min="1804" max="1804" width="21.140625" style="1315" customWidth="1"/>
    <col min="1805" max="1805" width="22.140625" style="1315" customWidth="1"/>
    <col min="1806" max="1806" width="8" style="1315" customWidth="1"/>
    <col min="1807" max="1807" width="17" style="1315" customWidth="1"/>
    <col min="1808" max="1808" width="12.7109375" style="1315" customWidth="1"/>
    <col min="1809" max="1809" width="24.5703125" style="1315" customWidth="1"/>
    <col min="1810" max="1810" width="29" style="1315" customWidth="1"/>
    <col min="1811" max="1811" width="17.7109375" style="1315" customWidth="1"/>
    <col min="1812" max="1812" width="36.42578125" style="1315" customWidth="1"/>
    <col min="1813" max="1813" width="21.85546875" style="1315" customWidth="1"/>
    <col min="1814" max="1814" width="11.7109375" style="1315" customWidth="1"/>
    <col min="1815" max="1815" width="26.28515625" style="1315" customWidth="1"/>
    <col min="1816" max="1816" width="9" style="1315" customWidth="1"/>
    <col min="1817" max="1817" width="6.28515625" style="1315" customWidth="1"/>
    <col min="1818" max="1819" width="7.28515625" style="1315" customWidth="1"/>
    <col min="1820" max="1820" width="8.42578125" style="1315" customWidth="1"/>
    <col min="1821" max="1821" width="9.5703125" style="1315" customWidth="1"/>
    <col min="1822" max="1822" width="6.28515625" style="1315" customWidth="1"/>
    <col min="1823" max="1823" width="5.85546875" style="1315" customWidth="1"/>
    <col min="1824" max="1825" width="4.42578125" style="1315" customWidth="1"/>
    <col min="1826" max="1826" width="5" style="1315" customWidth="1"/>
    <col min="1827" max="1827" width="5.85546875" style="1315" customWidth="1"/>
    <col min="1828" max="1828" width="6.140625" style="1315" customWidth="1"/>
    <col min="1829" max="1829" width="6.28515625" style="1315" customWidth="1"/>
    <col min="1830" max="1830" width="11.140625" style="1315" customWidth="1"/>
    <col min="1831" max="1831" width="14.140625" style="1315" customWidth="1"/>
    <col min="1832" max="1832" width="19.85546875" style="1315" customWidth="1"/>
    <col min="1833" max="1833" width="17" style="1315" customWidth="1"/>
    <col min="1834" max="1834" width="20.85546875" style="1315" customWidth="1"/>
    <col min="1835" max="2047" width="11.42578125" style="1315"/>
    <col min="2048" max="2048" width="13.140625" style="1315" customWidth="1"/>
    <col min="2049" max="2049" width="4" style="1315" customWidth="1"/>
    <col min="2050" max="2050" width="12.85546875" style="1315" customWidth="1"/>
    <col min="2051" max="2051" width="14.7109375" style="1315" customWidth="1"/>
    <col min="2052" max="2052" width="10" style="1315" customWidth="1"/>
    <col min="2053" max="2053" width="6.28515625" style="1315" customWidth="1"/>
    <col min="2054" max="2054" width="12.28515625" style="1315" customWidth="1"/>
    <col min="2055" max="2055" width="8.5703125" style="1315" customWidth="1"/>
    <col min="2056" max="2056" width="13.7109375" style="1315" customWidth="1"/>
    <col min="2057" max="2057" width="11.5703125" style="1315" customWidth="1"/>
    <col min="2058" max="2058" width="34.28515625" style="1315" customWidth="1"/>
    <col min="2059" max="2059" width="24.28515625" style="1315" customWidth="1"/>
    <col min="2060" max="2060" width="21.140625" style="1315" customWidth="1"/>
    <col min="2061" max="2061" width="22.140625" style="1315" customWidth="1"/>
    <col min="2062" max="2062" width="8" style="1315" customWidth="1"/>
    <col min="2063" max="2063" width="17" style="1315" customWidth="1"/>
    <col min="2064" max="2064" width="12.7109375" style="1315" customWidth="1"/>
    <col min="2065" max="2065" width="24.5703125" style="1315" customWidth="1"/>
    <col min="2066" max="2066" width="29" style="1315" customWidth="1"/>
    <col min="2067" max="2067" width="17.7109375" style="1315" customWidth="1"/>
    <col min="2068" max="2068" width="36.42578125" style="1315" customWidth="1"/>
    <col min="2069" max="2069" width="21.85546875" style="1315" customWidth="1"/>
    <col min="2070" max="2070" width="11.7109375" style="1315" customWidth="1"/>
    <col min="2071" max="2071" width="26.28515625" style="1315" customWidth="1"/>
    <col min="2072" max="2072" width="9" style="1315" customWidth="1"/>
    <col min="2073" max="2073" width="6.28515625" style="1315" customWidth="1"/>
    <col min="2074" max="2075" width="7.28515625" style="1315" customWidth="1"/>
    <col min="2076" max="2076" width="8.42578125" style="1315" customWidth="1"/>
    <col min="2077" max="2077" width="9.5703125" style="1315" customWidth="1"/>
    <col min="2078" max="2078" width="6.28515625" style="1315" customWidth="1"/>
    <col min="2079" max="2079" width="5.85546875" style="1315" customWidth="1"/>
    <col min="2080" max="2081" width="4.42578125" style="1315" customWidth="1"/>
    <col min="2082" max="2082" width="5" style="1315" customWidth="1"/>
    <col min="2083" max="2083" width="5.85546875" style="1315" customWidth="1"/>
    <col min="2084" max="2084" width="6.140625" style="1315" customWidth="1"/>
    <col min="2085" max="2085" width="6.28515625" style="1315" customWidth="1"/>
    <col min="2086" max="2086" width="11.140625" style="1315" customWidth="1"/>
    <col min="2087" max="2087" width="14.140625" style="1315" customWidth="1"/>
    <col min="2088" max="2088" width="19.85546875" style="1315" customWidth="1"/>
    <col min="2089" max="2089" width="17" style="1315" customWidth="1"/>
    <col min="2090" max="2090" width="20.85546875" style="1315" customWidth="1"/>
    <col min="2091" max="2303" width="11.42578125" style="1315"/>
    <col min="2304" max="2304" width="13.140625" style="1315" customWidth="1"/>
    <col min="2305" max="2305" width="4" style="1315" customWidth="1"/>
    <col min="2306" max="2306" width="12.85546875" style="1315" customWidth="1"/>
    <col min="2307" max="2307" width="14.7109375" style="1315" customWidth="1"/>
    <col min="2308" max="2308" width="10" style="1315" customWidth="1"/>
    <col min="2309" max="2309" width="6.28515625" style="1315" customWidth="1"/>
    <col min="2310" max="2310" width="12.28515625" style="1315" customWidth="1"/>
    <col min="2311" max="2311" width="8.5703125" style="1315" customWidth="1"/>
    <col min="2312" max="2312" width="13.7109375" style="1315" customWidth="1"/>
    <col min="2313" max="2313" width="11.5703125" style="1315" customWidth="1"/>
    <col min="2314" max="2314" width="34.28515625" style="1315" customWidth="1"/>
    <col min="2315" max="2315" width="24.28515625" style="1315" customWidth="1"/>
    <col min="2316" max="2316" width="21.140625" style="1315" customWidth="1"/>
    <col min="2317" max="2317" width="22.140625" style="1315" customWidth="1"/>
    <col min="2318" max="2318" width="8" style="1315" customWidth="1"/>
    <col min="2319" max="2319" width="17" style="1315" customWidth="1"/>
    <col min="2320" max="2320" width="12.7109375" style="1315" customWidth="1"/>
    <col min="2321" max="2321" width="24.5703125" style="1315" customWidth="1"/>
    <col min="2322" max="2322" width="29" style="1315" customWidth="1"/>
    <col min="2323" max="2323" width="17.7109375" style="1315" customWidth="1"/>
    <col min="2324" max="2324" width="36.42578125" style="1315" customWidth="1"/>
    <col min="2325" max="2325" width="21.85546875" style="1315" customWidth="1"/>
    <col min="2326" max="2326" width="11.7109375" style="1315" customWidth="1"/>
    <col min="2327" max="2327" width="26.28515625" style="1315" customWidth="1"/>
    <col min="2328" max="2328" width="9" style="1315" customWidth="1"/>
    <col min="2329" max="2329" width="6.28515625" style="1315" customWidth="1"/>
    <col min="2330" max="2331" width="7.28515625" style="1315" customWidth="1"/>
    <col min="2332" max="2332" width="8.42578125" style="1315" customWidth="1"/>
    <col min="2333" max="2333" width="9.5703125" style="1315" customWidth="1"/>
    <col min="2334" max="2334" width="6.28515625" style="1315" customWidth="1"/>
    <col min="2335" max="2335" width="5.85546875" style="1315" customWidth="1"/>
    <col min="2336" max="2337" width="4.42578125" style="1315" customWidth="1"/>
    <col min="2338" max="2338" width="5" style="1315" customWidth="1"/>
    <col min="2339" max="2339" width="5.85546875" style="1315" customWidth="1"/>
    <col min="2340" max="2340" width="6.140625" style="1315" customWidth="1"/>
    <col min="2341" max="2341" width="6.28515625" style="1315" customWidth="1"/>
    <col min="2342" max="2342" width="11.140625" style="1315" customWidth="1"/>
    <col min="2343" max="2343" width="14.140625" style="1315" customWidth="1"/>
    <col min="2344" max="2344" width="19.85546875" style="1315" customWidth="1"/>
    <col min="2345" max="2345" width="17" style="1315" customWidth="1"/>
    <col min="2346" max="2346" width="20.85546875" style="1315" customWidth="1"/>
    <col min="2347" max="2559" width="11.42578125" style="1315"/>
    <col min="2560" max="2560" width="13.140625" style="1315" customWidth="1"/>
    <col min="2561" max="2561" width="4" style="1315" customWidth="1"/>
    <col min="2562" max="2562" width="12.85546875" style="1315" customWidth="1"/>
    <col min="2563" max="2563" width="14.7109375" style="1315" customWidth="1"/>
    <col min="2564" max="2564" width="10" style="1315" customWidth="1"/>
    <col min="2565" max="2565" width="6.28515625" style="1315" customWidth="1"/>
    <col min="2566" max="2566" width="12.28515625" style="1315" customWidth="1"/>
    <col min="2567" max="2567" width="8.5703125" style="1315" customWidth="1"/>
    <col min="2568" max="2568" width="13.7109375" style="1315" customWidth="1"/>
    <col min="2569" max="2569" width="11.5703125" style="1315" customWidth="1"/>
    <col min="2570" max="2570" width="34.28515625" style="1315" customWidth="1"/>
    <col min="2571" max="2571" width="24.28515625" style="1315" customWidth="1"/>
    <col min="2572" max="2572" width="21.140625" style="1315" customWidth="1"/>
    <col min="2573" max="2573" width="22.140625" style="1315" customWidth="1"/>
    <col min="2574" max="2574" width="8" style="1315" customWidth="1"/>
    <col min="2575" max="2575" width="17" style="1315" customWidth="1"/>
    <col min="2576" max="2576" width="12.7109375" style="1315" customWidth="1"/>
    <col min="2577" max="2577" width="24.5703125" style="1315" customWidth="1"/>
    <col min="2578" max="2578" width="29" style="1315" customWidth="1"/>
    <col min="2579" max="2579" width="17.7109375" style="1315" customWidth="1"/>
    <col min="2580" max="2580" width="36.42578125" style="1315" customWidth="1"/>
    <col min="2581" max="2581" width="21.85546875" style="1315" customWidth="1"/>
    <col min="2582" max="2582" width="11.7109375" style="1315" customWidth="1"/>
    <col min="2583" max="2583" width="26.28515625" style="1315" customWidth="1"/>
    <col min="2584" max="2584" width="9" style="1315" customWidth="1"/>
    <col min="2585" max="2585" width="6.28515625" style="1315" customWidth="1"/>
    <col min="2586" max="2587" width="7.28515625" style="1315" customWidth="1"/>
    <col min="2588" max="2588" width="8.42578125" style="1315" customWidth="1"/>
    <col min="2589" max="2589" width="9.5703125" style="1315" customWidth="1"/>
    <col min="2590" max="2590" width="6.28515625" style="1315" customWidth="1"/>
    <col min="2591" max="2591" width="5.85546875" style="1315" customWidth="1"/>
    <col min="2592" max="2593" width="4.42578125" style="1315" customWidth="1"/>
    <col min="2594" max="2594" width="5" style="1315" customWidth="1"/>
    <col min="2595" max="2595" width="5.85546875" style="1315" customWidth="1"/>
    <col min="2596" max="2596" width="6.140625" style="1315" customWidth="1"/>
    <col min="2597" max="2597" width="6.28515625" style="1315" customWidth="1"/>
    <col min="2598" max="2598" width="11.140625" style="1315" customWidth="1"/>
    <col min="2599" max="2599" width="14.140625" style="1315" customWidth="1"/>
    <col min="2600" max="2600" width="19.85546875" style="1315" customWidth="1"/>
    <col min="2601" max="2601" width="17" style="1315" customWidth="1"/>
    <col min="2602" max="2602" width="20.85546875" style="1315" customWidth="1"/>
    <col min="2603" max="2815" width="11.42578125" style="1315"/>
    <col min="2816" max="2816" width="13.140625" style="1315" customWidth="1"/>
    <col min="2817" max="2817" width="4" style="1315" customWidth="1"/>
    <col min="2818" max="2818" width="12.85546875" style="1315" customWidth="1"/>
    <col min="2819" max="2819" width="14.7109375" style="1315" customWidth="1"/>
    <col min="2820" max="2820" width="10" style="1315" customWidth="1"/>
    <col min="2821" max="2821" width="6.28515625" style="1315" customWidth="1"/>
    <col min="2822" max="2822" width="12.28515625" style="1315" customWidth="1"/>
    <col min="2823" max="2823" width="8.5703125" style="1315" customWidth="1"/>
    <col min="2824" max="2824" width="13.7109375" style="1315" customWidth="1"/>
    <col min="2825" max="2825" width="11.5703125" style="1315" customWidth="1"/>
    <col min="2826" max="2826" width="34.28515625" style="1315" customWidth="1"/>
    <col min="2827" max="2827" width="24.28515625" style="1315" customWidth="1"/>
    <col min="2828" max="2828" width="21.140625" style="1315" customWidth="1"/>
    <col min="2829" max="2829" width="22.140625" style="1315" customWidth="1"/>
    <col min="2830" max="2830" width="8" style="1315" customWidth="1"/>
    <col min="2831" max="2831" width="17" style="1315" customWidth="1"/>
    <col min="2832" max="2832" width="12.7109375" style="1315" customWidth="1"/>
    <col min="2833" max="2833" width="24.5703125" style="1315" customWidth="1"/>
    <col min="2834" max="2834" width="29" style="1315" customWidth="1"/>
    <col min="2835" max="2835" width="17.7109375" style="1315" customWidth="1"/>
    <col min="2836" max="2836" width="36.42578125" style="1315" customWidth="1"/>
    <col min="2837" max="2837" width="21.85546875" style="1315" customWidth="1"/>
    <col min="2838" max="2838" width="11.7109375" style="1315" customWidth="1"/>
    <col min="2839" max="2839" width="26.28515625" style="1315" customWidth="1"/>
    <col min="2840" max="2840" width="9" style="1315" customWidth="1"/>
    <col min="2841" max="2841" width="6.28515625" style="1315" customWidth="1"/>
    <col min="2842" max="2843" width="7.28515625" style="1315" customWidth="1"/>
    <col min="2844" max="2844" width="8.42578125" style="1315" customWidth="1"/>
    <col min="2845" max="2845" width="9.5703125" style="1315" customWidth="1"/>
    <col min="2846" max="2846" width="6.28515625" style="1315" customWidth="1"/>
    <col min="2847" max="2847" width="5.85546875" style="1315" customWidth="1"/>
    <col min="2848" max="2849" width="4.42578125" style="1315" customWidth="1"/>
    <col min="2850" max="2850" width="5" style="1315" customWidth="1"/>
    <col min="2851" max="2851" width="5.85546875" style="1315" customWidth="1"/>
    <col min="2852" max="2852" width="6.140625" style="1315" customWidth="1"/>
    <col min="2853" max="2853" width="6.28515625" style="1315" customWidth="1"/>
    <col min="2854" max="2854" width="11.140625" style="1315" customWidth="1"/>
    <col min="2855" max="2855" width="14.140625" style="1315" customWidth="1"/>
    <col min="2856" max="2856" width="19.85546875" style="1315" customWidth="1"/>
    <col min="2857" max="2857" width="17" style="1315" customWidth="1"/>
    <col min="2858" max="2858" width="20.85546875" style="1315" customWidth="1"/>
    <col min="2859" max="3071" width="11.42578125" style="1315"/>
    <col min="3072" max="3072" width="13.140625" style="1315" customWidth="1"/>
    <col min="3073" max="3073" width="4" style="1315" customWidth="1"/>
    <col min="3074" max="3074" width="12.85546875" style="1315" customWidth="1"/>
    <col min="3075" max="3075" width="14.7109375" style="1315" customWidth="1"/>
    <col min="3076" max="3076" width="10" style="1315" customWidth="1"/>
    <col min="3077" max="3077" width="6.28515625" style="1315" customWidth="1"/>
    <col min="3078" max="3078" width="12.28515625" style="1315" customWidth="1"/>
    <col min="3079" max="3079" width="8.5703125" style="1315" customWidth="1"/>
    <col min="3080" max="3080" width="13.7109375" style="1315" customWidth="1"/>
    <col min="3081" max="3081" width="11.5703125" style="1315" customWidth="1"/>
    <col min="3082" max="3082" width="34.28515625" style="1315" customWidth="1"/>
    <col min="3083" max="3083" width="24.28515625" style="1315" customWidth="1"/>
    <col min="3084" max="3084" width="21.140625" style="1315" customWidth="1"/>
    <col min="3085" max="3085" width="22.140625" style="1315" customWidth="1"/>
    <col min="3086" max="3086" width="8" style="1315" customWidth="1"/>
    <col min="3087" max="3087" width="17" style="1315" customWidth="1"/>
    <col min="3088" max="3088" width="12.7109375" style="1315" customWidth="1"/>
    <col min="3089" max="3089" width="24.5703125" style="1315" customWidth="1"/>
    <col min="3090" max="3090" width="29" style="1315" customWidth="1"/>
    <col min="3091" max="3091" width="17.7109375" style="1315" customWidth="1"/>
    <col min="3092" max="3092" width="36.42578125" style="1315" customWidth="1"/>
    <col min="3093" max="3093" width="21.85546875" style="1315" customWidth="1"/>
    <col min="3094" max="3094" width="11.7109375" style="1315" customWidth="1"/>
    <col min="3095" max="3095" width="26.28515625" style="1315" customWidth="1"/>
    <col min="3096" max="3096" width="9" style="1315" customWidth="1"/>
    <col min="3097" max="3097" width="6.28515625" style="1315" customWidth="1"/>
    <col min="3098" max="3099" width="7.28515625" style="1315" customWidth="1"/>
    <col min="3100" max="3100" width="8.42578125" style="1315" customWidth="1"/>
    <col min="3101" max="3101" width="9.5703125" style="1315" customWidth="1"/>
    <col min="3102" max="3102" width="6.28515625" style="1315" customWidth="1"/>
    <col min="3103" max="3103" width="5.85546875" style="1315" customWidth="1"/>
    <col min="3104" max="3105" width="4.42578125" style="1315" customWidth="1"/>
    <col min="3106" max="3106" width="5" style="1315" customWidth="1"/>
    <col min="3107" max="3107" width="5.85546875" style="1315" customWidth="1"/>
    <col min="3108" max="3108" width="6.140625" style="1315" customWidth="1"/>
    <col min="3109" max="3109" width="6.28515625" style="1315" customWidth="1"/>
    <col min="3110" max="3110" width="11.140625" style="1315" customWidth="1"/>
    <col min="3111" max="3111" width="14.140625" style="1315" customWidth="1"/>
    <col min="3112" max="3112" width="19.85546875" style="1315" customWidth="1"/>
    <col min="3113" max="3113" width="17" style="1315" customWidth="1"/>
    <col min="3114" max="3114" width="20.85546875" style="1315" customWidth="1"/>
    <col min="3115" max="3327" width="11.42578125" style="1315"/>
    <col min="3328" max="3328" width="13.140625" style="1315" customWidth="1"/>
    <col min="3329" max="3329" width="4" style="1315" customWidth="1"/>
    <col min="3330" max="3330" width="12.85546875" style="1315" customWidth="1"/>
    <col min="3331" max="3331" width="14.7109375" style="1315" customWidth="1"/>
    <col min="3332" max="3332" width="10" style="1315" customWidth="1"/>
    <col min="3333" max="3333" width="6.28515625" style="1315" customWidth="1"/>
    <col min="3334" max="3334" width="12.28515625" style="1315" customWidth="1"/>
    <col min="3335" max="3335" width="8.5703125" style="1315" customWidth="1"/>
    <col min="3336" max="3336" width="13.7109375" style="1315" customWidth="1"/>
    <col min="3337" max="3337" width="11.5703125" style="1315" customWidth="1"/>
    <col min="3338" max="3338" width="34.28515625" style="1315" customWidth="1"/>
    <col min="3339" max="3339" width="24.28515625" style="1315" customWidth="1"/>
    <col min="3340" max="3340" width="21.140625" style="1315" customWidth="1"/>
    <col min="3341" max="3341" width="22.140625" style="1315" customWidth="1"/>
    <col min="3342" max="3342" width="8" style="1315" customWidth="1"/>
    <col min="3343" max="3343" width="17" style="1315" customWidth="1"/>
    <col min="3344" max="3344" width="12.7109375" style="1315" customWidth="1"/>
    <col min="3345" max="3345" width="24.5703125" style="1315" customWidth="1"/>
    <col min="3346" max="3346" width="29" style="1315" customWidth="1"/>
    <col min="3347" max="3347" width="17.7109375" style="1315" customWidth="1"/>
    <col min="3348" max="3348" width="36.42578125" style="1315" customWidth="1"/>
    <col min="3349" max="3349" width="21.85546875" style="1315" customWidth="1"/>
    <col min="3350" max="3350" width="11.7109375" style="1315" customWidth="1"/>
    <col min="3351" max="3351" width="26.28515625" style="1315" customWidth="1"/>
    <col min="3352" max="3352" width="9" style="1315" customWidth="1"/>
    <col min="3353" max="3353" width="6.28515625" style="1315" customWidth="1"/>
    <col min="3354" max="3355" width="7.28515625" style="1315" customWidth="1"/>
    <col min="3356" max="3356" width="8.42578125" style="1315" customWidth="1"/>
    <col min="3357" max="3357" width="9.5703125" style="1315" customWidth="1"/>
    <col min="3358" max="3358" width="6.28515625" style="1315" customWidth="1"/>
    <col min="3359" max="3359" width="5.85546875" style="1315" customWidth="1"/>
    <col min="3360" max="3361" width="4.42578125" style="1315" customWidth="1"/>
    <col min="3362" max="3362" width="5" style="1315" customWidth="1"/>
    <col min="3363" max="3363" width="5.85546875" style="1315" customWidth="1"/>
    <col min="3364" max="3364" width="6.140625" style="1315" customWidth="1"/>
    <col min="3365" max="3365" width="6.28515625" style="1315" customWidth="1"/>
    <col min="3366" max="3366" width="11.140625" style="1315" customWidth="1"/>
    <col min="3367" max="3367" width="14.140625" style="1315" customWidth="1"/>
    <col min="3368" max="3368" width="19.85546875" style="1315" customWidth="1"/>
    <col min="3369" max="3369" width="17" style="1315" customWidth="1"/>
    <col min="3370" max="3370" width="20.85546875" style="1315" customWidth="1"/>
    <col min="3371" max="3583" width="11.42578125" style="1315"/>
    <col min="3584" max="3584" width="13.140625" style="1315" customWidth="1"/>
    <col min="3585" max="3585" width="4" style="1315" customWidth="1"/>
    <col min="3586" max="3586" width="12.85546875" style="1315" customWidth="1"/>
    <col min="3587" max="3587" width="14.7109375" style="1315" customWidth="1"/>
    <col min="3588" max="3588" width="10" style="1315" customWidth="1"/>
    <col min="3589" max="3589" width="6.28515625" style="1315" customWidth="1"/>
    <col min="3590" max="3590" width="12.28515625" style="1315" customWidth="1"/>
    <col min="3591" max="3591" width="8.5703125" style="1315" customWidth="1"/>
    <col min="3592" max="3592" width="13.7109375" style="1315" customWidth="1"/>
    <col min="3593" max="3593" width="11.5703125" style="1315" customWidth="1"/>
    <col min="3594" max="3594" width="34.28515625" style="1315" customWidth="1"/>
    <col min="3595" max="3595" width="24.28515625" style="1315" customWidth="1"/>
    <col min="3596" max="3596" width="21.140625" style="1315" customWidth="1"/>
    <col min="3597" max="3597" width="22.140625" style="1315" customWidth="1"/>
    <col min="3598" max="3598" width="8" style="1315" customWidth="1"/>
    <col min="3599" max="3599" width="17" style="1315" customWidth="1"/>
    <col min="3600" max="3600" width="12.7109375" style="1315" customWidth="1"/>
    <col min="3601" max="3601" width="24.5703125" style="1315" customWidth="1"/>
    <col min="3602" max="3602" width="29" style="1315" customWidth="1"/>
    <col min="3603" max="3603" width="17.7109375" style="1315" customWidth="1"/>
    <col min="3604" max="3604" width="36.42578125" style="1315" customWidth="1"/>
    <col min="3605" max="3605" width="21.85546875" style="1315" customWidth="1"/>
    <col min="3606" max="3606" width="11.7109375" style="1315" customWidth="1"/>
    <col min="3607" max="3607" width="26.28515625" style="1315" customWidth="1"/>
    <col min="3608" max="3608" width="9" style="1315" customWidth="1"/>
    <col min="3609" max="3609" width="6.28515625" style="1315" customWidth="1"/>
    <col min="3610" max="3611" width="7.28515625" style="1315" customWidth="1"/>
    <col min="3612" max="3612" width="8.42578125" style="1315" customWidth="1"/>
    <col min="3613" max="3613" width="9.5703125" style="1315" customWidth="1"/>
    <col min="3614" max="3614" width="6.28515625" style="1315" customWidth="1"/>
    <col min="3615" max="3615" width="5.85546875" style="1315" customWidth="1"/>
    <col min="3616" max="3617" width="4.42578125" style="1315" customWidth="1"/>
    <col min="3618" max="3618" width="5" style="1315" customWidth="1"/>
    <col min="3619" max="3619" width="5.85546875" style="1315" customWidth="1"/>
    <col min="3620" max="3620" width="6.140625" style="1315" customWidth="1"/>
    <col min="3621" max="3621" width="6.28515625" style="1315" customWidth="1"/>
    <col min="3622" max="3622" width="11.140625" style="1315" customWidth="1"/>
    <col min="3623" max="3623" width="14.140625" style="1315" customWidth="1"/>
    <col min="3624" max="3624" width="19.85546875" style="1315" customWidth="1"/>
    <col min="3625" max="3625" width="17" style="1315" customWidth="1"/>
    <col min="3626" max="3626" width="20.85546875" style="1315" customWidth="1"/>
    <col min="3627" max="3839" width="11.42578125" style="1315"/>
    <col min="3840" max="3840" width="13.140625" style="1315" customWidth="1"/>
    <col min="3841" max="3841" width="4" style="1315" customWidth="1"/>
    <col min="3842" max="3842" width="12.85546875" style="1315" customWidth="1"/>
    <col min="3843" max="3843" width="14.7109375" style="1315" customWidth="1"/>
    <col min="3844" max="3844" width="10" style="1315" customWidth="1"/>
    <col min="3845" max="3845" width="6.28515625" style="1315" customWidth="1"/>
    <col min="3846" max="3846" width="12.28515625" style="1315" customWidth="1"/>
    <col min="3847" max="3847" width="8.5703125" style="1315" customWidth="1"/>
    <col min="3848" max="3848" width="13.7109375" style="1315" customWidth="1"/>
    <col min="3849" max="3849" width="11.5703125" style="1315" customWidth="1"/>
    <col min="3850" max="3850" width="34.28515625" style="1315" customWidth="1"/>
    <col min="3851" max="3851" width="24.28515625" style="1315" customWidth="1"/>
    <col min="3852" max="3852" width="21.140625" style="1315" customWidth="1"/>
    <col min="3853" max="3853" width="22.140625" style="1315" customWidth="1"/>
    <col min="3854" max="3854" width="8" style="1315" customWidth="1"/>
    <col min="3855" max="3855" width="17" style="1315" customWidth="1"/>
    <col min="3856" max="3856" width="12.7109375" style="1315" customWidth="1"/>
    <col min="3857" max="3857" width="24.5703125" style="1315" customWidth="1"/>
    <col min="3858" max="3858" width="29" style="1315" customWidth="1"/>
    <col min="3859" max="3859" width="17.7109375" style="1315" customWidth="1"/>
    <col min="3860" max="3860" width="36.42578125" style="1315" customWidth="1"/>
    <col min="3861" max="3861" width="21.85546875" style="1315" customWidth="1"/>
    <col min="3862" max="3862" width="11.7109375" style="1315" customWidth="1"/>
    <col min="3863" max="3863" width="26.28515625" style="1315" customWidth="1"/>
    <col min="3864" max="3864" width="9" style="1315" customWidth="1"/>
    <col min="3865" max="3865" width="6.28515625" style="1315" customWidth="1"/>
    <col min="3866" max="3867" width="7.28515625" style="1315" customWidth="1"/>
    <col min="3868" max="3868" width="8.42578125" style="1315" customWidth="1"/>
    <col min="3869" max="3869" width="9.5703125" style="1315" customWidth="1"/>
    <col min="3870" max="3870" width="6.28515625" style="1315" customWidth="1"/>
    <col min="3871" max="3871" width="5.85546875" style="1315" customWidth="1"/>
    <col min="3872" max="3873" width="4.42578125" style="1315" customWidth="1"/>
    <col min="3874" max="3874" width="5" style="1315" customWidth="1"/>
    <col min="3875" max="3875" width="5.85546875" style="1315" customWidth="1"/>
    <col min="3876" max="3876" width="6.140625" style="1315" customWidth="1"/>
    <col min="3877" max="3877" width="6.28515625" style="1315" customWidth="1"/>
    <col min="3878" max="3878" width="11.140625" style="1315" customWidth="1"/>
    <col min="3879" max="3879" width="14.140625" style="1315" customWidth="1"/>
    <col min="3880" max="3880" width="19.85546875" style="1315" customWidth="1"/>
    <col min="3881" max="3881" width="17" style="1315" customWidth="1"/>
    <col min="3882" max="3882" width="20.85546875" style="1315" customWidth="1"/>
    <col min="3883" max="4095" width="11.42578125" style="1315"/>
    <col min="4096" max="4096" width="13.140625" style="1315" customWidth="1"/>
    <col min="4097" max="4097" width="4" style="1315" customWidth="1"/>
    <col min="4098" max="4098" width="12.85546875" style="1315" customWidth="1"/>
    <col min="4099" max="4099" width="14.7109375" style="1315" customWidth="1"/>
    <col min="4100" max="4100" width="10" style="1315" customWidth="1"/>
    <col min="4101" max="4101" width="6.28515625" style="1315" customWidth="1"/>
    <col min="4102" max="4102" width="12.28515625" style="1315" customWidth="1"/>
    <col min="4103" max="4103" width="8.5703125" style="1315" customWidth="1"/>
    <col min="4104" max="4104" width="13.7109375" style="1315" customWidth="1"/>
    <col min="4105" max="4105" width="11.5703125" style="1315" customWidth="1"/>
    <col min="4106" max="4106" width="34.28515625" style="1315" customWidth="1"/>
    <col min="4107" max="4107" width="24.28515625" style="1315" customWidth="1"/>
    <col min="4108" max="4108" width="21.140625" style="1315" customWidth="1"/>
    <col min="4109" max="4109" width="22.140625" style="1315" customWidth="1"/>
    <col min="4110" max="4110" width="8" style="1315" customWidth="1"/>
    <col min="4111" max="4111" width="17" style="1315" customWidth="1"/>
    <col min="4112" max="4112" width="12.7109375" style="1315" customWidth="1"/>
    <col min="4113" max="4113" width="24.5703125" style="1315" customWidth="1"/>
    <col min="4114" max="4114" width="29" style="1315" customWidth="1"/>
    <col min="4115" max="4115" width="17.7109375" style="1315" customWidth="1"/>
    <col min="4116" max="4116" width="36.42578125" style="1315" customWidth="1"/>
    <col min="4117" max="4117" width="21.85546875" style="1315" customWidth="1"/>
    <col min="4118" max="4118" width="11.7109375" style="1315" customWidth="1"/>
    <col min="4119" max="4119" width="26.28515625" style="1315" customWidth="1"/>
    <col min="4120" max="4120" width="9" style="1315" customWidth="1"/>
    <col min="4121" max="4121" width="6.28515625" style="1315" customWidth="1"/>
    <col min="4122" max="4123" width="7.28515625" style="1315" customWidth="1"/>
    <col min="4124" max="4124" width="8.42578125" style="1315" customWidth="1"/>
    <col min="4125" max="4125" width="9.5703125" style="1315" customWidth="1"/>
    <col min="4126" max="4126" width="6.28515625" style="1315" customWidth="1"/>
    <col min="4127" max="4127" width="5.85546875" style="1315" customWidth="1"/>
    <col min="4128" max="4129" width="4.42578125" style="1315" customWidth="1"/>
    <col min="4130" max="4130" width="5" style="1315" customWidth="1"/>
    <col min="4131" max="4131" width="5.85546875" style="1315" customWidth="1"/>
    <col min="4132" max="4132" width="6.140625" style="1315" customWidth="1"/>
    <col min="4133" max="4133" width="6.28515625" style="1315" customWidth="1"/>
    <col min="4134" max="4134" width="11.140625" style="1315" customWidth="1"/>
    <col min="4135" max="4135" width="14.140625" style="1315" customWidth="1"/>
    <col min="4136" max="4136" width="19.85546875" style="1315" customWidth="1"/>
    <col min="4137" max="4137" width="17" style="1315" customWidth="1"/>
    <col min="4138" max="4138" width="20.85546875" style="1315" customWidth="1"/>
    <col min="4139" max="4351" width="11.42578125" style="1315"/>
    <col min="4352" max="4352" width="13.140625" style="1315" customWidth="1"/>
    <col min="4353" max="4353" width="4" style="1315" customWidth="1"/>
    <col min="4354" max="4354" width="12.85546875" style="1315" customWidth="1"/>
    <col min="4355" max="4355" width="14.7109375" style="1315" customWidth="1"/>
    <col min="4356" max="4356" width="10" style="1315" customWidth="1"/>
    <col min="4357" max="4357" width="6.28515625" style="1315" customWidth="1"/>
    <col min="4358" max="4358" width="12.28515625" style="1315" customWidth="1"/>
    <col min="4359" max="4359" width="8.5703125" style="1315" customWidth="1"/>
    <col min="4360" max="4360" width="13.7109375" style="1315" customWidth="1"/>
    <col min="4361" max="4361" width="11.5703125" style="1315" customWidth="1"/>
    <col min="4362" max="4362" width="34.28515625" style="1315" customWidth="1"/>
    <col min="4363" max="4363" width="24.28515625" style="1315" customWidth="1"/>
    <col min="4364" max="4364" width="21.140625" style="1315" customWidth="1"/>
    <col min="4365" max="4365" width="22.140625" style="1315" customWidth="1"/>
    <col min="4366" max="4366" width="8" style="1315" customWidth="1"/>
    <col min="4367" max="4367" width="17" style="1315" customWidth="1"/>
    <col min="4368" max="4368" width="12.7109375" style="1315" customWidth="1"/>
    <col min="4369" max="4369" width="24.5703125" style="1315" customWidth="1"/>
    <col min="4370" max="4370" width="29" style="1315" customWidth="1"/>
    <col min="4371" max="4371" width="17.7109375" style="1315" customWidth="1"/>
    <col min="4372" max="4372" width="36.42578125" style="1315" customWidth="1"/>
    <col min="4373" max="4373" width="21.85546875" style="1315" customWidth="1"/>
    <col min="4374" max="4374" width="11.7109375" style="1315" customWidth="1"/>
    <col min="4375" max="4375" width="26.28515625" style="1315" customWidth="1"/>
    <col min="4376" max="4376" width="9" style="1315" customWidth="1"/>
    <col min="4377" max="4377" width="6.28515625" style="1315" customWidth="1"/>
    <col min="4378" max="4379" width="7.28515625" style="1315" customWidth="1"/>
    <col min="4380" max="4380" width="8.42578125" style="1315" customWidth="1"/>
    <col min="4381" max="4381" width="9.5703125" style="1315" customWidth="1"/>
    <col min="4382" max="4382" width="6.28515625" style="1315" customWidth="1"/>
    <col min="4383" max="4383" width="5.85546875" style="1315" customWidth="1"/>
    <col min="4384" max="4385" width="4.42578125" style="1315" customWidth="1"/>
    <col min="4386" max="4386" width="5" style="1315" customWidth="1"/>
    <col min="4387" max="4387" width="5.85546875" style="1315" customWidth="1"/>
    <col min="4388" max="4388" width="6.140625" style="1315" customWidth="1"/>
    <col min="4389" max="4389" width="6.28515625" style="1315" customWidth="1"/>
    <col min="4390" max="4390" width="11.140625" style="1315" customWidth="1"/>
    <col min="4391" max="4391" width="14.140625" style="1315" customWidth="1"/>
    <col min="4392" max="4392" width="19.85546875" style="1315" customWidth="1"/>
    <col min="4393" max="4393" width="17" style="1315" customWidth="1"/>
    <col min="4394" max="4394" width="20.85546875" style="1315" customWidth="1"/>
    <col min="4395" max="4607" width="11.42578125" style="1315"/>
    <col min="4608" max="4608" width="13.140625" style="1315" customWidth="1"/>
    <col min="4609" max="4609" width="4" style="1315" customWidth="1"/>
    <col min="4610" max="4610" width="12.85546875" style="1315" customWidth="1"/>
    <col min="4611" max="4611" width="14.7109375" style="1315" customWidth="1"/>
    <col min="4612" max="4612" width="10" style="1315" customWidth="1"/>
    <col min="4613" max="4613" width="6.28515625" style="1315" customWidth="1"/>
    <col min="4614" max="4614" width="12.28515625" style="1315" customWidth="1"/>
    <col min="4615" max="4615" width="8.5703125" style="1315" customWidth="1"/>
    <col min="4616" max="4616" width="13.7109375" style="1315" customWidth="1"/>
    <col min="4617" max="4617" width="11.5703125" style="1315" customWidth="1"/>
    <col min="4618" max="4618" width="34.28515625" style="1315" customWidth="1"/>
    <col min="4619" max="4619" width="24.28515625" style="1315" customWidth="1"/>
    <col min="4620" max="4620" width="21.140625" style="1315" customWidth="1"/>
    <col min="4621" max="4621" width="22.140625" style="1315" customWidth="1"/>
    <col min="4622" max="4622" width="8" style="1315" customWidth="1"/>
    <col min="4623" max="4623" width="17" style="1315" customWidth="1"/>
    <col min="4624" max="4624" width="12.7109375" style="1315" customWidth="1"/>
    <col min="4625" max="4625" width="24.5703125" style="1315" customWidth="1"/>
    <col min="4626" max="4626" width="29" style="1315" customWidth="1"/>
    <col min="4627" max="4627" width="17.7109375" style="1315" customWidth="1"/>
    <col min="4628" max="4628" width="36.42578125" style="1315" customWidth="1"/>
    <col min="4629" max="4629" width="21.85546875" style="1315" customWidth="1"/>
    <col min="4630" max="4630" width="11.7109375" style="1315" customWidth="1"/>
    <col min="4631" max="4631" width="26.28515625" style="1315" customWidth="1"/>
    <col min="4632" max="4632" width="9" style="1315" customWidth="1"/>
    <col min="4633" max="4633" width="6.28515625" style="1315" customWidth="1"/>
    <col min="4634" max="4635" width="7.28515625" style="1315" customWidth="1"/>
    <col min="4636" max="4636" width="8.42578125" style="1315" customWidth="1"/>
    <col min="4637" max="4637" width="9.5703125" style="1315" customWidth="1"/>
    <col min="4638" max="4638" width="6.28515625" style="1315" customWidth="1"/>
    <col min="4639" max="4639" width="5.85546875" style="1315" customWidth="1"/>
    <col min="4640" max="4641" width="4.42578125" style="1315" customWidth="1"/>
    <col min="4642" max="4642" width="5" style="1315" customWidth="1"/>
    <col min="4643" max="4643" width="5.85546875" style="1315" customWidth="1"/>
    <col min="4644" max="4644" width="6.140625" style="1315" customWidth="1"/>
    <col min="4645" max="4645" width="6.28515625" style="1315" customWidth="1"/>
    <col min="4646" max="4646" width="11.140625" style="1315" customWidth="1"/>
    <col min="4647" max="4647" width="14.140625" style="1315" customWidth="1"/>
    <col min="4648" max="4648" width="19.85546875" style="1315" customWidth="1"/>
    <col min="4649" max="4649" width="17" style="1315" customWidth="1"/>
    <col min="4650" max="4650" width="20.85546875" style="1315" customWidth="1"/>
    <col min="4651" max="4863" width="11.42578125" style="1315"/>
    <col min="4864" max="4864" width="13.140625" style="1315" customWidth="1"/>
    <col min="4865" max="4865" width="4" style="1315" customWidth="1"/>
    <col min="4866" max="4866" width="12.85546875" style="1315" customWidth="1"/>
    <col min="4867" max="4867" width="14.7109375" style="1315" customWidth="1"/>
    <col min="4868" max="4868" width="10" style="1315" customWidth="1"/>
    <col min="4869" max="4869" width="6.28515625" style="1315" customWidth="1"/>
    <col min="4870" max="4870" width="12.28515625" style="1315" customWidth="1"/>
    <col min="4871" max="4871" width="8.5703125" style="1315" customWidth="1"/>
    <col min="4872" max="4872" width="13.7109375" style="1315" customWidth="1"/>
    <col min="4873" max="4873" width="11.5703125" style="1315" customWidth="1"/>
    <col min="4874" max="4874" width="34.28515625" style="1315" customWidth="1"/>
    <col min="4875" max="4875" width="24.28515625" style="1315" customWidth="1"/>
    <col min="4876" max="4876" width="21.140625" style="1315" customWidth="1"/>
    <col min="4877" max="4877" width="22.140625" style="1315" customWidth="1"/>
    <col min="4878" max="4878" width="8" style="1315" customWidth="1"/>
    <col min="4879" max="4879" width="17" style="1315" customWidth="1"/>
    <col min="4880" max="4880" width="12.7109375" style="1315" customWidth="1"/>
    <col min="4881" max="4881" width="24.5703125" style="1315" customWidth="1"/>
    <col min="4882" max="4882" width="29" style="1315" customWidth="1"/>
    <col min="4883" max="4883" width="17.7109375" style="1315" customWidth="1"/>
    <col min="4884" max="4884" width="36.42578125" style="1315" customWidth="1"/>
    <col min="4885" max="4885" width="21.85546875" style="1315" customWidth="1"/>
    <col min="4886" max="4886" width="11.7109375" style="1315" customWidth="1"/>
    <col min="4887" max="4887" width="26.28515625" style="1315" customWidth="1"/>
    <col min="4888" max="4888" width="9" style="1315" customWidth="1"/>
    <col min="4889" max="4889" width="6.28515625" style="1315" customWidth="1"/>
    <col min="4890" max="4891" width="7.28515625" style="1315" customWidth="1"/>
    <col min="4892" max="4892" width="8.42578125" style="1315" customWidth="1"/>
    <col min="4893" max="4893" width="9.5703125" style="1315" customWidth="1"/>
    <col min="4894" max="4894" width="6.28515625" style="1315" customWidth="1"/>
    <col min="4895" max="4895" width="5.85546875" style="1315" customWidth="1"/>
    <col min="4896" max="4897" width="4.42578125" style="1315" customWidth="1"/>
    <col min="4898" max="4898" width="5" style="1315" customWidth="1"/>
    <col min="4899" max="4899" width="5.85546875" style="1315" customWidth="1"/>
    <col min="4900" max="4900" width="6.140625" style="1315" customWidth="1"/>
    <col min="4901" max="4901" width="6.28515625" style="1315" customWidth="1"/>
    <col min="4902" max="4902" width="11.140625" style="1315" customWidth="1"/>
    <col min="4903" max="4903" width="14.140625" style="1315" customWidth="1"/>
    <col min="4904" max="4904" width="19.85546875" style="1315" customWidth="1"/>
    <col min="4905" max="4905" width="17" style="1315" customWidth="1"/>
    <col min="4906" max="4906" width="20.85546875" style="1315" customWidth="1"/>
    <col min="4907" max="5119" width="11.42578125" style="1315"/>
    <col min="5120" max="5120" width="13.140625" style="1315" customWidth="1"/>
    <col min="5121" max="5121" width="4" style="1315" customWidth="1"/>
    <col min="5122" max="5122" width="12.85546875" style="1315" customWidth="1"/>
    <col min="5123" max="5123" width="14.7109375" style="1315" customWidth="1"/>
    <col min="5124" max="5124" width="10" style="1315" customWidth="1"/>
    <col min="5125" max="5125" width="6.28515625" style="1315" customWidth="1"/>
    <col min="5126" max="5126" width="12.28515625" style="1315" customWidth="1"/>
    <col min="5127" max="5127" width="8.5703125" style="1315" customWidth="1"/>
    <col min="5128" max="5128" width="13.7109375" style="1315" customWidth="1"/>
    <col min="5129" max="5129" width="11.5703125" style="1315" customWidth="1"/>
    <col min="5130" max="5130" width="34.28515625" style="1315" customWidth="1"/>
    <col min="5131" max="5131" width="24.28515625" style="1315" customWidth="1"/>
    <col min="5132" max="5132" width="21.140625" style="1315" customWidth="1"/>
    <col min="5133" max="5133" width="22.140625" style="1315" customWidth="1"/>
    <col min="5134" max="5134" width="8" style="1315" customWidth="1"/>
    <col min="5135" max="5135" width="17" style="1315" customWidth="1"/>
    <col min="5136" max="5136" width="12.7109375" style="1315" customWidth="1"/>
    <col min="5137" max="5137" width="24.5703125" style="1315" customWidth="1"/>
    <col min="5138" max="5138" width="29" style="1315" customWidth="1"/>
    <col min="5139" max="5139" width="17.7109375" style="1315" customWidth="1"/>
    <col min="5140" max="5140" width="36.42578125" style="1315" customWidth="1"/>
    <col min="5141" max="5141" width="21.85546875" style="1315" customWidth="1"/>
    <col min="5142" max="5142" width="11.7109375" style="1315" customWidth="1"/>
    <col min="5143" max="5143" width="26.28515625" style="1315" customWidth="1"/>
    <col min="5144" max="5144" width="9" style="1315" customWidth="1"/>
    <col min="5145" max="5145" width="6.28515625" style="1315" customWidth="1"/>
    <col min="5146" max="5147" width="7.28515625" style="1315" customWidth="1"/>
    <col min="5148" max="5148" width="8.42578125" style="1315" customWidth="1"/>
    <col min="5149" max="5149" width="9.5703125" style="1315" customWidth="1"/>
    <col min="5150" max="5150" width="6.28515625" style="1315" customWidth="1"/>
    <col min="5151" max="5151" width="5.85546875" style="1315" customWidth="1"/>
    <col min="5152" max="5153" width="4.42578125" style="1315" customWidth="1"/>
    <col min="5154" max="5154" width="5" style="1315" customWidth="1"/>
    <col min="5155" max="5155" width="5.85546875" style="1315" customWidth="1"/>
    <col min="5156" max="5156" width="6.140625" style="1315" customWidth="1"/>
    <col min="5157" max="5157" width="6.28515625" style="1315" customWidth="1"/>
    <col min="5158" max="5158" width="11.140625" style="1315" customWidth="1"/>
    <col min="5159" max="5159" width="14.140625" style="1315" customWidth="1"/>
    <col min="5160" max="5160" width="19.85546875" style="1315" customWidth="1"/>
    <col min="5161" max="5161" width="17" style="1315" customWidth="1"/>
    <col min="5162" max="5162" width="20.85546875" style="1315" customWidth="1"/>
    <col min="5163" max="5375" width="11.42578125" style="1315"/>
    <col min="5376" max="5376" width="13.140625" style="1315" customWidth="1"/>
    <col min="5377" max="5377" width="4" style="1315" customWidth="1"/>
    <col min="5378" max="5378" width="12.85546875" style="1315" customWidth="1"/>
    <col min="5379" max="5379" width="14.7109375" style="1315" customWidth="1"/>
    <col min="5380" max="5380" width="10" style="1315" customWidth="1"/>
    <col min="5381" max="5381" width="6.28515625" style="1315" customWidth="1"/>
    <col min="5382" max="5382" width="12.28515625" style="1315" customWidth="1"/>
    <col min="5383" max="5383" width="8.5703125" style="1315" customWidth="1"/>
    <col min="5384" max="5384" width="13.7109375" style="1315" customWidth="1"/>
    <col min="5385" max="5385" width="11.5703125" style="1315" customWidth="1"/>
    <col min="5386" max="5386" width="34.28515625" style="1315" customWidth="1"/>
    <col min="5387" max="5387" width="24.28515625" style="1315" customWidth="1"/>
    <col min="5388" max="5388" width="21.140625" style="1315" customWidth="1"/>
    <col min="5389" max="5389" width="22.140625" style="1315" customWidth="1"/>
    <col min="5390" max="5390" width="8" style="1315" customWidth="1"/>
    <col min="5391" max="5391" width="17" style="1315" customWidth="1"/>
    <col min="5392" max="5392" width="12.7109375" style="1315" customWidth="1"/>
    <col min="5393" max="5393" width="24.5703125" style="1315" customWidth="1"/>
    <col min="5394" max="5394" width="29" style="1315" customWidth="1"/>
    <col min="5395" max="5395" width="17.7109375" style="1315" customWidth="1"/>
    <col min="5396" max="5396" width="36.42578125" style="1315" customWidth="1"/>
    <col min="5397" max="5397" width="21.85546875" style="1315" customWidth="1"/>
    <col min="5398" max="5398" width="11.7109375" style="1315" customWidth="1"/>
    <col min="5399" max="5399" width="26.28515625" style="1315" customWidth="1"/>
    <col min="5400" max="5400" width="9" style="1315" customWidth="1"/>
    <col min="5401" max="5401" width="6.28515625" style="1315" customWidth="1"/>
    <col min="5402" max="5403" width="7.28515625" style="1315" customWidth="1"/>
    <col min="5404" max="5404" width="8.42578125" style="1315" customWidth="1"/>
    <col min="5405" max="5405" width="9.5703125" style="1315" customWidth="1"/>
    <col min="5406" max="5406" width="6.28515625" style="1315" customWidth="1"/>
    <col min="5407" max="5407" width="5.85546875" style="1315" customWidth="1"/>
    <col min="5408" max="5409" width="4.42578125" style="1315" customWidth="1"/>
    <col min="5410" max="5410" width="5" style="1315" customWidth="1"/>
    <col min="5411" max="5411" width="5.85546875" style="1315" customWidth="1"/>
    <col min="5412" max="5412" width="6.140625" style="1315" customWidth="1"/>
    <col min="5413" max="5413" width="6.28515625" style="1315" customWidth="1"/>
    <col min="5414" max="5414" width="11.140625" style="1315" customWidth="1"/>
    <col min="5415" max="5415" width="14.140625" style="1315" customWidth="1"/>
    <col min="5416" max="5416" width="19.85546875" style="1315" customWidth="1"/>
    <col min="5417" max="5417" width="17" style="1315" customWidth="1"/>
    <col min="5418" max="5418" width="20.85546875" style="1315" customWidth="1"/>
    <col min="5419" max="5631" width="11.42578125" style="1315"/>
    <col min="5632" max="5632" width="13.140625" style="1315" customWidth="1"/>
    <col min="5633" max="5633" width="4" style="1315" customWidth="1"/>
    <col min="5634" max="5634" width="12.85546875" style="1315" customWidth="1"/>
    <col min="5635" max="5635" width="14.7109375" style="1315" customWidth="1"/>
    <col min="5636" max="5636" width="10" style="1315" customWidth="1"/>
    <col min="5637" max="5637" width="6.28515625" style="1315" customWidth="1"/>
    <col min="5638" max="5638" width="12.28515625" style="1315" customWidth="1"/>
    <col min="5639" max="5639" width="8.5703125" style="1315" customWidth="1"/>
    <col min="5640" max="5640" width="13.7109375" style="1315" customWidth="1"/>
    <col min="5641" max="5641" width="11.5703125" style="1315" customWidth="1"/>
    <col min="5642" max="5642" width="34.28515625" style="1315" customWidth="1"/>
    <col min="5643" max="5643" width="24.28515625" style="1315" customWidth="1"/>
    <col min="5644" max="5644" width="21.140625" style="1315" customWidth="1"/>
    <col min="5645" max="5645" width="22.140625" style="1315" customWidth="1"/>
    <col min="5646" max="5646" width="8" style="1315" customWidth="1"/>
    <col min="5647" max="5647" width="17" style="1315" customWidth="1"/>
    <col min="5648" max="5648" width="12.7109375" style="1315" customWidth="1"/>
    <col min="5649" max="5649" width="24.5703125" style="1315" customWidth="1"/>
    <col min="5650" max="5650" width="29" style="1315" customWidth="1"/>
    <col min="5651" max="5651" width="17.7109375" style="1315" customWidth="1"/>
    <col min="5652" max="5652" width="36.42578125" style="1315" customWidth="1"/>
    <col min="5653" max="5653" width="21.85546875" style="1315" customWidth="1"/>
    <col min="5654" max="5654" width="11.7109375" style="1315" customWidth="1"/>
    <col min="5655" max="5655" width="26.28515625" style="1315" customWidth="1"/>
    <col min="5656" max="5656" width="9" style="1315" customWidth="1"/>
    <col min="5657" max="5657" width="6.28515625" style="1315" customWidth="1"/>
    <col min="5658" max="5659" width="7.28515625" style="1315" customWidth="1"/>
    <col min="5660" max="5660" width="8.42578125" style="1315" customWidth="1"/>
    <col min="5661" max="5661" width="9.5703125" style="1315" customWidth="1"/>
    <col min="5662" max="5662" width="6.28515625" style="1315" customWidth="1"/>
    <col min="5663" max="5663" width="5.85546875" style="1315" customWidth="1"/>
    <col min="5664" max="5665" width="4.42578125" style="1315" customWidth="1"/>
    <col min="5666" max="5666" width="5" style="1315" customWidth="1"/>
    <col min="5667" max="5667" width="5.85546875" style="1315" customWidth="1"/>
    <col min="5668" max="5668" width="6.140625" style="1315" customWidth="1"/>
    <col min="5669" max="5669" width="6.28515625" style="1315" customWidth="1"/>
    <col min="5670" max="5670" width="11.140625" style="1315" customWidth="1"/>
    <col min="5671" max="5671" width="14.140625" style="1315" customWidth="1"/>
    <col min="5672" max="5672" width="19.85546875" style="1315" customWidth="1"/>
    <col min="5673" max="5673" width="17" style="1315" customWidth="1"/>
    <col min="5674" max="5674" width="20.85546875" style="1315" customWidth="1"/>
    <col min="5675" max="5887" width="11.42578125" style="1315"/>
    <col min="5888" max="5888" width="13.140625" style="1315" customWidth="1"/>
    <col min="5889" max="5889" width="4" style="1315" customWidth="1"/>
    <col min="5890" max="5890" width="12.85546875" style="1315" customWidth="1"/>
    <col min="5891" max="5891" width="14.7109375" style="1315" customWidth="1"/>
    <col min="5892" max="5892" width="10" style="1315" customWidth="1"/>
    <col min="5893" max="5893" width="6.28515625" style="1315" customWidth="1"/>
    <col min="5894" max="5894" width="12.28515625" style="1315" customWidth="1"/>
    <col min="5895" max="5895" width="8.5703125" style="1315" customWidth="1"/>
    <col min="5896" max="5896" width="13.7109375" style="1315" customWidth="1"/>
    <col min="5897" max="5897" width="11.5703125" style="1315" customWidth="1"/>
    <col min="5898" max="5898" width="34.28515625" style="1315" customWidth="1"/>
    <col min="5899" max="5899" width="24.28515625" style="1315" customWidth="1"/>
    <col min="5900" max="5900" width="21.140625" style="1315" customWidth="1"/>
    <col min="5901" max="5901" width="22.140625" style="1315" customWidth="1"/>
    <col min="5902" max="5902" width="8" style="1315" customWidth="1"/>
    <col min="5903" max="5903" width="17" style="1315" customWidth="1"/>
    <col min="5904" max="5904" width="12.7109375" style="1315" customWidth="1"/>
    <col min="5905" max="5905" width="24.5703125" style="1315" customWidth="1"/>
    <col min="5906" max="5906" width="29" style="1315" customWidth="1"/>
    <col min="5907" max="5907" width="17.7109375" style="1315" customWidth="1"/>
    <col min="5908" max="5908" width="36.42578125" style="1315" customWidth="1"/>
    <col min="5909" max="5909" width="21.85546875" style="1315" customWidth="1"/>
    <col min="5910" max="5910" width="11.7109375" style="1315" customWidth="1"/>
    <col min="5911" max="5911" width="26.28515625" style="1315" customWidth="1"/>
    <col min="5912" max="5912" width="9" style="1315" customWidth="1"/>
    <col min="5913" max="5913" width="6.28515625" style="1315" customWidth="1"/>
    <col min="5914" max="5915" width="7.28515625" style="1315" customWidth="1"/>
    <col min="5916" max="5916" width="8.42578125" style="1315" customWidth="1"/>
    <col min="5917" max="5917" width="9.5703125" style="1315" customWidth="1"/>
    <col min="5918" max="5918" width="6.28515625" style="1315" customWidth="1"/>
    <col min="5919" max="5919" width="5.85546875" style="1315" customWidth="1"/>
    <col min="5920" max="5921" width="4.42578125" style="1315" customWidth="1"/>
    <col min="5922" max="5922" width="5" style="1315" customWidth="1"/>
    <col min="5923" max="5923" width="5.85546875" style="1315" customWidth="1"/>
    <col min="5924" max="5924" width="6.140625" style="1315" customWidth="1"/>
    <col min="5925" max="5925" width="6.28515625" style="1315" customWidth="1"/>
    <col min="5926" max="5926" width="11.140625" style="1315" customWidth="1"/>
    <col min="5927" max="5927" width="14.140625" style="1315" customWidth="1"/>
    <col min="5928" max="5928" width="19.85546875" style="1315" customWidth="1"/>
    <col min="5929" max="5929" width="17" style="1315" customWidth="1"/>
    <col min="5930" max="5930" width="20.85546875" style="1315" customWidth="1"/>
    <col min="5931" max="6143" width="11.42578125" style="1315"/>
    <col min="6144" max="6144" width="13.140625" style="1315" customWidth="1"/>
    <col min="6145" max="6145" width="4" style="1315" customWidth="1"/>
    <col min="6146" max="6146" width="12.85546875" style="1315" customWidth="1"/>
    <col min="6147" max="6147" width="14.7109375" style="1315" customWidth="1"/>
    <col min="6148" max="6148" width="10" style="1315" customWidth="1"/>
    <col min="6149" max="6149" width="6.28515625" style="1315" customWidth="1"/>
    <col min="6150" max="6150" width="12.28515625" style="1315" customWidth="1"/>
    <col min="6151" max="6151" width="8.5703125" style="1315" customWidth="1"/>
    <col min="6152" max="6152" width="13.7109375" style="1315" customWidth="1"/>
    <col min="6153" max="6153" width="11.5703125" style="1315" customWidth="1"/>
    <col min="6154" max="6154" width="34.28515625" style="1315" customWidth="1"/>
    <col min="6155" max="6155" width="24.28515625" style="1315" customWidth="1"/>
    <col min="6156" max="6156" width="21.140625" style="1315" customWidth="1"/>
    <col min="6157" max="6157" width="22.140625" style="1315" customWidth="1"/>
    <col min="6158" max="6158" width="8" style="1315" customWidth="1"/>
    <col min="6159" max="6159" width="17" style="1315" customWidth="1"/>
    <col min="6160" max="6160" width="12.7109375" style="1315" customWidth="1"/>
    <col min="6161" max="6161" width="24.5703125" style="1315" customWidth="1"/>
    <col min="6162" max="6162" width="29" style="1315" customWidth="1"/>
    <col min="6163" max="6163" width="17.7109375" style="1315" customWidth="1"/>
    <col min="6164" max="6164" width="36.42578125" style="1315" customWidth="1"/>
    <col min="6165" max="6165" width="21.85546875" style="1315" customWidth="1"/>
    <col min="6166" max="6166" width="11.7109375" style="1315" customWidth="1"/>
    <col min="6167" max="6167" width="26.28515625" style="1315" customWidth="1"/>
    <col min="6168" max="6168" width="9" style="1315" customWidth="1"/>
    <col min="6169" max="6169" width="6.28515625" style="1315" customWidth="1"/>
    <col min="6170" max="6171" width="7.28515625" style="1315" customWidth="1"/>
    <col min="6172" max="6172" width="8.42578125" style="1315" customWidth="1"/>
    <col min="6173" max="6173" width="9.5703125" style="1315" customWidth="1"/>
    <col min="6174" max="6174" width="6.28515625" style="1315" customWidth="1"/>
    <col min="6175" max="6175" width="5.85546875" style="1315" customWidth="1"/>
    <col min="6176" max="6177" width="4.42578125" style="1315" customWidth="1"/>
    <col min="6178" max="6178" width="5" style="1315" customWidth="1"/>
    <col min="6179" max="6179" width="5.85546875" style="1315" customWidth="1"/>
    <col min="6180" max="6180" width="6.140625" style="1315" customWidth="1"/>
    <col min="6181" max="6181" width="6.28515625" style="1315" customWidth="1"/>
    <col min="6182" max="6182" width="11.140625" style="1315" customWidth="1"/>
    <col min="6183" max="6183" width="14.140625" style="1315" customWidth="1"/>
    <col min="6184" max="6184" width="19.85546875" style="1315" customWidth="1"/>
    <col min="6185" max="6185" width="17" style="1315" customWidth="1"/>
    <col min="6186" max="6186" width="20.85546875" style="1315" customWidth="1"/>
    <col min="6187" max="6399" width="11.42578125" style="1315"/>
    <col min="6400" max="6400" width="13.140625" style="1315" customWidth="1"/>
    <col min="6401" max="6401" width="4" style="1315" customWidth="1"/>
    <col min="6402" max="6402" width="12.85546875" style="1315" customWidth="1"/>
    <col min="6403" max="6403" width="14.7109375" style="1315" customWidth="1"/>
    <col min="6404" max="6404" width="10" style="1315" customWidth="1"/>
    <col min="6405" max="6405" width="6.28515625" style="1315" customWidth="1"/>
    <col min="6406" max="6406" width="12.28515625" style="1315" customWidth="1"/>
    <col min="6407" max="6407" width="8.5703125" style="1315" customWidth="1"/>
    <col min="6408" max="6408" width="13.7109375" style="1315" customWidth="1"/>
    <col min="6409" max="6409" width="11.5703125" style="1315" customWidth="1"/>
    <col min="6410" max="6410" width="34.28515625" style="1315" customWidth="1"/>
    <col min="6411" max="6411" width="24.28515625" style="1315" customWidth="1"/>
    <col min="6412" max="6412" width="21.140625" style="1315" customWidth="1"/>
    <col min="6413" max="6413" width="22.140625" style="1315" customWidth="1"/>
    <col min="6414" max="6414" width="8" style="1315" customWidth="1"/>
    <col min="6415" max="6415" width="17" style="1315" customWidth="1"/>
    <col min="6416" max="6416" width="12.7109375" style="1315" customWidth="1"/>
    <col min="6417" max="6417" width="24.5703125" style="1315" customWidth="1"/>
    <col min="6418" max="6418" width="29" style="1315" customWidth="1"/>
    <col min="6419" max="6419" width="17.7109375" style="1315" customWidth="1"/>
    <col min="6420" max="6420" width="36.42578125" style="1315" customWidth="1"/>
    <col min="6421" max="6421" width="21.85546875" style="1315" customWidth="1"/>
    <col min="6422" max="6422" width="11.7109375" style="1315" customWidth="1"/>
    <col min="6423" max="6423" width="26.28515625" style="1315" customWidth="1"/>
    <col min="6424" max="6424" width="9" style="1315" customWidth="1"/>
    <col min="6425" max="6425" width="6.28515625" style="1315" customWidth="1"/>
    <col min="6426" max="6427" width="7.28515625" style="1315" customWidth="1"/>
    <col min="6428" max="6428" width="8.42578125" style="1315" customWidth="1"/>
    <col min="6429" max="6429" width="9.5703125" style="1315" customWidth="1"/>
    <col min="6430" max="6430" width="6.28515625" style="1315" customWidth="1"/>
    <col min="6431" max="6431" width="5.85546875" style="1315" customWidth="1"/>
    <col min="6432" max="6433" width="4.42578125" style="1315" customWidth="1"/>
    <col min="6434" max="6434" width="5" style="1315" customWidth="1"/>
    <col min="6435" max="6435" width="5.85546875" style="1315" customWidth="1"/>
    <col min="6436" max="6436" width="6.140625" style="1315" customWidth="1"/>
    <col min="6437" max="6437" width="6.28515625" style="1315" customWidth="1"/>
    <col min="6438" max="6438" width="11.140625" style="1315" customWidth="1"/>
    <col min="6439" max="6439" width="14.140625" style="1315" customWidth="1"/>
    <col min="6440" max="6440" width="19.85546875" style="1315" customWidth="1"/>
    <col min="6441" max="6441" width="17" style="1315" customWidth="1"/>
    <col min="6442" max="6442" width="20.85546875" style="1315" customWidth="1"/>
    <col min="6443" max="6655" width="11.42578125" style="1315"/>
    <col min="6656" max="6656" width="13.140625" style="1315" customWidth="1"/>
    <col min="6657" max="6657" width="4" style="1315" customWidth="1"/>
    <col min="6658" max="6658" width="12.85546875" style="1315" customWidth="1"/>
    <col min="6659" max="6659" width="14.7109375" style="1315" customWidth="1"/>
    <col min="6660" max="6660" width="10" style="1315" customWidth="1"/>
    <col min="6661" max="6661" width="6.28515625" style="1315" customWidth="1"/>
    <col min="6662" max="6662" width="12.28515625" style="1315" customWidth="1"/>
    <col min="6663" max="6663" width="8.5703125" style="1315" customWidth="1"/>
    <col min="6664" max="6664" width="13.7109375" style="1315" customWidth="1"/>
    <col min="6665" max="6665" width="11.5703125" style="1315" customWidth="1"/>
    <col min="6666" max="6666" width="34.28515625" style="1315" customWidth="1"/>
    <col min="6667" max="6667" width="24.28515625" style="1315" customWidth="1"/>
    <col min="6668" max="6668" width="21.140625" style="1315" customWidth="1"/>
    <col min="6669" max="6669" width="22.140625" style="1315" customWidth="1"/>
    <col min="6670" max="6670" width="8" style="1315" customWidth="1"/>
    <col min="6671" max="6671" width="17" style="1315" customWidth="1"/>
    <col min="6672" max="6672" width="12.7109375" style="1315" customWidth="1"/>
    <col min="6673" max="6673" width="24.5703125" style="1315" customWidth="1"/>
    <col min="6674" max="6674" width="29" style="1315" customWidth="1"/>
    <col min="6675" max="6675" width="17.7109375" style="1315" customWidth="1"/>
    <col min="6676" max="6676" width="36.42578125" style="1315" customWidth="1"/>
    <col min="6677" max="6677" width="21.85546875" style="1315" customWidth="1"/>
    <col min="6678" max="6678" width="11.7109375" style="1315" customWidth="1"/>
    <col min="6679" max="6679" width="26.28515625" style="1315" customWidth="1"/>
    <col min="6680" max="6680" width="9" style="1315" customWidth="1"/>
    <col min="6681" max="6681" width="6.28515625" style="1315" customWidth="1"/>
    <col min="6682" max="6683" width="7.28515625" style="1315" customWidth="1"/>
    <col min="6684" max="6684" width="8.42578125" style="1315" customWidth="1"/>
    <col min="6685" max="6685" width="9.5703125" style="1315" customWidth="1"/>
    <col min="6686" max="6686" width="6.28515625" style="1315" customWidth="1"/>
    <col min="6687" max="6687" width="5.85546875" style="1315" customWidth="1"/>
    <col min="6688" max="6689" width="4.42578125" style="1315" customWidth="1"/>
    <col min="6690" max="6690" width="5" style="1315" customWidth="1"/>
    <col min="6691" max="6691" width="5.85546875" style="1315" customWidth="1"/>
    <col min="6692" max="6692" width="6.140625" style="1315" customWidth="1"/>
    <col min="6693" max="6693" width="6.28515625" style="1315" customWidth="1"/>
    <col min="6694" max="6694" width="11.140625" style="1315" customWidth="1"/>
    <col min="6695" max="6695" width="14.140625" style="1315" customWidth="1"/>
    <col min="6696" max="6696" width="19.85546875" style="1315" customWidth="1"/>
    <col min="6697" max="6697" width="17" style="1315" customWidth="1"/>
    <col min="6698" max="6698" width="20.85546875" style="1315" customWidth="1"/>
    <col min="6699" max="6911" width="11.42578125" style="1315"/>
    <col min="6912" max="6912" width="13.140625" style="1315" customWidth="1"/>
    <col min="6913" max="6913" width="4" style="1315" customWidth="1"/>
    <col min="6914" max="6914" width="12.85546875" style="1315" customWidth="1"/>
    <col min="6915" max="6915" width="14.7109375" style="1315" customWidth="1"/>
    <col min="6916" max="6916" width="10" style="1315" customWidth="1"/>
    <col min="6917" max="6917" width="6.28515625" style="1315" customWidth="1"/>
    <col min="6918" max="6918" width="12.28515625" style="1315" customWidth="1"/>
    <col min="6919" max="6919" width="8.5703125" style="1315" customWidth="1"/>
    <col min="6920" max="6920" width="13.7109375" style="1315" customWidth="1"/>
    <col min="6921" max="6921" width="11.5703125" style="1315" customWidth="1"/>
    <col min="6922" max="6922" width="34.28515625" style="1315" customWidth="1"/>
    <col min="6923" max="6923" width="24.28515625" style="1315" customWidth="1"/>
    <col min="6924" max="6924" width="21.140625" style="1315" customWidth="1"/>
    <col min="6925" max="6925" width="22.140625" style="1315" customWidth="1"/>
    <col min="6926" max="6926" width="8" style="1315" customWidth="1"/>
    <col min="6927" max="6927" width="17" style="1315" customWidth="1"/>
    <col min="6928" max="6928" width="12.7109375" style="1315" customWidth="1"/>
    <col min="6929" max="6929" width="24.5703125" style="1315" customWidth="1"/>
    <col min="6930" max="6930" width="29" style="1315" customWidth="1"/>
    <col min="6931" max="6931" width="17.7109375" style="1315" customWidth="1"/>
    <col min="6932" max="6932" width="36.42578125" style="1315" customWidth="1"/>
    <col min="6933" max="6933" width="21.85546875" style="1315" customWidth="1"/>
    <col min="6934" max="6934" width="11.7109375" style="1315" customWidth="1"/>
    <col min="6935" max="6935" width="26.28515625" style="1315" customWidth="1"/>
    <col min="6936" max="6936" width="9" style="1315" customWidth="1"/>
    <col min="6937" max="6937" width="6.28515625" style="1315" customWidth="1"/>
    <col min="6938" max="6939" width="7.28515625" style="1315" customWidth="1"/>
    <col min="6940" max="6940" width="8.42578125" style="1315" customWidth="1"/>
    <col min="6941" max="6941" width="9.5703125" style="1315" customWidth="1"/>
    <col min="6942" max="6942" width="6.28515625" style="1315" customWidth="1"/>
    <col min="6943" max="6943" width="5.85546875" style="1315" customWidth="1"/>
    <col min="6944" max="6945" width="4.42578125" style="1315" customWidth="1"/>
    <col min="6946" max="6946" width="5" style="1315" customWidth="1"/>
    <col min="6947" max="6947" width="5.85546875" style="1315" customWidth="1"/>
    <col min="6948" max="6948" width="6.140625" style="1315" customWidth="1"/>
    <col min="6949" max="6949" width="6.28515625" style="1315" customWidth="1"/>
    <col min="6950" max="6950" width="11.140625" style="1315" customWidth="1"/>
    <col min="6951" max="6951" width="14.140625" style="1315" customWidth="1"/>
    <col min="6952" max="6952" width="19.85546875" style="1315" customWidth="1"/>
    <col min="6953" max="6953" width="17" style="1315" customWidth="1"/>
    <col min="6954" max="6954" width="20.85546875" style="1315" customWidth="1"/>
    <col min="6955" max="7167" width="11.42578125" style="1315"/>
    <col min="7168" max="7168" width="13.140625" style="1315" customWidth="1"/>
    <col min="7169" max="7169" width="4" style="1315" customWidth="1"/>
    <col min="7170" max="7170" width="12.85546875" style="1315" customWidth="1"/>
    <col min="7171" max="7171" width="14.7109375" style="1315" customWidth="1"/>
    <col min="7172" max="7172" width="10" style="1315" customWidth="1"/>
    <col min="7173" max="7173" width="6.28515625" style="1315" customWidth="1"/>
    <col min="7174" max="7174" width="12.28515625" style="1315" customWidth="1"/>
    <col min="7175" max="7175" width="8.5703125" style="1315" customWidth="1"/>
    <col min="7176" max="7176" width="13.7109375" style="1315" customWidth="1"/>
    <col min="7177" max="7177" width="11.5703125" style="1315" customWidth="1"/>
    <col min="7178" max="7178" width="34.28515625" style="1315" customWidth="1"/>
    <col min="7179" max="7179" width="24.28515625" style="1315" customWidth="1"/>
    <col min="7180" max="7180" width="21.140625" style="1315" customWidth="1"/>
    <col min="7181" max="7181" width="22.140625" style="1315" customWidth="1"/>
    <col min="7182" max="7182" width="8" style="1315" customWidth="1"/>
    <col min="7183" max="7183" width="17" style="1315" customWidth="1"/>
    <col min="7184" max="7184" width="12.7109375" style="1315" customWidth="1"/>
    <col min="7185" max="7185" width="24.5703125" style="1315" customWidth="1"/>
    <col min="7186" max="7186" width="29" style="1315" customWidth="1"/>
    <col min="7187" max="7187" width="17.7109375" style="1315" customWidth="1"/>
    <col min="7188" max="7188" width="36.42578125" style="1315" customWidth="1"/>
    <col min="7189" max="7189" width="21.85546875" style="1315" customWidth="1"/>
    <col min="7190" max="7190" width="11.7109375" style="1315" customWidth="1"/>
    <col min="7191" max="7191" width="26.28515625" style="1315" customWidth="1"/>
    <col min="7192" max="7192" width="9" style="1315" customWidth="1"/>
    <col min="7193" max="7193" width="6.28515625" style="1315" customWidth="1"/>
    <col min="7194" max="7195" width="7.28515625" style="1315" customWidth="1"/>
    <col min="7196" max="7196" width="8.42578125" style="1315" customWidth="1"/>
    <col min="7197" max="7197" width="9.5703125" style="1315" customWidth="1"/>
    <col min="7198" max="7198" width="6.28515625" style="1315" customWidth="1"/>
    <col min="7199" max="7199" width="5.85546875" style="1315" customWidth="1"/>
    <col min="7200" max="7201" width="4.42578125" style="1315" customWidth="1"/>
    <col min="7202" max="7202" width="5" style="1315" customWidth="1"/>
    <col min="7203" max="7203" width="5.85546875" style="1315" customWidth="1"/>
    <col min="7204" max="7204" width="6.140625" style="1315" customWidth="1"/>
    <col min="7205" max="7205" width="6.28515625" style="1315" customWidth="1"/>
    <col min="7206" max="7206" width="11.140625" style="1315" customWidth="1"/>
    <col min="7207" max="7207" width="14.140625" style="1315" customWidth="1"/>
    <col min="7208" max="7208" width="19.85546875" style="1315" customWidth="1"/>
    <col min="7209" max="7209" width="17" style="1315" customWidth="1"/>
    <col min="7210" max="7210" width="20.85546875" style="1315" customWidth="1"/>
    <col min="7211" max="7423" width="11.42578125" style="1315"/>
    <col min="7424" max="7424" width="13.140625" style="1315" customWidth="1"/>
    <col min="7425" max="7425" width="4" style="1315" customWidth="1"/>
    <col min="7426" max="7426" width="12.85546875" style="1315" customWidth="1"/>
    <col min="7427" max="7427" width="14.7109375" style="1315" customWidth="1"/>
    <col min="7428" max="7428" width="10" style="1315" customWidth="1"/>
    <col min="7429" max="7429" width="6.28515625" style="1315" customWidth="1"/>
    <col min="7430" max="7430" width="12.28515625" style="1315" customWidth="1"/>
    <col min="7431" max="7431" width="8.5703125" style="1315" customWidth="1"/>
    <col min="7432" max="7432" width="13.7109375" style="1315" customWidth="1"/>
    <col min="7433" max="7433" width="11.5703125" style="1315" customWidth="1"/>
    <col min="7434" max="7434" width="34.28515625" style="1315" customWidth="1"/>
    <col min="7435" max="7435" width="24.28515625" style="1315" customWidth="1"/>
    <col min="7436" max="7436" width="21.140625" style="1315" customWidth="1"/>
    <col min="7437" max="7437" width="22.140625" style="1315" customWidth="1"/>
    <col min="7438" max="7438" width="8" style="1315" customWidth="1"/>
    <col min="7439" max="7439" width="17" style="1315" customWidth="1"/>
    <col min="7440" max="7440" width="12.7109375" style="1315" customWidth="1"/>
    <col min="7441" max="7441" width="24.5703125" style="1315" customWidth="1"/>
    <col min="7442" max="7442" width="29" style="1315" customWidth="1"/>
    <col min="7443" max="7443" width="17.7109375" style="1315" customWidth="1"/>
    <col min="7444" max="7444" width="36.42578125" style="1315" customWidth="1"/>
    <col min="7445" max="7445" width="21.85546875" style="1315" customWidth="1"/>
    <col min="7446" max="7446" width="11.7109375" style="1315" customWidth="1"/>
    <col min="7447" max="7447" width="26.28515625" style="1315" customWidth="1"/>
    <col min="7448" max="7448" width="9" style="1315" customWidth="1"/>
    <col min="7449" max="7449" width="6.28515625" style="1315" customWidth="1"/>
    <col min="7450" max="7451" width="7.28515625" style="1315" customWidth="1"/>
    <col min="7452" max="7452" width="8.42578125" style="1315" customWidth="1"/>
    <col min="7453" max="7453" width="9.5703125" style="1315" customWidth="1"/>
    <col min="7454" max="7454" width="6.28515625" style="1315" customWidth="1"/>
    <col min="7455" max="7455" width="5.85546875" style="1315" customWidth="1"/>
    <col min="7456" max="7457" width="4.42578125" style="1315" customWidth="1"/>
    <col min="7458" max="7458" width="5" style="1315" customWidth="1"/>
    <col min="7459" max="7459" width="5.85546875" style="1315" customWidth="1"/>
    <col min="7460" max="7460" width="6.140625" style="1315" customWidth="1"/>
    <col min="7461" max="7461" width="6.28515625" style="1315" customWidth="1"/>
    <col min="7462" max="7462" width="11.140625" style="1315" customWidth="1"/>
    <col min="7463" max="7463" width="14.140625" style="1315" customWidth="1"/>
    <col min="7464" max="7464" width="19.85546875" style="1315" customWidth="1"/>
    <col min="7465" max="7465" width="17" style="1315" customWidth="1"/>
    <col min="7466" max="7466" width="20.85546875" style="1315" customWidth="1"/>
    <col min="7467" max="7679" width="11.42578125" style="1315"/>
    <col min="7680" max="7680" width="13.140625" style="1315" customWidth="1"/>
    <col min="7681" max="7681" width="4" style="1315" customWidth="1"/>
    <col min="7682" max="7682" width="12.85546875" style="1315" customWidth="1"/>
    <col min="7683" max="7683" width="14.7109375" style="1315" customWidth="1"/>
    <col min="7684" max="7684" width="10" style="1315" customWidth="1"/>
    <col min="7685" max="7685" width="6.28515625" style="1315" customWidth="1"/>
    <col min="7686" max="7686" width="12.28515625" style="1315" customWidth="1"/>
    <col min="7687" max="7687" width="8.5703125" style="1315" customWidth="1"/>
    <col min="7688" max="7688" width="13.7109375" style="1315" customWidth="1"/>
    <col min="7689" max="7689" width="11.5703125" style="1315" customWidth="1"/>
    <col min="7690" max="7690" width="34.28515625" style="1315" customWidth="1"/>
    <col min="7691" max="7691" width="24.28515625" style="1315" customWidth="1"/>
    <col min="7692" max="7692" width="21.140625" style="1315" customWidth="1"/>
    <col min="7693" max="7693" width="22.140625" style="1315" customWidth="1"/>
    <col min="7694" max="7694" width="8" style="1315" customWidth="1"/>
    <col min="7695" max="7695" width="17" style="1315" customWidth="1"/>
    <col min="7696" max="7696" width="12.7109375" style="1315" customWidth="1"/>
    <col min="7697" max="7697" width="24.5703125" style="1315" customWidth="1"/>
    <col min="7698" max="7698" width="29" style="1315" customWidth="1"/>
    <col min="7699" max="7699" width="17.7109375" style="1315" customWidth="1"/>
    <col min="7700" max="7700" width="36.42578125" style="1315" customWidth="1"/>
    <col min="7701" max="7701" width="21.85546875" style="1315" customWidth="1"/>
    <col min="7702" max="7702" width="11.7109375" style="1315" customWidth="1"/>
    <col min="7703" max="7703" width="26.28515625" style="1315" customWidth="1"/>
    <col min="7704" max="7704" width="9" style="1315" customWidth="1"/>
    <col min="7705" max="7705" width="6.28515625" style="1315" customWidth="1"/>
    <col min="7706" max="7707" width="7.28515625" style="1315" customWidth="1"/>
    <col min="7708" max="7708" width="8.42578125" style="1315" customWidth="1"/>
    <col min="7709" max="7709" width="9.5703125" style="1315" customWidth="1"/>
    <col min="7710" max="7710" width="6.28515625" style="1315" customWidth="1"/>
    <col min="7711" max="7711" width="5.85546875" style="1315" customWidth="1"/>
    <col min="7712" max="7713" width="4.42578125" style="1315" customWidth="1"/>
    <col min="7714" max="7714" width="5" style="1315" customWidth="1"/>
    <col min="7715" max="7715" width="5.85546875" style="1315" customWidth="1"/>
    <col min="7716" max="7716" width="6.140625" style="1315" customWidth="1"/>
    <col min="7717" max="7717" width="6.28515625" style="1315" customWidth="1"/>
    <col min="7718" max="7718" width="11.140625" style="1315" customWidth="1"/>
    <col min="7719" max="7719" width="14.140625" style="1315" customWidth="1"/>
    <col min="7720" max="7720" width="19.85546875" style="1315" customWidth="1"/>
    <col min="7721" max="7721" width="17" style="1315" customWidth="1"/>
    <col min="7722" max="7722" width="20.85546875" style="1315" customWidth="1"/>
    <col min="7723" max="7935" width="11.42578125" style="1315"/>
    <col min="7936" max="7936" width="13.140625" style="1315" customWidth="1"/>
    <col min="7937" max="7937" width="4" style="1315" customWidth="1"/>
    <col min="7938" max="7938" width="12.85546875" style="1315" customWidth="1"/>
    <col min="7939" max="7939" width="14.7109375" style="1315" customWidth="1"/>
    <col min="7940" max="7940" width="10" style="1315" customWidth="1"/>
    <col min="7941" max="7941" width="6.28515625" style="1315" customWidth="1"/>
    <col min="7942" max="7942" width="12.28515625" style="1315" customWidth="1"/>
    <col min="7943" max="7943" width="8.5703125" style="1315" customWidth="1"/>
    <col min="7944" max="7944" width="13.7109375" style="1315" customWidth="1"/>
    <col min="7945" max="7945" width="11.5703125" style="1315" customWidth="1"/>
    <col min="7946" max="7946" width="34.28515625" style="1315" customWidth="1"/>
    <col min="7947" max="7947" width="24.28515625" style="1315" customWidth="1"/>
    <col min="7948" max="7948" width="21.140625" style="1315" customWidth="1"/>
    <col min="7949" max="7949" width="22.140625" style="1315" customWidth="1"/>
    <col min="7950" max="7950" width="8" style="1315" customWidth="1"/>
    <col min="7951" max="7951" width="17" style="1315" customWidth="1"/>
    <col min="7952" max="7952" width="12.7109375" style="1315" customWidth="1"/>
    <col min="7953" max="7953" width="24.5703125" style="1315" customWidth="1"/>
    <col min="7954" max="7954" width="29" style="1315" customWidth="1"/>
    <col min="7955" max="7955" width="17.7109375" style="1315" customWidth="1"/>
    <col min="7956" max="7956" width="36.42578125" style="1315" customWidth="1"/>
    <col min="7957" max="7957" width="21.85546875" style="1315" customWidth="1"/>
    <col min="7958" max="7958" width="11.7109375" style="1315" customWidth="1"/>
    <col min="7959" max="7959" width="26.28515625" style="1315" customWidth="1"/>
    <col min="7960" max="7960" width="9" style="1315" customWidth="1"/>
    <col min="7961" max="7961" width="6.28515625" style="1315" customWidth="1"/>
    <col min="7962" max="7963" width="7.28515625" style="1315" customWidth="1"/>
    <col min="7964" max="7964" width="8.42578125" style="1315" customWidth="1"/>
    <col min="7965" max="7965" width="9.5703125" style="1315" customWidth="1"/>
    <col min="7966" max="7966" width="6.28515625" style="1315" customWidth="1"/>
    <col min="7967" max="7967" width="5.85546875" style="1315" customWidth="1"/>
    <col min="7968" max="7969" width="4.42578125" style="1315" customWidth="1"/>
    <col min="7970" max="7970" width="5" style="1315" customWidth="1"/>
    <col min="7971" max="7971" width="5.85546875" style="1315" customWidth="1"/>
    <col min="7972" max="7972" width="6.140625" style="1315" customWidth="1"/>
    <col min="7973" max="7973" width="6.28515625" style="1315" customWidth="1"/>
    <col min="7974" max="7974" width="11.140625" style="1315" customWidth="1"/>
    <col min="7975" max="7975" width="14.140625" style="1315" customWidth="1"/>
    <col min="7976" max="7976" width="19.85546875" style="1315" customWidth="1"/>
    <col min="7977" max="7977" width="17" style="1315" customWidth="1"/>
    <col min="7978" max="7978" width="20.85546875" style="1315" customWidth="1"/>
    <col min="7979" max="8191" width="11.42578125" style="1315"/>
    <col min="8192" max="8192" width="13.140625" style="1315" customWidth="1"/>
    <col min="8193" max="8193" width="4" style="1315" customWidth="1"/>
    <col min="8194" max="8194" width="12.85546875" style="1315" customWidth="1"/>
    <col min="8195" max="8195" width="14.7109375" style="1315" customWidth="1"/>
    <col min="8196" max="8196" width="10" style="1315" customWidth="1"/>
    <col min="8197" max="8197" width="6.28515625" style="1315" customWidth="1"/>
    <col min="8198" max="8198" width="12.28515625" style="1315" customWidth="1"/>
    <col min="8199" max="8199" width="8.5703125" style="1315" customWidth="1"/>
    <col min="8200" max="8200" width="13.7109375" style="1315" customWidth="1"/>
    <col min="8201" max="8201" width="11.5703125" style="1315" customWidth="1"/>
    <col min="8202" max="8202" width="34.28515625" style="1315" customWidth="1"/>
    <col min="8203" max="8203" width="24.28515625" style="1315" customWidth="1"/>
    <col min="8204" max="8204" width="21.140625" style="1315" customWidth="1"/>
    <col min="8205" max="8205" width="22.140625" style="1315" customWidth="1"/>
    <col min="8206" max="8206" width="8" style="1315" customWidth="1"/>
    <col min="8207" max="8207" width="17" style="1315" customWidth="1"/>
    <col min="8208" max="8208" width="12.7109375" style="1315" customWidth="1"/>
    <col min="8209" max="8209" width="24.5703125" style="1315" customWidth="1"/>
    <col min="8210" max="8210" width="29" style="1315" customWidth="1"/>
    <col min="8211" max="8211" width="17.7109375" style="1315" customWidth="1"/>
    <col min="8212" max="8212" width="36.42578125" style="1315" customWidth="1"/>
    <col min="8213" max="8213" width="21.85546875" style="1315" customWidth="1"/>
    <col min="8214" max="8214" width="11.7109375" style="1315" customWidth="1"/>
    <col min="8215" max="8215" width="26.28515625" style="1315" customWidth="1"/>
    <col min="8216" max="8216" width="9" style="1315" customWidth="1"/>
    <col min="8217" max="8217" width="6.28515625" style="1315" customWidth="1"/>
    <col min="8218" max="8219" width="7.28515625" style="1315" customWidth="1"/>
    <col min="8220" max="8220" width="8.42578125" style="1315" customWidth="1"/>
    <col min="8221" max="8221" width="9.5703125" style="1315" customWidth="1"/>
    <col min="8222" max="8222" width="6.28515625" style="1315" customWidth="1"/>
    <col min="8223" max="8223" width="5.85546875" style="1315" customWidth="1"/>
    <col min="8224" max="8225" width="4.42578125" style="1315" customWidth="1"/>
    <col min="8226" max="8226" width="5" style="1315" customWidth="1"/>
    <col min="8227" max="8227" width="5.85546875" style="1315" customWidth="1"/>
    <col min="8228" max="8228" width="6.140625" style="1315" customWidth="1"/>
    <col min="8229" max="8229" width="6.28515625" style="1315" customWidth="1"/>
    <col min="8230" max="8230" width="11.140625" style="1315" customWidth="1"/>
    <col min="8231" max="8231" width="14.140625" style="1315" customWidth="1"/>
    <col min="8232" max="8232" width="19.85546875" style="1315" customWidth="1"/>
    <col min="8233" max="8233" width="17" style="1315" customWidth="1"/>
    <col min="8234" max="8234" width="20.85546875" style="1315" customWidth="1"/>
    <col min="8235" max="8447" width="11.42578125" style="1315"/>
    <col min="8448" max="8448" width="13.140625" style="1315" customWidth="1"/>
    <col min="8449" max="8449" width="4" style="1315" customWidth="1"/>
    <col min="8450" max="8450" width="12.85546875" style="1315" customWidth="1"/>
    <col min="8451" max="8451" width="14.7109375" style="1315" customWidth="1"/>
    <col min="8452" max="8452" width="10" style="1315" customWidth="1"/>
    <col min="8453" max="8453" width="6.28515625" style="1315" customWidth="1"/>
    <col min="8454" max="8454" width="12.28515625" style="1315" customWidth="1"/>
    <col min="8455" max="8455" width="8.5703125" style="1315" customWidth="1"/>
    <col min="8456" max="8456" width="13.7109375" style="1315" customWidth="1"/>
    <col min="8457" max="8457" width="11.5703125" style="1315" customWidth="1"/>
    <col min="8458" max="8458" width="34.28515625" style="1315" customWidth="1"/>
    <col min="8459" max="8459" width="24.28515625" style="1315" customWidth="1"/>
    <col min="8460" max="8460" width="21.140625" style="1315" customWidth="1"/>
    <col min="8461" max="8461" width="22.140625" style="1315" customWidth="1"/>
    <col min="8462" max="8462" width="8" style="1315" customWidth="1"/>
    <col min="8463" max="8463" width="17" style="1315" customWidth="1"/>
    <col min="8464" max="8464" width="12.7109375" style="1315" customWidth="1"/>
    <col min="8465" max="8465" width="24.5703125" style="1315" customWidth="1"/>
    <col min="8466" max="8466" width="29" style="1315" customWidth="1"/>
    <col min="8467" max="8467" width="17.7109375" style="1315" customWidth="1"/>
    <col min="8468" max="8468" width="36.42578125" style="1315" customWidth="1"/>
    <col min="8469" max="8469" width="21.85546875" style="1315" customWidth="1"/>
    <col min="8470" max="8470" width="11.7109375" style="1315" customWidth="1"/>
    <col min="8471" max="8471" width="26.28515625" style="1315" customWidth="1"/>
    <col min="8472" max="8472" width="9" style="1315" customWidth="1"/>
    <col min="8473" max="8473" width="6.28515625" style="1315" customWidth="1"/>
    <col min="8474" max="8475" width="7.28515625" style="1315" customWidth="1"/>
    <col min="8476" max="8476" width="8.42578125" style="1315" customWidth="1"/>
    <col min="8477" max="8477" width="9.5703125" style="1315" customWidth="1"/>
    <col min="8478" max="8478" width="6.28515625" style="1315" customWidth="1"/>
    <col min="8479" max="8479" width="5.85546875" style="1315" customWidth="1"/>
    <col min="8480" max="8481" width="4.42578125" style="1315" customWidth="1"/>
    <col min="8482" max="8482" width="5" style="1315" customWidth="1"/>
    <col min="8483" max="8483" width="5.85546875" style="1315" customWidth="1"/>
    <col min="8484" max="8484" width="6.140625" style="1315" customWidth="1"/>
    <col min="8485" max="8485" width="6.28515625" style="1315" customWidth="1"/>
    <col min="8486" max="8486" width="11.140625" style="1315" customWidth="1"/>
    <col min="8487" max="8487" width="14.140625" style="1315" customWidth="1"/>
    <col min="8488" max="8488" width="19.85546875" style="1315" customWidth="1"/>
    <col min="8489" max="8489" width="17" style="1315" customWidth="1"/>
    <col min="8490" max="8490" width="20.85546875" style="1315" customWidth="1"/>
    <col min="8491" max="8703" width="11.42578125" style="1315"/>
    <col min="8704" max="8704" width="13.140625" style="1315" customWidth="1"/>
    <col min="8705" max="8705" width="4" style="1315" customWidth="1"/>
    <col min="8706" max="8706" width="12.85546875" style="1315" customWidth="1"/>
    <col min="8707" max="8707" width="14.7109375" style="1315" customWidth="1"/>
    <col min="8708" max="8708" width="10" style="1315" customWidth="1"/>
    <col min="8709" max="8709" width="6.28515625" style="1315" customWidth="1"/>
    <col min="8710" max="8710" width="12.28515625" style="1315" customWidth="1"/>
    <col min="8711" max="8711" width="8.5703125" style="1315" customWidth="1"/>
    <col min="8712" max="8712" width="13.7109375" style="1315" customWidth="1"/>
    <col min="8713" max="8713" width="11.5703125" style="1315" customWidth="1"/>
    <col min="8714" max="8714" width="34.28515625" style="1315" customWidth="1"/>
    <col min="8715" max="8715" width="24.28515625" style="1315" customWidth="1"/>
    <col min="8716" max="8716" width="21.140625" style="1315" customWidth="1"/>
    <col min="8717" max="8717" width="22.140625" style="1315" customWidth="1"/>
    <col min="8718" max="8718" width="8" style="1315" customWidth="1"/>
    <col min="8719" max="8719" width="17" style="1315" customWidth="1"/>
    <col min="8720" max="8720" width="12.7109375" style="1315" customWidth="1"/>
    <col min="8721" max="8721" width="24.5703125" style="1315" customWidth="1"/>
    <col min="8722" max="8722" width="29" style="1315" customWidth="1"/>
    <col min="8723" max="8723" width="17.7109375" style="1315" customWidth="1"/>
    <col min="8724" max="8724" width="36.42578125" style="1315" customWidth="1"/>
    <col min="8725" max="8725" width="21.85546875" style="1315" customWidth="1"/>
    <col min="8726" max="8726" width="11.7109375" style="1315" customWidth="1"/>
    <col min="8727" max="8727" width="26.28515625" style="1315" customWidth="1"/>
    <col min="8728" max="8728" width="9" style="1315" customWidth="1"/>
    <col min="8729" max="8729" width="6.28515625" style="1315" customWidth="1"/>
    <col min="8730" max="8731" width="7.28515625" style="1315" customWidth="1"/>
    <col min="8732" max="8732" width="8.42578125" style="1315" customWidth="1"/>
    <col min="8733" max="8733" width="9.5703125" style="1315" customWidth="1"/>
    <col min="8734" max="8734" width="6.28515625" style="1315" customWidth="1"/>
    <col min="8735" max="8735" width="5.85546875" style="1315" customWidth="1"/>
    <col min="8736" max="8737" width="4.42578125" style="1315" customWidth="1"/>
    <col min="8738" max="8738" width="5" style="1315" customWidth="1"/>
    <col min="8739" max="8739" width="5.85546875" style="1315" customWidth="1"/>
    <col min="8740" max="8740" width="6.140625" style="1315" customWidth="1"/>
    <col min="8741" max="8741" width="6.28515625" style="1315" customWidth="1"/>
    <col min="8742" max="8742" width="11.140625" style="1315" customWidth="1"/>
    <col min="8743" max="8743" width="14.140625" style="1315" customWidth="1"/>
    <col min="8744" max="8744" width="19.85546875" style="1315" customWidth="1"/>
    <col min="8745" max="8745" width="17" style="1315" customWidth="1"/>
    <col min="8746" max="8746" width="20.85546875" style="1315" customWidth="1"/>
    <col min="8747" max="8959" width="11.42578125" style="1315"/>
    <col min="8960" max="8960" width="13.140625" style="1315" customWidth="1"/>
    <col min="8961" max="8961" width="4" style="1315" customWidth="1"/>
    <col min="8962" max="8962" width="12.85546875" style="1315" customWidth="1"/>
    <col min="8963" max="8963" width="14.7109375" style="1315" customWidth="1"/>
    <col min="8964" max="8964" width="10" style="1315" customWidth="1"/>
    <col min="8965" max="8965" width="6.28515625" style="1315" customWidth="1"/>
    <col min="8966" max="8966" width="12.28515625" style="1315" customWidth="1"/>
    <col min="8967" max="8967" width="8.5703125" style="1315" customWidth="1"/>
    <col min="8968" max="8968" width="13.7109375" style="1315" customWidth="1"/>
    <col min="8969" max="8969" width="11.5703125" style="1315" customWidth="1"/>
    <col min="8970" max="8970" width="34.28515625" style="1315" customWidth="1"/>
    <col min="8971" max="8971" width="24.28515625" style="1315" customWidth="1"/>
    <col min="8972" max="8972" width="21.140625" style="1315" customWidth="1"/>
    <col min="8973" max="8973" width="22.140625" style="1315" customWidth="1"/>
    <col min="8974" max="8974" width="8" style="1315" customWidth="1"/>
    <col min="8975" max="8975" width="17" style="1315" customWidth="1"/>
    <col min="8976" max="8976" width="12.7109375" style="1315" customWidth="1"/>
    <col min="8977" max="8977" width="24.5703125" style="1315" customWidth="1"/>
    <col min="8978" max="8978" width="29" style="1315" customWidth="1"/>
    <col min="8979" max="8979" width="17.7109375" style="1315" customWidth="1"/>
    <col min="8980" max="8980" width="36.42578125" style="1315" customWidth="1"/>
    <col min="8981" max="8981" width="21.85546875" style="1315" customWidth="1"/>
    <col min="8982" max="8982" width="11.7109375" style="1315" customWidth="1"/>
    <col min="8983" max="8983" width="26.28515625" style="1315" customWidth="1"/>
    <col min="8984" max="8984" width="9" style="1315" customWidth="1"/>
    <col min="8985" max="8985" width="6.28515625" style="1315" customWidth="1"/>
    <col min="8986" max="8987" width="7.28515625" style="1315" customWidth="1"/>
    <col min="8988" max="8988" width="8.42578125" style="1315" customWidth="1"/>
    <col min="8989" max="8989" width="9.5703125" style="1315" customWidth="1"/>
    <col min="8990" max="8990" width="6.28515625" style="1315" customWidth="1"/>
    <col min="8991" max="8991" width="5.85546875" style="1315" customWidth="1"/>
    <col min="8992" max="8993" width="4.42578125" style="1315" customWidth="1"/>
    <col min="8994" max="8994" width="5" style="1315" customWidth="1"/>
    <col min="8995" max="8995" width="5.85546875" style="1315" customWidth="1"/>
    <col min="8996" max="8996" width="6.140625" style="1315" customWidth="1"/>
    <col min="8997" max="8997" width="6.28515625" style="1315" customWidth="1"/>
    <col min="8998" max="8998" width="11.140625" style="1315" customWidth="1"/>
    <col min="8999" max="8999" width="14.140625" style="1315" customWidth="1"/>
    <col min="9000" max="9000" width="19.85546875" style="1315" customWidth="1"/>
    <col min="9001" max="9001" width="17" style="1315" customWidth="1"/>
    <col min="9002" max="9002" width="20.85546875" style="1315" customWidth="1"/>
    <col min="9003" max="9215" width="11.42578125" style="1315"/>
    <col min="9216" max="9216" width="13.140625" style="1315" customWidth="1"/>
    <col min="9217" max="9217" width="4" style="1315" customWidth="1"/>
    <col min="9218" max="9218" width="12.85546875" style="1315" customWidth="1"/>
    <col min="9219" max="9219" width="14.7109375" style="1315" customWidth="1"/>
    <col min="9220" max="9220" width="10" style="1315" customWidth="1"/>
    <col min="9221" max="9221" width="6.28515625" style="1315" customWidth="1"/>
    <col min="9222" max="9222" width="12.28515625" style="1315" customWidth="1"/>
    <col min="9223" max="9223" width="8.5703125" style="1315" customWidth="1"/>
    <col min="9224" max="9224" width="13.7109375" style="1315" customWidth="1"/>
    <col min="9225" max="9225" width="11.5703125" style="1315" customWidth="1"/>
    <col min="9226" max="9226" width="34.28515625" style="1315" customWidth="1"/>
    <col min="9227" max="9227" width="24.28515625" style="1315" customWidth="1"/>
    <col min="9228" max="9228" width="21.140625" style="1315" customWidth="1"/>
    <col min="9229" max="9229" width="22.140625" style="1315" customWidth="1"/>
    <col min="9230" max="9230" width="8" style="1315" customWidth="1"/>
    <col min="9231" max="9231" width="17" style="1315" customWidth="1"/>
    <col min="9232" max="9232" width="12.7109375" style="1315" customWidth="1"/>
    <col min="9233" max="9233" width="24.5703125" style="1315" customWidth="1"/>
    <col min="9234" max="9234" width="29" style="1315" customWidth="1"/>
    <col min="9235" max="9235" width="17.7109375" style="1315" customWidth="1"/>
    <col min="9236" max="9236" width="36.42578125" style="1315" customWidth="1"/>
    <col min="9237" max="9237" width="21.85546875" style="1315" customWidth="1"/>
    <col min="9238" max="9238" width="11.7109375" style="1315" customWidth="1"/>
    <col min="9239" max="9239" width="26.28515625" style="1315" customWidth="1"/>
    <col min="9240" max="9240" width="9" style="1315" customWidth="1"/>
    <col min="9241" max="9241" width="6.28515625" style="1315" customWidth="1"/>
    <col min="9242" max="9243" width="7.28515625" style="1315" customWidth="1"/>
    <col min="9244" max="9244" width="8.42578125" style="1315" customWidth="1"/>
    <col min="9245" max="9245" width="9.5703125" style="1315" customWidth="1"/>
    <col min="9246" max="9246" width="6.28515625" style="1315" customWidth="1"/>
    <col min="9247" max="9247" width="5.85546875" style="1315" customWidth="1"/>
    <col min="9248" max="9249" width="4.42578125" style="1315" customWidth="1"/>
    <col min="9250" max="9250" width="5" style="1315" customWidth="1"/>
    <col min="9251" max="9251" width="5.85546875" style="1315" customWidth="1"/>
    <col min="9252" max="9252" width="6.140625" style="1315" customWidth="1"/>
    <col min="9253" max="9253" width="6.28515625" style="1315" customWidth="1"/>
    <col min="9254" max="9254" width="11.140625" style="1315" customWidth="1"/>
    <col min="9255" max="9255" width="14.140625" style="1315" customWidth="1"/>
    <col min="9256" max="9256" width="19.85546875" style="1315" customWidth="1"/>
    <col min="9257" max="9257" width="17" style="1315" customWidth="1"/>
    <col min="9258" max="9258" width="20.85546875" style="1315" customWidth="1"/>
    <col min="9259" max="9471" width="11.42578125" style="1315"/>
    <col min="9472" max="9472" width="13.140625" style="1315" customWidth="1"/>
    <col min="9473" max="9473" width="4" style="1315" customWidth="1"/>
    <col min="9474" max="9474" width="12.85546875" style="1315" customWidth="1"/>
    <col min="9475" max="9475" width="14.7109375" style="1315" customWidth="1"/>
    <col min="9476" max="9476" width="10" style="1315" customWidth="1"/>
    <col min="9477" max="9477" width="6.28515625" style="1315" customWidth="1"/>
    <col min="9478" max="9478" width="12.28515625" style="1315" customWidth="1"/>
    <col min="9479" max="9479" width="8.5703125" style="1315" customWidth="1"/>
    <col min="9480" max="9480" width="13.7109375" style="1315" customWidth="1"/>
    <col min="9481" max="9481" width="11.5703125" style="1315" customWidth="1"/>
    <col min="9482" max="9482" width="34.28515625" style="1315" customWidth="1"/>
    <col min="9483" max="9483" width="24.28515625" style="1315" customWidth="1"/>
    <col min="9484" max="9484" width="21.140625" style="1315" customWidth="1"/>
    <col min="9485" max="9485" width="22.140625" style="1315" customWidth="1"/>
    <col min="9486" max="9486" width="8" style="1315" customWidth="1"/>
    <col min="9487" max="9487" width="17" style="1315" customWidth="1"/>
    <col min="9488" max="9488" width="12.7109375" style="1315" customWidth="1"/>
    <col min="9489" max="9489" width="24.5703125" style="1315" customWidth="1"/>
    <col min="9490" max="9490" width="29" style="1315" customWidth="1"/>
    <col min="9491" max="9491" width="17.7109375" style="1315" customWidth="1"/>
    <col min="9492" max="9492" width="36.42578125" style="1315" customWidth="1"/>
    <col min="9493" max="9493" width="21.85546875" style="1315" customWidth="1"/>
    <col min="9494" max="9494" width="11.7109375" style="1315" customWidth="1"/>
    <col min="9495" max="9495" width="26.28515625" style="1315" customWidth="1"/>
    <col min="9496" max="9496" width="9" style="1315" customWidth="1"/>
    <col min="9497" max="9497" width="6.28515625" style="1315" customWidth="1"/>
    <col min="9498" max="9499" width="7.28515625" style="1315" customWidth="1"/>
    <col min="9500" max="9500" width="8.42578125" style="1315" customWidth="1"/>
    <col min="9501" max="9501" width="9.5703125" style="1315" customWidth="1"/>
    <col min="9502" max="9502" width="6.28515625" style="1315" customWidth="1"/>
    <col min="9503" max="9503" width="5.85546875" style="1315" customWidth="1"/>
    <col min="9504" max="9505" width="4.42578125" style="1315" customWidth="1"/>
    <col min="9506" max="9506" width="5" style="1315" customWidth="1"/>
    <col min="9507" max="9507" width="5.85546875" style="1315" customWidth="1"/>
    <col min="9508" max="9508" width="6.140625" style="1315" customWidth="1"/>
    <col min="9509" max="9509" width="6.28515625" style="1315" customWidth="1"/>
    <col min="9510" max="9510" width="11.140625" style="1315" customWidth="1"/>
    <col min="9511" max="9511" width="14.140625" style="1315" customWidth="1"/>
    <col min="9512" max="9512" width="19.85546875" style="1315" customWidth="1"/>
    <col min="9513" max="9513" width="17" style="1315" customWidth="1"/>
    <col min="9514" max="9514" width="20.85546875" style="1315" customWidth="1"/>
    <col min="9515" max="9727" width="11.42578125" style="1315"/>
    <col min="9728" max="9728" width="13.140625" style="1315" customWidth="1"/>
    <col min="9729" max="9729" width="4" style="1315" customWidth="1"/>
    <col min="9730" max="9730" width="12.85546875" style="1315" customWidth="1"/>
    <col min="9731" max="9731" width="14.7109375" style="1315" customWidth="1"/>
    <col min="9732" max="9732" width="10" style="1315" customWidth="1"/>
    <col min="9733" max="9733" width="6.28515625" style="1315" customWidth="1"/>
    <col min="9734" max="9734" width="12.28515625" style="1315" customWidth="1"/>
    <col min="9735" max="9735" width="8.5703125" style="1315" customWidth="1"/>
    <col min="9736" max="9736" width="13.7109375" style="1315" customWidth="1"/>
    <col min="9737" max="9737" width="11.5703125" style="1315" customWidth="1"/>
    <col min="9738" max="9738" width="34.28515625" style="1315" customWidth="1"/>
    <col min="9739" max="9739" width="24.28515625" style="1315" customWidth="1"/>
    <col min="9740" max="9740" width="21.140625" style="1315" customWidth="1"/>
    <col min="9741" max="9741" width="22.140625" style="1315" customWidth="1"/>
    <col min="9742" max="9742" width="8" style="1315" customWidth="1"/>
    <col min="9743" max="9743" width="17" style="1315" customWidth="1"/>
    <col min="9744" max="9744" width="12.7109375" style="1315" customWidth="1"/>
    <col min="9745" max="9745" width="24.5703125" style="1315" customWidth="1"/>
    <col min="9746" max="9746" width="29" style="1315" customWidth="1"/>
    <col min="9747" max="9747" width="17.7109375" style="1315" customWidth="1"/>
    <col min="9748" max="9748" width="36.42578125" style="1315" customWidth="1"/>
    <col min="9749" max="9749" width="21.85546875" style="1315" customWidth="1"/>
    <col min="9750" max="9750" width="11.7109375" style="1315" customWidth="1"/>
    <col min="9751" max="9751" width="26.28515625" style="1315" customWidth="1"/>
    <col min="9752" max="9752" width="9" style="1315" customWidth="1"/>
    <col min="9753" max="9753" width="6.28515625" style="1315" customWidth="1"/>
    <col min="9754" max="9755" width="7.28515625" style="1315" customWidth="1"/>
    <col min="9756" max="9756" width="8.42578125" style="1315" customWidth="1"/>
    <col min="9757" max="9757" width="9.5703125" style="1315" customWidth="1"/>
    <col min="9758" max="9758" width="6.28515625" style="1315" customWidth="1"/>
    <col min="9759" max="9759" width="5.85546875" style="1315" customWidth="1"/>
    <col min="9760" max="9761" width="4.42578125" style="1315" customWidth="1"/>
    <col min="9762" max="9762" width="5" style="1315" customWidth="1"/>
    <col min="9763" max="9763" width="5.85546875" style="1315" customWidth="1"/>
    <col min="9764" max="9764" width="6.140625" style="1315" customWidth="1"/>
    <col min="9765" max="9765" width="6.28515625" style="1315" customWidth="1"/>
    <col min="9766" max="9766" width="11.140625" style="1315" customWidth="1"/>
    <col min="9767" max="9767" width="14.140625" style="1315" customWidth="1"/>
    <col min="9768" max="9768" width="19.85546875" style="1315" customWidth="1"/>
    <col min="9769" max="9769" width="17" style="1315" customWidth="1"/>
    <col min="9770" max="9770" width="20.85546875" style="1315" customWidth="1"/>
    <col min="9771" max="9983" width="11.42578125" style="1315"/>
    <col min="9984" max="9984" width="13.140625" style="1315" customWidth="1"/>
    <col min="9985" max="9985" width="4" style="1315" customWidth="1"/>
    <col min="9986" max="9986" width="12.85546875" style="1315" customWidth="1"/>
    <col min="9987" max="9987" width="14.7109375" style="1315" customWidth="1"/>
    <col min="9988" max="9988" width="10" style="1315" customWidth="1"/>
    <col min="9989" max="9989" width="6.28515625" style="1315" customWidth="1"/>
    <col min="9990" max="9990" width="12.28515625" style="1315" customWidth="1"/>
    <col min="9991" max="9991" width="8.5703125" style="1315" customWidth="1"/>
    <col min="9992" max="9992" width="13.7109375" style="1315" customWidth="1"/>
    <col min="9993" max="9993" width="11.5703125" style="1315" customWidth="1"/>
    <col min="9994" max="9994" width="34.28515625" style="1315" customWidth="1"/>
    <col min="9995" max="9995" width="24.28515625" style="1315" customWidth="1"/>
    <col min="9996" max="9996" width="21.140625" style="1315" customWidth="1"/>
    <col min="9997" max="9997" width="22.140625" style="1315" customWidth="1"/>
    <col min="9998" max="9998" width="8" style="1315" customWidth="1"/>
    <col min="9999" max="9999" width="17" style="1315" customWidth="1"/>
    <col min="10000" max="10000" width="12.7109375" style="1315" customWidth="1"/>
    <col min="10001" max="10001" width="24.5703125" style="1315" customWidth="1"/>
    <col min="10002" max="10002" width="29" style="1315" customWidth="1"/>
    <col min="10003" max="10003" width="17.7109375" style="1315" customWidth="1"/>
    <col min="10004" max="10004" width="36.42578125" style="1315" customWidth="1"/>
    <col min="10005" max="10005" width="21.85546875" style="1315" customWidth="1"/>
    <col min="10006" max="10006" width="11.7109375" style="1315" customWidth="1"/>
    <col min="10007" max="10007" width="26.28515625" style="1315" customWidth="1"/>
    <col min="10008" max="10008" width="9" style="1315" customWidth="1"/>
    <col min="10009" max="10009" width="6.28515625" style="1315" customWidth="1"/>
    <col min="10010" max="10011" width="7.28515625" style="1315" customWidth="1"/>
    <col min="10012" max="10012" width="8.42578125" style="1315" customWidth="1"/>
    <col min="10013" max="10013" width="9.5703125" style="1315" customWidth="1"/>
    <col min="10014" max="10014" width="6.28515625" style="1315" customWidth="1"/>
    <col min="10015" max="10015" width="5.85546875" style="1315" customWidth="1"/>
    <col min="10016" max="10017" width="4.42578125" style="1315" customWidth="1"/>
    <col min="10018" max="10018" width="5" style="1315" customWidth="1"/>
    <col min="10019" max="10019" width="5.85546875" style="1315" customWidth="1"/>
    <col min="10020" max="10020" width="6.140625" style="1315" customWidth="1"/>
    <col min="10021" max="10021" width="6.28515625" style="1315" customWidth="1"/>
    <col min="10022" max="10022" width="11.140625" style="1315" customWidth="1"/>
    <col min="10023" max="10023" width="14.140625" style="1315" customWidth="1"/>
    <col min="10024" max="10024" width="19.85546875" style="1315" customWidth="1"/>
    <col min="10025" max="10025" width="17" style="1315" customWidth="1"/>
    <col min="10026" max="10026" width="20.85546875" style="1315" customWidth="1"/>
    <col min="10027" max="10239" width="11.42578125" style="1315"/>
    <col min="10240" max="10240" width="13.140625" style="1315" customWidth="1"/>
    <col min="10241" max="10241" width="4" style="1315" customWidth="1"/>
    <col min="10242" max="10242" width="12.85546875" style="1315" customWidth="1"/>
    <col min="10243" max="10243" width="14.7109375" style="1315" customWidth="1"/>
    <col min="10244" max="10244" width="10" style="1315" customWidth="1"/>
    <col min="10245" max="10245" width="6.28515625" style="1315" customWidth="1"/>
    <col min="10246" max="10246" width="12.28515625" style="1315" customWidth="1"/>
    <col min="10247" max="10247" width="8.5703125" style="1315" customWidth="1"/>
    <col min="10248" max="10248" width="13.7109375" style="1315" customWidth="1"/>
    <col min="10249" max="10249" width="11.5703125" style="1315" customWidth="1"/>
    <col min="10250" max="10250" width="34.28515625" style="1315" customWidth="1"/>
    <col min="10251" max="10251" width="24.28515625" style="1315" customWidth="1"/>
    <col min="10252" max="10252" width="21.140625" style="1315" customWidth="1"/>
    <col min="10253" max="10253" width="22.140625" style="1315" customWidth="1"/>
    <col min="10254" max="10254" width="8" style="1315" customWidth="1"/>
    <col min="10255" max="10255" width="17" style="1315" customWidth="1"/>
    <col min="10256" max="10256" width="12.7109375" style="1315" customWidth="1"/>
    <col min="10257" max="10257" width="24.5703125" style="1315" customWidth="1"/>
    <col min="10258" max="10258" width="29" style="1315" customWidth="1"/>
    <col min="10259" max="10259" width="17.7109375" style="1315" customWidth="1"/>
    <col min="10260" max="10260" width="36.42578125" style="1315" customWidth="1"/>
    <col min="10261" max="10261" width="21.85546875" style="1315" customWidth="1"/>
    <col min="10262" max="10262" width="11.7109375" style="1315" customWidth="1"/>
    <col min="10263" max="10263" width="26.28515625" style="1315" customWidth="1"/>
    <col min="10264" max="10264" width="9" style="1315" customWidth="1"/>
    <col min="10265" max="10265" width="6.28515625" style="1315" customWidth="1"/>
    <col min="10266" max="10267" width="7.28515625" style="1315" customWidth="1"/>
    <col min="10268" max="10268" width="8.42578125" style="1315" customWidth="1"/>
    <col min="10269" max="10269" width="9.5703125" style="1315" customWidth="1"/>
    <col min="10270" max="10270" width="6.28515625" style="1315" customWidth="1"/>
    <col min="10271" max="10271" width="5.85546875" style="1315" customWidth="1"/>
    <col min="10272" max="10273" width="4.42578125" style="1315" customWidth="1"/>
    <col min="10274" max="10274" width="5" style="1315" customWidth="1"/>
    <col min="10275" max="10275" width="5.85546875" style="1315" customWidth="1"/>
    <col min="10276" max="10276" width="6.140625" style="1315" customWidth="1"/>
    <col min="10277" max="10277" width="6.28515625" style="1315" customWidth="1"/>
    <col min="10278" max="10278" width="11.140625" style="1315" customWidth="1"/>
    <col min="10279" max="10279" width="14.140625" style="1315" customWidth="1"/>
    <col min="10280" max="10280" width="19.85546875" style="1315" customWidth="1"/>
    <col min="10281" max="10281" width="17" style="1315" customWidth="1"/>
    <col min="10282" max="10282" width="20.85546875" style="1315" customWidth="1"/>
    <col min="10283" max="10495" width="11.42578125" style="1315"/>
    <col min="10496" max="10496" width="13.140625" style="1315" customWidth="1"/>
    <col min="10497" max="10497" width="4" style="1315" customWidth="1"/>
    <col min="10498" max="10498" width="12.85546875" style="1315" customWidth="1"/>
    <col min="10499" max="10499" width="14.7109375" style="1315" customWidth="1"/>
    <col min="10500" max="10500" width="10" style="1315" customWidth="1"/>
    <col min="10501" max="10501" width="6.28515625" style="1315" customWidth="1"/>
    <col min="10502" max="10502" width="12.28515625" style="1315" customWidth="1"/>
    <col min="10503" max="10503" width="8.5703125" style="1315" customWidth="1"/>
    <col min="10504" max="10504" width="13.7109375" style="1315" customWidth="1"/>
    <col min="10505" max="10505" width="11.5703125" style="1315" customWidth="1"/>
    <col min="10506" max="10506" width="34.28515625" style="1315" customWidth="1"/>
    <col min="10507" max="10507" width="24.28515625" style="1315" customWidth="1"/>
    <col min="10508" max="10508" width="21.140625" style="1315" customWidth="1"/>
    <col min="10509" max="10509" width="22.140625" style="1315" customWidth="1"/>
    <col min="10510" max="10510" width="8" style="1315" customWidth="1"/>
    <col min="10511" max="10511" width="17" style="1315" customWidth="1"/>
    <col min="10512" max="10512" width="12.7109375" style="1315" customWidth="1"/>
    <col min="10513" max="10513" width="24.5703125" style="1315" customWidth="1"/>
    <col min="10514" max="10514" width="29" style="1315" customWidth="1"/>
    <col min="10515" max="10515" width="17.7109375" style="1315" customWidth="1"/>
    <col min="10516" max="10516" width="36.42578125" style="1315" customWidth="1"/>
    <col min="10517" max="10517" width="21.85546875" style="1315" customWidth="1"/>
    <col min="10518" max="10518" width="11.7109375" style="1315" customWidth="1"/>
    <col min="10519" max="10519" width="26.28515625" style="1315" customWidth="1"/>
    <col min="10520" max="10520" width="9" style="1315" customWidth="1"/>
    <col min="10521" max="10521" width="6.28515625" style="1315" customWidth="1"/>
    <col min="10522" max="10523" width="7.28515625" style="1315" customWidth="1"/>
    <col min="10524" max="10524" width="8.42578125" style="1315" customWidth="1"/>
    <col min="10525" max="10525" width="9.5703125" style="1315" customWidth="1"/>
    <col min="10526" max="10526" width="6.28515625" style="1315" customWidth="1"/>
    <col min="10527" max="10527" width="5.85546875" style="1315" customWidth="1"/>
    <col min="10528" max="10529" width="4.42578125" style="1315" customWidth="1"/>
    <col min="10530" max="10530" width="5" style="1315" customWidth="1"/>
    <col min="10531" max="10531" width="5.85546875" style="1315" customWidth="1"/>
    <col min="10532" max="10532" width="6.140625" style="1315" customWidth="1"/>
    <col min="10533" max="10533" width="6.28515625" style="1315" customWidth="1"/>
    <col min="10534" max="10534" width="11.140625" style="1315" customWidth="1"/>
    <col min="10535" max="10535" width="14.140625" style="1315" customWidth="1"/>
    <col min="10536" max="10536" width="19.85546875" style="1315" customWidth="1"/>
    <col min="10537" max="10537" width="17" style="1315" customWidth="1"/>
    <col min="10538" max="10538" width="20.85546875" style="1315" customWidth="1"/>
    <col min="10539" max="10751" width="11.42578125" style="1315"/>
    <col min="10752" max="10752" width="13.140625" style="1315" customWidth="1"/>
    <col min="10753" max="10753" width="4" style="1315" customWidth="1"/>
    <col min="10754" max="10754" width="12.85546875" style="1315" customWidth="1"/>
    <col min="10755" max="10755" width="14.7109375" style="1315" customWidth="1"/>
    <col min="10756" max="10756" width="10" style="1315" customWidth="1"/>
    <col min="10757" max="10757" width="6.28515625" style="1315" customWidth="1"/>
    <col min="10758" max="10758" width="12.28515625" style="1315" customWidth="1"/>
    <col min="10759" max="10759" width="8.5703125" style="1315" customWidth="1"/>
    <col min="10760" max="10760" width="13.7109375" style="1315" customWidth="1"/>
    <col min="10761" max="10761" width="11.5703125" style="1315" customWidth="1"/>
    <col min="10762" max="10762" width="34.28515625" style="1315" customWidth="1"/>
    <col min="10763" max="10763" width="24.28515625" style="1315" customWidth="1"/>
    <col min="10764" max="10764" width="21.140625" style="1315" customWidth="1"/>
    <col min="10765" max="10765" width="22.140625" style="1315" customWidth="1"/>
    <col min="10766" max="10766" width="8" style="1315" customWidth="1"/>
    <col min="10767" max="10767" width="17" style="1315" customWidth="1"/>
    <col min="10768" max="10768" width="12.7109375" style="1315" customWidth="1"/>
    <col min="10769" max="10769" width="24.5703125" style="1315" customWidth="1"/>
    <col min="10770" max="10770" width="29" style="1315" customWidth="1"/>
    <col min="10771" max="10771" width="17.7109375" style="1315" customWidth="1"/>
    <col min="10772" max="10772" width="36.42578125" style="1315" customWidth="1"/>
    <col min="10773" max="10773" width="21.85546875" style="1315" customWidth="1"/>
    <col min="10774" max="10774" width="11.7109375" style="1315" customWidth="1"/>
    <col min="10775" max="10775" width="26.28515625" style="1315" customWidth="1"/>
    <col min="10776" max="10776" width="9" style="1315" customWidth="1"/>
    <col min="10777" max="10777" width="6.28515625" style="1315" customWidth="1"/>
    <col min="10778" max="10779" width="7.28515625" style="1315" customWidth="1"/>
    <col min="10780" max="10780" width="8.42578125" style="1315" customWidth="1"/>
    <col min="10781" max="10781" width="9.5703125" style="1315" customWidth="1"/>
    <col min="10782" max="10782" width="6.28515625" style="1315" customWidth="1"/>
    <col min="10783" max="10783" width="5.85546875" style="1315" customWidth="1"/>
    <col min="10784" max="10785" width="4.42578125" style="1315" customWidth="1"/>
    <col min="10786" max="10786" width="5" style="1315" customWidth="1"/>
    <col min="10787" max="10787" width="5.85546875" style="1315" customWidth="1"/>
    <col min="10788" max="10788" width="6.140625" style="1315" customWidth="1"/>
    <col min="10789" max="10789" width="6.28515625" style="1315" customWidth="1"/>
    <col min="10790" max="10790" width="11.140625" style="1315" customWidth="1"/>
    <col min="10791" max="10791" width="14.140625" style="1315" customWidth="1"/>
    <col min="10792" max="10792" width="19.85546875" style="1315" customWidth="1"/>
    <col min="10793" max="10793" width="17" style="1315" customWidth="1"/>
    <col min="10794" max="10794" width="20.85546875" style="1315" customWidth="1"/>
    <col min="10795" max="11007" width="11.42578125" style="1315"/>
    <col min="11008" max="11008" width="13.140625" style="1315" customWidth="1"/>
    <col min="11009" max="11009" width="4" style="1315" customWidth="1"/>
    <col min="11010" max="11010" width="12.85546875" style="1315" customWidth="1"/>
    <col min="11011" max="11011" width="14.7109375" style="1315" customWidth="1"/>
    <col min="11012" max="11012" width="10" style="1315" customWidth="1"/>
    <col min="11013" max="11013" width="6.28515625" style="1315" customWidth="1"/>
    <col min="11014" max="11014" width="12.28515625" style="1315" customWidth="1"/>
    <col min="11015" max="11015" width="8.5703125" style="1315" customWidth="1"/>
    <col min="11016" max="11016" width="13.7109375" style="1315" customWidth="1"/>
    <col min="11017" max="11017" width="11.5703125" style="1315" customWidth="1"/>
    <col min="11018" max="11018" width="34.28515625" style="1315" customWidth="1"/>
    <col min="11019" max="11019" width="24.28515625" style="1315" customWidth="1"/>
    <col min="11020" max="11020" width="21.140625" style="1315" customWidth="1"/>
    <col min="11021" max="11021" width="22.140625" style="1315" customWidth="1"/>
    <col min="11022" max="11022" width="8" style="1315" customWidth="1"/>
    <col min="11023" max="11023" width="17" style="1315" customWidth="1"/>
    <col min="11024" max="11024" width="12.7109375" style="1315" customWidth="1"/>
    <col min="11025" max="11025" width="24.5703125" style="1315" customWidth="1"/>
    <col min="11026" max="11026" width="29" style="1315" customWidth="1"/>
    <col min="11027" max="11027" width="17.7109375" style="1315" customWidth="1"/>
    <col min="11028" max="11028" width="36.42578125" style="1315" customWidth="1"/>
    <col min="11029" max="11029" width="21.85546875" style="1315" customWidth="1"/>
    <col min="11030" max="11030" width="11.7109375" style="1315" customWidth="1"/>
    <col min="11031" max="11031" width="26.28515625" style="1315" customWidth="1"/>
    <col min="11032" max="11032" width="9" style="1315" customWidth="1"/>
    <col min="11033" max="11033" width="6.28515625" style="1315" customWidth="1"/>
    <col min="11034" max="11035" width="7.28515625" style="1315" customWidth="1"/>
    <col min="11036" max="11036" width="8.42578125" style="1315" customWidth="1"/>
    <col min="11037" max="11037" width="9.5703125" style="1315" customWidth="1"/>
    <col min="11038" max="11038" width="6.28515625" style="1315" customWidth="1"/>
    <col min="11039" max="11039" width="5.85546875" style="1315" customWidth="1"/>
    <col min="11040" max="11041" width="4.42578125" style="1315" customWidth="1"/>
    <col min="11042" max="11042" width="5" style="1315" customWidth="1"/>
    <col min="11043" max="11043" width="5.85546875" style="1315" customWidth="1"/>
    <col min="11044" max="11044" width="6.140625" style="1315" customWidth="1"/>
    <col min="11045" max="11045" width="6.28515625" style="1315" customWidth="1"/>
    <col min="11046" max="11046" width="11.140625" style="1315" customWidth="1"/>
    <col min="11047" max="11047" width="14.140625" style="1315" customWidth="1"/>
    <col min="11048" max="11048" width="19.85546875" style="1315" customWidth="1"/>
    <col min="11049" max="11049" width="17" style="1315" customWidth="1"/>
    <col min="11050" max="11050" width="20.85546875" style="1315" customWidth="1"/>
    <col min="11051" max="11263" width="11.42578125" style="1315"/>
    <col min="11264" max="11264" width="13.140625" style="1315" customWidth="1"/>
    <col min="11265" max="11265" width="4" style="1315" customWidth="1"/>
    <col min="11266" max="11266" width="12.85546875" style="1315" customWidth="1"/>
    <col min="11267" max="11267" width="14.7109375" style="1315" customWidth="1"/>
    <col min="11268" max="11268" width="10" style="1315" customWidth="1"/>
    <col min="11269" max="11269" width="6.28515625" style="1315" customWidth="1"/>
    <col min="11270" max="11270" width="12.28515625" style="1315" customWidth="1"/>
    <col min="11271" max="11271" width="8.5703125" style="1315" customWidth="1"/>
    <col min="11272" max="11272" width="13.7109375" style="1315" customWidth="1"/>
    <col min="11273" max="11273" width="11.5703125" style="1315" customWidth="1"/>
    <col min="11274" max="11274" width="34.28515625" style="1315" customWidth="1"/>
    <col min="11275" max="11275" width="24.28515625" style="1315" customWidth="1"/>
    <col min="11276" max="11276" width="21.140625" style="1315" customWidth="1"/>
    <col min="11277" max="11277" width="22.140625" style="1315" customWidth="1"/>
    <col min="11278" max="11278" width="8" style="1315" customWidth="1"/>
    <col min="11279" max="11279" width="17" style="1315" customWidth="1"/>
    <col min="11280" max="11280" width="12.7109375" style="1315" customWidth="1"/>
    <col min="11281" max="11281" width="24.5703125" style="1315" customWidth="1"/>
    <col min="11282" max="11282" width="29" style="1315" customWidth="1"/>
    <col min="11283" max="11283" width="17.7109375" style="1315" customWidth="1"/>
    <col min="11284" max="11284" width="36.42578125" style="1315" customWidth="1"/>
    <col min="11285" max="11285" width="21.85546875" style="1315" customWidth="1"/>
    <col min="11286" max="11286" width="11.7109375" style="1315" customWidth="1"/>
    <col min="11287" max="11287" width="26.28515625" style="1315" customWidth="1"/>
    <col min="11288" max="11288" width="9" style="1315" customWidth="1"/>
    <col min="11289" max="11289" width="6.28515625" style="1315" customWidth="1"/>
    <col min="11290" max="11291" width="7.28515625" style="1315" customWidth="1"/>
    <col min="11292" max="11292" width="8.42578125" style="1315" customWidth="1"/>
    <col min="11293" max="11293" width="9.5703125" style="1315" customWidth="1"/>
    <col min="11294" max="11294" width="6.28515625" style="1315" customWidth="1"/>
    <col min="11295" max="11295" width="5.85546875" style="1315" customWidth="1"/>
    <col min="11296" max="11297" width="4.42578125" style="1315" customWidth="1"/>
    <col min="11298" max="11298" width="5" style="1315" customWidth="1"/>
    <col min="11299" max="11299" width="5.85546875" style="1315" customWidth="1"/>
    <col min="11300" max="11300" width="6.140625" style="1315" customWidth="1"/>
    <col min="11301" max="11301" width="6.28515625" style="1315" customWidth="1"/>
    <col min="11302" max="11302" width="11.140625" style="1315" customWidth="1"/>
    <col min="11303" max="11303" width="14.140625" style="1315" customWidth="1"/>
    <col min="11304" max="11304" width="19.85546875" style="1315" customWidth="1"/>
    <col min="11305" max="11305" width="17" style="1315" customWidth="1"/>
    <col min="11306" max="11306" width="20.85546875" style="1315" customWidth="1"/>
    <col min="11307" max="11519" width="11.42578125" style="1315"/>
    <col min="11520" max="11520" width="13.140625" style="1315" customWidth="1"/>
    <col min="11521" max="11521" width="4" style="1315" customWidth="1"/>
    <col min="11522" max="11522" width="12.85546875" style="1315" customWidth="1"/>
    <col min="11523" max="11523" width="14.7109375" style="1315" customWidth="1"/>
    <col min="11524" max="11524" width="10" style="1315" customWidth="1"/>
    <col min="11525" max="11525" width="6.28515625" style="1315" customWidth="1"/>
    <col min="11526" max="11526" width="12.28515625" style="1315" customWidth="1"/>
    <col min="11527" max="11527" width="8.5703125" style="1315" customWidth="1"/>
    <col min="11528" max="11528" width="13.7109375" style="1315" customWidth="1"/>
    <col min="11529" max="11529" width="11.5703125" style="1315" customWidth="1"/>
    <col min="11530" max="11530" width="34.28515625" style="1315" customWidth="1"/>
    <col min="11531" max="11531" width="24.28515625" style="1315" customWidth="1"/>
    <col min="11532" max="11532" width="21.140625" style="1315" customWidth="1"/>
    <col min="11533" max="11533" width="22.140625" style="1315" customWidth="1"/>
    <col min="11534" max="11534" width="8" style="1315" customWidth="1"/>
    <col min="11535" max="11535" width="17" style="1315" customWidth="1"/>
    <col min="11536" max="11536" width="12.7109375" style="1315" customWidth="1"/>
    <col min="11537" max="11537" width="24.5703125" style="1315" customWidth="1"/>
    <col min="11538" max="11538" width="29" style="1315" customWidth="1"/>
    <col min="11539" max="11539" width="17.7109375" style="1315" customWidth="1"/>
    <col min="11540" max="11540" width="36.42578125" style="1315" customWidth="1"/>
    <col min="11541" max="11541" width="21.85546875" style="1315" customWidth="1"/>
    <col min="11542" max="11542" width="11.7109375" style="1315" customWidth="1"/>
    <col min="11543" max="11543" width="26.28515625" style="1315" customWidth="1"/>
    <col min="11544" max="11544" width="9" style="1315" customWidth="1"/>
    <col min="11545" max="11545" width="6.28515625" style="1315" customWidth="1"/>
    <col min="11546" max="11547" width="7.28515625" style="1315" customWidth="1"/>
    <col min="11548" max="11548" width="8.42578125" style="1315" customWidth="1"/>
    <col min="11549" max="11549" width="9.5703125" style="1315" customWidth="1"/>
    <col min="11550" max="11550" width="6.28515625" style="1315" customWidth="1"/>
    <col min="11551" max="11551" width="5.85546875" style="1315" customWidth="1"/>
    <col min="11552" max="11553" width="4.42578125" style="1315" customWidth="1"/>
    <col min="11554" max="11554" width="5" style="1315" customWidth="1"/>
    <col min="11555" max="11555" width="5.85546875" style="1315" customWidth="1"/>
    <col min="11556" max="11556" width="6.140625" style="1315" customWidth="1"/>
    <col min="11557" max="11557" width="6.28515625" style="1315" customWidth="1"/>
    <col min="11558" max="11558" width="11.140625" style="1315" customWidth="1"/>
    <col min="11559" max="11559" width="14.140625" style="1315" customWidth="1"/>
    <col min="11560" max="11560" width="19.85546875" style="1315" customWidth="1"/>
    <col min="11561" max="11561" width="17" style="1315" customWidth="1"/>
    <col min="11562" max="11562" width="20.85546875" style="1315" customWidth="1"/>
    <col min="11563" max="11775" width="11.42578125" style="1315"/>
    <col min="11776" max="11776" width="13.140625" style="1315" customWidth="1"/>
    <col min="11777" max="11777" width="4" style="1315" customWidth="1"/>
    <col min="11778" max="11778" width="12.85546875" style="1315" customWidth="1"/>
    <col min="11779" max="11779" width="14.7109375" style="1315" customWidth="1"/>
    <col min="11780" max="11780" width="10" style="1315" customWidth="1"/>
    <col min="11781" max="11781" width="6.28515625" style="1315" customWidth="1"/>
    <col min="11782" max="11782" width="12.28515625" style="1315" customWidth="1"/>
    <col min="11783" max="11783" width="8.5703125" style="1315" customWidth="1"/>
    <col min="11784" max="11784" width="13.7109375" style="1315" customWidth="1"/>
    <col min="11785" max="11785" width="11.5703125" style="1315" customWidth="1"/>
    <col min="11786" max="11786" width="34.28515625" style="1315" customWidth="1"/>
    <col min="11787" max="11787" width="24.28515625" style="1315" customWidth="1"/>
    <col min="11788" max="11788" width="21.140625" style="1315" customWidth="1"/>
    <col min="11789" max="11789" width="22.140625" style="1315" customWidth="1"/>
    <col min="11790" max="11790" width="8" style="1315" customWidth="1"/>
    <col min="11791" max="11791" width="17" style="1315" customWidth="1"/>
    <col min="11792" max="11792" width="12.7109375" style="1315" customWidth="1"/>
    <col min="11793" max="11793" width="24.5703125" style="1315" customWidth="1"/>
    <col min="11794" max="11794" width="29" style="1315" customWidth="1"/>
    <col min="11795" max="11795" width="17.7109375" style="1315" customWidth="1"/>
    <col min="11796" max="11796" width="36.42578125" style="1315" customWidth="1"/>
    <col min="11797" max="11797" width="21.85546875" style="1315" customWidth="1"/>
    <col min="11798" max="11798" width="11.7109375" style="1315" customWidth="1"/>
    <col min="11799" max="11799" width="26.28515625" style="1315" customWidth="1"/>
    <col min="11800" max="11800" width="9" style="1315" customWidth="1"/>
    <col min="11801" max="11801" width="6.28515625" style="1315" customWidth="1"/>
    <col min="11802" max="11803" width="7.28515625" style="1315" customWidth="1"/>
    <col min="11804" max="11804" width="8.42578125" style="1315" customWidth="1"/>
    <col min="11805" max="11805" width="9.5703125" style="1315" customWidth="1"/>
    <col min="11806" max="11806" width="6.28515625" style="1315" customWidth="1"/>
    <col min="11807" max="11807" width="5.85546875" style="1315" customWidth="1"/>
    <col min="11808" max="11809" width="4.42578125" style="1315" customWidth="1"/>
    <col min="11810" max="11810" width="5" style="1315" customWidth="1"/>
    <col min="11811" max="11811" width="5.85546875" style="1315" customWidth="1"/>
    <col min="11812" max="11812" width="6.140625" style="1315" customWidth="1"/>
    <col min="11813" max="11813" width="6.28515625" style="1315" customWidth="1"/>
    <col min="11814" max="11814" width="11.140625" style="1315" customWidth="1"/>
    <col min="11815" max="11815" width="14.140625" style="1315" customWidth="1"/>
    <col min="11816" max="11816" width="19.85546875" style="1315" customWidth="1"/>
    <col min="11817" max="11817" width="17" style="1315" customWidth="1"/>
    <col min="11818" max="11818" width="20.85546875" style="1315" customWidth="1"/>
    <col min="11819" max="12031" width="11.42578125" style="1315"/>
    <col min="12032" max="12032" width="13.140625" style="1315" customWidth="1"/>
    <col min="12033" max="12033" width="4" style="1315" customWidth="1"/>
    <col min="12034" max="12034" width="12.85546875" style="1315" customWidth="1"/>
    <col min="12035" max="12035" width="14.7109375" style="1315" customWidth="1"/>
    <col min="12036" max="12036" width="10" style="1315" customWidth="1"/>
    <col min="12037" max="12037" width="6.28515625" style="1315" customWidth="1"/>
    <col min="12038" max="12038" width="12.28515625" style="1315" customWidth="1"/>
    <col min="12039" max="12039" width="8.5703125" style="1315" customWidth="1"/>
    <col min="12040" max="12040" width="13.7109375" style="1315" customWidth="1"/>
    <col min="12041" max="12041" width="11.5703125" style="1315" customWidth="1"/>
    <col min="12042" max="12042" width="34.28515625" style="1315" customWidth="1"/>
    <col min="12043" max="12043" width="24.28515625" style="1315" customWidth="1"/>
    <col min="12044" max="12044" width="21.140625" style="1315" customWidth="1"/>
    <col min="12045" max="12045" width="22.140625" style="1315" customWidth="1"/>
    <col min="12046" max="12046" width="8" style="1315" customWidth="1"/>
    <col min="12047" max="12047" width="17" style="1315" customWidth="1"/>
    <col min="12048" max="12048" width="12.7109375" style="1315" customWidth="1"/>
    <col min="12049" max="12049" width="24.5703125" style="1315" customWidth="1"/>
    <col min="12050" max="12050" width="29" style="1315" customWidth="1"/>
    <col min="12051" max="12051" width="17.7109375" style="1315" customWidth="1"/>
    <col min="12052" max="12052" width="36.42578125" style="1315" customWidth="1"/>
    <col min="12053" max="12053" width="21.85546875" style="1315" customWidth="1"/>
    <col min="12054" max="12054" width="11.7109375" style="1315" customWidth="1"/>
    <col min="12055" max="12055" width="26.28515625" style="1315" customWidth="1"/>
    <col min="12056" max="12056" width="9" style="1315" customWidth="1"/>
    <col min="12057" max="12057" width="6.28515625" style="1315" customWidth="1"/>
    <col min="12058" max="12059" width="7.28515625" style="1315" customWidth="1"/>
    <col min="12060" max="12060" width="8.42578125" style="1315" customWidth="1"/>
    <col min="12061" max="12061" width="9.5703125" style="1315" customWidth="1"/>
    <col min="12062" max="12062" width="6.28515625" style="1315" customWidth="1"/>
    <col min="12063" max="12063" width="5.85546875" style="1315" customWidth="1"/>
    <col min="12064" max="12065" width="4.42578125" style="1315" customWidth="1"/>
    <col min="12066" max="12066" width="5" style="1315" customWidth="1"/>
    <col min="12067" max="12067" width="5.85546875" style="1315" customWidth="1"/>
    <col min="12068" max="12068" width="6.140625" style="1315" customWidth="1"/>
    <col min="12069" max="12069" width="6.28515625" style="1315" customWidth="1"/>
    <col min="12070" max="12070" width="11.140625" style="1315" customWidth="1"/>
    <col min="12071" max="12071" width="14.140625" style="1315" customWidth="1"/>
    <col min="12072" max="12072" width="19.85546875" style="1315" customWidth="1"/>
    <col min="12073" max="12073" width="17" style="1315" customWidth="1"/>
    <col min="12074" max="12074" width="20.85546875" style="1315" customWidth="1"/>
    <col min="12075" max="12287" width="11.42578125" style="1315"/>
    <col min="12288" max="12288" width="13.140625" style="1315" customWidth="1"/>
    <col min="12289" max="12289" width="4" style="1315" customWidth="1"/>
    <col min="12290" max="12290" width="12.85546875" style="1315" customWidth="1"/>
    <col min="12291" max="12291" width="14.7109375" style="1315" customWidth="1"/>
    <col min="12292" max="12292" width="10" style="1315" customWidth="1"/>
    <col min="12293" max="12293" width="6.28515625" style="1315" customWidth="1"/>
    <col min="12294" max="12294" width="12.28515625" style="1315" customWidth="1"/>
    <col min="12295" max="12295" width="8.5703125" style="1315" customWidth="1"/>
    <col min="12296" max="12296" width="13.7109375" style="1315" customWidth="1"/>
    <col min="12297" max="12297" width="11.5703125" style="1315" customWidth="1"/>
    <col min="12298" max="12298" width="34.28515625" style="1315" customWidth="1"/>
    <col min="12299" max="12299" width="24.28515625" style="1315" customWidth="1"/>
    <col min="12300" max="12300" width="21.140625" style="1315" customWidth="1"/>
    <col min="12301" max="12301" width="22.140625" style="1315" customWidth="1"/>
    <col min="12302" max="12302" width="8" style="1315" customWidth="1"/>
    <col min="12303" max="12303" width="17" style="1315" customWidth="1"/>
    <col min="12304" max="12304" width="12.7109375" style="1315" customWidth="1"/>
    <col min="12305" max="12305" width="24.5703125" style="1315" customWidth="1"/>
    <col min="12306" max="12306" width="29" style="1315" customWidth="1"/>
    <col min="12307" max="12307" width="17.7109375" style="1315" customWidth="1"/>
    <col min="12308" max="12308" width="36.42578125" style="1315" customWidth="1"/>
    <col min="12309" max="12309" width="21.85546875" style="1315" customWidth="1"/>
    <col min="12310" max="12310" width="11.7109375" style="1315" customWidth="1"/>
    <col min="12311" max="12311" width="26.28515625" style="1315" customWidth="1"/>
    <col min="12312" max="12312" width="9" style="1315" customWidth="1"/>
    <col min="12313" max="12313" width="6.28515625" style="1315" customWidth="1"/>
    <col min="12314" max="12315" width="7.28515625" style="1315" customWidth="1"/>
    <col min="12316" max="12316" width="8.42578125" style="1315" customWidth="1"/>
    <col min="12317" max="12317" width="9.5703125" style="1315" customWidth="1"/>
    <col min="12318" max="12318" width="6.28515625" style="1315" customWidth="1"/>
    <col min="12319" max="12319" width="5.85546875" style="1315" customWidth="1"/>
    <col min="12320" max="12321" width="4.42578125" style="1315" customWidth="1"/>
    <col min="12322" max="12322" width="5" style="1315" customWidth="1"/>
    <col min="12323" max="12323" width="5.85546875" style="1315" customWidth="1"/>
    <col min="12324" max="12324" width="6.140625" style="1315" customWidth="1"/>
    <col min="12325" max="12325" width="6.28515625" style="1315" customWidth="1"/>
    <col min="12326" max="12326" width="11.140625" style="1315" customWidth="1"/>
    <col min="12327" max="12327" width="14.140625" style="1315" customWidth="1"/>
    <col min="12328" max="12328" width="19.85546875" style="1315" customWidth="1"/>
    <col min="12329" max="12329" width="17" style="1315" customWidth="1"/>
    <col min="12330" max="12330" width="20.85546875" style="1315" customWidth="1"/>
    <col min="12331" max="12543" width="11.42578125" style="1315"/>
    <col min="12544" max="12544" width="13.140625" style="1315" customWidth="1"/>
    <col min="12545" max="12545" width="4" style="1315" customWidth="1"/>
    <col min="12546" max="12546" width="12.85546875" style="1315" customWidth="1"/>
    <col min="12547" max="12547" width="14.7109375" style="1315" customWidth="1"/>
    <col min="12548" max="12548" width="10" style="1315" customWidth="1"/>
    <col min="12549" max="12549" width="6.28515625" style="1315" customWidth="1"/>
    <col min="12550" max="12550" width="12.28515625" style="1315" customWidth="1"/>
    <col min="12551" max="12551" width="8.5703125" style="1315" customWidth="1"/>
    <col min="12552" max="12552" width="13.7109375" style="1315" customWidth="1"/>
    <col min="12553" max="12553" width="11.5703125" style="1315" customWidth="1"/>
    <col min="12554" max="12554" width="34.28515625" style="1315" customWidth="1"/>
    <col min="12555" max="12555" width="24.28515625" style="1315" customWidth="1"/>
    <col min="12556" max="12556" width="21.140625" style="1315" customWidth="1"/>
    <col min="12557" max="12557" width="22.140625" style="1315" customWidth="1"/>
    <col min="12558" max="12558" width="8" style="1315" customWidth="1"/>
    <col min="12559" max="12559" width="17" style="1315" customWidth="1"/>
    <col min="12560" max="12560" width="12.7109375" style="1315" customWidth="1"/>
    <col min="12561" max="12561" width="24.5703125" style="1315" customWidth="1"/>
    <col min="12562" max="12562" width="29" style="1315" customWidth="1"/>
    <col min="12563" max="12563" width="17.7109375" style="1315" customWidth="1"/>
    <col min="12564" max="12564" width="36.42578125" style="1315" customWidth="1"/>
    <col min="12565" max="12565" width="21.85546875" style="1315" customWidth="1"/>
    <col min="12566" max="12566" width="11.7109375" style="1315" customWidth="1"/>
    <col min="12567" max="12567" width="26.28515625" style="1315" customWidth="1"/>
    <col min="12568" max="12568" width="9" style="1315" customWidth="1"/>
    <col min="12569" max="12569" width="6.28515625" style="1315" customWidth="1"/>
    <col min="12570" max="12571" width="7.28515625" style="1315" customWidth="1"/>
    <col min="12572" max="12572" width="8.42578125" style="1315" customWidth="1"/>
    <col min="12573" max="12573" width="9.5703125" style="1315" customWidth="1"/>
    <col min="12574" max="12574" width="6.28515625" style="1315" customWidth="1"/>
    <col min="12575" max="12575" width="5.85546875" style="1315" customWidth="1"/>
    <col min="12576" max="12577" width="4.42578125" style="1315" customWidth="1"/>
    <col min="12578" max="12578" width="5" style="1315" customWidth="1"/>
    <col min="12579" max="12579" width="5.85546875" style="1315" customWidth="1"/>
    <col min="12580" max="12580" width="6.140625" style="1315" customWidth="1"/>
    <col min="12581" max="12581" width="6.28515625" style="1315" customWidth="1"/>
    <col min="12582" max="12582" width="11.140625" style="1315" customWidth="1"/>
    <col min="12583" max="12583" width="14.140625" style="1315" customWidth="1"/>
    <col min="12584" max="12584" width="19.85546875" style="1315" customWidth="1"/>
    <col min="12585" max="12585" width="17" style="1315" customWidth="1"/>
    <col min="12586" max="12586" width="20.85546875" style="1315" customWidth="1"/>
    <col min="12587" max="12799" width="11.42578125" style="1315"/>
    <col min="12800" max="12800" width="13.140625" style="1315" customWidth="1"/>
    <col min="12801" max="12801" width="4" style="1315" customWidth="1"/>
    <col min="12802" max="12802" width="12.85546875" style="1315" customWidth="1"/>
    <col min="12803" max="12803" width="14.7109375" style="1315" customWidth="1"/>
    <col min="12804" max="12804" width="10" style="1315" customWidth="1"/>
    <col min="12805" max="12805" width="6.28515625" style="1315" customWidth="1"/>
    <col min="12806" max="12806" width="12.28515625" style="1315" customWidth="1"/>
    <col min="12807" max="12807" width="8.5703125" style="1315" customWidth="1"/>
    <col min="12808" max="12808" width="13.7109375" style="1315" customWidth="1"/>
    <col min="12809" max="12809" width="11.5703125" style="1315" customWidth="1"/>
    <col min="12810" max="12810" width="34.28515625" style="1315" customWidth="1"/>
    <col min="12811" max="12811" width="24.28515625" style="1315" customWidth="1"/>
    <col min="12812" max="12812" width="21.140625" style="1315" customWidth="1"/>
    <col min="12813" max="12813" width="22.140625" style="1315" customWidth="1"/>
    <col min="12814" max="12814" width="8" style="1315" customWidth="1"/>
    <col min="12815" max="12815" width="17" style="1315" customWidth="1"/>
    <col min="12816" max="12816" width="12.7109375" style="1315" customWidth="1"/>
    <col min="12817" max="12817" width="24.5703125" style="1315" customWidth="1"/>
    <col min="12818" max="12818" width="29" style="1315" customWidth="1"/>
    <col min="12819" max="12819" width="17.7109375" style="1315" customWidth="1"/>
    <col min="12820" max="12820" width="36.42578125" style="1315" customWidth="1"/>
    <col min="12821" max="12821" width="21.85546875" style="1315" customWidth="1"/>
    <col min="12822" max="12822" width="11.7109375" style="1315" customWidth="1"/>
    <col min="12823" max="12823" width="26.28515625" style="1315" customWidth="1"/>
    <col min="12824" max="12824" width="9" style="1315" customWidth="1"/>
    <col min="12825" max="12825" width="6.28515625" style="1315" customWidth="1"/>
    <col min="12826" max="12827" width="7.28515625" style="1315" customWidth="1"/>
    <col min="12828" max="12828" width="8.42578125" style="1315" customWidth="1"/>
    <col min="12829" max="12829" width="9.5703125" style="1315" customWidth="1"/>
    <col min="12830" max="12830" width="6.28515625" style="1315" customWidth="1"/>
    <col min="12831" max="12831" width="5.85546875" style="1315" customWidth="1"/>
    <col min="12832" max="12833" width="4.42578125" style="1315" customWidth="1"/>
    <col min="12834" max="12834" width="5" style="1315" customWidth="1"/>
    <col min="12835" max="12835" width="5.85546875" style="1315" customWidth="1"/>
    <col min="12836" max="12836" width="6.140625" style="1315" customWidth="1"/>
    <col min="12837" max="12837" width="6.28515625" style="1315" customWidth="1"/>
    <col min="12838" max="12838" width="11.140625" style="1315" customWidth="1"/>
    <col min="12839" max="12839" width="14.140625" style="1315" customWidth="1"/>
    <col min="12840" max="12840" width="19.85546875" style="1315" customWidth="1"/>
    <col min="12841" max="12841" width="17" style="1315" customWidth="1"/>
    <col min="12842" max="12842" width="20.85546875" style="1315" customWidth="1"/>
    <col min="12843" max="13055" width="11.42578125" style="1315"/>
    <col min="13056" max="13056" width="13.140625" style="1315" customWidth="1"/>
    <col min="13057" max="13057" width="4" style="1315" customWidth="1"/>
    <col min="13058" max="13058" width="12.85546875" style="1315" customWidth="1"/>
    <col min="13059" max="13059" width="14.7109375" style="1315" customWidth="1"/>
    <col min="13060" max="13060" width="10" style="1315" customWidth="1"/>
    <col min="13061" max="13061" width="6.28515625" style="1315" customWidth="1"/>
    <col min="13062" max="13062" width="12.28515625" style="1315" customWidth="1"/>
    <col min="13063" max="13063" width="8.5703125" style="1315" customWidth="1"/>
    <col min="13064" max="13064" width="13.7109375" style="1315" customWidth="1"/>
    <col min="13065" max="13065" width="11.5703125" style="1315" customWidth="1"/>
    <col min="13066" max="13066" width="34.28515625" style="1315" customWidth="1"/>
    <col min="13067" max="13067" width="24.28515625" style="1315" customWidth="1"/>
    <col min="13068" max="13068" width="21.140625" style="1315" customWidth="1"/>
    <col min="13069" max="13069" width="22.140625" style="1315" customWidth="1"/>
    <col min="13070" max="13070" width="8" style="1315" customWidth="1"/>
    <col min="13071" max="13071" width="17" style="1315" customWidth="1"/>
    <col min="13072" max="13072" width="12.7109375" style="1315" customWidth="1"/>
    <col min="13073" max="13073" width="24.5703125" style="1315" customWidth="1"/>
    <col min="13074" max="13074" width="29" style="1315" customWidth="1"/>
    <col min="13075" max="13075" width="17.7109375" style="1315" customWidth="1"/>
    <col min="13076" max="13076" width="36.42578125" style="1315" customWidth="1"/>
    <col min="13077" max="13077" width="21.85546875" style="1315" customWidth="1"/>
    <col min="13078" max="13078" width="11.7109375" style="1315" customWidth="1"/>
    <col min="13079" max="13079" width="26.28515625" style="1315" customWidth="1"/>
    <col min="13080" max="13080" width="9" style="1315" customWidth="1"/>
    <col min="13081" max="13081" width="6.28515625" style="1315" customWidth="1"/>
    <col min="13082" max="13083" width="7.28515625" style="1315" customWidth="1"/>
    <col min="13084" max="13084" width="8.42578125" style="1315" customWidth="1"/>
    <col min="13085" max="13085" width="9.5703125" style="1315" customWidth="1"/>
    <col min="13086" max="13086" width="6.28515625" style="1315" customWidth="1"/>
    <col min="13087" max="13087" width="5.85546875" style="1315" customWidth="1"/>
    <col min="13088" max="13089" width="4.42578125" style="1315" customWidth="1"/>
    <col min="13090" max="13090" width="5" style="1315" customWidth="1"/>
    <col min="13091" max="13091" width="5.85546875" style="1315" customWidth="1"/>
    <col min="13092" max="13092" width="6.140625" style="1315" customWidth="1"/>
    <col min="13093" max="13093" width="6.28515625" style="1315" customWidth="1"/>
    <col min="13094" max="13094" width="11.140625" style="1315" customWidth="1"/>
    <col min="13095" max="13095" width="14.140625" style="1315" customWidth="1"/>
    <col min="13096" max="13096" width="19.85546875" style="1315" customWidth="1"/>
    <col min="13097" max="13097" width="17" style="1315" customWidth="1"/>
    <col min="13098" max="13098" width="20.85546875" style="1315" customWidth="1"/>
    <col min="13099" max="13311" width="11.42578125" style="1315"/>
    <col min="13312" max="13312" width="13.140625" style="1315" customWidth="1"/>
    <col min="13313" max="13313" width="4" style="1315" customWidth="1"/>
    <col min="13314" max="13314" width="12.85546875" style="1315" customWidth="1"/>
    <col min="13315" max="13315" width="14.7109375" style="1315" customWidth="1"/>
    <col min="13316" max="13316" width="10" style="1315" customWidth="1"/>
    <col min="13317" max="13317" width="6.28515625" style="1315" customWidth="1"/>
    <col min="13318" max="13318" width="12.28515625" style="1315" customWidth="1"/>
    <col min="13319" max="13319" width="8.5703125" style="1315" customWidth="1"/>
    <col min="13320" max="13320" width="13.7109375" style="1315" customWidth="1"/>
    <col min="13321" max="13321" width="11.5703125" style="1315" customWidth="1"/>
    <col min="13322" max="13322" width="34.28515625" style="1315" customWidth="1"/>
    <col min="13323" max="13323" width="24.28515625" style="1315" customWidth="1"/>
    <col min="13324" max="13324" width="21.140625" style="1315" customWidth="1"/>
    <col min="13325" max="13325" width="22.140625" style="1315" customWidth="1"/>
    <col min="13326" max="13326" width="8" style="1315" customWidth="1"/>
    <col min="13327" max="13327" width="17" style="1315" customWidth="1"/>
    <col min="13328" max="13328" width="12.7109375" style="1315" customWidth="1"/>
    <col min="13329" max="13329" width="24.5703125" style="1315" customWidth="1"/>
    <col min="13330" max="13330" width="29" style="1315" customWidth="1"/>
    <col min="13331" max="13331" width="17.7109375" style="1315" customWidth="1"/>
    <col min="13332" max="13332" width="36.42578125" style="1315" customWidth="1"/>
    <col min="13333" max="13333" width="21.85546875" style="1315" customWidth="1"/>
    <col min="13334" max="13334" width="11.7109375" style="1315" customWidth="1"/>
    <col min="13335" max="13335" width="26.28515625" style="1315" customWidth="1"/>
    <col min="13336" max="13336" width="9" style="1315" customWidth="1"/>
    <col min="13337" max="13337" width="6.28515625" style="1315" customWidth="1"/>
    <col min="13338" max="13339" width="7.28515625" style="1315" customWidth="1"/>
    <col min="13340" max="13340" width="8.42578125" style="1315" customWidth="1"/>
    <col min="13341" max="13341" width="9.5703125" style="1315" customWidth="1"/>
    <col min="13342" max="13342" width="6.28515625" style="1315" customWidth="1"/>
    <col min="13343" max="13343" width="5.85546875" style="1315" customWidth="1"/>
    <col min="13344" max="13345" width="4.42578125" style="1315" customWidth="1"/>
    <col min="13346" max="13346" width="5" style="1315" customWidth="1"/>
    <col min="13347" max="13347" width="5.85546875" style="1315" customWidth="1"/>
    <col min="13348" max="13348" width="6.140625" style="1315" customWidth="1"/>
    <col min="13349" max="13349" width="6.28515625" style="1315" customWidth="1"/>
    <col min="13350" max="13350" width="11.140625" style="1315" customWidth="1"/>
    <col min="13351" max="13351" width="14.140625" style="1315" customWidth="1"/>
    <col min="13352" max="13352" width="19.85546875" style="1315" customWidth="1"/>
    <col min="13353" max="13353" width="17" style="1315" customWidth="1"/>
    <col min="13354" max="13354" width="20.85546875" style="1315" customWidth="1"/>
    <col min="13355" max="13567" width="11.42578125" style="1315"/>
    <col min="13568" max="13568" width="13.140625" style="1315" customWidth="1"/>
    <col min="13569" max="13569" width="4" style="1315" customWidth="1"/>
    <col min="13570" max="13570" width="12.85546875" style="1315" customWidth="1"/>
    <col min="13571" max="13571" width="14.7109375" style="1315" customWidth="1"/>
    <col min="13572" max="13572" width="10" style="1315" customWidth="1"/>
    <col min="13573" max="13573" width="6.28515625" style="1315" customWidth="1"/>
    <col min="13574" max="13574" width="12.28515625" style="1315" customWidth="1"/>
    <col min="13575" max="13575" width="8.5703125" style="1315" customWidth="1"/>
    <col min="13576" max="13576" width="13.7109375" style="1315" customWidth="1"/>
    <col min="13577" max="13577" width="11.5703125" style="1315" customWidth="1"/>
    <col min="13578" max="13578" width="34.28515625" style="1315" customWidth="1"/>
    <col min="13579" max="13579" width="24.28515625" style="1315" customWidth="1"/>
    <col min="13580" max="13580" width="21.140625" style="1315" customWidth="1"/>
    <col min="13581" max="13581" width="22.140625" style="1315" customWidth="1"/>
    <col min="13582" max="13582" width="8" style="1315" customWidth="1"/>
    <col min="13583" max="13583" width="17" style="1315" customWidth="1"/>
    <col min="13584" max="13584" width="12.7109375" style="1315" customWidth="1"/>
    <col min="13585" max="13585" width="24.5703125" style="1315" customWidth="1"/>
    <col min="13586" max="13586" width="29" style="1315" customWidth="1"/>
    <col min="13587" max="13587" width="17.7109375" style="1315" customWidth="1"/>
    <col min="13588" max="13588" width="36.42578125" style="1315" customWidth="1"/>
    <col min="13589" max="13589" width="21.85546875" style="1315" customWidth="1"/>
    <col min="13590" max="13590" width="11.7109375" style="1315" customWidth="1"/>
    <col min="13591" max="13591" width="26.28515625" style="1315" customWidth="1"/>
    <col min="13592" max="13592" width="9" style="1315" customWidth="1"/>
    <col min="13593" max="13593" width="6.28515625" style="1315" customWidth="1"/>
    <col min="13594" max="13595" width="7.28515625" style="1315" customWidth="1"/>
    <col min="13596" max="13596" width="8.42578125" style="1315" customWidth="1"/>
    <col min="13597" max="13597" width="9.5703125" style="1315" customWidth="1"/>
    <col min="13598" max="13598" width="6.28515625" style="1315" customWidth="1"/>
    <col min="13599" max="13599" width="5.85546875" style="1315" customWidth="1"/>
    <col min="13600" max="13601" width="4.42578125" style="1315" customWidth="1"/>
    <col min="13602" max="13602" width="5" style="1315" customWidth="1"/>
    <col min="13603" max="13603" width="5.85546875" style="1315" customWidth="1"/>
    <col min="13604" max="13604" width="6.140625" style="1315" customWidth="1"/>
    <col min="13605" max="13605" width="6.28515625" style="1315" customWidth="1"/>
    <col min="13606" max="13606" width="11.140625" style="1315" customWidth="1"/>
    <col min="13607" max="13607" width="14.140625" style="1315" customWidth="1"/>
    <col min="13608" max="13608" width="19.85546875" style="1315" customWidth="1"/>
    <col min="13609" max="13609" width="17" style="1315" customWidth="1"/>
    <col min="13610" max="13610" width="20.85546875" style="1315" customWidth="1"/>
    <col min="13611" max="13823" width="11.42578125" style="1315"/>
    <col min="13824" max="13824" width="13.140625" style="1315" customWidth="1"/>
    <col min="13825" max="13825" width="4" style="1315" customWidth="1"/>
    <col min="13826" max="13826" width="12.85546875" style="1315" customWidth="1"/>
    <col min="13827" max="13827" width="14.7109375" style="1315" customWidth="1"/>
    <col min="13828" max="13828" width="10" style="1315" customWidth="1"/>
    <col min="13829" max="13829" width="6.28515625" style="1315" customWidth="1"/>
    <col min="13830" max="13830" width="12.28515625" style="1315" customWidth="1"/>
    <col min="13831" max="13831" width="8.5703125" style="1315" customWidth="1"/>
    <col min="13832" max="13832" width="13.7109375" style="1315" customWidth="1"/>
    <col min="13833" max="13833" width="11.5703125" style="1315" customWidth="1"/>
    <col min="13834" max="13834" width="34.28515625" style="1315" customWidth="1"/>
    <col min="13835" max="13835" width="24.28515625" style="1315" customWidth="1"/>
    <col min="13836" max="13836" width="21.140625" style="1315" customWidth="1"/>
    <col min="13837" max="13837" width="22.140625" style="1315" customWidth="1"/>
    <col min="13838" max="13838" width="8" style="1315" customWidth="1"/>
    <col min="13839" max="13839" width="17" style="1315" customWidth="1"/>
    <col min="13840" max="13840" width="12.7109375" style="1315" customWidth="1"/>
    <col min="13841" max="13841" width="24.5703125" style="1315" customWidth="1"/>
    <col min="13842" max="13842" width="29" style="1315" customWidth="1"/>
    <col min="13843" max="13843" width="17.7109375" style="1315" customWidth="1"/>
    <col min="13844" max="13844" width="36.42578125" style="1315" customWidth="1"/>
    <col min="13845" max="13845" width="21.85546875" style="1315" customWidth="1"/>
    <col min="13846" max="13846" width="11.7109375" style="1315" customWidth="1"/>
    <col min="13847" max="13847" width="26.28515625" style="1315" customWidth="1"/>
    <col min="13848" max="13848" width="9" style="1315" customWidth="1"/>
    <col min="13849" max="13849" width="6.28515625" style="1315" customWidth="1"/>
    <col min="13850" max="13851" width="7.28515625" style="1315" customWidth="1"/>
    <col min="13852" max="13852" width="8.42578125" style="1315" customWidth="1"/>
    <col min="13853" max="13853" width="9.5703125" style="1315" customWidth="1"/>
    <col min="13854" max="13854" width="6.28515625" style="1315" customWidth="1"/>
    <col min="13855" max="13855" width="5.85546875" style="1315" customWidth="1"/>
    <col min="13856" max="13857" width="4.42578125" style="1315" customWidth="1"/>
    <col min="13858" max="13858" width="5" style="1315" customWidth="1"/>
    <col min="13859" max="13859" width="5.85546875" style="1315" customWidth="1"/>
    <col min="13860" max="13860" width="6.140625" style="1315" customWidth="1"/>
    <col min="13861" max="13861" width="6.28515625" style="1315" customWidth="1"/>
    <col min="13862" max="13862" width="11.140625" style="1315" customWidth="1"/>
    <col min="13863" max="13863" width="14.140625" style="1315" customWidth="1"/>
    <col min="13864" max="13864" width="19.85546875" style="1315" customWidth="1"/>
    <col min="13865" max="13865" width="17" style="1315" customWidth="1"/>
    <col min="13866" max="13866" width="20.85546875" style="1315" customWidth="1"/>
    <col min="13867" max="14079" width="11.42578125" style="1315"/>
    <col min="14080" max="14080" width="13.140625" style="1315" customWidth="1"/>
    <col min="14081" max="14081" width="4" style="1315" customWidth="1"/>
    <col min="14082" max="14082" width="12.85546875" style="1315" customWidth="1"/>
    <col min="14083" max="14083" width="14.7109375" style="1315" customWidth="1"/>
    <col min="14084" max="14084" width="10" style="1315" customWidth="1"/>
    <col min="14085" max="14085" width="6.28515625" style="1315" customWidth="1"/>
    <col min="14086" max="14086" width="12.28515625" style="1315" customWidth="1"/>
    <col min="14087" max="14087" width="8.5703125" style="1315" customWidth="1"/>
    <col min="14088" max="14088" width="13.7109375" style="1315" customWidth="1"/>
    <col min="14089" max="14089" width="11.5703125" style="1315" customWidth="1"/>
    <col min="14090" max="14090" width="34.28515625" style="1315" customWidth="1"/>
    <col min="14091" max="14091" width="24.28515625" style="1315" customWidth="1"/>
    <col min="14092" max="14092" width="21.140625" style="1315" customWidth="1"/>
    <col min="14093" max="14093" width="22.140625" style="1315" customWidth="1"/>
    <col min="14094" max="14094" width="8" style="1315" customWidth="1"/>
    <col min="14095" max="14095" width="17" style="1315" customWidth="1"/>
    <col min="14096" max="14096" width="12.7109375" style="1315" customWidth="1"/>
    <col min="14097" max="14097" width="24.5703125" style="1315" customWidth="1"/>
    <col min="14098" max="14098" width="29" style="1315" customWidth="1"/>
    <col min="14099" max="14099" width="17.7109375" style="1315" customWidth="1"/>
    <col min="14100" max="14100" width="36.42578125" style="1315" customWidth="1"/>
    <col min="14101" max="14101" width="21.85546875" style="1315" customWidth="1"/>
    <col min="14102" max="14102" width="11.7109375" style="1315" customWidth="1"/>
    <col min="14103" max="14103" width="26.28515625" style="1315" customWidth="1"/>
    <col min="14104" max="14104" width="9" style="1315" customWidth="1"/>
    <col min="14105" max="14105" width="6.28515625" style="1315" customWidth="1"/>
    <col min="14106" max="14107" width="7.28515625" style="1315" customWidth="1"/>
    <col min="14108" max="14108" width="8.42578125" style="1315" customWidth="1"/>
    <col min="14109" max="14109" width="9.5703125" style="1315" customWidth="1"/>
    <col min="14110" max="14110" width="6.28515625" style="1315" customWidth="1"/>
    <col min="14111" max="14111" width="5.85546875" style="1315" customWidth="1"/>
    <col min="14112" max="14113" width="4.42578125" style="1315" customWidth="1"/>
    <col min="14114" max="14114" width="5" style="1315" customWidth="1"/>
    <col min="14115" max="14115" width="5.85546875" style="1315" customWidth="1"/>
    <col min="14116" max="14116" width="6.140625" style="1315" customWidth="1"/>
    <col min="14117" max="14117" width="6.28515625" style="1315" customWidth="1"/>
    <col min="14118" max="14118" width="11.140625" style="1315" customWidth="1"/>
    <col min="14119" max="14119" width="14.140625" style="1315" customWidth="1"/>
    <col min="14120" max="14120" width="19.85546875" style="1315" customWidth="1"/>
    <col min="14121" max="14121" width="17" style="1315" customWidth="1"/>
    <col min="14122" max="14122" width="20.85546875" style="1315" customWidth="1"/>
    <col min="14123" max="14335" width="11.42578125" style="1315"/>
    <col min="14336" max="14336" width="13.140625" style="1315" customWidth="1"/>
    <col min="14337" max="14337" width="4" style="1315" customWidth="1"/>
    <col min="14338" max="14338" width="12.85546875" style="1315" customWidth="1"/>
    <col min="14339" max="14339" width="14.7109375" style="1315" customWidth="1"/>
    <col min="14340" max="14340" width="10" style="1315" customWidth="1"/>
    <col min="14341" max="14341" width="6.28515625" style="1315" customWidth="1"/>
    <col min="14342" max="14342" width="12.28515625" style="1315" customWidth="1"/>
    <col min="14343" max="14343" width="8.5703125" style="1315" customWidth="1"/>
    <col min="14344" max="14344" width="13.7109375" style="1315" customWidth="1"/>
    <col min="14345" max="14345" width="11.5703125" style="1315" customWidth="1"/>
    <col min="14346" max="14346" width="34.28515625" style="1315" customWidth="1"/>
    <col min="14347" max="14347" width="24.28515625" style="1315" customWidth="1"/>
    <col min="14348" max="14348" width="21.140625" style="1315" customWidth="1"/>
    <col min="14349" max="14349" width="22.140625" style="1315" customWidth="1"/>
    <col min="14350" max="14350" width="8" style="1315" customWidth="1"/>
    <col min="14351" max="14351" width="17" style="1315" customWidth="1"/>
    <col min="14352" max="14352" width="12.7109375" style="1315" customWidth="1"/>
    <col min="14353" max="14353" width="24.5703125" style="1315" customWidth="1"/>
    <col min="14354" max="14354" width="29" style="1315" customWidth="1"/>
    <col min="14355" max="14355" width="17.7109375" style="1315" customWidth="1"/>
    <col min="14356" max="14356" width="36.42578125" style="1315" customWidth="1"/>
    <col min="14357" max="14357" width="21.85546875" style="1315" customWidth="1"/>
    <col min="14358" max="14358" width="11.7109375" style="1315" customWidth="1"/>
    <col min="14359" max="14359" width="26.28515625" style="1315" customWidth="1"/>
    <col min="14360" max="14360" width="9" style="1315" customWidth="1"/>
    <col min="14361" max="14361" width="6.28515625" style="1315" customWidth="1"/>
    <col min="14362" max="14363" width="7.28515625" style="1315" customWidth="1"/>
    <col min="14364" max="14364" width="8.42578125" style="1315" customWidth="1"/>
    <col min="14365" max="14365" width="9.5703125" style="1315" customWidth="1"/>
    <col min="14366" max="14366" width="6.28515625" style="1315" customWidth="1"/>
    <col min="14367" max="14367" width="5.85546875" style="1315" customWidth="1"/>
    <col min="14368" max="14369" width="4.42578125" style="1315" customWidth="1"/>
    <col min="14370" max="14370" width="5" style="1315" customWidth="1"/>
    <col min="14371" max="14371" width="5.85546875" style="1315" customWidth="1"/>
    <col min="14372" max="14372" width="6.140625" style="1315" customWidth="1"/>
    <col min="14373" max="14373" width="6.28515625" style="1315" customWidth="1"/>
    <col min="14374" max="14374" width="11.140625" style="1315" customWidth="1"/>
    <col min="14375" max="14375" width="14.140625" style="1315" customWidth="1"/>
    <col min="14376" max="14376" width="19.85546875" style="1315" customWidth="1"/>
    <col min="14377" max="14377" width="17" style="1315" customWidth="1"/>
    <col min="14378" max="14378" width="20.85546875" style="1315" customWidth="1"/>
    <col min="14379" max="14591" width="11.42578125" style="1315"/>
    <col min="14592" max="14592" width="13.140625" style="1315" customWidth="1"/>
    <col min="14593" max="14593" width="4" style="1315" customWidth="1"/>
    <col min="14594" max="14594" width="12.85546875" style="1315" customWidth="1"/>
    <col min="14595" max="14595" width="14.7109375" style="1315" customWidth="1"/>
    <col min="14596" max="14596" width="10" style="1315" customWidth="1"/>
    <col min="14597" max="14597" width="6.28515625" style="1315" customWidth="1"/>
    <col min="14598" max="14598" width="12.28515625" style="1315" customWidth="1"/>
    <col min="14599" max="14599" width="8.5703125" style="1315" customWidth="1"/>
    <col min="14600" max="14600" width="13.7109375" style="1315" customWidth="1"/>
    <col min="14601" max="14601" width="11.5703125" style="1315" customWidth="1"/>
    <col min="14602" max="14602" width="34.28515625" style="1315" customWidth="1"/>
    <col min="14603" max="14603" width="24.28515625" style="1315" customWidth="1"/>
    <col min="14604" max="14604" width="21.140625" style="1315" customWidth="1"/>
    <col min="14605" max="14605" width="22.140625" style="1315" customWidth="1"/>
    <col min="14606" max="14606" width="8" style="1315" customWidth="1"/>
    <col min="14607" max="14607" width="17" style="1315" customWidth="1"/>
    <col min="14608" max="14608" width="12.7109375" style="1315" customWidth="1"/>
    <col min="14609" max="14609" width="24.5703125" style="1315" customWidth="1"/>
    <col min="14610" max="14610" width="29" style="1315" customWidth="1"/>
    <col min="14611" max="14611" width="17.7109375" style="1315" customWidth="1"/>
    <col min="14612" max="14612" width="36.42578125" style="1315" customWidth="1"/>
    <col min="14613" max="14613" width="21.85546875" style="1315" customWidth="1"/>
    <col min="14614" max="14614" width="11.7109375" style="1315" customWidth="1"/>
    <col min="14615" max="14615" width="26.28515625" style="1315" customWidth="1"/>
    <col min="14616" max="14616" width="9" style="1315" customWidth="1"/>
    <col min="14617" max="14617" width="6.28515625" style="1315" customWidth="1"/>
    <col min="14618" max="14619" width="7.28515625" style="1315" customWidth="1"/>
    <col min="14620" max="14620" width="8.42578125" style="1315" customWidth="1"/>
    <col min="14621" max="14621" width="9.5703125" style="1315" customWidth="1"/>
    <col min="14622" max="14622" width="6.28515625" style="1315" customWidth="1"/>
    <col min="14623" max="14623" width="5.85546875" style="1315" customWidth="1"/>
    <col min="14624" max="14625" width="4.42578125" style="1315" customWidth="1"/>
    <col min="14626" max="14626" width="5" style="1315" customWidth="1"/>
    <col min="14627" max="14627" width="5.85546875" style="1315" customWidth="1"/>
    <col min="14628" max="14628" width="6.140625" style="1315" customWidth="1"/>
    <col min="14629" max="14629" width="6.28515625" style="1315" customWidth="1"/>
    <col min="14630" max="14630" width="11.140625" style="1315" customWidth="1"/>
    <col min="14631" max="14631" width="14.140625" style="1315" customWidth="1"/>
    <col min="14632" max="14632" width="19.85546875" style="1315" customWidth="1"/>
    <col min="14633" max="14633" width="17" style="1315" customWidth="1"/>
    <col min="14634" max="14634" width="20.85546875" style="1315" customWidth="1"/>
    <col min="14635" max="14847" width="11.42578125" style="1315"/>
    <col min="14848" max="14848" width="13.140625" style="1315" customWidth="1"/>
    <col min="14849" max="14849" width="4" style="1315" customWidth="1"/>
    <col min="14850" max="14850" width="12.85546875" style="1315" customWidth="1"/>
    <col min="14851" max="14851" width="14.7109375" style="1315" customWidth="1"/>
    <col min="14852" max="14852" width="10" style="1315" customWidth="1"/>
    <col min="14853" max="14853" width="6.28515625" style="1315" customWidth="1"/>
    <col min="14854" max="14854" width="12.28515625" style="1315" customWidth="1"/>
    <col min="14855" max="14855" width="8.5703125" style="1315" customWidth="1"/>
    <col min="14856" max="14856" width="13.7109375" style="1315" customWidth="1"/>
    <col min="14857" max="14857" width="11.5703125" style="1315" customWidth="1"/>
    <col min="14858" max="14858" width="34.28515625" style="1315" customWidth="1"/>
    <col min="14859" max="14859" width="24.28515625" style="1315" customWidth="1"/>
    <col min="14860" max="14860" width="21.140625" style="1315" customWidth="1"/>
    <col min="14861" max="14861" width="22.140625" style="1315" customWidth="1"/>
    <col min="14862" max="14862" width="8" style="1315" customWidth="1"/>
    <col min="14863" max="14863" width="17" style="1315" customWidth="1"/>
    <col min="14864" max="14864" width="12.7109375" style="1315" customWidth="1"/>
    <col min="14865" max="14865" width="24.5703125" style="1315" customWidth="1"/>
    <col min="14866" max="14866" width="29" style="1315" customWidth="1"/>
    <col min="14867" max="14867" width="17.7109375" style="1315" customWidth="1"/>
    <col min="14868" max="14868" width="36.42578125" style="1315" customWidth="1"/>
    <col min="14869" max="14869" width="21.85546875" style="1315" customWidth="1"/>
    <col min="14870" max="14870" width="11.7109375" style="1315" customWidth="1"/>
    <col min="14871" max="14871" width="26.28515625" style="1315" customWidth="1"/>
    <col min="14872" max="14872" width="9" style="1315" customWidth="1"/>
    <col min="14873" max="14873" width="6.28515625" style="1315" customWidth="1"/>
    <col min="14874" max="14875" width="7.28515625" style="1315" customWidth="1"/>
    <col min="14876" max="14876" width="8.42578125" style="1315" customWidth="1"/>
    <col min="14877" max="14877" width="9.5703125" style="1315" customWidth="1"/>
    <col min="14878" max="14878" width="6.28515625" style="1315" customWidth="1"/>
    <col min="14879" max="14879" width="5.85546875" style="1315" customWidth="1"/>
    <col min="14880" max="14881" width="4.42578125" style="1315" customWidth="1"/>
    <col min="14882" max="14882" width="5" style="1315" customWidth="1"/>
    <col min="14883" max="14883" width="5.85546875" style="1315" customWidth="1"/>
    <col min="14884" max="14884" width="6.140625" style="1315" customWidth="1"/>
    <col min="14885" max="14885" width="6.28515625" style="1315" customWidth="1"/>
    <col min="14886" max="14886" width="11.140625" style="1315" customWidth="1"/>
    <col min="14887" max="14887" width="14.140625" style="1315" customWidth="1"/>
    <col min="14888" max="14888" width="19.85546875" style="1315" customWidth="1"/>
    <col min="14889" max="14889" width="17" style="1315" customWidth="1"/>
    <col min="14890" max="14890" width="20.85546875" style="1315" customWidth="1"/>
    <col min="14891" max="15103" width="11.42578125" style="1315"/>
    <col min="15104" max="15104" width="13.140625" style="1315" customWidth="1"/>
    <col min="15105" max="15105" width="4" style="1315" customWidth="1"/>
    <col min="15106" max="15106" width="12.85546875" style="1315" customWidth="1"/>
    <col min="15107" max="15107" width="14.7109375" style="1315" customWidth="1"/>
    <col min="15108" max="15108" width="10" style="1315" customWidth="1"/>
    <col min="15109" max="15109" width="6.28515625" style="1315" customWidth="1"/>
    <col min="15110" max="15110" width="12.28515625" style="1315" customWidth="1"/>
    <col min="15111" max="15111" width="8.5703125" style="1315" customWidth="1"/>
    <col min="15112" max="15112" width="13.7109375" style="1315" customWidth="1"/>
    <col min="15113" max="15113" width="11.5703125" style="1315" customWidth="1"/>
    <col min="15114" max="15114" width="34.28515625" style="1315" customWidth="1"/>
    <col min="15115" max="15115" width="24.28515625" style="1315" customWidth="1"/>
    <col min="15116" max="15116" width="21.140625" style="1315" customWidth="1"/>
    <col min="15117" max="15117" width="22.140625" style="1315" customWidth="1"/>
    <col min="15118" max="15118" width="8" style="1315" customWidth="1"/>
    <col min="15119" max="15119" width="17" style="1315" customWidth="1"/>
    <col min="15120" max="15120" width="12.7109375" style="1315" customWidth="1"/>
    <col min="15121" max="15121" width="24.5703125" style="1315" customWidth="1"/>
    <col min="15122" max="15122" width="29" style="1315" customWidth="1"/>
    <col min="15123" max="15123" width="17.7109375" style="1315" customWidth="1"/>
    <col min="15124" max="15124" width="36.42578125" style="1315" customWidth="1"/>
    <col min="15125" max="15125" width="21.85546875" style="1315" customWidth="1"/>
    <col min="15126" max="15126" width="11.7109375" style="1315" customWidth="1"/>
    <col min="15127" max="15127" width="26.28515625" style="1315" customWidth="1"/>
    <col min="15128" max="15128" width="9" style="1315" customWidth="1"/>
    <col min="15129" max="15129" width="6.28515625" style="1315" customWidth="1"/>
    <col min="15130" max="15131" width="7.28515625" style="1315" customWidth="1"/>
    <col min="15132" max="15132" width="8.42578125" style="1315" customWidth="1"/>
    <col min="15133" max="15133" width="9.5703125" style="1315" customWidth="1"/>
    <col min="15134" max="15134" width="6.28515625" style="1315" customWidth="1"/>
    <col min="15135" max="15135" width="5.85546875" style="1315" customWidth="1"/>
    <col min="15136" max="15137" width="4.42578125" style="1315" customWidth="1"/>
    <col min="15138" max="15138" width="5" style="1315" customWidth="1"/>
    <col min="15139" max="15139" width="5.85546875" style="1315" customWidth="1"/>
    <col min="15140" max="15140" width="6.140625" style="1315" customWidth="1"/>
    <col min="15141" max="15141" width="6.28515625" style="1315" customWidth="1"/>
    <col min="15142" max="15142" width="11.140625" style="1315" customWidth="1"/>
    <col min="15143" max="15143" width="14.140625" style="1315" customWidth="1"/>
    <col min="15144" max="15144" width="19.85546875" style="1315" customWidth="1"/>
    <col min="15145" max="15145" width="17" style="1315" customWidth="1"/>
    <col min="15146" max="15146" width="20.85546875" style="1315" customWidth="1"/>
    <col min="15147" max="15359" width="11.42578125" style="1315"/>
    <col min="15360" max="15360" width="13.140625" style="1315" customWidth="1"/>
    <col min="15361" max="15361" width="4" style="1315" customWidth="1"/>
    <col min="15362" max="15362" width="12.85546875" style="1315" customWidth="1"/>
    <col min="15363" max="15363" width="14.7109375" style="1315" customWidth="1"/>
    <col min="15364" max="15364" width="10" style="1315" customWidth="1"/>
    <col min="15365" max="15365" width="6.28515625" style="1315" customWidth="1"/>
    <col min="15366" max="15366" width="12.28515625" style="1315" customWidth="1"/>
    <col min="15367" max="15367" width="8.5703125" style="1315" customWidth="1"/>
    <col min="15368" max="15368" width="13.7109375" style="1315" customWidth="1"/>
    <col min="15369" max="15369" width="11.5703125" style="1315" customWidth="1"/>
    <col min="15370" max="15370" width="34.28515625" style="1315" customWidth="1"/>
    <col min="15371" max="15371" width="24.28515625" style="1315" customWidth="1"/>
    <col min="15372" max="15372" width="21.140625" style="1315" customWidth="1"/>
    <col min="15373" max="15373" width="22.140625" style="1315" customWidth="1"/>
    <col min="15374" max="15374" width="8" style="1315" customWidth="1"/>
    <col min="15375" max="15375" width="17" style="1315" customWidth="1"/>
    <col min="15376" max="15376" width="12.7109375" style="1315" customWidth="1"/>
    <col min="15377" max="15377" width="24.5703125" style="1315" customWidth="1"/>
    <col min="15378" max="15378" width="29" style="1315" customWidth="1"/>
    <col min="15379" max="15379" width="17.7109375" style="1315" customWidth="1"/>
    <col min="15380" max="15380" width="36.42578125" style="1315" customWidth="1"/>
    <col min="15381" max="15381" width="21.85546875" style="1315" customWidth="1"/>
    <col min="15382" max="15382" width="11.7109375" style="1315" customWidth="1"/>
    <col min="15383" max="15383" width="26.28515625" style="1315" customWidth="1"/>
    <col min="15384" max="15384" width="9" style="1315" customWidth="1"/>
    <col min="15385" max="15385" width="6.28515625" style="1315" customWidth="1"/>
    <col min="15386" max="15387" width="7.28515625" style="1315" customWidth="1"/>
    <col min="15388" max="15388" width="8.42578125" style="1315" customWidth="1"/>
    <col min="15389" max="15389" width="9.5703125" style="1315" customWidth="1"/>
    <col min="15390" max="15390" width="6.28515625" style="1315" customWidth="1"/>
    <col min="15391" max="15391" width="5.85546875" style="1315" customWidth="1"/>
    <col min="15392" max="15393" width="4.42578125" style="1315" customWidth="1"/>
    <col min="15394" max="15394" width="5" style="1315" customWidth="1"/>
    <col min="15395" max="15395" width="5.85546875" style="1315" customWidth="1"/>
    <col min="15396" max="15396" width="6.140625" style="1315" customWidth="1"/>
    <col min="15397" max="15397" width="6.28515625" style="1315" customWidth="1"/>
    <col min="15398" max="15398" width="11.140625" style="1315" customWidth="1"/>
    <col min="15399" max="15399" width="14.140625" style="1315" customWidth="1"/>
    <col min="15400" max="15400" width="19.85546875" style="1315" customWidth="1"/>
    <col min="15401" max="15401" width="17" style="1315" customWidth="1"/>
    <col min="15402" max="15402" width="20.85546875" style="1315" customWidth="1"/>
    <col min="15403" max="15615" width="11.42578125" style="1315"/>
    <col min="15616" max="15616" width="13.140625" style="1315" customWidth="1"/>
    <col min="15617" max="15617" width="4" style="1315" customWidth="1"/>
    <col min="15618" max="15618" width="12.85546875" style="1315" customWidth="1"/>
    <col min="15619" max="15619" width="14.7109375" style="1315" customWidth="1"/>
    <col min="15620" max="15620" width="10" style="1315" customWidth="1"/>
    <col min="15621" max="15621" width="6.28515625" style="1315" customWidth="1"/>
    <col min="15622" max="15622" width="12.28515625" style="1315" customWidth="1"/>
    <col min="15623" max="15623" width="8.5703125" style="1315" customWidth="1"/>
    <col min="15624" max="15624" width="13.7109375" style="1315" customWidth="1"/>
    <col min="15625" max="15625" width="11.5703125" style="1315" customWidth="1"/>
    <col min="15626" max="15626" width="34.28515625" style="1315" customWidth="1"/>
    <col min="15627" max="15627" width="24.28515625" style="1315" customWidth="1"/>
    <col min="15628" max="15628" width="21.140625" style="1315" customWidth="1"/>
    <col min="15629" max="15629" width="22.140625" style="1315" customWidth="1"/>
    <col min="15630" max="15630" width="8" style="1315" customWidth="1"/>
    <col min="15631" max="15631" width="17" style="1315" customWidth="1"/>
    <col min="15632" max="15632" width="12.7109375" style="1315" customWidth="1"/>
    <col min="15633" max="15633" width="24.5703125" style="1315" customWidth="1"/>
    <col min="15634" max="15634" width="29" style="1315" customWidth="1"/>
    <col min="15635" max="15635" width="17.7109375" style="1315" customWidth="1"/>
    <col min="15636" max="15636" width="36.42578125" style="1315" customWidth="1"/>
    <col min="15637" max="15637" width="21.85546875" style="1315" customWidth="1"/>
    <col min="15638" max="15638" width="11.7109375" style="1315" customWidth="1"/>
    <col min="15639" max="15639" width="26.28515625" style="1315" customWidth="1"/>
    <col min="15640" max="15640" width="9" style="1315" customWidth="1"/>
    <col min="15641" max="15641" width="6.28515625" style="1315" customWidth="1"/>
    <col min="15642" max="15643" width="7.28515625" style="1315" customWidth="1"/>
    <col min="15644" max="15644" width="8.42578125" style="1315" customWidth="1"/>
    <col min="15645" max="15645" width="9.5703125" style="1315" customWidth="1"/>
    <col min="15646" max="15646" width="6.28515625" style="1315" customWidth="1"/>
    <col min="15647" max="15647" width="5.85546875" style="1315" customWidth="1"/>
    <col min="15648" max="15649" width="4.42578125" style="1315" customWidth="1"/>
    <col min="15650" max="15650" width="5" style="1315" customWidth="1"/>
    <col min="15651" max="15651" width="5.85546875" style="1315" customWidth="1"/>
    <col min="15652" max="15652" width="6.140625" style="1315" customWidth="1"/>
    <col min="15653" max="15653" width="6.28515625" style="1315" customWidth="1"/>
    <col min="15654" max="15654" width="11.140625" style="1315" customWidth="1"/>
    <col min="15655" max="15655" width="14.140625" style="1315" customWidth="1"/>
    <col min="15656" max="15656" width="19.85546875" style="1315" customWidth="1"/>
    <col min="15657" max="15657" width="17" style="1315" customWidth="1"/>
    <col min="15658" max="15658" width="20.85546875" style="1315" customWidth="1"/>
    <col min="15659" max="15871" width="11.42578125" style="1315"/>
    <col min="15872" max="15872" width="13.140625" style="1315" customWidth="1"/>
    <col min="15873" max="15873" width="4" style="1315" customWidth="1"/>
    <col min="15874" max="15874" width="12.85546875" style="1315" customWidth="1"/>
    <col min="15875" max="15875" width="14.7109375" style="1315" customWidth="1"/>
    <col min="15876" max="15876" width="10" style="1315" customWidth="1"/>
    <col min="15877" max="15877" width="6.28515625" style="1315" customWidth="1"/>
    <col min="15878" max="15878" width="12.28515625" style="1315" customWidth="1"/>
    <col min="15879" max="15879" width="8.5703125" style="1315" customWidth="1"/>
    <col min="15880" max="15880" width="13.7109375" style="1315" customWidth="1"/>
    <col min="15881" max="15881" width="11.5703125" style="1315" customWidth="1"/>
    <col min="15882" max="15882" width="34.28515625" style="1315" customWidth="1"/>
    <col min="15883" max="15883" width="24.28515625" style="1315" customWidth="1"/>
    <col min="15884" max="15884" width="21.140625" style="1315" customWidth="1"/>
    <col min="15885" max="15885" width="22.140625" style="1315" customWidth="1"/>
    <col min="15886" max="15886" width="8" style="1315" customWidth="1"/>
    <col min="15887" max="15887" width="17" style="1315" customWidth="1"/>
    <col min="15888" max="15888" width="12.7109375" style="1315" customWidth="1"/>
    <col min="15889" max="15889" width="24.5703125" style="1315" customWidth="1"/>
    <col min="15890" max="15890" width="29" style="1315" customWidth="1"/>
    <col min="15891" max="15891" width="17.7109375" style="1315" customWidth="1"/>
    <col min="15892" max="15892" width="36.42578125" style="1315" customWidth="1"/>
    <col min="15893" max="15893" width="21.85546875" style="1315" customWidth="1"/>
    <col min="15894" max="15894" width="11.7109375" style="1315" customWidth="1"/>
    <col min="15895" max="15895" width="26.28515625" style="1315" customWidth="1"/>
    <col min="15896" max="15896" width="9" style="1315" customWidth="1"/>
    <col min="15897" max="15897" width="6.28515625" style="1315" customWidth="1"/>
    <col min="15898" max="15899" width="7.28515625" style="1315" customWidth="1"/>
    <col min="15900" max="15900" width="8.42578125" style="1315" customWidth="1"/>
    <col min="15901" max="15901" width="9.5703125" style="1315" customWidth="1"/>
    <col min="15902" max="15902" width="6.28515625" style="1315" customWidth="1"/>
    <col min="15903" max="15903" width="5.85546875" style="1315" customWidth="1"/>
    <col min="15904" max="15905" width="4.42578125" style="1315" customWidth="1"/>
    <col min="15906" max="15906" width="5" style="1315" customWidth="1"/>
    <col min="15907" max="15907" width="5.85546875" style="1315" customWidth="1"/>
    <col min="15908" max="15908" width="6.140625" style="1315" customWidth="1"/>
    <col min="15909" max="15909" width="6.28515625" style="1315" customWidth="1"/>
    <col min="15910" max="15910" width="11.140625" style="1315" customWidth="1"/>
    <col min="15911" max="15911" width="14.140625" style="1315" customWidth="1"/>
    <col min="15912" max="15912" width="19.85546875" style="1315" customWidth="1"/>
    <col min="15913" max="15913" width="17" style="1315" customWidth="1"/>
    <col min="15914" max="15914" width="20.85546875" style="1315" customWidth="1"/>
    <col min="15915" max="16127" width="11.42578125" style="1315"/>
    <col min="16128" max="16128" width="13.140625" style="1315" customWidth="1"/>
    <col min="16129" max="16129" width="4" style="1315" customWidth="1"/>
    <col min="16130" max="16130" width="12.85546875" style="1315" customWidth="1"/>
    <col min="16131" max="16131" width="14.7109375" style="1315" customWidth="1"/>
    <col min="16132" max="16132" width="10" style="1315" customWidth="1"/>
    <col min="16133" max="16133" width="6.28515625" style="1315" customWidth="1"/>
    <col min="16134" max="16134" width="12.28515625" style="1315" customWidth="1"/>
    <col min="16135" max="16135" width="8.5703125" style="1315" customWidth="1"/>
    <col min="16136" max="16136" width="13.7109375" style="1315" customWidth="1"/>
    <col min="16137" max="16137" width="11.5703125" style="1315" customWidth="1"/>
    <col min="16138" max="16138" width="34.28515625" style="1315" customWidth="1"/>
    <col min="16139" max="16139" width="24.28515625" style="1315" customWidth="1"/>
    <col min="16140" max="16140" width="21.140625" style="1315" customWidth="1"/>
    <col min="16141" max="16141" width="22.140625" style="1315" customWidth="1"/>
    <col min="16142" max="16142" width="8" style="1315" customWidth="1"/>
    <col min="16143" max="16143" width="17" style="1315" customWidth="1"/>
    <col min="16144" max="16144" width="12.7109375" style="1315" customWidth="1"/>
    <col min="16145" max="16145" width="24.5703125" style="1315" customWidth="1"/>
    <col min="16146" max="16146" width="29" style="1315" customWidth="1"/>
    <col min="16147" max="16147" width="17.7109375" style="1315" customWidth="1"/>
    <col min="16148" max="16148" width="36.42578125" style="1315" customWidth="1"/>
    <col min="16149" max="16149" width="21.85546875" style="1315" customWidth="1"/>
    <col min="16150" max="16150" width="11.7109375" style="1315" customWidth="1"/>
    <col min="16151" max="16151" width="26.28515625" style="1315" customWidth="1"/>
    <col min="16152" max="16152" width="9" style="1315" customWidth="1"/>
    <col min="16153" max="16153" width="6.28515625" style="1315" customWidth="1"/>
    <col min="16154" max="16155" width="7.28515625" style="1315" customWidth="1"/>
    <col min="16156" max="16156" width="8.42578125" style="1315" customWidth="1"/>
    <col min="16157" max="16157" width="9.5703125" style="1315" customWidth="1"/>
    <col min="16158" max="16158" width="6.28515625" style="1315" customWidth="1"/>
    <col min="16159" max="16159" width="5.85546875" style="1315" customWidth="1"/>
    <col min="16160" max="16161" width="4.42578125" style="1315" customWidth="1"/>
    <col min="16162" max="16162" width="5" style="1315" customWidth="1"/>
    <col min="16163" max="16163" width="5.85546875" style="1315" customWidth="1"/>
    <col min="16164" max="16164" width="6.140625" style="1315" customWidth="1"/>
    <col min="16165" max="16165" width="6.28515625" style="1315" customWidth="1"/>
    <col min="16166" max="16166" width="11.140625" style="1315" customWidth="1"/>
    <col min="16167" max="16167" width="14.140625" style="1315" customWidth="1"/>
    <col min="16168" max="16168" width="19.85546875" style="1315" customWidth="1"/>
    <col min="16169" max="16169" width="17" style="1315" customWidth="1"/>
    <col min="16170" max="16170" width="20.85546875" style="1315" customWidth="1"/>
    <col min="16171" max="16384" width="11.42578125" style="1315"/>
  </cols>
  <sheetData>
    <row r="1" spans="1:62" ht="21" customHeight="1" x14ac:dyDescent="0.25">
      <c r="A1" s="4208" t="s">
        <v>1027</v>
      </c>
      <c r="B1" s="4209"/>
      <c r="C1" s="4209"/>
      <c r="D1" s="4209"/>
      <c r="E1" s="4209"/>
      <c r="F1" s="4209"/>
      <c r="G1" s="4209"/>
      <c r="H1" s="4209"/>
      <c r="I1" s="4209"/>
      <c r="J1" s="4209"/>
      <c r="K1" s="4209"/>
      <c r="L1" s="4209"/>
      <c r="M1" s="4209"/>
      <c r="N1" s="4209"/>
      <c r="O1" s="4209"/>
      <c r="P1" s="4209"/>
      <c r="Q1" s="4209"/>
      <c r="R1" s="4209"/>
      <c r="S1" s="4209"/>
      <c r="T1" s="4209"/>
      <c r="U1" s="4209"/>
      <c r="V1" s="4209"/>
      <c r="W1" s="4209"/>
      <c r="X1" s="4209"/>
      <c r="Y1" s="4209"/>
      <c r="Z1" s="4209"/>
      <c r="AA1" s="4209"/>
      <c r="AB1" s="4209"/>
      <c r="AC1" s="4209"/>
      <c r="AD1" s="4209"/>
      <c r="AE1" s="4209"/>
      <c r="AF1" s="4209"/>
      <c r="AG1" s="4209"/>
      <c r="AH1" s="4209"/>
      <c r="AI1" s="4209"/>
      <c r="AJ1" s="4209"/>
      <c r="AK1" s="4209"/>
      <c r="AL1" s="4209"/>
      <c r="AM1" s="4209"/>
      <c r="AN1" s="4209"/>
      <c r="AO1" s="4209"/>
      <c r="AP1" s="1313" t="s">
        <v>0</v>
      </c>
      <c r="AQ1" s="1314" t="s">
        <v>1028</v>
      </c>
    </row>
    <row r="2" spans="1:62" ht="21" customHeight="1" x14ac:dyDescent="0.25">
      <c r="A2" s="4208"/>
      <c r="B2" s="4209"/>
      <c r="C2" s="4209"/>
      <c r="D2" s="4209"/>
      <c r="E2" s="4209"/>
      <c r="F2" s="4209"/>
      <c r="G2" s="4209"/>
      <c r="H2" s="4209"/>
      <c r="I2" s="4209"/>
      <c r="J2" s="4209"/>
      <c r="K2" s="4209"/>
      <c r="L2" s="4209"/>
      <c r="M2" s="4209"/>
      <c r="N2" s="4209"/>
      <c r="O2" s="4209"/>
      <c r="P2" s="4209"/>
      <c r="Q2" s="4209"/>
      <c r="R2" s="4209"/>
      <c r="S2" s="4209"/>
      <c r="T2" s="4209"/>
      <c r="U2" s="4209"/>
      <c r="V2" s="4209"/>
      <c r="W2" s="4209"/>
      <c r="X2" s="4209"/>
      <c r="Y2" s="4209"/>
      <c r="Z2" s="4209"/>
      <c r="AA2" s="4209"/>
      <c r="AB2" s="4209"/>
      <c r="AC2" s="4209"/>
      <c r="AD2" s="4209"/>
      <c r="AE2" s="4209"/>
      <c r="AF2" s="4209"/>
      <c r="AG2" s="4209"/>
      <c r="AH2" s="4209"/>
      <c r="AI2" s="4209"/>
      <c r="AJ2" s="4209"/>
      <c r="AK2" s="4209"/>
      <c r="AL2" s="4209"/>
      <c r="AM2" s="4209"/>
      <c r="AN2" s="4209"/>
      <c r="AO2" s="4209"/>
      <c r="AP2" s="1316" t="s">
        <v>2</v>
      </c>
      <c r="AQ2" s="1317">
        <v>6</v>
      </c>
    </row>
    <row r="3" spans="1:62" ht="21" customHeight="1" x14ac:dyDescent="0.25">
      <c r="A3" s="4208"/>
      <c r="B3" s="4209"/>
      <c r="C3" s="4209"/>
      <c r="D3" s="4209"/>
      <c r="E3" s="4209"/>
      <c r="F3" s="4209"/>
      <c r="G3" s="4209"/>
      <c r="H3" s="4209"/>
      <c r="I3" s="4209"/>
      <c r="J3" s="4209"/>
      <c r="K3" s="4209"/>
      <c r="L3" s="4209"/>
      <c r="M3" s="4209"/>
      <c r="N3" s="4209"/>
      <c r="O3" s="4209"/>
      <c r="P3" s="4209"/>
      <c r="Q3" s="4209"/>
      <c r="R3" s="4209"/>
      <c r="S3" s="4209"/>
      <c r="T3" s="4209"/>
      <c r="U3" s="4209"/>
      <c r="V3" s="4209"/>
      <c r="W3" s="4209"/>
      <c r="X3" s="4209"/>
      <c r="Y3" s="4209"/>
      <c r="Z3" s="4209"/>
      <c r="AA3" s="4209"/>
      <c r="AB3" s="4209"/>
      <c r="AC3" s="4209"/>
      <c r="AD3" s="4209"/>
      <c r="AE3" s="4209"/>
      <c r="AF3" s="4209"/>
      <c r="AG3" s="4209"/>
      <c r="AH3" s="4209"/>
      <c r="AI3" s="4209"/>
      <c r="AJ3" s="4209"/>
      <c r="AK3" s="4209"/>
      <c r="AL3" s="4209"/>
      <c r="AM3" s="4209"/>
      <c r="AN3" s="4209"/>
      <c r="AO3" s="4209"/>
      <c r="AP3" s="1318" t="s">
        <v>3</v>
      </c>
      <c r="AQ3" s="1319" t="s">
        <v>4</v>
      </c>
    </row>
    <row r="4" spans="1:62" s="1322" customFormat="1" ht="21" customHeight="1" x14ac:dyDescent="0.2">
      <c r="A4" s="4210"/>
      <c r="B4" s="4211"/>
      <c r="C4" s="4211"/>
      <c r="D4" s="4211"/>
      <c r="E4" s="4211"/>
      <c r="F4" s="4211"/>
      <c r="G4" s="4211"/>
      <c r="H4" s="4211"/>
      <c r="I4" s="4211"/>
      <c r="J4" s="4211"/>
      <c r="K4" s="4211"/>
      <c r="L4" s="4211"/>
      <c r="M4" s="4211"/>
      <c r="N4" s="4211"/>
      <c r="O4" s="4211"/>
      <c r="P4" s="4211"/>
      <c r="Q4" s="4211"/>
      <c r="R4" s="4211"/>
      <c r="S4" s="4211"/>
      <c r="T4" s="4211"/>
      <c r="U4" s="4211"/>
      <c r="V4" s="4211"/>
      <c r="W4" s="4211"/>
      <c r="X4" s="4211"/>
      <c r="Y4" s="4211"/>
      <c r="Z4" s="4211"/>
      <c r="AA4" s="4211"/>
      <c r="AB4" s="4211"/>
      <c r="AC4" s="4211"/>
      <c r="AD4" s="4211"/>
      <c r="AE4" s="4211"/>
      <c r="AF4" s="4211"/>
      <c r="AG4" s="4211"/>
      <c r="AH4" s="4211"/>
      <c r="AI4" s="4211"/>
      <c r="AJ4" s="4211"/>
      <c r="AK4" s="4211"/>
      <c r="AL4" s="4211"/>
      <c r="AM4" s="4211"/>
      <c r="AN4" s="4211"/>
      <c r="AO4" s="4211"/>
      <c r="AP4" s="1320" t="s">
        <v>5</v>
      </c>
      <c r="AQ4" s="1321" t="s">
        <v>6</v>
      </c>
    </row>
    <row r="5" spans="1:62" ht="21" customHeight="1" x14ac:dyDescent="0.2">
      <c r="A5" s="4212" t="s">
        <v>7</v>
      </c>
      <c r="B5" s="4213"/>
      <c r="C5" s="4213"/>
      <c r="D5" s="4213"/>
      <c r="E5" s="4213"/>
      <c r="F5" s="4213"/>
      <c r="G5" s="4213"/>
      <c r="H5" s="4213"/>
      <c r="I5" s="4213"/>
      <c r="J5" s="4213"/>
      <c r="K5" s="4213"/>
      <c r="L5" s="4213"/>
      <c r="M5" s="4213"/>
      <c r="N5" s="4216" t="s">
        <v>8</v>
      </c>
      <c r="O5" s="4217"/>
      <c r="P5" s="4217"/>
      <c r="Q5" s="4217"/>
      <c r="R5" s="4217"/>
      <c r="S5" s="4217"/>
      <c r="T5" s="4217"/>
      <c r="U5" s="4217"/>
      <c r="V5" s="4217"/>
      <c r="W5" s="4217"/>
      <c r="X5" s="4217"/>
      <c r="Y5" s="4217"/>
      <c r="Z5" s="4217"/>
      <c r="AA5" s="4217"/>
      <c r="AB5" s="4217"/>
      <c r="AC5" s="4217"/>
      <c r="AD5" s="4217"/>
      <c r="AE5" s="4217"/>
      <c r="AF5" s="4217"/>
      <c r="AG5" s="4217"/>
      <c r="AH5" s="4217"/>
      <c r="AI5" s="4217"/>
      <c r="AJ5" s="4217"/>
      <c r="AK5" s="4217"/>
      <c r="AL5" s="4217"/>
      <c r="AM5" s="4217"/>
      <c r="AN5" s="4217"/>
      <c r="AO5" s="4217"/>
      <c r="AP5" s="4217"/>
      <c r="AQ5" s="4218"/>
    </row>
    <row r="6" spans="1:62" ht="21" customHeight="1" x14ac:dyDescent="0.2">
      <c r="A6" s="4214"/>
      <c r="B6" s="4215"/>
      <c r="C6" s="4215"/>
      <c r="D6" s="4215"/>
      <c r="E6" s="4215"/>
      <c r="F6" s="4215"/>
      <c r="G6" s="4215"/>
      <c r="H6" s="4215"/>
      <c r="I6" s="4215"/>
      <c r="J6" s="4215"/>
      <c r="K6" s="4215"/>
      <c r="L6" s="4215"/>
      <c r="M6" s="4215"/>
      <c r="N6" s="4216"/>
      <c r="O6" s="4217"/>
      <c r="P6" s="4217"/>
      <c r="Q6" s="4217"/>
      <c r="R6" s="4217"/>
      <c r="S6" s="4217"/>
      <c r="T6" s="4217"/>
      <c r="U6" s="4217"/>
      <c r="V6" s="4217"/>
      <c r="W6" s="4217"/>
      <c r="X6" s="4219"/>
      <c r="Y6" s="1081"/>
      <c r="Z6" s="1081"/>
      <c r="AA6" s="1081"/>
      <c r="AB6" s="1081"/>
      <c r="AC6" s="1081"/>
      <c r="AD6" s="1081"/>
      <c r="AE6" s="1081"/>
      <c r="AF6" s="1081"/>
      <c r="AG6" s="1081"/>
      <c r="AH6" s="1081"/>
      <c r="AI6" s="1081"/>
      <c r="AJ6" s="1081"/>
      <c r="AK6" s="1081"/>
      <c r="AL6" s="1081"/>
      <c r="AM6" s="1081"/>
      <c r="AN6" s="1081"/>
      <c r="AO6" s="4216"/>
      <c r="AP6" s="4217"/>
      <c r="AQ6" s="4218"/>
    </row>
    <row r="7" spans="1:62" ht="37.5" customHeight="1" x14ac:dyDescent="0.2">
      <c r="A7" s="4220" t="s">
        <v>9</v>
      </c>
      <c r="B7" s="4205" t="s">
        <v>10</v>
      </c>
      <c r="C7" s="4205"/>
      <c r="D7" s="4205" t="s">
        <v>9</v>
      </c>
      <c r="E7" s="4205" t="s">
        <v>11</v>
      </c>
      <c r="F7" s="4205"/>
      <c r="G7" s="4205" t="s">
        <v>9</v>
      </c>
      <c r="H7" s="4205" t="s">
        <v>12</v>
      </c>
      <c r="I7" s="4205"/>
      <c r="J7" s="4205" t="s">
        <v>9</v>
      </c>
      <c r="K7" s="4205" t="s">
        <v>13</v>
      </c>
      <c r="L7" s="4205" t="s">
        <v>14</v>
      </c>
      <c r="M7" s="4206" t="s">
        <v>15</v>
      </c>
      <c r="N7" s="4205" t="s">
        <v>16</v>
      </c>
      <c r="O7" s="4227" t="s">
        <v>17</v>
      </c>
      <c r="P7" s="4205" t="s">
        <v>8</v>
      </c>
      <c r="Q7" s="4205" t="s">
        <v>18</v>
      </c>
      <c r="R7" s="4205" t="s">
        <v>19</v>
      </c>
      <c r="S7" s="4205" t="s">
        <v>20</v>
      </c>
      <c r="T7" s="4205" t="s">
        <v>21</v>
      </c>
      <c r="U7" s="4224" t="s">
        <v>22</v>
      </c>
      <c r="V7" s="4225" t="s">
        <v>19</v>
      </c>
      <c r="W7" s="4227" t="s">
        <v>9</v>
      </c>
      <c r="X7" s="4205" t="s">
        <v>23</v>
      </c>
      <c r="Y7" s="2774" t="s">
        <v>24</v>
      </c>
      <c r="Z7" s="2775"/>
      <c r="AA7" s="2792" t="s">
        <v>25</v>
      </c>
      <c r="AB7" s="2793"/>
      <c r="AC7" s="2793"/>
      <c r="AD7" s="2793"/>
      <c r="AE7" s="2794" t="s">
        <v>26</v>
      </c>
      <c r="AF7" s="2795"/>
      <c r="AG7" s="2795"/>
      <c r="AH7" s="2795"/>
      <c r="AI7" s="2795"/>
      <c r="AJ7" s="2795"/>
      <c r="AK7" s="2792" t="s">
        <v>27</v>
      </c>
      <c r="AL7" s="2793"/>
      <c r="AM7" s="2793"/>
      <c r="AN7" s="3225" t="s">
        <v>28</v>
      </c>
      <c r="AO7" s="4221" t="s">
        <v>29</v>
      </c>
      <c r="AP7" s="4221" t="s">
        <v>30</v>
      </c>
      <c r="AQ7" s="4223" t="s">
        <v>31</v>
      </c>
    </row>
    <row r="8" spans="1:62" ht="123.75" customHeight="1" x14ac:dyDescent="0.2">
      <c r="A8" s="4220"/>
      <c r="B8" s="4205"/>
      <c r="C8" s="4205"/>
      <c r="D8" s="4205"/>
      <c r="E8" s="4205"/>
      <c r="F8" s="4205"/>
      <c r="G8" s="4205"/>
      <c r="H8" s="4205"/>
      <c r="I8" s="4205"/>
      <c r="J8" s="4205"/>
      <c r="K8" s="4205"/>
      <c r="L8" s="4205"/>
      <c r="M8" s="4207"/>
      <c r="N8" s="4205"/>
      <c r="O8" s="4228"/>
      <c r="P8" s="4205"/>
      <c r="Q8" s="4205"/>
      <c r="R8" s="4205"/>
      <c r="S8" s="4205"/>
      <c r="T8" s="4205"/>
      <c r="U8" s="4224"/>
      <c r="V8" s="4226"/>
      <c r="W8" s="4228"/>
      <c r="X8" s="4205"/>
      <c r="Y8" s="1323" t="s">
        <v>32</v>
      </c>
      <c r="Z8" s="1324" t="s">
        <v>33</v>
      </c>
      <c r="AA8" s="769" t="s">
        <v>34</v>
      </c>
      <c r="AB8" s="1323" t="s">
        <v>35</v>
      </c>
      <c r="AC8" s="769" t="s">
        <v>95</v>
      </c>
      <c r="AD8" s="1323" t="s">
        <v>37</v>
      </c>
      <c r="AE8" s="1323" t="s">
        <v>38</v>
      </c>
      <c r="AF8" s="1323" t="s">
        <v>39</v>
      </c>
      <c r="AG8" s="1323" t="s">
        <v>40</v>
      </c>
      <c r="AH8" s="1323" t="s">
        <v>41</v>
      </c>
      <c r="AI8" s="1323" t="s">
        <v>42</v>
      </c>
      <c r="AJ8" s="1323" t="s">
        <v>43</v>
      </c>
      <c r="AK8" s="1323" t="s">
        <v>44</v>
      </c>
      <c r="AL8" s="1323" t="s">
        <v>45</v>
      </c>
      <c r="AM8" s="1323" t="s">
        <v>46</v>
      </c>
      <c r="AN8" s="3226"/>
      <c r="AO8" s="4222"/>
      <c r="AP8" s="4222"/>
      <c r="AQ8" s="4223"/>
    </row>
    <row r="9" spans="1:62" ht="20.25" customHeight="1" x14ac:dyDescent="0.2">
      <c r="A9" s="1325">
        <v>3</v>
      </c>
      <c r="B9" s="1326"/>
      <c r="C9" s="1326" t="s">
        <v>999</v>
      </c>
      <c r="D9" s="1326"/>
      <c r="E9" s="1326"/>
      <c r="F9" s="1326"/>
      <c r="G9" s="1326"/>
      <c r="H9" s="1326"/>
      <c r="I9" s="1326"/>
      <c r="J9" s="1326"/>
      <c r="K9" s="1327"/>
      <c r="L9" s="1327"/>
      <c r="M9" s="1326"/>
      <c r="N9" s="1328"/>
      <c r="O9" s="1328"/>
      <c r="P9" s="1327"/>
      <c r="Q9" s="1329"/>
      <c r="R9" s="1330"/>
      <c r="S9" s="1327"/>
      <c r="T9" s="1327"/>
      <c r="U9" s="1327"/>
      <c r="V9" s="1331"/>
      <c r="W9" s="1332"/>
      <c r="X9" s="1328"/>
      <c r="Y9" s="1326"/>
      <c r="Z9" s="1326"/>
      <c r="AA9" s="1326"/>
      <c r="AB9" s="1326"/>
      <c r="AC9" s="1326"/>
      <c r="AD9" s="1326"/>
      <c r="AE9" s="1326"/>
      <c r="AF9" s="1326"/>
      <c r="AG9" s="1326"/>
      <c r="AH9" s="1326"/>
      <c r="AI9" s="1326"/>
      <c r="AJ9" s="1326"/>
      <c r="AK9" s="1326"/>
      <c r="AL9" s="1326"/>
      <c r="AM9" s="1326"/>
      <c r="AN9" s="1326"/>
      <c r="AO9" s="1333"/>
      <c r="AP9" s="1333"/>
      <c r="AQ9" s="1334"/>
      <c r="AR9" s="1335"/>
      <c r="AS9" s="1335"/>
      <c r="AT9" s="1335"/>
      <c r="AU9" s="1335"/>
      <c r="AV9" s="1335"/>
      <c r="AW9" s="1335"/>
      <c r="AX9" s="1335"/>
      <c r="AY9" s="1335"/>
      <c r="AZ9" s="1335"/>
      <c r="BA9" s="1335"/>
      <c r="BB9" s="1335"/>
      <c r="BC9" s="1335"/>
      <c r="BD9" s="1335"/>
      <c r="BE9" s="1335"/>
      <c r="BF9" s="1335"/>
      <c r="BG9" s="1335"/>
      <c r="BH9" s="1335"/>
      <c r="BI9" s="1335"/>
      <c r="BJ9" s="1335"/>
    </row>
    <row r="10" spans="1:62" s="1335" customFormat="1" ht="20.25" customHeight="1" x14ac:dyDescent="0.2">
      <c r="A10" s="1336"/>
      <c r="B10" s="1337"/>
      <c r="C10" s="1338"/>
      <c r="D10" s="1339">
        <v>20</v>
      </c>
      <c r="E10" s="1340" t="s">
        <v>1029</v>
      </c>
      <c r="F10" s="1340"/>
      <c r="G10" s="1340"/>
      <c r="H10" s="1340"/>
      <c r="I10" s="1340"/>
      <c r="J10" s="1340"/>
      <c r="K10" s="1341"/>
      <c r="L10" s="1341"/>
      <c r="M10" s="1340"/>
      <c r="N10" s="1342"/>
      <c r="O10" s="1342"/>
      <c r="P10" s="1341"/>
      <c r="Q10" s="1343"/>
      <c r="R10" s="1344"/>
      <c r="S10" s="1341"/>
      <c r="T10" s="1341"/>
      <c r="U10" s="1341"/>
      <c r="V10" s="1345"/>
      <c r="W10" s="1346"/>
      <c r="X10" s="1342"/>
      <c r="Y10" s="1340"/>
      <c r="Z10" s="1340"/>
      <c r="AA10" s="1340"/>
      <c r="AB10" s="1340"/>
      <c r="AC10" s="1340"/>
      <c r="AD10" s="1340"/>
      <c r="AE10" s="1340"/>
      <c r="AF10" s="1340"/>
      <c r="AG10" s="1340"/>
      <c r="AH10" s="1340"/>
      <c r="AI10" s="1340"/>
      <c r="AJ10" s="1340"/>
      <c r="AK10" s="1340"/>
      <c r="AL10" s="1340"/>
      <c r="AM10" s="1340"/>
      <c r="AN10" s="1340"/>
      <c r="AO10" s="1347"/>
      <c r="AP10" s="1347"/>
      <c r="AQ10" s="1348"/>
    </row>
    <row r="11" spans="1:62" s="1335" customFormat="1" ht="20.25" customHeight="1" x14ac:dyDescent="0.2">
      <c r="A11" s="1037"/>
      <c r="B11" s="1038"/>
      <c r="C11" s="1039"/>
      <c r="D11" s="1349"/>
      <c r="E11" s="1350"/>
      <c r="F11" s="1350"/>
      <c r="G11" s="1351">
        <v>68</v>
      </c>
      <c r="H11" s="1352" t="s">
        <v>1030</v>
      </c>
      <c r="I11" s="1352"/>
      <c r="J11" s="1352"/>
      <c r="K11" s="1353"/>
      <c r="L11" s="1353"/>
      <c r="M11" s="1352"/>
      <c r="N11" s="1354"/>
      <c r="O11" s="1355"/>
      <c r="P11" s="1353"/>
      <c r="Q11" s="1356"/>
      <c r="R11" s="1357"/>
      <c r="S11" s="1353"/>
      <c r="T11" s="1353"/>
      <c r="U11" s="1353"/>
      <c r="V11" s="1358"/>
      <c r="W11" s="1359"/>
      <c r="X11" s="1355"/>
      <c r="Y11" s="1352"/>
      <c r="Z11" s="1352"/>
      <c r="AA11" s="1352"/>
      <c r="AB11" s="1352"/>
      <c r="AC11" s="1352"/>
      <c r="AD11" s="1352"/>
      <c r="AE11" s="1352"/>
      <c r="AF11" s="1352"/>
      <c r="AG11" s="1352"/>
      <c r="AH11" s="1352"/>
      <c r="AI11" s="1352"/>
      <c r="AJ11" s="1352"/>
      <c r="AK11" s="1352"/>
      <c r="AL11" s="1352"/>
      <c r="AM11" s="1352"/>
      <c r="AN11" s="1352"/>
      <c r="AO11" s="1360"/>
      <c r="AP11" s="1360"/>
      <c r="AQ11" s="1361"/>
    </row>
    <row r="12" spans="1:62" s="1335" customFormat="1" ht="33" customHeight="1" x14ac:dyDescent="0.2">
      <c r="A12" s="1037"/>
      <c r="B12" s="1038"/>
      <c r="C12" s="1039"/>
      <c r="D12" s="1292"/>
      <c r="E12" s="1293"/>
      <c r="F12" s="1293"/>
      <c r="G12" s="1291"/>
      <c r="H12" s="1293"/>
      <c r="I12" s="1293"/>
      <c r="J12" s="2917">
        <v>202</v>
      </c>
      <c r="K12" s="2927" t="s">
        <v>1031</v>
      </c>
      <c r="L12" s="2927" t="s">
        <v>1032</v>
      </c>
      <c r="M12" s="2917">
        <v>23</v>
      </c>
      <c r="N12" s="1294" t="s">
        <v>1033</v>
      </c>
      <c r="O12" s="2933" t="s">
        <v>1034</v>
      </c>
      <c r="P12" s="2878" t="s">
        <v>1035</v>
      </c>
      <c r="Q12" s="1362">
        <f>+V12/$R$12</f>
        <v>9.1393201330798313E-2</v>
      </c>
      <c r="R12" s="2893">
        <f>SUM(V12:V18)</f>
        <v>2180137888.8000002</v>
      </c>
      <c r="S12" s="2878" t="s">
        <v>1036</v>
      </c>
      <c r="T12" s="4231" t="s">
        <v>1037</v>
      </c>
      <c r="U12" s="2878" t="s">
        <v>1038</v>
      </c>
      <c r="V12" s="1363">
        <v>199249781</v>
      </c>
      <c r="W12" s="1364">
        <v>12</v>
      </c>
      <c r="X12" s="1365" t="s">
        <v>1039</v>
      </c>
      <c r="Y12" s="4229">
        <v>300</v>
      </c>
      <c r="Z12" s="4229">
        <v>710</v>
      </c>
      <c r="AA12" s="4229">
        <v>317</v>
      </c>
      <c r="AB12" s="4229">
        <v>633</v>
      </c>
      <c r="AC12" s="4229"/>
      <c r="AD12" s="4229"/>
      <c r="AE12" s="4229"/>
      <c r="AF12" s="4229"/>
      <c r="AG12" s="4229"/>
      <c r="AH12" s="4229"/>
      <c r="AI12" s="4229"/>
      <c r="AJ12" s="4229"/>
      <c r="AK12" s="4229"/>
      <c r="AL12" s="4229">
        <v>60</v>
      </c>
      <c r="AM12" s="4239"/>
      <c r="AN12" s="4229">
        <f>+Y12+Z12</f>
        <v>1010</v>
      </c>
      <c r="AO12" s="4237">
        <v>43480</v>
      </c>
      <c r="AP12" s="4237">
        <v>43830</v>
      </c>
      <c r="AQ12" s="4231" t="s">
        <v>1040</v>
      </c>
    </row>
    <row r="13" spans="1:62" s="1335" customFormat="1" ht="30" customHeight="1" x14ac:dyDescent="0.2">
      <c r="A13" s="1037"/>
      <c r="B13" s="1038"/>
      <c r="C13" s="1039"/>
      <c r="D13" s="1292"/>
      <c r="E13" s="1293"/>
      <c r="F13" s="1293"/>
      <c r="G13" s="1292"/>
      <c r="H13" s="1293"/>
      <c r="I13" s="1293"/>
      <c r="J13" s="2917"/>
      <c r="K13" s="2927"/>
      <c r="L13" s="2927"/>
      <c r="M13" s="2917"/>
      <c r="N13" s="1295" t="s">
        <v>1041</v>
      </c>
      <c r="O13" s="2934"/>
      <c r="P13" s="2879"/>
      <c r="Q13" s="1362">
        <f>+V13/$R$12</f>
        <v>9.1737316720863354E-3</v>
      </c>
      <c r="R13" s="2894"/>
      <c r="S13" s="2879"/>
      <c r="T13" s="4232"/>
      <c r="U13" s="2879"/>
      <c r="V13" s="1363">
        <v>20000000</v>
      </c>
      <c r="W13" s="1364">
        <v>9</v>
      </c>
      <c r="X13" s="1365" t="s">
        <v>1042</v>
      </c>
      <c r="Y13" s="4229"/>
      <c r="Z13" s="4229"/>
      <c r="AA13" s="4229"/>
      <c r="AB13" s="4229"/>
      <c r="AC13" s="4229"/>
      <c r="AD13" s="4229"/>
      <c r="AE13" s="4229"/>
      <c r="AF13" s="4229"/>
      <c r="AG13" s="4229"/>
      <c r="AH13" s="4229"/>
      <c r="AI13" s="4229"/>
      <c r="AJ13" s="4229"/>
      <c r="AK13" s="4229"/>
      <c r="AL13" s="4229"/>
      <c r="AM13" s="4239"/>
      <c r="AN13" s="4229"/>
      <c r="AO13" s="4238"/>
      <c r="AP13" s="4238"/>
      <c r="AQ13" s="4232"/>
    </row>
    <row r="14" spans="1:62" s="1335" customFormat="1" ht="36" customHeight="1" x14ac:dyDescent="0.2">
      <c r="A14" s="1037"/>
      <c r="B14" s="1038"/>
      <c r="C14" s="1039"/>
      <c r="D14" s="1292"/>
      <c r="E14" s="1293"/>
      <c r="F14" s="1293"/>
      <c r="G14" s="1292"/>
      <c r="H14" s="1293"/>
      <c r="I14" s="1293"/>
      <c r="J14" s="2917"/>
      <c r="K14" s="2927"/>
      <c r="L14" s="2927"/>
      <c r="M14" s="2917"/>
      <c r="N14" s="1366" t="s">
        <v>1043</v>
      </c>
      <c r="O14" s="2934"/>
      <c r="P14" s="2879"/>
      <c r="Q14" s="1362">
        <f t="shared" ref="Q14:Q18" si="0">+V14/$R$12</f>
        <v>3.6039673180143485E-2</v>
      </c>
      <c r="R14" s="2894"/>
      <c r="S14" s="2879"/>
      <c r="T14" s="4232"/>
      <c r="U14" s="2879"/>
      <c r="V14" s="1367">
        <v>78571457</v>
      </c>
      <c r="W14" s="1364">
        <v>3</v>
      </c>
      <c r="X14" s="1368" t="s">
        <v>1044</v>
      </c>
      <c r="Y14" s="4229"/>
      <c r="Z14" s="4229"/>
      <c r="AA14" s="4229"/>
      <c r="AB14" s="4229"/>
      <c r="AC14" s="4229"/>
      <c r="AD14" s="4229"/>
      <c r="AE14" s="4229"/>
      <c r="AF14" s="4229"/>
      <c r="AG14" s="4229"/>
      <c r="AH14" s="4229"/>
      <c r="AI14" s="4229"/>
      <c r="AJ14" s="4229"/>
      <c r="AK14" s="4229"/>
      <c r="AL14" s="4229"/>
      <c r="AM14" s="4239"/>
      <c r="AN14" s="4229"/>
      <c r="AO14" s="4238"/>
      <c r="AP14" s="4238"/>
      <c r="AQ14" s="4232"/>
    </row>
    <row r="15" spans="1:62" s="1335" customFormat="1" ht="33" customHeight="1" x14ac:dyDescent="0.2">
      <c r="A15" s="1037"/>
      <c r="B15" s="1038"/>
      <c r="C15" s="1039"/>
      <c r="D15" s="1292"/>
      <c r="E15" s="1293"/>
      <c r="F15" s="1293"/>
      <c r="G15" s="1292"/>
      <c r="H15" s="1293"/>
      <c r="I15" s="1293"/>
      <c r="J15" s="2917"/>
      <c r="K15" s="2927"/>
      <c r="L15" s="2927"/>
      <c r="M15" s="2917"/>
      <c r="N15" s="1295" t="s">
        <v>1045</v>
      </c>
      <c r="O15" s="2934"/>
      <c r="P15" s="2879"/>
      <c r="Q15" s="1362">
        <f t="shared" si="0"/>
        <v>3.5715076280270548E-2</v>
      </c>
      <c r="R15" s="2894"/>
      <c r="S15" s="2879"/>
      <c r="T15" s="4232"/>
      <c r="U15" s="2879"/>
      <c r="V15" s="1367">
        <v>77863791</v>
      </c>
      <c r="W15" s="1369">
        <v>12</v>
      </c>
      <c r="X15" s="1368" t="s">
        <v>1039</v>
      </c>
      <c r="Y15" s="4229"/>
      <c r="Z15" s="4229"/>
      <c r="AA15" s="4229"/>
      <c r="AB15" s="4229"/>
      <c r="AC15" s="4229"/>
      <c r="AD15" s="4229"/>
      <c r="AE15" s="4229"/>
      <c r="AF15" s="4229"/>
      <c r="AG15" s="4229"/>
      <c r="AH15" s="4229"/>
      <c r="AI15" s="4229"/>
      <c r="AJ15" s="4229"/>
      <c r="AK15" s="4229"/>
      <c r="AL15" s="4229"/>
      <c r="AM15" s="4239"/>
      <c r="AN15" s="4229"/>
      <c r="AO15" s="4238"/>
      <c r="AP15" s="4238"/>
      <c r="AQ15" s="4232"/>
    </row>
    <row r="16" spans="1:62" s="1335" customFormat="1" ht="28.5" customHeight="1" x14ac:dyDescent="0.2">
      <c r="A16" s="1037"/>
      <c r="B16" s="1038"/>
      <c r="C16" s="1039"/>
      <c r="D16" s="1292"/>
      <c r="E16" s="1293"/>
      <c r="F16" s="1293"/>
      <c r="G16" s="1292"/>
      <c r="H16" s="1293"/>
      <c r="I16" s="1293"/>
      <c r="J16" s="2917"/>
      <c r="K16" s="2927"/>
      <c r="L16" s="2927"/>
      <c r="M16" s="2917"/>
      <c r="N16" s="1366" t="s">
        <v>1046</v>
      </c>
      <c r="O16" s="2934"/>
      <c r="P16" s="2879"/>
      <c r="Q16" s="1362">
        <f t="shared" si="0"/>
        <v>0.56973786345398791</v>
      </c>
      <c r="R16" s="2894"/>
      <c r="S16" s="2879"/>
      <c r="T16" s="4232"/>
      <c r="U16" s="2921"/>
      <c r="V16" s="1367">
        <v>1242107102.8</v>
      </c>
      <c r="W16" s="1369">
        <v>6</v>
      </c>
      <c r="X16" s="1368" t="s">
        <v>1047</v>
      </c>
      <c r="Y16" s="4229"/>
      <c r="Z16" s="4229"/>
      <c r="AA16" s="4229"/>
      <c r="AB16" s="4229"/>
      <c r="AC16" s="4229"/>
      <c r="AD16" s="4229"/>
      <c r="AE16" s="4229"/>
      <c r="AF16" s="4229"/>
      <c r="AG16" s="4229"/>
      <c r="AH16" s="4229"/>
      <c r="AI16" s="4229"/>
      <c r="AJ16" s="4229"/>
      <c r="AK16" s="4229"/>
      <c r="AL16" s="4229"/>
      <c r="AM16" s="4239"/>
      <c r="AN16" s="4229"/>
      <c r="AO16" s="4238"/>
      <c r="AP16" s="4238"/>
      <c r="AQ16" s="4232"/>
    </row>
    <row r="17" spans="1:43" s="1335" customFormat="1" ht="59.25" customHeight="1" x14ac:dyDescent="0.2">
      <c r="A17" s="1037"/>
      <c r="B17" s="1038"/>
      <c r="C17" s="1039"/>
      <c r="D17" s="1292"/>
      <c r="E17" s="2916"/>
      <c r="F17" s="2916"/>
      <c r="G17" s="1292"/>
      <c r="H17" s="1038"/>
      <c r="I17" s="1038"/>
      <c r="J17" s="2917"/>
      <c r="K17" s="2927"/>
      <c r="L17" s="2927"/>
      <c r="M17" s="2917"/>
      <c r="N17" s="1297" t="s">
        <v>1048</v>
      </c>
      <c r="O17" s="2934"/>
      <c r="P17" s="2879"/>
      <c r="Q17" s="1362">
        <f t="shared" si="0"/>
        <v>0.17043631914700752</v>
      </c>
      <c r="R17" s="2894"/>
      <c r="S17" s="2879"/>
      <c r="T17" s="4232"/>
      <c r="U17" s="1289" t="s">
        <v>1049</v>
      </c>
      <c r="V17" s="1363">
        <v>371574677</v>
      </c>
      <c r="W17" s="1364">
        <v>4</v>
      </c>
      <c r="X17" s="1365" t="s">
        <v>1050</v>
      </c>
      <c r="Y17" s="4229"/>
      <c r="Z17" s="4229"/>
      <c r="AA17" s="4229"/>
      <c r="AB17" s="4229"/>
      <c r="AC17" s="4229"/>
      <c r="AD17" s="4229"/>
      <c r="AE17" s="4229"/>
      <c r="AF17" s="4229"/>
      <c r="AG17" s="4229"/>
      <c r="AH17" s="4229"/>
      <c r="AI17" s="4229"/>
      <c r="AJ17" s="4229"/>
      <c r="AK17" s="4229"/>
      <c r="AL17" s="4229"/>
      <c r="AM17" s="4239"/>
      <c r="AN17" s="4229"/>
      <c r="AO17" s="4238"/>
      <c r="AP17" s="4238"/>
      <c r="AQ17" s="4232"/>
    </row>
    <row r="18" spans="1:43" s="1335" customFormat="1" ht="113.25" customHeight="1" x14ac:dyDescent="0.2">
      <c r="A18" s="1037"/>
      <c r="B18" s="1038"/>
      <c r="C18" s="1039"/>
      <c r="D18" s="1292"/>
      <c r="E18" s="1293"/>
      <c r="F18" s="1293"/>
      <c r="G18" s="1292"/>
      <c r="H18" s="1293"/>
      <c r="I18" s="1293"/>
      <c r="J18" s="1290">
        <v>203</v>
      </c>
      <c r="K18" s="1289" t="s">
        <v>1051</v>
      </c>
      <c r="L18" s="1289" t="s">
        <v>1052</v>
      </c>
      <c r="M18" s="1290">
        <v>20</v>
      </c>
      <c r="N18" s="1297" t="s">
        <v>1053</v>
      </c>
      <c r="O18" s="2919"/>
      <c r="P18" s="2921"/>
      <c r="Q18" s="1362">
        <f t="shared" si="0"/>
        <v>8.7504134935705802E-2</v>
      </c>
      <c r="R18" s="4230"/>
      <c r="S18" s="2921"/>
      <c r="T18" s="4233"/>
      <c r="U18" s="1370" t="s">
        <v>1054</v>
      </c>
      <c r="V18" s="1059">
        <v>190771080</v>
      </c>
      <c r="W18" s="1364">
        <v>4</v>
      </c>
      <c r="X18" s="1296" t="s">
        <v>1050</v>
      </c>
      <c r="Y18" s="4229"/>
      <c r="Z18" s="4229"/>
      <c r="AA18" s="4229"/>
      <c r="AB18" s="4229"/>
      <c r="AC18" s="4229"/>
      <c r="AD18" s="4229"/>
      <c r="AE18" s="4229"/>
      <c r="AF18" s="4229"/>
      <c r="AG18" s="4229"/>
      <c r="AH18" s="4229"/>
      <c r="AI18" s="4229"/>
      <c r="AJ18" s="4229"/>
      <c r="AK18" s="4229"/>
      <c r="AL18" s="4229"/>
      <c r="AM18" s="4239"/>
      <c r="AN18" s="4229"/>
      <c r="AO18" s="4240"/>
      <c r="AP18" s="4240"/>
      <c r="AQ18" s="4233"/>
    </row>
    <row r="19" spans="1:43" s="1335" customFormat="1" ht="23.25" customHeight="1" x14ac:dyDescent="0.2">
      <c r="A19" s="1037"/>
      <c r="B19" s="1038"/>
      <c r="C19" s="1039"/>
      <c r="D19" s="1292"/>
      <c r="E19" s="1293"/>
      <c r="F19" s="1293"/>
      <c r="G19" s="1351">
        <v>69</v>
      </c>
      <c r="H19" s="1352" t="s">
        <v>1055</v>
      </c>
      <c r="I19" s="1352"/>
      <c r="J19" s="1352"/>
      <c r="K19" s="1353"/>
      <c r="L19" s="1353"/>
      <c r="M19" s="1352"/>
      <c r="N19" s="1354"/>
      <c r="O19" s="1355"/>
      <c r="P19" s="1353"/>
      <c r="Q19" s="1356"/>
      <c r="R19" s="1371"/>
      <c r="S19" s="1353" t="s">
        <v>1056</v>
      </c>
      <c r="T19" s="1353" t="s">
        <v>1056</v>
      </c>
      <c r="U19" s="1353"/>
      <c r="V19" s="1371"/>
      <c r="W19" s="1359"/>
      <c r="X19" s="1372"/>
      <c r="Y19" s="4229"/>
      <c r="Z19" s="4229"/>
      <c r="AA19" s="4229"/>
      <c r="AB19" s="4229"/>
      <c r="AC19" s="4229"/>
      <c r="AD19" s="4229"/>
      <c r="AE19" s="4229"/>
      <c r="AF19" s="4229"/>
      <c r="AG19" s="4229"/>
      <c r="AH19" s="4229"/>
      <c r="AI19" s="4229"/>
      <c r="AJ19" s="4229"/>
      <c r="AK19" s="4229"/>
      <c r="AL19" s="4229"/>
      <c r="AM19" s="4239"/>
      <c r="AN19" s="4229"/>
      <c r="AO19" s="1360"/>
      <c r="AP19" s="1360"/>
      <c r="AQ19" s="1373"/>
    </row>
    <row r="20" spans="1:43" s="1335" customFormat="1" ht="46.5" customHeight="1" x14ac:dyDescent="0.2">
      <c r="A20" s="1037"/>
      <c r="B20" s="1038"/>
      <c r="C20" s="1039"/>
      <c r="D20" s="1292"/>
      <c r="E20" s="1293"/>
      <c r="F20" s="1293"/>
      <c r="G20" s="1292"/>
      <c r="H20" s="1293"/>
      <c r="I20" s="1293"/>
      <c r="J20" s="2917">
        <v>204</v>
      </c>
      <c r="K20" s="2927" t="s">
        <v>1057</v>
      </c>
      <c r="L20" s="2890" t="s">
        <v>1058</v>
      </c>
      <c r="M20" s="2880">
        <v>13</v>
      </c>
      <c r="N20" s="1294" t="s">
        <v>1059</v>
      </c>
      <c r="O20" s="2933" t="s">
        <v>1034</v>
      </c>
      <c r="P20" s="2878" t="s">
        <v>1035</v>
      </c>
      <c r="Q20" s="1362">
        <f>+V20/R20</f>
        <v>0.64747356051703875</v>
      </c>
      <c r="R20" s="2893">
        <f>SUM(V20:V21)</f>
        <v>170200000</v>
      </c>
      <c r="S20" s="2878" t="s">
        <v>1036</v>
      </c>
      <c r="T20" s="2878" t="s">
        <v>1037</v>
      </c>
      <c r="U20" s="2878" t="s">
        <v>1060</v>
      </c>
      <c r="V20" s="1363">
        <v>110200000</v>
      </c>
      <c r="W20" s="1364">
        <v>4</v>
      </c>
      <c r="X20" s="1365" t="s">
        <v>1050</v>
      </c>
      <c r="Y20" s="4229"/>
      <c r="Z20" s="4229"/>
      <c r="AA20" s="4229"/>
      <c r="AB20" s="4229"/>
      <c r="AC20" s="4229"/>
      <c r="AD20" s="4229"/>
      <c r="AE20" s="4229"/>
      <c r="AF20" s="4229"/>
      <c r="AG20" s="4229"/>
      <c r="AH20" s="4229"/>
      <c r="AI20" s="4229"/>
      <c r="AJ20" s="4229"/>
      <c r="AK20" s="4229"/>
      <c r="AL20" s="4229"/>
      <c r="AM20" s="4239"/>
      <c r="AN20" s="4229"/>
      <c r="AO20" s="4237">
        <v>43480</v>
      </c>
      <c r="AP20" s="4237">
        <f>+AP12</f>
        <v>43830</v>
      </c>
      <c r="AQ20" s="4231" t="s">
        <v>1040</v>
      </c>
    </row>
    <row r="21" spans="1:43" s="1335" customFormat="1" ht="51.75" customHeight="1" x14ac:dyDescent="0.2">
      <c r="A21" s="1037"/>
      <c r="B21" s="1038"/>
      <c r="C21" s="1039"/>
      <c r="D21" s="1292"/>
      <c r="E21" s="1293"/>
      <c r="F21" s="1293"/>
      <c r="G21" s="1292"/>
      <c r="H21" s="1293"/>
      <c r="I21" s="1293"/>
      <c r="J21" s="2917"/>
      <c r="K21" s="2927"/>
      <c r="L21" s="2890"/>
      <c r="M21" s="2919"/>
      <c r="N21" s="1297" t="s">
        <v>1061</v>
      </c>
      <c r="O21" s="4236"/>
      <c r="P21" s="2921"/>
      <c r="Q21" s="1362">
        <f>+V21/R20</f>
        <v>0.3525264394829612</v>
      </c>
      <c r="R21" s="4230"/>
      <c r="S21" s="2921"/>
      <c r="T21" s="2921" t="s">
        <v>1056</v>
      </c>
      <c r="U21" s="2921"/>
      <c r="V21" s="1363">
        <v>60000000</v>
      </c>
      <c r="W21" s="1364">
        <v>12</v>
      </c>
      <c r="X21" s="1365" t="s">
        <v>1039</v>
      </c>
      <c r="Y21" s="4229"/>
      <c r="Z21" s="4229"/>
      <c r="AA21" s="4229"/>
      <c r="AB21" s="4229"/>
      <c r="AC21" s="4229"/>
      <c r="AD21" s="4229"/>
      <c r="AE21" s="4229"/>
      <c r="AF21" s="4229"/>
      <c r="AG21" s="4229"/>
      <c r="AH21" s="4229"/>
      <c r="AI21" s="4229"/>
      <c r="AJ21" s="4229"/>
      <c r="AK21" s="4229"/>
      <c r="AL21" s="4229"/>
      <c r="AM21" s="4239"/>
      <c r="AN21" s="4229"/>
      <c r="AO21" s="4238"/>
      <c r="AP21" s="4238"/>
      <c r="AQ21" s="4232"/>
    </row>
    <row r="22" spans="1:43" s="1335" customFormat="1" ht="23.25" customHeight="1" x14ac:dyDescent="0.2">
      <c r="A22" s="1037"/>
      <c r="B22" s="1038"/>
      <c r="C22" s="1039"/>
      <c r="D22" s="1292"/>
      <c r="E22" s="1293"/>
      <c r="F22" s="1293"/>
      <c r="G22" s="1351">
        <v>70</v>
      </c>
      <c r="H22" s="1352" t="s">
        <v>1062</v>
      </c>
      <c r="I22" s="1352"/>
      <c r="J22" s="1352"/>
      <c r="K22" s="1353"/>
      <c r="L22" s="1353"/>
      <c r="M22" s="1352"/>
      <c r="N22" s="1374"/>
      <c r="O22" s="1355"/>
      <c r="P22" s="1353"/>
      <c r="Q22" s="1356"/>
      <c r="R22" s="1371"/>
      <c r="S22" s="1353" t="s">
        <v>1056</v>
      </c>
      <c r="T22" s="1353" t="s">
        <v>1056</v>
      </c>
      <c r="U22" s="1353"/>
      <c r="V22" s="1371"/>
      <c r="W22" s="1359"/>
      <c r="X22" s="1355"/>
      <c r="Y22" s="1375"/>
      <c r="Z22" s="1375"/>
      <c r="AA22" s="1375"/>
      <c r="AB22" s="1375"/>
      <c r="AC22" s="1375"/>
      <c r="AD22" s="1375"/>
      <c r="AE22" s="1375"/>
      <c r="AF22" s="1375"/>
      <c r="AG22" s="1375"/>
      <c r="AH22" s="1375"/>
      <c r="AI22" s="1375"/>
      <c r="AJ22" s="1375"/>
      <c r="AK22" s="1375"/>
      <c r="AL22" s="1375"/>
      <c r="AM22" s="1375"/>
      <c r="AN22" s="1375"/>
      <c r="AO22" s="1360"/>
      <c r="AP22" s="1360"/>
      <c r="AQ22" s="1373"/>
    </row>
    <row r="23" spans="1:43" s="1335" customFormat="1" ht="42.75" customHeight="1" x14ac:dyDescent="0.2">
      <c r="A23" s="1037"/>
      <c r="B23" s="1038"/>
      <c r="C23" s="1039"/>
      <c r="D23" s="1292"/>
      <c r="E23" s="1293"/>
      <c r="F23" s="1293"/>
      <c r="G23" s="1292"/>
      <c r="H23" s="1293"/>
      <c r="I23" s="1293"/>
      <c r="J23" s="2917">
        <v>205</v>
      </c>
      <c r="K23" s="2927" t="s">
        <v>1063</v>
      </c>
      <c r="L23" s="2890" t="s">
        <v>1064</v>
      </c>
      <c r="M23" s="2917">
        <v>1</v>
      </c>
      <c r="N23" s="1294" t="s">
        <v>1065</v>
      </c>
      <c r="O23" s="4234" t="s">
        <v>1066</v>
      </c>
      <c r="P23" s="2927" t="s">
        <v>1067</v>
      </c>
      <c r="Q23" s="1362">
        <f>+V23/$R$23</f>
        <v>0.30932041144262568</v>
      </c>
      <c r="R23" s="4235">
        <f>+SUM(V23:V27)</f>
        <v>387947240.34000003</v>
      </c>
      <c r="S23" s="2878" t="s">
        <v>1068</v>
      </c>
      <c r="T23" s="2878" t="s">
        <v>1069</v>
      </c>
      <c r="U23" s="2878" t="s">
        <v>1070</v>
      </c>
      <c r="V23" s="1049">
        <v>120000000</v>
      </c>
      <c r="W23" s="1376">
        <v>12</v>
      </c>
      <c r="X23" s="1290" t="s">
        <v>1039</v>
      </c>
      <c r="Y23" s="4229">
        <v>6000</v>
      </c>
      <c r="Z23" s="4229">
        <v>9000</v>
      </c>
      <c r="AA23" s="4229">
        <v>10500</v>
      </c>
      <c r="AB23" s="4229">
        <v>4500</v>
      </c>
      <c r="AC23" s="4229"/>
      <c r="AD23" s="4229"/>
      <c r="AE23" s="4229">
        <v>22</v>
      </c>
      <c r="AF23" s="4229">
        <v>115</v>
      </c>
      <c r="AG23" s="4229">
        <v>1</v>
      </c>
      <c r="AH23" s="4229"/>
      <c r="AI23" s="4229"/>
      <c r="AJ23" s="4229"/>
      <c r="AK23" s="4229"/>
      <c r="AL23" s="4229">
        <v>59</v>
      </c>
      <c r="AM23" s="4243"/>
      <c r="AN23" s="4229">
        <f>+Y23+Z23</f>
        <v>15000</v>
      </c>
      <c r="AO23" s="4241">
        <v>43480</v>
      </c>
      <c r="AP23" s="4241">
        <v>43830</v>
      </c>
      <c r="AQ23" s="4242" t="s">
        <v>1040</v>
      </c>
    </row>
    <row r="24" spans="1:43" s="1335" customFormat="1" ht="38.25" customHeight="1" x14ac:dyDescent="0.2">
      <c r="A24" s="1037"/>
      <c r="B24" s="1038"/>
      <c r="C24" s="1039"/>
      <c r="D24" s="1292"/>
      <c r="E24" s="1293"/>
      <c r="F24" s="1293"/>
      <c r="G24" s="1292"/>
      <c r="H24" s="1293"/>
      <c r="I24" s="1293"/>
      <c r="J24" s="2917"/>
      <c r="K24" s="2927"/>
      <c r="L24" s="2890"/>
      <c r="M24" s="2917"/>
      <c r="N24" s="1295" t="s">
        <v>1071</v>
      </c>
      <c r="O24" s="4234"/>
      <c r="P24" s="2927"/>
      <c r="Q24" s="1362">
        <f t="shared" ref="Q24:Q27" si="1">+V24/$R$23</f>
        <v>0.2577670095355214</v>
      </c>
      <c r="R24" s="4235"/>
      <c r="S24" s="2879"/>
      <c r="T24" s="2879" t="s">
        <v>1056</v>
      </c>
      <c r="U24" s="2879"/>
      <c r="V24" s="1363">
        <v>100000000</v>
      </c>
      <c r="W24" s="1364">
        <v>4</v>
      </c>
      <c r="X24" s="1297" t="s">
        <v>1050</v>
      </c>
      <c r="Y24" s="4229"/>
      <c r="Z24" s="4229"/>
      <c r="AA24" s="4229"/>
      <c r="AB24" s="4229"/>
      <c r="AC24" s="4229"/>
      <c r="AD24" s="4229"/>
      <c r="AE24" s="4229"/>
      <c r="AF24" s="4229"/>
      <c r="AG24" s="4229"/>
      <c r="AH24" s="4229"/>
      <c r="AI24" s="4229"/>
      <c r="AJ24" s="4229"/>
      <c r="AK24" s="4229"/>
      <c r="AL24" s="4229"/>
      <c r="AM24" s="4244"/>
      <c r="AN24" s="4229"/>
      <c r="AO24" s="4241"/>
      <c r="AP24" s="4241"/>
      <c r="AQ24" s="4242"/>
    </row>
    <row r="25" spans="1:43" s="1335" customFormat="1" ht="38.25" customHeight="1" x14ac:dyDescent="0.2">
      <c r="A25" s="1037"/>
      <c r="B25" s="1038"/>
      <c r="C25" s="1039"/>
      <c r="D25" s="1292"/>
      <c r="E25" s="1293"/>
      <c r="F25" s="1293"/>
      <c r="G25" s="1292"/>
      <c r="H25" s="1293"/>
      <c r="I25" s="1293"/>
      <c r="J25" s="2917"/>
      <c r="K25" s="2927"/>
      <c r="L25" s="2890"/>
      <c r="M25" s="2917"/>
      <c r="N25" s="1295" t="s">
        <v>1072</v>
      </c>
      <c r="O25" s="4234"/>
      <c r="P25" s="2927"/>
      <c r="Q25" s="1362">
        <f t="shared" si="1"/>
        <v>0.2808956906214759</v>
      </c>
      <c r="R25" s="4235"/>
      <c r="S25" s="2879"/>
      <c r="T25" s="2879"/>
      <c r="U25" s="2879"/>
      <c r="V25" s="1363">
        <v>108972708</v>
      </c>
      <c r="W25" s="1364">
        <v>7</v>
      </c>
      <c r="X25" s="1297" t="s">
        <v>1073</v>
      </c>
      <c r="Y25" s="4229"/>
      <c r="Z25" s="4229"/>
      <c r="AA25" s="4229"/>
      <c r="AB25" s="4229"/>
      <c r="AC25" s="4229"/>
      <c r="AD25" s="4229"/>
      <c r="AE25" s="4229"/>
      <c r="AF25" s="4229"/>
      <c r="AG25" s="4229"/>
      <c r="AH25" s="4229"/>
      <c r="AI25" s="4229"/>
      <c r="AJ25" s="4229"/>
      <c r="AK25" s="4229"/>
      <c r="AL25" s="4229"/>
      <c r="AM25" s="4244"/>
      <c r="AN25" s="4229"/>
      <c r="AO25" s="4241"/>
      <c r="AP25" s="4241"/>
      <c r="AQ25" s="4242"/>
    </row>
    <row r="26" spans="1:43" s="1335" customFormat="1" ht="38.25" customHeight="1" x14ac:dyDescent="0.2">
      <c r="A26" s="1037"/>
      <c r="B26" s="1038"/>
      <c r="C26" s="1039"/>
      <c r="D26" s="1292"/>
      <c r="E26" s="1293"/>
      <c r="F26" s="1293"/>
      <c r="G26" s="1292"/>
      <c r="H26" s="1293"/>
      <c r="I26" s="1293"/>
      <c r="J26" s="2917"/>
      <c r="K26" s="2927"/>
      <c r="L26" s="2890"/>
      <c r="M26" s="2917"/>
      <c r="N26" s="1295" t="s">
        <v>1074</v>
      </c>
      <c r="O26" s="4234"/>
      <c r="P26" s="2927"/>
      <c r="Q26" s="1362">
        <f t="shared" si="1"/>
        <v>0.11601213943565077</v>
      </c>
      <c r="R26" s="4235"/>
      <c r="S26" s="2879"/>
      <c r="T26" s="2879"/>
      <c r="U26" s="2879"/>
      <c r="V26" s="1363">
        <v>45006589.340000004</v>
      </c>
      <c r="W26" s="1364">
        <v>13</v>
      </c>
      <c r="X26" s="1297" t="s">
        <v>1075</v>
      </c>
      <c r="Y26" s="4229"/>
      <c r="Z26" s="4229"/>
      <c r="AA26" s="4229"/>
      <c r="AB26" s="4229"/>
      <c r="AC26" s="4229"/>
      <c r="AD26" s="4229"/>
      <c r="AE26" s="4229"/>
      <c r="AF26" s="4229"/>
      <c r="AG26" s="4229"/>
      <c r="AH26" s="4229"/>
      <c r="AI26" s="4229"/>
      <c r="AJ26" s="4229"/>
      <c r="AK26" s="4229"/>
      <c r="AL26" s="4229"/>
      <c r="AM26" s="4244"/>
      <c r="AN26" s="4229"/>
      <c r="AO26" s="4241"/>
      <c r="AP26" s="4241"/>
      <c r="AQ26" s="4242"/>
    </row>
    <row r="27" spans="1:43" s="1335" customFormat="1" ht="38.25" customHeight="1" x14ac:dyDescent="0.2">
      <c r="A27" s="1037"/>
      <c r="B27" s="1038"/>
      <c r="C27" s="1039"/>
      <c r="D27" s="1292"/>
      <c r="E27" s="1293"/>
      <c r="F27" s="1293"/>
      <c r="G27" s="1292"/>
      <c r="H27" s="1293"/>
      <c r="I27" s="1293"/>
      <c r="J27" s="2917"/>
      <c r="K27" s="2927"/>
      <c r="L27" s="2890"/>
      <c r="M27" s="2917"/>
      <c r="N27" s="1377" t="s">
        <v>1076</v>
      </c>
      <c r="O27" s="4234"/>
      <c r="P27" s="2927"/>
      <c r="Q27" s="1362">
        <f t="shared" si="1"/>
        <v>3.6004748964726191E-2</v>
      </c>
      <c r="R27" s="4235"/>
      <c r="S27" s="2879"/>
      <c r="T27" s="2879"/>
      <c r="U27" s="2879"/>
      <c r="V27" s="1378">
        <v>13967943</v>
      </c>
      <c r="W27" s="1364">
        <v>15</v>
      </c>
      <c r="X27" s="1293" t="s">
        <v>1042</v>
      </c>
      <c r="Y27" s="4229"/>
      <c r="Z27" s="4229"/>
      <c r="AA27" s="4229"/>
      <c r="AB27" s="4229"/>
      <c r="AC27" s="4229"/>
      <c r="AD27" s="4229"/>
      <c r="AE27" s="4229"/>
      <c r="AF27" s="4229"/>
      <c r="AG27" s="4229"/>
      <c r="AH27" s="4229"/>
      <c r="AI27" s="4229"/>
      <c r="AJ27" s="4229"/>
      <c r="AK27" s="4229"/>
      <c r="AL27" s="4229"/>
      <c r="AM27" s="4245"/>
      <c r="AN27" s="4229"/>
      <c r="AO27" s="4241"/>
      <c r="AP27" s="4241"/>
      <c r="AQ27" s="4242"/>
    </row>
    <row r="28" spans="1:43" s="1335" customFormat="1" ht="23.25" customHeight="1" thickBot="1" x14ac:dyDescent="0.25">
      <c r="A28" s="1037"/>
      <c r="B28" s="1038"/>
      <c r="C28" s="1039"/>
      <c r="D28" s="1292"/>
      <c r="E28" s="1293"/>
      <c r="F28" s="1293"/>
      <c r="G28" s="1351">
        <v>71</v>
      </c>
      <c r="H28" s="1352" t="s">
        <v>1077</v>
      </c>
      <c r="I28" s="1352"/>
      <c r="J28" s="1352"/>
      <c r="K28" s="1353"/>
      <c r="L28" s="1353"/>
      <c r="M28" s="1352"/>
      <c r="N28" s="1374"/>
      <c r="O28" s="1355"/>
      <c r="P28" s="1353"/>
      <c r="Q28" s="1356"/>
      <c r="R28" s="1371"/>
      <c r="S28" s="1353" t="s">
        <v>1056</v>
      </c>
      <c r="T28" s="1353" t="s">
        <v>1056</v>
      </c>
      <c r="U28" s="1353"/>
      <c r="V28" s="1371"/>
      <c r="W28" s="1359"/>
      <c r="X28" s="1355"/>
      <c r="Y28" s="1375"/>
      <c r="Z28" s="1375"/>
      <c r="AA28" s="1375"/>
      <c r="AB28" s="1375"/>
      <c r="AC28" s="1375"/>
      <c r="AD28" s="1375"/>
      <c r="AE28" s="1375"/>
      <c r="AF28" s="1375"/>
      <c r="AG28" s="1375"/>
      <c r="AH28" s="1375"/>
      <c r="AI28" s="1375"/>
      <c r="AJ28" s="1375"/>
      <c r="AK28" s="1375"/>
      <c r="AL28" s="1375"/>
      <c r="AM28" s="1375"/>
      <c r="AN28" s="1375"/>
      <c r="AO28" s="1360"/>
      <c r="AP28" s="1360"/>
      <c r="AQ28" s="1373"/>
    </row>
    <row r="29" spans="1:43" s="1335" customFormat="1" ht="72" customHeight="1" x14ac:dyDescent="0.2">
      <c r="A29" s="1037"/>
      <c r="B29" s="1038"/>
      <c r="C29" s="1039"/>
      <c r="D29" s="1292"/>
      <c r="E29" s="1293"/>
      <c r="F29" s="1293"/>
      <c r="G29" s="1292"/>
      <c r="H29" s="1293"/>
      <c r="I29" s="1293"/>
      <c r="J29" s="2880">
        <v>206</v>
      </c>
      <c r="K29" s="2903" t="s">
        <v>1078</v>
      </c>
      <c r="L29" s="2878" t="s">
        <v>1079</v>
      </c>
      <c r="M29" s="2880">
        <v>12</v>
      </c>
      <c r="N29" s="1294" t="s">
        <v>1080</v>
      </c>
      <c r="O29" s="2933" t="s">
        <v>1081</v>
      </c>
      <c r="P29" s="2878" t="s">
        <v>1082</v>
      </c>
      <c r="Q29" s="1362">
        <f>+V29/$R$29</f>
        <v>0.15714285714285714</v>
      </c>
      <c r="R29" s="4235">
        <f>SUM(V29:V34)</f>
        <v>350000000</v>
      </c>
      <c r="S29" s="2878" t="s">
        <v>1083</v>
      </c>
      <c r="T29" s="2878" t="s">
        <v>1084</v>
      </c>
      <c r="U29" s="2878" t="s">
        <v>1085</v>
      </c>
      <c r="V29" s="1379">
        <v>55000000</v>
      </c>
      <c r="W29" s="1380">
        <v>12</v>
      </c>
      <c r="X29" s="1380" t="s">
        <v>1039</v>
      </c>
      <c r="Y29" s="2923">
        <v>900</v>
      </c>
      <c r="Z29" s="2923">
        <v>300</v>
      </c>
      <c r="AA29" s="2923">
        <v>372</v>
      </c>
      <c r="AB29" s="2923">
        <v>94</v>
      </c>
      <c r="AC29" s="2923">
        <v>734</v>
      </c>
      <c r="AD29" s="2923"/>
      <c r="AE29" s="2923"/>
      <c r="AF29" s="2923"/>
      <c r="AG29" s="2923"/>
      <c r="AH29" s="2923"/>
      <c r="AI29" s="2923"/>
      <c r="AJ29" s="2923"/>
      <c r="AK29" s="2923"/>
      <c r="AL29" s="2923"/>
      <c r="AM29" s="4243"/>
      <c r="AN29" s="2923">
        <f>+Y29+Z29</f>
        <v>1200</v>
      </c>
      <c r="AO29" s="4237">
        <v>43480</v>
      </c>
      <c r="AP29" s="4237">
        <v>43830</v>
      </c>
      <c r="AQ29" s="4246" t="s">
        <v>1040</v>
      </c>
    </row>
    <row r="30" spans="1:43" s="1335" customFormat="1" ht="69" customHeight="1" x14ac:dyDescent="0.2">
      <c r="A30" s="1037"/>
      <c r="B30" s="1038"/>
      <c r="C30" s="1039"/>
      <c r="D30" s="1292"/>
      <c r="E30" s="1293"/>
      <c r="F30" s="1293"/>
      <c r="G30" s="1292"/>
      <c r="H30" s="1293"/>
      <c r="I30" s="1293"/>
      <c r="J30" s="2919"/>
      <c r="K30" s="2920"/>
      <c r="L30" s="2921"/>
      <c r="M30" s="2919"/>
      <c r="N30" s="1295" t="s">
        <v>1086</v>
      </c>
      <c r="O30" s="2934"/>
      <c r="P30" s="2879"/>
      <c r="Q30" s="1362">
        <f t="shared" ref="Q30:Q34" si="2">+V30/$R$29</f>
        <v>0.17142857142857143</v>
      </c>
      <c r="R30" s="4235"/>
      <c r="S30" s="2879"/>
      <c r="T30" s="2879"/>
      <c r="U30" s="2921"/>
      <c r="V30" s="1049">
        <v>60000000</v>
      </c>
      <c r="W30" s="1290">
        <v>13</v>
      </c>
      <c r="X30" s="1290" t="s">
        <v>1087</v>
      </c>
      <c r="Y30" s="2924"/>
      <c r="Z30" s="2924"/>
      <c r="AA30" s="2924"/>
      <c r="AB30" s="2924"/>
      <c r="AC30" s="2924"/>
      <c r="AD30" s="2924"/>
      <c r="AE30" s="2924"/>
      <c r="AF30" s="2924"/>
      <c r="AG30" s="2924"/>
      <c r="AH30" s="2924"/>
      <c r="AI30" s="2924"/>
      <c r="AJ30" s="2924"/>
      <c r="AK30" s="2924"/>
      <c r="AL30" s="2924"/>
      <c r="AM30" s="4244"/>
      <c r="AN30" s="2924"/>
      <c r="AO30" s="4238"/>
      <c r="AP30" s="4238"/>
      <c r="AQ30" s="4247"/>
    </row>
    <row r="31" spans="1:43" s="1335" customFormat="1" ht="54" customHeight="1" x14ac:dyDescent="0.2">
      <c r="A31" s="1037"/>
      <c r="B31" s="1038"/>
      <c r="C31" s="1039"/>
      <c r="D31" s="1292"/>
      <c r="E31" s="1293"/>
      <c r="F31" s="1293"/>
      <c r="G31" s="1292"/>
      <c r="H31" s="1293"/>
      <c r="I31" s="1293"/>
      <c r="J31" s="2880">
        <v>207</v>
      </c>
      <c r="K31" s="2903" t="s">
        <v>1088</v>
      </c>
      <c r="L31" s="2878" t="s">
        <v>1089</v>
      </c>
      <c r="M31" s="2880">
        <v>1</v>
      </c>
      <c r="N31" s="1294" t="s">
        <v>1090</v>
      </c>
      <c r="O31" s="2934"/>
      <c r="P31" s="2879"/>
      <c r="Q31" s="1362">
        <f t="shared" si="2"/>
        <v>0.2857142857142857</v>
      </c>
      <c r="R31" s="4235"/>
      <c r="S31" s="2879"/>
      <c r="T31" s="2879"/>
      <c r="U31" s="2878" t="s">
        <v>1091</v>
      </c>
      <c r="V31" s="1049">
        <v>100000000</v>
      </c>
      <c r="W31" s="1290">
        <v>13</v>
      </c>
      <c r="X31" s="1290" t="s">
        <v>1087</v>
      </c>
      <c r="Y31" s="2924"/>
      <c r="Z31" s="2924"/>
      <c r="AA31" s="2924"/>
      <c r="AB31" s="2924"/>
      <c r="AC31" s="2924"/>
      <c r="AD31" s="2924"/>
      <c r="AE31" s="2924"/>
      <c r="AF31" s="2924"/>
      <c r="AG31" s="2924"/>
      <c r="AH31" s="2924"/>
      <c r="AI31" s="2924"/>
      <c r="AJ31" s="2924"/>
      <c r="AK31" s="2924"/>
      <c r="AL31" s="2924"/>
      <c r="AM31" s="4244"/>
      <c r="AN31" s="2924"/>
      <c r="AO31" s="4238"/>
      <c r="AP31" s="4238"/>
      <c r="AQ31" s="4247"/>
    </row>
    <row r="32" spans="1:43" s="1335" customFormat="1" ht="33" customHeight="1" x14ac:dyDescent="0.2">
      <c r="A32" s="1037"/>
      <c r="B32" s="1038"/>
      <c r="C32" s="1039"/>
      <c r="D32" s="1292"/>
      <c r="E32" s="1293"/>
      <c r="F32" s="1293"/>
      <c r="G32" s="1292"/>
      <c r="H32" s="1293"/>
      <c r="I32" s="1293"/>
      <c r="J32" s="2919"/>
      <c r="K32" s="2920"/>
      <c r="L32" s="2921"/>
      <c r="M32" s="2919"/>
      <c r="N32" s="1295" t="s">
        <v>1092</v>
      </c>
      <c r="O32" s="2934"/>
      <c r="P32" s="2879"/>
      <c r="Q32" s="1362">
        <f t="shared" si="2"/>
        <v>0.22857142857142856</v>
      </c>
      <c r="R32" s="4235"/>
      <c r="S32" s="2879"/>
      <c r="T32" s="2879" t="s">
        <v>1056</v>
      </c>
      <c r="U32" s="2921"/>
      <c r="V32" s="1049">
        <v>80000000</v>
      </c>
      <c r="W32" s="1290">
        <v>12</v>
      </c>
      <c r="X32" s="1290" t="s">
        <v>1039</v>
      </c>
      <c r="Y32" s="2924"/>
      <c r="Z32" s="2924"/>
      <c r="AA32" s="2924"/>
      <c r="AB32" s="2924"/>
      <c r="AC32" s="2924"/>
      <c r="AD32" s="2924"/>
      <c r="AE32" s="2924"/>
      <c r="AF32" s="2924"/>
      <c r="AG32" s="2924"/>
      <c r="AH32" s="2924"/>
      <c r="AI32" s="2924"/>
      <c r="AJ32" s="2924"/>
      <c r="AK32" s="2924"/>
      <c r="AL32" s="2924"/>
      <c r="AM32" s="4244"/>
      <c r="AN32" s="2924"/>
      <c r="AO32" s="4238"/>
      <c r="AP32" s="4238"/>
      <c r="AQ32" s="4247"/>
    </row>
    <row r="33" spans="1:43" s="1335" customFormat="1" ht="38.25" customHeight="1" x14ac:dyDescent="0.2">
      <c r="A33" s="1037"/>
      <c r="B33" s="1038"/>
      <c r="C33" s="1039"/>
      <c r="D33" s="1292"/>
      <c r="E33" s="1293"/>
      <c r="F33" s="1293"/>
      <c r="G33" s="1292"/>
      <c r="H33" s="1293"/>
      <c r="I33" s="1293"/>
      <c r="J33" s="2917">
        <v>208</v>
      </c>
      <c r="K33" s="2890" t="s">
        <v>1093</v>
      </c>
      <c r="L33" s="2890" t="s">
        <v>1094</v>
      </c>
      <c r="M33" s="2917">
        <v>1</v>
      </c>
      <c r="N33" s="1294" t="s">
        <v>1095</v>
      </c>
      <c r="O33" s="2934"/>
      <c r="P33" s="2879"/>
      <c r="Q33" s="1362">
        <f t="shared" si="2"/>
        <v>8.5714285714285715E-2</v>
      </c>
      <c r="R33" s="4235"/>
      <c r="S33" s="2879"/>
      <c r="T33" s="2879" t="s">
        <v>1056</v>
      </c>
      <c r="U33" s="2927" t="s">
        <v>1096</v>
      </c>
      <c r="V33" s="1049">
        <v>30000000</v>
      </c>
      <c r="W33" s="1376">
        <v>4</v>
      </c>
      <c r="X33" s="1290" t="s">
        <v>1050</v>
      </c>
      <c r="Y33" s="2924"/>
      <c r="Z33" s="2924"/>
      <c r="AA33" s="2924"/>
      <c r="AB33" s="2924"/>
      <c r="AC33" s="2924"/>
      <c r="AD33" s="2924"/>
      <c r="AE33" s="2924"/>
      <c r="AF33" s="2924"/>
      <c r="AG33" s="2924"/>
      <c r="AH33" s="2924"/>
      <c r="AI33" s="2924"/>
      <c r="AJ33" s="2924"/>
      <c r="AK33" s="2924"/>
      <c r="AL33" s="2924"/>
      <c r="AM33" s="4244"/>
      <c r="AN33" s="2924"/>
      <c r="AO33" s="4238"/>
      <c r="AP33" s="4238"/>
      <c r="AQ33" s="4247"/>
    </row>
    <row r="34" spans="1:43" s="1335" customFormat="1" ht="37.5" customHeight="1" x14ac:dyDescent="0.2">
      <c r="A34" s="1037"/>
      <c r="B34" s="1038"/>
      <c r="C34" s="1039"/>
      <c r="D34" s="1292"/>
      <c r="E34" s="1293"/>
      <c r="F34" s="1293"/>
      <c r="G34" s="1292"/>
      <c r="H34" s="1293"/>
      <c r="I34" s="1293"/>
      <c r="J34" s="2917"/>
      <c r="K34" s="2890"/>
      <c r="L34" s="2890"/>
      <c r="M34" s="2917"/>
      <c r="N34" s="1297" t="s">
        <v>1097</v>
      </c>
      <c r="O34" s="2934"/>
      <c r="P34" s="2879"/>
      <c r="Q34" s="1362">
        <f t="shared" si="2"/>
        <v>7.1428571428571425E-2</v>
      </c>
      <c r="R34" s="4235"/>
      <c r="S34" s="2879"/>
      <c r="T34" s="2879"/>
      <c r="U34" s="2927"/>
      <c r="V34" s="1049">
        <v>25000000</v>
      </c>
      <c r="W34" s="1376">
        <v>12</v>
      </c>
      <c r="X34" s="1290" t="s">
        <v>1039</v>
      </c>
      <c r="Y34" s="2924"/>
      <c r="Z34" s="2924"/>
      <c r="AA34" s="2924"/>
      <c r="AB34" s="2924"/>
      <c r="AC34" s="2924"/>
      <c r="AD34" s="2924"/>
      <c r="AE34" s="2924"/>
      <c r="AF34" s="2924"/>
      <c r="AG34" s="2924"/>
      <c r="AH34" s="2924"/>
      <c r="AI34" s="2924"/>
      <c r="AJ34" s="2924"/>
      <c r="AK34" s="2924"/>
      <c r="AL34" s="2924"/>
      <c r="AM34" s="4244"/>
      <c r="AN34" s="2924"/>
      <c r="AO34" s="4238"/>
      <c r="AP34" s="4238"/>
      <c r="AQ34" s="4247"/>
    </row>
    <row r="35" spans="1:43" s="1335" customFormat="1" ht="20.25" customHeight="1" x14ac:dyDescent="0.2">
      <c r="A35" s="1336"/>
      <c r="B35" s="1337"/>
      <c r="C35" s="1338"/>
      <c r="D35" s="1339">
        <v>21</v>
      </c>
      <c r="E35" s="1340" t="s">
        <v>1098</v>
      </c>
      <c r="F35" s="1340"/>
      <c r="G35" s="1340"/>
      <c r="H35" s="1340"/>
      <c r="I35" s="1340"/>
      <c r="J35" s="1340"/>
      <c r="K35" s="1341"/>
      <c r="L35" s="1341"/>
      <c r="M35" s="1340"/>
      <c r="N35" s="1342"/>
      <c r="O35" s="1342"/>
      <c r="P35" s="1341"/>
      <c r="Q35" s="1343"/>
      <c r="R35" s="1381"/>
      <c r="S35" s="1341" t="s">
        <v>1056</v>
      </c>
      <c r="T35" s="1341" t="s">
        <v>1056</v>
      </c>
      <c r="U35" s="1341"/>
      <c r="V35" s="1381"/>
      <c r="W35" s="1346"/>
      <c r="X35" s="1342"/>
      <c r="Y35" s="1340"/>
      <c r="Z35" s="1340"/>
      <c r="AA35" s="1340"/>
      <c r="AB35" s="1340"/>
      <c r="AC35" s="1340"/>
      <c r="AD35" s="1340"/>
      <c r="AE35" s="1340"/>
      <c r="AF35" s="1340"/>
      <c r="AG35" s="1340"/>
      <c r="AH35" s="1340"/>
      <c r="AI35" s="1340"/>
      <c r="AJ35" s="1340"/>
      <c r="AK35" s="1340"/>
      <c r="AL35" s="1340"/>
      <c r="AM35" s="1340"/>
      <c r="AN35" s="1340"/>
      <c r="AO35" s="1347"/>
      <c r="AP35" s="1347"/>
      <c r="AQ35" s="1348"/>
    </row>
    <row r="36" spans="1:43" s="1335" customFormat="1" ht="23.25" customHeight="1" x14ac:dyDescent="0.2">
      <c r="A36" s="1037"/>
      <c r="B36" s="1038"/>
      <c r="C36" s="1039"/>
      <c r="D36" s="1292"/>
      <c r="E36" s="1293"/>
      <c r="F36" s="1293"/>
      <c r="G36" s="1351">
        <v>72</v>
      </c>
      <c r="H36" s="1352" t="s">
        <v>1099</v>
      </c>
      <c r="I36" s="1352"/>
      <c r="J36" s="1352"/>
      <c r="K36" s="1353"/>
      <c r="L36" s="1353"/>
      <c r="M36" s="1352"/>
      <c r="N36" s="1354"/>
      <c r="O36" s="1355"/>
      <c r="P36" s="1353"/>
      <c r="Q36" s="1356"/>
      <c r="R36" s="1371"/>
      <c r="S36" s="1353" t="s">
        <v>1056</v>
      </c>
      <c r="T36" s="1353" t="s">
        <v>1056</v>
      </c>
      <c r="U36" s="1353"/>
      <c r="V36" s="1371"/>
      <c r="W36" s="1359"/>
      <c r="X36" s="1355"/>
      <c r="Y36" s="1375"/>
      <c r="Z36" s="1375"/>
      <c r="AA36" s="1375"/>
      <c r="AB36" s="1375"/>
      <c r="AC36" s="1375"/>
      <c r="AD36" s="1375"/>
      <c r="AE36" s="1375"/>
      <c r="AF36" s="1375"/>
      <c r="AG36" s="1375"/>
      <c r="AH36" s="1375"/>
      <c r="AI36" s="1375"/>
      <c r="AJ36" s="1375"/>
      <c r="AK36" s="1375"/>
      <c r="AL36" s="1375"/>
      <c r="AM36" s="1375"/>
      <c r="AN36" s="1375"/>
      <c r="AO36" s="1360"/>
      <c r="AP36" s="1360"/>
      <c r="AQ36" s="1373"/>
    </row>
    <row r="37" spans="1:43" s="1335" customFormat="1" ht="37.5" customHeight="1" x14ac:dyDescent="0.2">
      <c r="A37" s="1037"/>
      <c r="B37" s="1038"/>
      <c r="C37" s="1039"/>
      <c r="D37" s="1292"/>
      <c r="E37" s="1293"/>
      <c r="F37" s="1293"/>
      <c r="G37" s="1292"/>
      <c r="H37" s="1293"/>
      <c r="I37" s="1293"/>
      <c r="J37" s="2917">
        <v>209</v>
      </c>
      <c r="K37" s="2903" t="s">
        <v>1100</v>
      </c>
      <c r="L37" s="2903" t="s">
        <v>1101</v>
      </c>
      <c r="M37" s="2880">
        <v>1</v>
      </c>
      <c r="N37" s="1294" t="s">
        <v>1102</v>
      </c>
      <c r="O37" s="2933" t="s">
        <v>1103</v>
      </c>
      <c r="P37" s="2878" t="s">
        <v>1104</v>
      </c>
      <c r="Q37" s="1362">
        <f>+V37/$R$37</f>
        <v>0.1019261807761284</v>
      </c>
      <c r="R37" s="2893">
        <f>+SUM(V37:V47)</f>
        <v>294330659.42000002</v>
      </c>
      <c r="S37" s="2878" t="s">
        <v>1105</v>
      </c>
      <c r="T37" s="2878" t="s">
        <v>1106</v>
      </c>
      <c r="U37" s="2878" t="s">
        <v>1107</v>
      </c>
      <c r="V37" s="1363">
        <v>30000000</v>
      </c>
      <c r="W37" s="1364">
        <v>3</v>
      </c>
      <c r="X37" s="1297" t="s">
        <v>1044</v>
      </c>
      <c r="Y37" s="2923">
        <v>1666</v>
      </c>
      <c r="Z37" s="2923">
        <v>1507</v>
      </c>
      <c r="AA37" s="2923">
        <v>1400</v>
      </c>
      <c r="AB37" s="2923">
        <v>350</v>
      </c>
      <c r="AC37" s="2923">
        <v>450</v>
      </c>
      <c r="AD37" s="2923">
        <v>973</v>
      </c>
      <c r="AE37" s="2923"/>
      <c r="AF37" s="2923"/>
      <c r="AG37" s="2923"/>
      <c r="AH37" s="2923"/>
      <c r="AI37" s="2923"/>
      <c r="AJ37" s="2923"/>
      <c r="AK37" s="2923"/>
      <c r="AL37" s="2923"/>
      <c r="AM37" s="4243"/>
      <c r="AN37" s="2923">
        <f>+Y37+Z37</f>
        <v>3173</v>
      </c>
      <c r="AO37" s="4237">
        <v>43480</v>
      </c>
      <c r="AP37" s="4237">
        <v>43830</v>
      </c>
      <c r="AQ37" s="4246" t="s">
        <v>1040</v>
      </c>
    </row>
    <row r="38" spans="1:43" s="1335" customFormat="1" ht="36" customHeight="1" x14ac:dyDescent="0.2">
      <c r="A38" s="1037"/>
      <c r="B38" s="1038"/>
      <c r="C38" s="1039"/>
      <c r="D38" s="1292"/>
      <c r="E38" s="1293"/>
      <c r="F38" s="1293"/>
      <c r="G38" s="1292"/>
      <c r="H38" s="1293"/>
      <c r="I38" s="1293"/>
      <c r="J38" s="2917"/>
      <c r="K38" s="2904"/>
      <c r="L38" s="2904"/>
      <c r="M38" s="2881"/>
      <c r="N38" s="1295" t="s">
        <v>1108</v>
      </c>
      <c r="O38" s="2934"/>
      <c r="P38" s="2879"/>
      <c r="Q38" s="1362">
        <f>+V38/$R$37</f>
        <v>0.13861960585553462</v>
      </c>
      <c r="R38" s="2894"/>
      <c r="S38" s="2879"/>
      <c r="T38" s="2879"/>
      <c r="U38" s="2879"/>
      <c r="V38" s="1363">
        <v>40800000</v>
      </c>
      <c r="W38" s="1364">
        <v>7</v>
      </c>
      <c r="X38" s="1297" t="s">
        <v>1073</v>
      </c>
      <c r="Y38" s="2924"/>
      <c r="Z38" s="2924"/>
      <c r="AA38" s="2924"/>
      <c r="AB38" s="2924"/>
      <c r="AC38" s="2924"/>
      <c r="AD38" s="2924"/>
      <c r="AE38" s="2924"/>
      <c r="AF38" s="2924"/>
      <c r="AG38" s="2924"/>
      <c r="AH38" s="2924"/>
      <c r="AI38" s="2924"/>
      <c r="AJ38" s="2924"/>
      <c r="AK38" s="2924"/>
      <c r="AL38" s="2924"/>
      <c r="AM38" s="4244"/>
      <c r="AN38" s="2924"/>
      <c r="AO38" s="4238"/>
      <c r="AP38" s="4238"/>
      <c r="AQ38" s="4247"/>
    </row>
    <row r="39" spans="1:43" s="1335" customFormat="1" ht="36" customHeight="1" x14ac:dyDescent="0.2">
      <c r="A39" s="1037"/>
      <c r="B39" s="1038"/>
      <c r="C39" s="1039"/>
      <c r="D39" s="1292"/>
      <c r="E39" s="1293"/>
      <c r="F39" s="1293"/>
      <c r="G39" s="1292"/>
      <c r="H39" s="1293"/>
      <c r="I39" s="1293"/>
      <c r="J39" s="2917"/>
      <c r="K39" s="2904"/>
      <c r="L39" s="2904"/>
      <c r="M39" s="2881"/>
      <c r="N39" s="1382" t="s">
        <v>1109</v>
      </c>
      <c r="O39" s="2934"/>
      <c r="P39" s="2879"/>
      <c r="Q39" s="1362">
        <f t="shared" ref="Q39:Q47" si="3">+V39/$R$37</f>
        <v>6.7950787184085593E-2</v>
      </c>
      <c r="R39" s="2894"/>
      <c r="S39" s="2879"/>
      <c r="T39" s="2879"/>
      <c r="U39" s="2879"/>
      <c r="V39" s="1383">
        <v>20000000</v>
      </c>
      <c r="W39" s="1364">
        <v>3</v>
      </c>
      <c r="X39" s="1288" t="s">
        <v>1044</v>
      </c>
      <c r="Y39" s="2924"/>
      <c r="Z39" s="2924"/>
      <c r="AA39" s="2924"/>
      <c r="AB39" s="2924"/>
      <c r="AC39" s="2924"/>
      <c r="AD39" s="2924"/>
      <c r="AE39" s="2924"/>
      <c r="AF39" s="2924"/>
      <c r="AG39" s="2924"/>
      <c r="AH39" s="2924"/>
      <c r="AI39" s="2924"/>
      <c r="AJ39" s="2924"/>
      <c r="AK39" s="2924"/>
      <c r="AL39" s="2924"/>
      <c r="AM39" s="4244"/>
      <c r="AN39" s="2924"/>
      <c r="AO39" s="4238"/>
      <c r="AP39" s="4238"/>
      <c r="AQ39" s="4247"/>
    </row>
    <row r="40" spans="1:43" s="1335" customFormat="1" ht="39" customHeight="1" x14ac:dyDescent="0.2">
      <c r="A40" s="1037"/>
      <c r="B40" s="1038"/>
      <c r="C40" s="1039"/>
      <c r="D40" s="1292"/>
      <c r="E40" s="1293"/>
      <c r="F40" s="1293"/>
      <c r="G40" s="1292"/>
      <c r="H40" s="1293"/>
      <c r="I40" s="1293"/>
      <c r="J40" s="2880">
        <v>210</v>
      </c>
      <c r="K40" s="2903" t="s">
        <v>1110</v>
      </c>
      <c r="L40" s="2903" t="s">
        <v>1111</v>
      </c>
      <c r="M40" s="2880">
        <v>1</v>
      </c>
      <c r="N40" s="1294" t="s">
        <v>1112</v>
      </c>
      <c r="O40" s="2934"/>
      <c r="P40" s="2879"/>
      <c r="Q40" s="1362">
        <f t="shared" si="3"/>
        <v>3.0577854232838517E-2</v>
      </c>
      <c r="R40" s="2894"/>
      <c r="S40" s="2879"/>
      <c r="T40" s="2879"/>
      <c r="U40" s="2878" t="s">
        <v>1113</v>
      </c>
      <c r="V40" s="1363">
        <v>9000000</v>
      </c>
      <c r="W40" s="1364">
        <v>4</v>
      </c>
      <c r="X40" s="1297" t="s">
        <v>1050</v>
      </c>
      <c r="Y40" s="2924"/>
      <c r="Z40" s="2924"/>
      <c r="AA40" s="2924"/>
      <c r="AB40" s="2924"/>
      <c r="AC40" s="2924"/>
      <c r="AD40" s="2924"/>
      <c r="AE40" s="2924"/>
      <c r="AF40" s="2924"/>
      <c r="AG40" s="2924"/>
      <c r="AH40" s="2924"/>
      <c r="AI40" s="2924"/>
      <c r="AJ40" s="2924"/>
      <c r="AK40" s="2924"/>
      <c r="AL40" s="2924"/>
      <c r="AM40" s="4244"/>
      <c r="AN40" s="2924"/>
      <c r="AO40" s="4238"/>
      <c r="AP40" s="4238"/>
      <c r="AQ40" s="4247"/>
    </row>
    <row r="41" spans="1:43" s="1335" customFormat="1" ht="31.5" customHeight="1" x14ac:dyDescent="0.2">
      <c r="A41" s="1037"/>
      <c r="B41" s="1038"/>
      <c r="C41" s="1039"/>
      <c r="D41" s="1292"/>
      <c r="E41" s="1293"/>
      <c r="F41" s="1293"/>
      <c r="G41" s="1292"/>
      <c r="H41" s="1293"/>
      <c r="I41" s="1293"/>
      <c r="J41" s="2881"/>
      <c r="K41" s="2904"/>
      <c r="L41" s="2904"/>
      <c r="M41" s="2881"/>
      <c r="N41" s="1295" t="s">
        <v>1114</v>
      </c>
      <c r="O41" s="2934"/>
      <c r="P41" s="2879"/>
      <c r="Q41" s="1362">
        <f t="shared" si="3"/>
        <v>8.4938483980106991E-2</v>
      </c>
      <c r="R41" s="2894"/>
      <c r="S41" s="2879"/>
      <c r="T41" s="2879"/>
      <c r="U41" s="2879"/>
      <c r="V41" s="1363">
        <v>25000000</v>
      </c>
      <c r="W41" s="1364">
        <v>3</v>
      </c>
      <c r="X41" s="1297" t="s">
        <v>1044</v>
      </c>
      <c r="Y41" s="2924"/>
      <c r="Z41" s="2924"/>
      <c r="AA41" s="2924"/>
      <c r="AB41" s="2924"/>
      <c r="AC41" s="2924"/>
      <c r="AD41" s="2924"/>
      <c r="AE41" s="2924"/>
      <c r="AF41" s="2924"/>
      <c r="AG41" s="2924"/>
      <c r="AH41" s="2924"/>
      <c r="AI41" s="2924"/>
      <c r="AJ41" s="2924"/>
      <c r="AK41" s="2924"/>
      <c r="AL41" s="2924"/>
      <c r="AM41" s="4244"/>
      <c r="AN41" s="2924"/>
      <c r="AO41" s="4238"/>
      <c r="AP41" s="4238"/>
      <c r="AQ41" s="4247"/>
    </row>
    <row r="42" spans="1:43" s="1335" customFormat="1" ht="31.5" customHeight="1" x14ac:dyDescent="0.2">
      <c r="A42" s="1037"/>
      <c r="B42" s="1038"/>
      <c r="C42" s="1039"/>
      <c r="D42" s="1292"/>
      <c r="E42" s="1293"/>
      <c r="F42" s="1293"/>
      <c r="G42" s="1292"/>
      <c r="H42" s="1293"/>
      <c r="I42" s="1293"/>
      <c r="J42" s="2881"/>
      <c r="K42" s="2904"/>
      <c r="L42" s="2904"/>
      <c r="M42" s="2881"/>
      <c r="N42" s="1295" t="s">
        <v>1115</v>
      </c>
      <c r="O42" s="2934"/>
      <c r="P42" s="2879"/>
      <c r="Q42" s="1362">
        <f t="shared" si="3"/>
        <v>0.11755486182846808</v>
      </c>
      <c r="R42" s="2894"/>
      <c r="S42" s="2879"/>
      <c r="T42" s="2879"/>
      <c r="U42" s="2879"/>
      <c r="V42" s="1363">
        <v>34600000</v>
      </c>
      <c r="W42" s="1364">
        <v>7</v>
      </c>
      <c r="X42" s="1297" t="s">
        <v>1073</v>
      </c>
      <c r="Y42" s="2924"/>
      <c r="Z42" s="2924"/>
      <c r="AA42" s="2924"/>
      <c r="AB42" s="2924"/>
      <c r="AC42" s="2924"/>
      <c r="AD42" s="2924"/>
      <c r="AE42" s="2924"/>
      <c r="AF42" s="2924"/>
      <c r="AG42" s="2924"/>
      <c r="AH42" s="2924"/>
      <c r="AI42" s="2924"/>
      <c r="AJ42" s="2924"/>
      <c r="AK42" s="2924"/>
      <c r="AL42" s="2924"/>
      <c r="AM42" s="4244"/>
      <c r="AN42" s="2924"/>
      <c r="AO42" s="4238"/>
      <c r="AP42" s="4238"/>
      <c r="AQ42" s="4247"/>
    </row>
    <row r="43" spans="1:43" s="1335" customFormat="1" ht="31.5" customHeight="1" x14ac:dyDescent="0.2">
      <c r="A43" s="1037"/>
      <c r="B43" s="1038"/>
      <c r="C43" s="1039"/>
      <c r="D43" s="1292"/>
      <c r="E43" s="1293"/>
      <c r="F43" s="1293"/>
      <c r="G43" s="1292"/>
      <c r="H43" s="1293"/>
      <c r="I43" s="1293"/>
      <c r="J43" s="2881"/>
      <c r="K43" s="2904"/>
      <c r="L43" s="2904"/>
      <c r="M43" s="2881"/>
      <c r="N43" s="1382" t="s">
        <v>1116</v>
      </c>
      <c r="O43" s="2934"/>
      <c r="P43" s="2879"/>
      <c r="Q43" s="1362">
        <f t="shared" si="3"/>
        <v>4.1351553467056067E-2</v>
      </c>
      <c r="R43" s="2894"/>
      <c r="S43" s="2879"/>
      <c r="T43" s="2879"/>
      <c r="U43" s="2879"/>
      <c r="V43" s="1383">
        <v>12171030</v>
      </c>
      <c r="W43" s="1364">
        <v>3</v>
      </c>
      <c r="X43" s="1288" t="s">
        <v>1117</v>
      </c>
      <c r="Y43" s="2924"/>
      <c r="Z43" s="2924"/>
      <c r="AA43" s="2924"/>
      <c r="AB43" s="2924"/>
      <c r="AC43" s="2924"/>
      <c r="AD43" s="2924"/>
      <c r="AE43" s="2924"/>
      <c r="AF43" s="2924"/>
      <c r="AG43" s="2924"/>
      <c r="AH43" s="2924"/>
      <c r="AI43" s="2924"/>
      <c r="AJ43" s="2924"/>
      <c r="AK43" s="2924"/>
      <c r="AL43" s="2924"/>
      <c r="AM43" s="4244"/>
      <c r="AN43" s="2924"/>
      <c r="AO43" s="4238"/>
      <c r="AP43" s="4238"/>
      <c r="AQ43" s="4247"/>
    </row>
    <row r="44" spans="1:43" s="1335" customFormat="1" ht="33" customHeight="1" x14ac:dyDescent="0.2">
      <c r="A44" s="1037"/>
      <c r="B44" s="1038"/>
      <c r="C44" s="1039"/>
      <c r="D44" s="1292"/>
      <c r="E44" s="1293"/>
      <c r="F44" s="1293"/>
      <c r="G44" s="1292"/>
      <c r="H44" s="1293"/>
      <c r="I44" s="1293"/>
      <c r="J44" s="2880">
        <v>211</v>
      </c>
      <c r="K44" s="4248" t="s">
        <v>1118</v>
      </c>
      <c r="L44" s="2903" t="s">
        <v>1119</v>
      </c>
      <c r="M44" s="2880">
        <v>1</v>
      </c>
      <c r="N44" s="1294" t="s">
        <v>1120</v>
      </c>
      <c r="O44" s="2934"/>
      <c r="P44" s="2879"/>
      <c r="Q44" s="1362">
        <f t="shared" si="3"/>
        <v>8.4938483980106991E-2</v>
      </c>
      <c r="R44" s="2894"/>
      <c r="S44" s="2879"/>
      <c r="T44" s="2879"/>
      <c r="U44" s="2878" t="s">
        <v>1121</v>
      </c>
      <c r="V44" s="1363">
        <v>25000000</v>
      </c>
      <c r="W44" s="1364">
        <v>3</v>
      </c>
      <c r="X44" s="1297" t="s">
        <v>1044</v>
      </c>
      <c r="Y44" s="2924"/>
      <c r="Z44" s="2924"/>
      <c r="AA44" s="2924"/>
      <c r="AB44" s="2924"/>
      <c r="AC44" s="2924"/>
      <c r="AD44" s="2924"/>
      <c r="AE44" s="2924"/>
      <c r="AF44" s="2924"/>
      <c r="AG44" s="2924"/>
      <c r="AH44" s="2924"/>
      <c r="AI44" s="2924"/>
      <c r="AJ44" s="2924"/>
      <c r="AK44" s="2924"/>
      <c r="AL44" s="2924"/>
      <c r="AM44" s="4244"/>
      <c r="AN44" s="2924"/>
      <c r="AO44" s="4238"/>
      <c r="AP44" s="4238"/>
      <c r="AQ44" s="4247"/>
    </row>
    <row r="45" spans="1:43" s="1335" customFormat="1" ht="31.5" customHeight="1" x14ac:dyDescent="0.2">
      <c r="A45" s="1037"/>
      <c r="B45" s="1038"/>
      <c r="C45" s="1039"/>
      <c r="D45" s="1292"/>
      <c r="E45" s="1293"/>
      <c r="F45" s="1293"/>
      <c r="G45" s="1292"/>
      <c r="H45" s="1293"/>
      <c r="I45" s="1293"/>
      <c r="J45" s="2881"/>
      <c r="K45" s="4249"/>
      <c r="L45" s="2904"/>
      <c r="M45" s="2881"/>
      <c r="N45" s="1295" t="s">
        <v>1122</v>
      </c>
      <c r="O45" s="2934"/>
      <c r="P45" s="2879"/>
      <c r="Q45" s="1362">
        <f t="shared" si="3"/>
        <v>0.24666135747823073</v>
      </c>
      <c r="R45" s="2894"/>
      <c r="S45" s="2879"/>
      <c r="T45" s="2879"/>
      <c r="U45" s="2879"/>
      <c r="V45" s="1363">
        <v>72600000</v>
      </c>
      <c r="W45" s="1364">
        <v>7</v>
      </c>
      <c r="X45" s="1297" t="s">
        <v>1073</v>
      </c>
      <c r="Y45" s="2924"/>
      <c r="Z45" s="2924"/>
      <c r="AA45" s="2924"/>
      <c r="AB45" s="2924"/>
      <c r="AC45" s="2924"/>
      <c r="AD45" s="2924"/>
      <c r="AE45" s="2924"/>
      <c r="AF45" s="2924"/>
      <c r="AG45" s="2924"/>
      <c r="AH45" s="2924"/>
      <c r="AI45" s="2924"/>
      <c r="AJ45" s="2924"/>
      <c r="AK45" s="2924"/>
      <c r="AL45" s="2924"/>
      <c r="AM45" s="4244"/>
      <c r="AN45" s="2924"/>
      <c r="AO45" s="4238"/>
      <c r="AP45" s="4238"/>
      <c r="AQ45" s="4247"/>
    </row>
    <row r="46" spans="1:43" s="1335" customFormat="1" ht="25.5" customHeight="1" x14ac:dyDescent="0.2">
      <c r="A46" s="1037"/>
      <c r="B46" s="1038"/>
      <c r="C46" s="1039"/>
      <c r="D46" s="1292"/>
      <c r="E46" s="1293"/>
      <c r="F46" s="1293"/>
      <c r="G46" s="1292"/>
      <c r="H46" s="1293"/>
      <c r="I46" s="1293"/>
      <c r="J46" s="2881"/>
      <c r="K46" s="4249"/>
      <c r="L46" s="2904"/>
      <c r="M46" s="2881"/>
      <c r="N46" s="1295" t="s">
        <v>1123</v>
      </c>
      <c r="O46" s="2934"/>
      <c r="P46" s="2879"/>
      <c r="Q46" s="1362">
        <f t="shared" si="3"/>
        <v>3.9082126281603256E-2</v>
      </c>
      <c r="R46" s="2894"/>
      <c r="S46" s="2879"/>
      <c r="T46" s="2879"/>
      <c r="U46" s="2879"/>
      <c r="V46" s="1049">
        <v>11503068</v>
      </c>
      <c r="W46" s="1364">
        <v>6</v>
      </c>
      <c r="X46" s="1297" t="s">
        <v>1047</v>
      </c>
      <c r="Y46" s="2924"/>
      <c r="Z46" s="2924"/>
      <c r="AA46" s="2924"/>
      <c r="AB46" s="2924"/>
      <c r="AC46" s="2924"/>
      <c r="AD46" s="2924"/>
      <c r="AE46" s="2924"/>
      <c r="AF46" s="2924"/>
      <c r="AG46" s="2924"/>
      <c r="AH46" s="2924"/>
      <c r="AI46" s="2924"/>
      <c r="AJ46" s="2924"/>
      <c r="AK46" s="2924"/>
      <c r="AL46" s="2924"/>
      <c r="AM46" s="4244"/>
      <c r="AN46" s="2924"/>
      <c r="AO46" s="4238"/>
      <c r="AP46" s="4238"/>
      <c r="AQ46" s="4247"/>
    </row>
    <row r="47" spans="1:43" s="1335" customFormat="1" ht="30" customHeight="1" x14ac:dyDescent="0.2">
      <c r="A47" s="1037"/>
      <c r="B47" s="1038"/>
      <c r="C47" s="1039"/>
      <c r="D47" s="1292"/>
      <c r="E47" s="1293"/>
      <c r="F47" s="1293"/>
      <c r="G47" s="1292"/>
      <c r="H47" s="1293"/>
      <c r="I47" s="1293"/>
      <c r="J47" s="2881"/>
      <c r="K47" s="4249"/>
      <c r="L47" s="2904"/>
      <c r="M47" s="2881"/>
      <c r="N47" s="1297" t="s">
        <v>1124</v>
      </c>
      <c r="O47" s="2934"/>
      <c r="P47" s="2879"/>
      <c r="Q47" s="1362">
        <f t="shared" si="3"/>
        <v>4.6398704935840689E-2</v>
      </c>
      <c r="R47" s="2894"/>
      <c r="S47" s="2879"/>
      <c r="T47" s="2879"/>
      <c r="U47" s="2879"/>
      <c r="V47" s="1049">
        <v>13656561.42</v>
      </c>
      <c r="W47" s="1369">
        <v>13</v>
      </c>
      <c r="X47" s="1384" t="s">
        <v>1087</v>
      </c>
      <c r="Y47" s="2924"/>
      <c r="Z47" s="2924"/>
      <c r="AA47" s="2924"/>
      <c r="AB47" s="2924"/>
      <c r="AC47" s="2924"/>
      <c r="AD47" s="2924"/>
      <c r="AE47" s="2924"/>
      <c r="AF47" s="2924"/>
      <c r="AG47" s="2924"/>
      <c r="AH47" s="2924"/>
      <c r="AI47" s="2924"/>
      <c r="AJ47" s="2924"/>
      <c r="AK47" s="2924"/>
      <c r="AL47" s="2924"/>
      <c r="AM47" s="4245"/>
      <c r="AN47" s="2924"/>
      <c r="AO47" s="4238"/>
      <c r="AP47" s="4238"/>
      <c r="AQ47" s="4247"/>
    </row>
    <row r="48" spans="1:43" s="1335" customFormat="1" ht="23.25" customHeight="1" x14ac:dyDescent="0.2">
      <c r="A48" s="1037"/>
      <c r="B48" s="1038"/>
      <c r="C48" s="1039"/>
      <c r="D48" s="1292"/>
      <c r="E48" s="1293"/>
      <c r="F48" s="1293"/>
      <c r="G48" s="1351">
        <v>73</v>
      </c>
      <c r="H48" s="1352" t="s">
        <v>1125</v>
      </c>
      <c r="I48" s="1352"/>
      <c r="J48" s="1352"/>
      <c r="K48" s="1353"/>
      <c r="L48" s="1353"/>
      <c r="M48" s="1352"/>
      <c r="N48" s="1374"/>
      <c r="O48" s="1355"/>
      <c r="P48" s="1353"/>
      <c r="Q48" s="1356"/>
      <c r="R48" s="1371"/>
      <c r="S48" s="1353" t="s">
        <v>1056</v>
      </c>
      <c r="T48" s="1353" t="s">
        <v>1056</v>
      </c>
      <c r="U48" s="1353"/>
      <c r="V48" s="1371"/>
      <c r="W48" s="1359"/>
      <c r="X48" s="1355"/>
      <c r="Y48" s="1375"/>
      <c r="Z48" s="1375"/>
      <c r="AA48" s="1375"/>
      <c r="AB48" s="1375"/>
      <c r="AC48" s="1375"/>
      <c r="AD48" s="1375"/>
      <c r="AE48" s="1375"/>
      <c r="AF48" s="1375"/>
      <c r="AG48" s="1375"/>
      <c r="AH48" s="1375"/>
      <c r="AI48" s="1375"/>
      <c r="AJ48" s="1375"/>
      <c r="AK48" s="1375"/>
      <c r="AL48" s="1375"/>
      <c r="AM48" s="1375"/>
      <c r="AN48" s="1375"/>
      <c r="AO48" s="1360"/>
      <c r="AP48" s="1360"/>
      <c r="AQ48" s="1373"/>
    </row>
    <row r="49" spans="1:43" s="1335" customFormat="1" ht="60.75" customHeight="1" x14ac:dyDescent="0.2">
      <c r="A49" s="1037"/>
      <c r="B49" s="1038"/>
      <c r="C49" s="1039"/>
      <c r="D49" s="1292"/>
      <c r="E49" s="1293"/>
      <c r="F49" s="1293"/>
      <c r="G49" s="1292"/>
      <c r="H49" s="1293"/>
      <c r="I49" s="1293"/>
      <c r="J49" s="2917">
        <v>212</v>
      </c>
      <c r="K49" s="2927" t="s">
        <v>1126</v>
      </c>
      <c r="L49" s="2890" t="s">
        <v>1127</v>
      </c>
      <c r="M49" s="2917">
        <v>1</v>
      </c>
      <c r="N49" s="1294" t="s">
        <v>1128</v>
      </c>
      <c r="O49" s="4234" t="s">
        <v>1129</v>
      </c>
      <c r="P49" s="2927" t="s">
        <v>1130</v>
      </c>
      <c r="Q49" s="1362">
        <f>+V49/$R$49</f>
        <v>0.23668734057312116</v>
      </c>
      <c r="R49" s="4235">
        <f>SUM(V49:V51)</f>
        <v>168999321.65000001</v>
      </c>
      <c r="S49" s="2878" t="s">
        <v>1131</v>
      </c>
      <c r="T49" s="2878" t="s">
        <v>1132</v>
      </c>
      <c r="U49" s="2927" t="s">
        <v>1133</v>
      </c>
      <c r="V49" s="1363">
        <v>40000000</v>
      </c>
      <c r="W49" s="1376">
        <v>3</v>
      </c>
      <c r="X49" s="1297" t="s">
        <v>1044</v>
      </c>
      <c r="Y49" s="2923">
        <v>3380</v>
      </c>
      <c r="Z49" s="2923">
        <v>460</v>
      </c>
      <c r="AA49" s="4252"/>
      <c r="AB49" s="4252"/>
      <c r="AC49" s="2923">
        <v>3840</v>
      </c>
      <c r="AD49" s="2923"/>
      <c r="AE49" s="2923"/>
      <c r="AF49" s="2923"/>
      <c r="AG49" s="2923"/>
      <c r="AH49" s="2923"/>
      <c r="AI49" s="2923"/>
      <c r="AJ49" s="2923"/>
      <c r="AK49" s="2923"/>
      <c r="AL49" s="2923"/>
      <c r="AM49" s="1385"/>
      <c r="AN49" s="2923">
        <f>+Z49+Y49</f>
        <v>3840</v>
      </c>
      <c r="AO49" s="4237">
        <v>43480</v>
      </c>
      <c r="AP49" s="4237">
        <v>43830</v>
      </c>
      <c r="AQ49" s="4231" t="s">
        <v>1040</v>
      </c>
    </row>
    <row r="50" spans="1:43" s="1335" customFormat="1" ht="24.75" customHeight="1" x14ac:dyDescent="0.2">
      <c r="A50" s="1037"/>
      <c r="B50" s="1038"/>
      <c r="C50" s="1039"/>
      <c r="D50" s="1292"/>
      <c r="E50" s="1293"/>
      <c r="F50" s="1293"/>
      <c r="G50" s="1292"/>
      <c r="H50" s="1293"/>
      <c r="I50" s="1293"/>
      <c r="J50" s="2917"/>
      <c r="K50" s="2927"/>
      <c r="L50" s="2890"/>
      <c r="M50" s="2917"/>
      <c r="N50" s="1295" t="s">
        <v>1134</v>
      </c>
      <c r="O50" s="4234"/>
      <c r="P50" s="2927"/>
      <c r="Q50" s="1362">
        <f t="shared" ref="Q50:Q51" si="4">+V50/$R$49</f>
        <v>0.61775395889584628</v>
      </c>
      <c r="R50" s="4235"/>
      <c r="S50" s="2879"/>
      <c r="T50" s="2879"/>
      <c r="U50" s="2927"/>
      <c r="V50" s="1049">
        <v>104400000</v>
      </c>
      <c r="W50" s="1376">
        <v>7</v>
      </c>
      <c r="X50" s="1290" t="s">
        <v>1073</v>
      </c>
      <c r="Y50" s="2924"/>
      <c r="Z50" s="2924"/>
      <c r="AA50" s="4253"/>
      <c r="AB50" s="4253"/>
      <c r="AC50" s="2924"/>
      <c r="AD50" s="2924"/>
      <c r="AE50" s="2924"/>
      <c r="AF50" s="2924"/>
      <c r="AG50" s="2924"/>
      <c r="AH50" s="2924"/>
      <c r="AI50" s="2924"/>
      <c r="AJ50" s="2924"/>
      <c r="AK50" s="2924"/>
      <c r="AL50" s="2924"/>
      <c r="AM50" s="1385"/>
      <c r="AN50" s="2924"/>
      <c r="AO50" s="4238"/>
      <c r="AP50" s="4238"/>
      <c r="AQ50" s="4232"/>
    </row>
    <row r="51" spans="1:43" s="1335" customFormat="1" ht="24" customHeight="1" x14ac:dyDescent="0.2">
      <c r="A51" s="1037"/>
      <c r="B51" s="1038"/>
      <c r="C51" s="1039"/>
      <c r="D51" s="1292"/>
      <c r="E51" s="1293"/>
      <c r="F51" s="1293"/>
      <c r="G51" s="1292"/>
      <c r="H51" s="1293"/>
      <c r="I51" s="1293"/>
      <c r="J51" s="2917"/>
      <c r="K51" s="2927"/>
      <c r="L51" s="2890"/>
      <c r="M51" s="2917"/>
      <c r="N51" s="1297" t="s">
        <v>1135</v>
      </c>
      <c r="O51" s="4234"/>
      <c r="P51" s="2927"/>
      <c r="Q51" s="1362">
        <f t="shared" si="4"/>
        <v>0.14555870053103256</v>
      </c>
      <c r="R51" s="4235"/>
      <c r="S51" s="2879"/>
      <c r="T51" s="2879"/>
      <c r="U51" s="2927"/>
      <c r="V51" s="1049">
        <v>24599321.649999999</v>
      </c>
      <c r="W51" s="1376">
        <v>4</v>
      </c>
      <c r="X51" s="1290" t="s">
        <v>1050</v>
      </c>
      <c r="Y51" s="2924"/>
      <c r="Z51" s="2924"/>
      <c r="AA51" s="4253"/>
      <c r="AB51" s="4253"/>
      <c r="AC51" s="2924"/>
      <c r="AD51" s="2924"/>
      <c r="AE51" s="2924"/>
      <c r="AF51" s="2924"/>
      <c r="AG51" s="2924"/>
      <c r="AH51" s="2924"/>
      <c r="AI51" s="2924"/>
      <c r="AJ51" s="2924"/>
      <c r="AK51" s="2924"/>
      <c r="AL51" s="2924"/>
      <c r="AM51" s="1385"/>
      <c r="AN51" s="2924"/>
      <c r="AO51" s="4238"/>
      <c r="AP51" s="4238"/>
      <c r="AQ51" s="4232"/>
    </row>
    <row r="52" spans="1:43" s="1335" customFormat="1" ht="20.25" customHeight="1" x14ac:dyDescent="0.2">
      <c r="A52" s="1336"/>
      <c r="B52" s="1337"/>
      <c r="C52" s="1338"/>
      <c r="D52" s="1339">
        <v>22</v>
      </c>
      <c r="E52" s="1340" t="s">
        <v>1136</v>
      </c>
      <c r="F52" s="1340"/>
      <c r="G52" s="1340"/>
      <c r="H52" s="1340"/>
      <c r="I52" s="1340"/>
      <c r="J52" s="1340"/>
      <c r="K52" s="1341"/>
      <c r="L52" s="1341"/>
      <c r="M52" s="1340"/>
      <c r="N52" s="1342"/>
      <c r="O52" s="1342"/>
      <c r="P52" s="1341"/>
      <c r="Q52" s="1343"/>
      <c r="R52" s="1381"/>
      <c r="S52" s="1341" t="s">
        <v>1056</v>
      </c>
      <c r="T52" s="1341" t="s">
        <v>1056</v>
      </c>
      <c r="U52" s="1341"/>
      <c r="V52" s="1381"/>
      <c r="W52" s="1346"/>
      <c r="X52" s="1342"/>
      <c r="Y52" s="1340"/>
      <c r="Z52" s="1340"/>
      <c r="AA52" s="1340"/>
      <c r="AB52" s="1340"/>
      <c r="AC52" s="1340"/>
      <c r="AD52" s="1340"/>
      <c r="AE52" s="1340"/>
      <c r="AF52" s="1340"/>
      <c r="AG52" s="1340"/>
      <c r="AH52" s="1340"/>
      <c r="AI52" s="1340"/>
      <c r="AJ52" s="1340"/>
      <c r="AK52" s="1340"/>
      <c r="AL52" s="1340"/>
      <c r="AM52" s="1340"/>
      <c r="AN52" s="1340"/>
      <c r="AO52" s="1347"/>
      <c r="AP52" s="1347"/>
      <c r="AQ52" s="1348"/>
    </row>
    <row r="53" spans="1:43" s="1335" customFormat="1" ht="23.25" customHeight="1" x14ac:dyDescent="0.2">
      <c r="A53" s="1037"/>
      <c r="B53" s="1038"/>
      <c r="C53" s="1039"/>
      <c r="D53" s="1292"/>
      <c r="E53" s="1293"/>
      <c r="F53" s="1293"/>
      <c r="G53" s="1351">
        <v>74</v>
      </c>
      <c r="H53" s="1352" t="s">
        <v>1125</v>
      </c>
      <c r="I53" s="1352"/>
      <c r="J53" s="1352"/>
      <c r="K53" s="1353"/>
      <c r="L53" s="1353"/>
      <c r="M53" s="1352"/>
      <c r="N53" s="1354"/>
      <c r="O53" s="1355"/>
      <c r="P53" s="1353"/>
      <c r="Q53" s="1356"/>
      <c r="R53" s="1371"/>
      <c r="S53" s="1353" t="s">
        <v>1056</v>
      </c>
      <c r="T53" s="1353" t="s">
        <v>1056</v>
      </c>
      <c r="U53" s="1353"/>
      <c r="V53" s="1371"/>
      <c r="W53" s="1359"/>
      <c r="X53" s="1355"/>
      <c r="Y53" s="1375"/>
      <c r="Z53" s="1375"/>
      <c r="AA53" s="1375"/>
      <c r="AB53" s="1375"/>
      <c r="AC53" s="1375"/>
      <c r="AD53" s="1375"/>
      <c r="AE53" s="1375"/>
      <c r="AF53" s="1375"/>
      <c r="AG53" s="1375"/>
      <c r="AH53" s="1375"/>
      <c r="AI53" s="1375"/>
      <c r="AJ53" s="1375"/>
      <c r="AK53" s="1375"/>
      <c r="AL53" s="1375"/>
      <c r="AM53" s="1375"/>
      <c r="AN53" s="1375"/>
      <c r="AO53" s="1360"/>
      <c r="AP53" s="1360"/>
      <c r="AQ53" s="1373"/>
    </row>
    <row r="54" spans="1:43" s="1335" customFormat="1" ht="53.25" customHeight="1" x14ac:dyDescent="0.2">
      <c r="A54" s="1037"/>
      <c r="B54" s="1038"/>
      <c r="C54" s="1039"/>
      <c r="D54" s="1292"/>
      <c r="E54" s="1293"/>
      <c r="F54" s="1293"/>
      <c r="G54" s="1292"/>
      <c r="H54" s="1293"/>
      <c r="I54" s="1293"/>
      <c r="J54" s="2880">
        <v>213</v>
      </c>
      <c r="K54" s="2878" t="s">
        <v>1137</v>
      </c>
      <c r="L54" s="2903" t="s">
        <v>1138</v>
      </c>
      <c r="M54" s="2880">
        <v>12</v>
      </c>
      <c r="N54" s="1294" t="s">
        <v>1139</v>
      </c>
      <c r="O54" s="2933" t="s">
        <v>1140</v>
      </c>
      <c r="P54" s="4250" t="s">
        <v>1141</v>
      </c>
      <c r="Q54" s="1362">
        <f>+V54/R54</f>
        <v>0.70092842991179882</v>
      </c>
      <c r="R54" s="2893">
        <f>+SUM(V54:V55)</f>
        <v>51682415</v>
      </c>
      <c r="S54" s="2878" t="s">
        <v>1142</v>
      </c>
      <c r="T54" s="2878" t="s">
        <v>1143</v>
      </c>
      <c r="U54" s="2878" t="s">
        <v>1144</v>
      </c>
      <c r="V54" s="1049">
        <v>36225674</v>
      </c>
      <c r="W54" s="1376">
        <v>3</v>
      </c>
      <c r="X54" s="1290" t="s">
        <v>1044</v>
      </c>
      <c r="Y54" s="2923"/>
      <c r="Z54" s="2923"/>
      <c r="AA54" s="2923"/>
      <c r="AB54" s="2923"/>
      <c r="AC54" s="2923"/>
      <c r="AD54" s="2923"/>
      <c r="AE54" s="2923"/>
      <c r="AF54" s="2923"/>
      <c r="AG54" s="2923"/>
      <c r="AH54" s="2923"/>
      <c r="AI54" s="2923"/>
      <c r="AJ54" s="2923"/>
      <c r="AK54" s="2923"/>
      <c r="AL54" s="2923"/>
      <c r="AM54" s="2923"/>
      <c r="AN54" s="2923"/>
      <c r="AO54" s="4237">
        <v>43101</v>
      </c>
      <c r="AP54" s="4237">
        <v>43465</v>
      </c>
      <c r="AQ54" s="4231" t="s">
        <v>1145</v>
      </c>
    </row>
    <row r="55" spans="1:43" s="1335" customFormat="1" ht="47.25" customHeight="1" x14ac:dyDescent="0.2">
      <c r="A55" s="1037"/>
      <c r="B55" s="1038"/>
      <c r="C55" s="1039"/>
      <c r="D55" s="1292"/>
      <c r="E55" s="1293"/>
      <c r="F55" s="1293"/>
      <c r="G55" s="1292"/>
      <c r="H55" s="1293"/>
      <c r="I55" s="1293"/>
      <c r="J55" s="2881"/>
      <c r="K55" s="2879"/>
      <c r="L55" s="2904"/>
      <c r="M55" s="2881"/>
      <c r="N55" s="1297" t="s">
        <v>1146</v>
      </c>
      <c r="O55" s="2934"/>
      <c r="P55" s="4251"/>
      <c r="Q55" s="1362">
        <f>+V55/R54</f>
        <v>0.29907157008820118</v>
      </c>
      <c r="R55" s="2894"/>
      <c r="S55" s="2879"/>
      <c r="T55" s="2879"/>
      <c r="U55" s="2879"/>
      <c r="V55" s="1049">
        <v>15456741</v>
      </c>
      <c r="W55" s="1376">
        <v>13</v>
      </c>
      <c r="X55" s="1290" t="s">
        <v>1087</v>
      </c>
      <c r="Y55" s="2924"/>
      <c r="Z55" s="2924"/>
      <c r="AA55" s="2924"/>
      <c r="AB55" s="2924"/>
      <c r="AC55" s="2924"/>
      <c r="AD55" s="2924"/>
      <c r="AE55" s="2924"/>
      <c r="AF55" s="2924"/>
      <c r="AG55" s="2924"/>
      <c r="AH55" s="2924"/>
      <c r="AI55" s="2924"/>
      <c r="AJ55" s="2924"/>
      <c r="AK55" s="2924"/>
      <c r="AL55" s="2924"/>
      <c r="AM55" s="2924"/>
      <c r="AN55" s="2924"/>
      <c r="AO55" s="4238"/>
      <c r="AP55" s="4238"/>
      <c r="AQ55" s="4232"/>
    </row>
    <row r="56" spans="1:43" ht="15.75" x14ac:dyDescent="0.2">
      <c r="A56" s="1386"/>
      <c r="B56" s="1387"/>
      <c r="C56" s="1387"/>
      <c r="D56" s="1387"/>
      <c r="E56" s="1387"/>
      <c r="F56" s="1387"/>
      <c r="G56" s="1387"/>
      <c r="H56" s="1387"/>
      <c r="I56" s="1387"/>
      <c r="J56" s="1387"/>
      <c r="K56" s="1388"/>
      <c r="L56" s="1389"/>
      <c r="M56" s="1390"/>
      <c r="N56" s="1391"/>
      <c r="O56" s="1392"/>
      <c r="P56" s="1388"/>
      <c r="Q56" s="1393"/>
      <c r="R56" s="1394">
        <f>+R54+R49+R37+R29+R23+R20+R12</f>
        <v>3603297525.21</v>
      </c>
      <c r="S56" s="1388"/>
      <c r="T56" s="1388"/>
      <c r="U56" s="1395"/>
      <c r="V56" s="1396">
        <f>SUM(V12:V55)</f>
        <v>3603297525.2100005</v>
      </c>
      <c r="W56" s="1397"/>
      <c r="X56" s="1398"/>
      <c r="Y56" s="1387"/>
      <c r="Z56" s="1387"/>
      <c r="AA56" s="1387"/>
      <c r="AB56" s="1387"/>
      <c r="AC56" s="1387"/>
      <c r="AD56" s="1387"/>
      <c r="AE56" s="1387"/>
      <c r="AF56" s="1387"/>
      <c r="AG56" s="1387"/>
      <c r="AH56" s="1387"/>
      <c r="AI56" s="1387"/>
      <c r="AJ56" s="1387"/>
      <c r="AK56" s="1387"/>
      <c r="AL56" s="1387"/>
      <c r="AM56" s="1387"/>
      <c r="AN56" s="1387"/>
      <c r="AO56" s="1399"/>
      <c r="AP56" s="1400"/>
      <c r="AQ56" s="1401"/>
    </row>
    <row r="59" spans="1:43" ht="42.75" customHeight="1" x14ac:dyDescent="0.2">
      <c r="F59" s="4255" t="s">
        <v>1147</v>
      </c>
      <c r="G59" s="4255"/>
      <c r="H59" s="4255"/>
      <c r="I59" s="4255"/>
      <c r="J59" s="4255"/>
    </row>
    <row r="60" spans="1:43" ht="14.25" customHeight="1" x14ac:dyDescent="0.2">
      <c r="F60" s="4254" t="s">
        <v>1148</v>
      </c>
      <c r="G60" s="4254"/>
      <c r="H60" s="4254"/>
      <c r="I60" s="4254"/>
    </row>
    <row r="61" spans="1:43" ht="29.25" customHeight="1" x14ac:dyDescent="0.2">
      <c r="F61" s="4254"/>
      <c r="G61" s="4254"/>
      <c r="H61" s="4254"/>
      <c r="I61" s="4254"/>
    </row>
    <row r="62" spans="1:43" x14ac:dyDescent="0.2">
      <c r="S62" s="1412"/>
      <c r="T62" s="1412"/>
      <c r="U62" s="1412"/>
    </row>
  </sheetData>
  <sheetProtection password="A60F" sheet="1" objects="1" scenarios="1"/>
  <mergeCells count="243">
    <mergeCell ref="F60:I61"/>
    <mergeCell ref="AM54:AM55"/>
    <mergeCell ref="AN54:AN55"/>
    <mergeCell ref="AO54:AO55"/>
    <mergeCell ref="AP54:AP55"/>
    <mergeCell ref="AQ54:AQ55"/>
    <mergeCell ref="F59:J59"/>
    <mergeCell ref="AG54:AG55"/>
    <mergeCell ref="AH54:AH55"/>
    <mergeCell ref="AI54:AI55"/>
    <mergeCell ref="AJ54:AJ55"/>
    <mergeCell ref="AK54:AK55"/>
    <mergeCell ref="AL54:AL55"/>
    <mergeCell ref="AA54:AA55"/>
    <mergeCell ref="AB54:AB55"/>
    <mergeCell ref="AC54:AC55"/>
    <mergeCell ref="AD54:AD55"/>
    <mergeCell ref="AE54:AE55"/>
    <mergeCell ref="AF54:AF55"/>
    <mergeCell ref="R54:R55"/>
    <mergeCell ref="S54:S55"/>
    <mergeCell ref="T54:T55"/>
    <mergeCell ref="U54:U55"/>
    <mergeCell ref="Y54:Y55"/>
    <mergeCell ref="Z54:Z55"/>
    <mergeCell ref="AN49:AN51"/>
    <mergeCell ref="AO49:AO51"/>
    <mergeCell ref="AP49:AP51"/>
    <mergeCell ref="AQ49:AQ51"/>
    <mergeCell ref="J54:J55"/>
    <mergeCell ref="K54:K55"/>
    <mergeCell ref="L54:L55"/>
    <mergeCell ref="M54:M55"/>
    <mergeCell ref="O54:O55"/>
    <mergeCell ref="P54:P55"/>
    <mergeCell ref="AG49:AG51"/>
    <mergeCell ref="AH49:AH51"/>
    <mergeCell ref="AI49:AI51"/>
    <mergeCell ref="AJ49:AJ51"/>
    <mergeCell ref="AK49:AK51"/>
    <mergeCell ref="AL49:AL51"/>
    <mergeCell ref="AA49:AA51"/>
    <mergeCell ref="AB49:AB51"/>
    <mergeCell ref="AC49:AC51"/>
    <mergeCell ref="AD49:AD51"/>
    <mergeCell ref="AE49:AE51"/>
    <mergeCell ref="AF49:AF51"/>
    <mergeCell ref="R49:R51"/>
    <mergeCell ref="S49:S51"/>
    <mergeCell ref="T49:T51"/>
    <mergeCell ref="U49:U51"/>
    <mergeCell ref="Y49:Y51"/>
    <mergeCell ref="Z49:Z51"/>
    <mergeCell ref="J49:J51"/>
    <mergeCell ref="K49:K51"/>
    <mergeCell ref="L49:L51"/>
    <mergeCell ref="M49:M51"/>
    <mergeCell ref="O49:O51"/>
    <mergeCell ref="P49:P51"/>
    <mergeCell ref="AL37:AL47"/>
    <mergeCell ref="AM37:AM47"/>
    <mergeCell ref="AN37:AN47"/>
    <mergeCell ref="AO37:AO47"/>
    <mergeCell ref="AP37:AP47"/>
    <mergeCell ref="AQ37:AQ47"/>
    <mergeCell ref="AF37:AF47"/>
    <mergeCell ref="AG37:AG47"/>
    <mergeCell ref="AH37:AH47"/>
    <mergeCell ref="AI37:AI47"/>
    <mergeCell ref="AJ37:AJ47"/>
    <mergeCell ref="AK37:AK47"/>
    <mergeCell ref="Z37:Z47"/>
    <mergeCell ref="AA37:AA47"/>
    <mergeCell ref="AB37:AB47"/>
    <mergeCell ref="AC37:AC47"/>
    <mergeCell ref="AD37:AD47"/>
    <mergeCell ref="AE37:AE47"/>
    <mergeCell ref="P37:P47"/>
    <mergeCell ref="R37:R47"/>
    <mergeCell ref="S37:S47"/>
    <mergeCell ref="T37:T47"/>
    <mergeCell ref="U37:U39"/>
    <mergeCell ref="Y37:Y47"/>
    <mergeCell ref="U40:U43"/>
    <mergeCell ref="U44:U47"/>
    <mergeCell ref="J33:J34"/>
    <mergeCell ref="K33:K34"/>
    <mergeCell ref="L33:L34"/>
    <mergeCell ref="M33:M34"/>
    <mergeCell ref="U33:U34"/>
    <mergeCell ref="J37:J39"/>
    <mergeCell ref="K37:K39"/>
    <mergeCell ref="L37:L39"/>
    <mergeCell ref="M37:M39"/>
    <mergeCell ref="O37:O47"/>
    <mergeCell ref="T29:T34"/>
    <mergeCell ref="U29:U30"/>
    <mergeCell ref="J40:J43"/>
    <mergeCell ref="K40:K43"/>
    <mergeCell ref="L40:L43"/>
    <mergeCell ref="M40:M43"/>
    <mergeCell ref="J44:J47"/>
    <mergeCell ref="K44:K47"/>
    <mergeCell ref="L44:L47"/>
    <mergeCell ref="M44:M47"/>
    <mergeCell ref="AM29:AM34"/>
    <mergeCell ref="AN29:AN34"/>
    <mergeCell ref="AO29:AO34"/>
    <mergeCell ref="AP29:AP34"/>
    <mergeCell ref="AQ29:AQ34"/>
    <mergeCell ref="J31:J32"/>
    <mergeCell ref="K31:K32"/>
    <mergeCell ref="L31:L32"/>
    <mergeCell ref="M31:M32"/>
    <mergeCell ref="U31:U32"/>
    <mergeCell ref="AG29:AG34"/>
    <mergeCell ref="AH29:AH34"/>
    <mergeCell ref="AI29:AI34"/>
    <mergeCell ref="AJ29:AJ34"/>
    <mergeCell ref="AK29:AK34"/>
    <mergeCell ref="AL29:AL34"/>
    <mergeCell ref="AA29:AA34"/>
    <mergeCell ref="AB29:AB34"/>
    <mergeCell ref="AC29:AC34"/>
    <mergeCell ref="AD29:AD34"/>
    <mergeCell ref="AE29:AE34"/>
    <mergeCell ref="AF29:AF34"/>
    <mergeCell ref="R29:R34"/>
    <mergeCell ref="S29:S34"/>
    <mergeCell ref="Y29:Y34"/>
    <mergeCell ref="Z29:Z34"/>
    <mergeCell ref="AN23:AN27"/>
    <mergeCell ref="AO23:AO27"/>
    <mergeCell ref="AP23:AP27"/>
    <mergeCell ref="AQ23:AQ27"/>
    <mergeCell ref="J29:J30"/>
    <mergeCell ref="K29:K30"/>
    <mergeCell ref="L29:L30"/>
    <mergeCell ref="M29:M30"/>
    <mergeCell ref="O29:O34"/>
    <mergeCell ref="P29:P34"/>
    <mergeCell ref="AH23:AH27"/>
    <mergeCell ref="AI23:AI27"/>
    <mergeCell ref="AJ23:AJ27"/>
    <mergeCell ref="AK23:AK27"/>
    <mergeCell ref="AL23:AL27"/>
    <mergeCell ref="AM23:AM27"/>
    <mergeCell ref="AB23:AB27"/>
    <mergeCell ref="AC23:AC27"/>
    <mergeCell ref="AD23:AD27"/>
    <mergeCell ref="AE23:AE27"/>
    <mergeCell ref="AF23:AF27"/>
    <mergeCell ref="AG23:AG27"/>
    <mergeCell ref="S23:S27"/>
    <mergeCell ref="T23:T27"/>
    <mergeCell ref="U23:U27"/>
    <mergeCell ref="Y23:Y27"/>
    <mergeCell ref="Z23:Z27"/>
    <mergeCell ref="AA23:AA27"/>
    <mergeCell ref="AO20:AO21"/>
    <mergeCell ref="AP20:AP21"/>
    <mergeCell ref="AQ20:AQ21"/>
    <mergeCell ref="S20:S21"/>
    <mergeCell ref="T20:T21"/>
    <mergeCell ref="U20:U21"/>
    <mergeCell ref="AM12:AM21"/>
    <mergeCell ref="AN12:AN21"/>
    <mergeCell ref="AO12:AO18"/>
    <mergeCell ref="AP12:AP18"/>
    <mergeCell ref="AQ12:AQ18"/>
    <mergeCell ref="AK12:AK21"/>
    <mergeCell ref="AL12:AL21"/>
    <mergeCell ref="J23:J27"/>
    <mergeCell ref="K23:K27"/>
    <mergeCell ref="L23:L27"/>
    <mergeCell ref="M23:M27"/>
    <mergeCell ref="O23:O27"/>
    <mergeCell ref="P23:P27"/>
    <mergeCell ref="R23:R27"/>
    <mergeCell ref="O20:O21"/>
    <mergeCell ref="P20:P21"/>
    <mergeCell ref="R20:R21"/>
    <mergeCell ref="E17:F17"/>
    <mergeCell ref="J20:J21"/>
    <mergeCell ref="K20:K21"/>
    <mergeCell ref="L20:L21"/>
    <mergeCell ref="M20:M21"/>
    <mergeCell ref="AG12:AG21"/>
    <mergeCell ref="AH12:AH21"/>
    <mergeCell ref="AI12:AI21"/>
    <mergeCell ref="AJ12:AJ21"/>
    <mergeCell ref="AA12:AA21"/>
    <mergeCell ref="AB12:AB21"/>
    <mergeCell ref="AC12:AC21"/>
    <mergeCell ref="AD12:AD21"/>
    <mergeCell ref="AE12:AE21"/>
    <mergeCell ref="AF12:AF21"/>
    <mergeCell ref="R12:R18"/>
    <mergeCell ref="S12:S18"/>
    <mergeCell ref="T12:T18"/>
    <mergeCell ref="U12:U16"/>
    <mergeCell ref="Y12:Y21"/>
    <mergeCell ref="Z12:Z21"/>
    <mergeCell ref="J12:J17"/>
    <mergeCell ref="K12:K17"/>
    <mergeCell ref="L12:L17"/>
    <mergeCell ref="M12:M17"/>
    <mergeCell ref="O12:O18"/>
    <mergeCell ref="P12:P18"/>
    <mergeCell ref="AE7:AJ7"/>
    <mergeCell ref="AK7:AM7"/>
    <mergeCell ref="AN7:AN8"/>
    <mergeCell ref="AO7:AO8"/>
    <mergeCell ref="AP7:AP8"/>
    <mergeCell ref="AQ7:AQ8"/>
    <mergeCell ref="U7:U8"/>
    <mergeCell ref="V7:V8"/>
    <mergeCell ref="W7:W8"/>
    <mergeCell ref="X7:X8"/>
    <mergeCell ref="Y7:Z7"/>
    <mergeCell ref="AA7:AD7"/>
    <mergeCell ref="O7:O8"/>
    <mergeCell ref="P7:P8"/>
    <mergeCell ref="Q7:Q8"/>
    <mergeCell ref="R7:R8"/>
    <mergeCell ref="S7:S8"/>
    <mergeCell ref="T7:T8"/>
    <mergeCell ref="H7:I8"/>
    <mergeCell ref="J7:J8"/>
    <mergeCell ref="K7:K8"/>
    <mergeCell ref="L7:L8"/>
    <mergeCell ref="M7:M8"/>
    <mergeCell ref="N7:N8"/>
    <mergeCell ref="A1:AO4"/>
    <mergeCell ref="A5:M6"/>
    <mergeCell ref="N5:AQ5"/>
    <mergeCell ref="N6:X6"/>
    <mergeCell ref="AO6:AQ6"/>
    <mergeCell ref="A7:A8"/>
    <mergeCell ref="B7:C8"/>
    <mergeCell ref="D7:D8"/>
    <mergeCell ref="E7:F8"/>
    <mergeCell ref="G7:G8"/>
  </mergeCells>
  <pageMargins left="0.70866141732283472" right="0.70866141732283472" top="0.74803149606299213" bottom="0.74803149606299213" header="0.31496062992125984" footer="0.31496062992125984"/>
  <pageSetup paperSize="5" scale="4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
  <sheetViews>
    <sheetView showGridLines="0" tabSelected="1" zoomScale="60" zoomScaleNormal="60" workbookViewId="0">
      <selection sqref="A1:AL4"/>
    </sheetView>
  </sheetViews>
  <sheetFormatPr baseColWidth="10" defaultColWidth="11.42578125" defaultRowHeight="15" x14ac:dyDescent="0.25"/>
  <cols>
    <col min="1" max="1" width="20.140625" customWidth="1"/>
    <col min="2" max="2" width="23.85546875" customWidth="1"/>
    <col min="3" max="3" width="18.28515625" customWidth="1"/>
    <col min="4" max="4" width="21.7109375" customWidth="1"/>
    <col min="5" max="5" width="19.42578125" customWidth="1"/>
    <col min="6" max="6" width="27.7109375" customWidth="1"/>
    <col min="7" max="7" width="21.7109375" customWidth="1"/>
    <col min="8" max="8" width="35.42578125" customWidth="1"/>
    <col min="9" max="9" width="27.7109375" style="713" customWidth="1"/>
    <col min="10" max="10" width="18.5703125" customWidth="1"/>
    <col min="11" max="11" width="28.7109375" customWidth="1"/>
    <col min="12" max="12" width="27" customWidth="1"/>
    <col min="13" max="13" width="40" customWidth="1"/>
    <col min="14" max="14" width="26.85546875" customWidth="1"/>
    <col min="15" max="15" width="31.140625" customWidth="1"/>
    <col min="16" max="16" width="23.7109375" customWidth="1"/>
    <col min="17" max="17" width="30.85546875" customWidth="1"/>
    <col min="18" max="18" width="34.140625" customWidth="1"/>
    <col min="19" max="19" width="30" customWidth="1"/>
    <col min="20" max="20" width="18.28515625" customWidth="1"/>
    <col min="21" max="21" width="22.7109375" customWidth="1"/>
    <col min="22" max="37" width="9.7109375" customWidth="1"/>
    <col min="38" max="38" width="25.28515625" customWidth="1"/>
    <col min="39" max="39" width="24.7109375" customWidth="1"/>
    <col min="40" max="40" width="27" customWidth="1"/>
  </cols>
  <sheetData>
    <row r="1" spans="1:40" ht="24" customHeight="1" x14ac:dyDescent="0.25">
      <c r="A1" s="4256" t="s">
        <v>2235</v>
      </c>
      <c r="B1" s="4256"/>
      <c r="C1" s="4256"/>
      <c r="D1" s="4256"/>
      <c r="E1" s="4256"/>
      <c r="F1" s="4256"/>
      <c r="G1" s="4256"/>
      <c r="H1" s="4256"/>
      <c r="I1" s="4256"/>
      <c r="J1" s="4256"/>
      <c r="K1" s="4256"/>
      <c r="L1" s="4256"/>
      <c r="M1" s="4256"/>
      <c r="N1" s="4256"/>
      <c r="O1" s="4256"/>
      <c r="P1" s="4256"/>
      <c r="Q1" s="4256"/>
      <c r="R1" s="4256"/>
      <c r="S1" s="4256"/>
      <c r="T1" s="4256"/>
      <c r="U1" s="4256"/>
      <c r="V1" s="4256"/>
      <c r="W1" s="4256"/>
      <c r="X1" s="4256"/>
      <c r="Y1" s="4256"/>
      <c r="Z1" s="4256"/>
      <c r="AA1" s="4256"/>
      <c r="AB1" s="4256"/>
      <c r="AC1" s="4256"/>
      <c r="AD1" s="4256"/>
      <c r="AE1" s="4256"/>
      <c r="AF1" s="4256"/>
      <c r="AG1" s="4256"/>
      <c r="AH1" s="4256"/>
      <c r="AI1" s="4256"/>
      <c r="AJ1" s="4256"/>
      <c r="AK1" s="4256"/>
      <c r="AL1" s="4256"/>
      <c r="AM1" s="723" t="s">
        <v>0</v>
      </c>
      <c r="AN1" s="723" t="s">
        <v>637</v>
      </c>
    </row>
    <row r="2" spans="1:40" ht="24" customHeight="1" x14ac:dyDescent="0.25">
      <c r="A2" s="4256"/>
      <c r="B2" s="4256"/>
      <c r="C2" s="4256"/>
      <c r="D2" s="4256"/>
      <c r="E2" s="4256"/>
      <c r="F2" s="4256"/>
      <c r="G2" s="4256"/>
      <c r="H2" s="4256"/>
      <c r="I2" s="4256"/>
      <c r="J2" s="4256"/>
      <c r="K2" s="4256"/>
      <c r="L2" s="4256"/>
      <c r="M2" s="4256"/>
      <c r="N2" s="4256"/>
      <c r="O2" s="4256"/>
      <c r="P2" s="4256"/>
      <c r="Q2" s="4256"/>
      <c r="R2" s="4256"/>
      <c r="S2" s="4256"/>
      <c r="T2" s="4256"/>
      <c r="U2" s="4256"/>
      <c r="V2" s="4256"/>
      <c r="W2" s="4256"/>
      <c r="X2" s="4256"/>
      <c r="Y2" s="4256"/>
      <c r="Z2" s="4256"/>
      <c r="AA2" s="4256"/>
      <c r="AB2" s="4256"/>
      <c r="AC2" s="4256"/>
      <c r="AD2" s="4256"/>
      <c r="AE2" s="4256"/>
      <c r="AF2" s="4256"/>
      <c r="AG2" s="4256"/>
      <c r="AH2" s="4256"/>
      <c r="AI2" s="4256"/>
      <c r="AJ2" s="4256"/>
      <c r="AK2" s="4256"/>
      <c r="AL2" s="4256"/>
      <c r="AM2" s="721" t="s">
        <v>2</v>
      </c>
      <c r="AN2" s="723" t="s">
        <v>92</v>
      </c>
    </row>
    <row r="3" spans="1:40" ht="24" customHeight="1" x14ac:dyDescent="0.25">
      <c r="A3" s="4256"/>
      <c r="B3" s="4256"/>
      <c r="C3" s="4256"/>
      <c r="D3" s="4256"/>
      <c r="E3" s="4256"/>
      <c r="F3" s="4256"/>
      <c r="G3" s="4256"/>
      <c r="H3" s="4256"/>
      <c r="I3" s="4256"/>
      <c r="J3" s="4256"/>
      <c r="K3" s="4256"/>
      <c r="L3" s="4256"/>
      <c r="M3" s="4256"/>
      <c r="N3" s="4256"/>
      <c r="O3" s="4256"/>
      <c r="P3" s="4256"/>
      <c r="Q3" s="4256"/>
      <c r="R3" s="4256"/>
      <c r="S3" s="4256"/>
      <c r="T3" s="4256"/>
      <c r="U3" s="4256"/>
      <c r="V3" s="4256"/>
      <c r="W3" s="4256"/>
      <c r="X3" s="4256"/>
      <c r="Y3" s="4256"/>
      <c r="Z3" s="4256"/>
      <c r="AA3" s="4256"/>
      <c r="AB3" s="4256"/>
      <c r="AC3" s="4256"/>
      <c r="AD3" s="4256"/>
      <c r="AE3" s="4256"/>
      <c r="AF3" s="4256"/>
      <c r="AG3" s="4256"/>
      <c r="AH3" s="4256"/>
      <c r="AI3" s="4256"/>
      <c r="AJ3" s="4256"/>
      <c r="AK3" s="4256"/>
      <c r="AL3" s="4256"/>
      <c r="AM3" s="723" t="s">
        <v>3</v>
      </c>
      <c r="AN3" s="938" t="s">
        <v>4</v>
      </c>
    </row>
    <row r="4" spans="1:40" x14ac:dyDescent="0.25">
      <c r="A4" s="4256"/>
      <c r="B4" s="4256"/>
      <c r="C4" s="4256"/>
      <c r="D4" s="4256"/>
      <c r="E4" s="4256"/>
      <c r="F4" s="4256"/>
      <c r="G4" s="4256"/>
      <c r="H4" s="4256"/>
      <c r="I4" s="4256"/>
      <c r="J4" s="4256"/>
      <c r="K4" s="4256"/>
      <c r="L4" s="4256"/>
      <c r="M4" s="4256"/>
      <c r="N4" s="4256"/>
      <c r="O4" s="4256"/>
      <c r="P4" s="4256"/>
      <c r="Q4" s="4256"/>
      <c r="R4" s="4256"/>
      <c r="S4" s="4256"/>
      <c r="T4" s="4256"/>
      <c r="U4" s="4256"/>
      <c r="V4" s="4256"/>
      <c r="W4" s="4256"/>
      <c r="X4" s="4256"/>
      <c r="Y4" s="4256"/>
      <c r="Z4" s="4256"/>
      <c r="AA4" s="4256"/>
      <c r="AB4" s="4256"/>
      <c r="AC4" s="4256"/>
      <c r="AD4" s="4256"/>
      <c r="AE4" s="4256"/>
      <c r="AF4" s="4256"/>
      <c r="AG4" s="4256"/>
      <c r="AH4" s="4256"/>
      <c r="AI4" s="4256"/>
      <c r="AJ4" s="4256"/>
      <c r="AK4" s="4256"/>
      <c r="AL4" s="4256"/>
      <c r="AM4" s="2175" t="s">
        <v>5</v>
      </c>
      <c r="AN4" s="2176" t="s">
        <v>93</v>
      </c>
    </row>
    <row r="5" spans="1:40" ht="15.75" x14ac:dyDescent="0.25">
      <c r="A5" s="4257" t="s">
        <v>7</v>
      </c>
      <c r="B5" s="4257"/>
      <c r="C5" s="4257"/>
      <c r="D5" s="4257"/>
      <c r="E5" s="4257"/>
      <c r="F5" s="4257"/>
      <c r="G5" s="4257"/>
      <c r="H5" s="4257"/>
      <c r="I5" s="4257"/>
      <c r="J5" s="4257"/>
      <c r="K5" s="4257" t="s">
        <v>8</v>
      </c>
      <c r="L5" s="4257"/>
      <c r="M5" s="4257"/>
      <c r="N5" s="4257"/>
      <c r="O5" s="4257"/>
      <c r="P5" s="4257"/>
      <c r="Q5" s="4257"/>
      <c r="R5" s="4257"/>
      <c r="S5" s="4257"/>
      <c r="T5" s="4257"/>
      <c r="U5" s="4257"/>
      <c r="V5" s="4257"/>
      <c r="W5" s="4257"/>
      <c r="X5" s="4257"/>
      <c r="Y5" s="4257"/>
      <c r="Z5" s="4257"/>
      <c r="AA5" s="4257"/>
      <c r="AB5" s="4257"/>
      <c r="AC5" s="4257"/>
      <c r="AD5" s="4257"/>
      <c r="AE5" s="4257"/>
      <c r="AF5" s="4257"/>
      <c r="AG5" s="4257"/>
      <c r="AH5" s="4257"/>
      <c r="AI5" s="4257"/>
      <c r="AJ5" s="4257"/>
      <c r="AK5" s="4257"/>
      <c r="AL5" s="4258"/>
      <c r="AM5" s="4258"/>
      <c r="AN5" s="4258"/>
    </row>
    <row r="6" spans="1:40" ht="15.75" x14ac:dyDescent="0.25">
      <c r="A6" s="4257"/>
      <c r="B6" s="4257"/>
      <c r="C6" s="4257"/>
      <c r="D6" s="4257"/>
      <c r="E6" s="4257"/>
      <c r="F6" s="4257"/>
      <c r="G6" s="4257"/>
      <c r="H6" s="4257"/>
      <c r="I6" s="4257"/>
      <c r="J6" s="4257"/>
      <c r="K6" s="4257"/>
      <c r="L6" s="4257"/>
      <c r="M6" s="4257"/>
      <c r="N6" s="4257"/>
      <c r="O6" s="4257"/>
      <c r="P6" s="4257"/>
      <c r="Q6" s="4257"/>
      <c r="R6" s="4257"/>
      <c r="S6" s="4257"/>
      <c r="T6" s="4257"/>
      <c r="U6" s="4257"/>
      <c r="V6" s="4257" t="s">
        <v>2233</v>
      </c>
      <c r="W6" s="4257"/>
      <c r="X6" s="4257"/>
      <c r="Y6" s="4257"/>
      <c r="Z6" s="4257"/>
      <c r="AA6" s="4257"/>
      <c r="AB6" s="4257"/>
      <c r="AC6" s="4257"/>
      <c r="AD6" s="4257"/>
      <c r="AE6" s="4257"/>
      <c r="AF6" s="4257"/>
      <c r="AG6" s="4257"/>
      <c r="AH6" s="4257"/>
      <c r="AI6" s="4257"/>
      <c r="AJ6" s="4257"/>
      <c r="AK6" s="4257"/>
      <c r="AL6" s="4259" t="s">
        <v>29</v>
      </c>
      <c r="AM6" s="4259" t="s">
        <v>30</v>
      </c>
      <c r="AN6" s="4260" t="s">
        <v>31</v>
      </c>
    </row>
    <row r="7" spans="1:40" ht="25.5" customHeight="1" x14ac:dyDescent="0.25">
      <c r="A7" s="4261" t="s">
        <v>9</v>
      </c>
      <c r="B7" s="4261" t="s">
        <v>2236</v>
      </c>
      <c r="C7" s="4261" t="s">
        <v>9</v>
      </c>
      <c r="D7" s="4261" t="s">
        <v>2237</v>
      </c>
      <c r="E7" s="4261" t="s">
        <v>9</v>
      </c>
      <c r="F7" s="4261" t="s">
        <v>2238</v>
      </c>
      <c r="G7" s="4261" t="s">
        <v>9</v>
      </c>
      <c r="H7" s="4265" t="s">
        <v>2239</v>
      </c>
      <c r="I7" s="4265" t="s">
        <v>14</v>
      </c>
      <c r="J7" s="4265" t="s">
        <v>15</v>
      </c>
      <c r="K7" s="4265" t="s">
        <v>16</v>
      </c>
      <c r="L7" s="4265" t="s">
        <v>2240</v>
      </c>
      <c r="M7" s="4265" t="s">
        <v>8</v>
      </c>
      <c r="N7" s="4265" t="s">
        <v>18</v>
      </c>
      <c r="O7" s="4265" t="s">
        <v>2241</v>
      </c>
      <c r="P7" s="4265" t="s">
        <v>20</v>
      </c>
      <c r="Q7" s="4265" t="s">
        <v>21</v>
      </c>
      <c r="R7" s="4265" t="s">
        <v>22</v>
      </c>
      <c r="S7" s="4269" t="s">
        <v>19</v>
      </c>
      <c r="T7" s="4265" t="s">
        <v>9</v>
      </c>
      <c r="U7" s="4265" t="s">
        <v>23</v>
      </c>
      <c r="V7" s="2983" t="s">
        <v>24</v>
      </c>
      <c r="W7" s="2983"/>
      <c r="X7" s="2984" t="s">
        <v>25</v>
      </c>
      <c r="Y7" s="2984"/>
      <c r="Z7" s="2984"/>
      <c r="AA7" s="2984"/>
      <c r="AB7" s="2985" t="s">
        <v>26</v>
      </c>
      <c r="AC7" s="2986"/>
      <c r="AD7" s="2986"/>
      <c r="AE7" s="2986"/>
      <c r="AF7" s="2986"/>
      <c r="AG7" s="2987"/>
      <c r="AH7" s="2984" t="s">
        <v>27</v>
      </c>
      <c r="AI7" s="2984"/>
      <c r="AJ7" s="2984"/>
      <c r="AK7" s="4263" t="s">
        <v>28</v>
      </c>
      <c r="AL7" s="4259"/>
      <c r="AM7" s="4259"/>
      <c r="AN7" s="4260"/>
    </row>
    <row r="8" spans="1:40" ht="125.25" customHeight="1" x14ac:dyDescent="0.25">
      <c r="A8" s="4262"/>
      <c r="B8" s="4268"/>
      <c r="C8" s="4268"/>
      <c r="D8" s="4268"/>
      <c r="E8" s="4268"/>
      <c r="F8" s="4268"/>
      <c r="G8" s="4268"/>
      <c r="H8" s="4266"/>
      <c r="I8" s="4266"/>
      <c r="J8" s="4267"/>
      <c r="K8" s="4266"/>
      <c r="L8" s="4266"/>
      <c r="M8" s="4266"/>
      <c r="N8" s="4266"/>
      <c r="O8" s="4266"/>
      <c r="P8" s="4266"/>
      <c r="Q8" s="4266"/>
      <c r="R8" s="4266"/>
      <c r="S8" s="4270"/>
      <c r="T8" s="4266"/>
      <c r="U8" s="4266"/>
      <c r="V8" s="949" t="s">
        <v>32</v>
      </c>
      <c r="W8" s="950" t="s">
        <v>33</v>
      </c>
      <c r="X8" s="951" t="s">
        <v>34</v>
      </c>
      <c r="Y8" s="951" t="s">
        <v>35</v>
      </c>
      <c r="Z8" s="951" t="s">
        <v>506</v>
      </c>
      <c r="AA8" s="951" t="s">
        <v>37</v>
      </c>
      <c r="AB8" s="951" t="s">
        <v>38</v>
      </c>
      <c r="AC8" s="951" t="s">
        <v>39</v>
      </c>
      <c r="AD8" s="951" t="s">
        <v>40</v>
      </c>
      <c r="AE8" s="951" t="s">
        <v>41</v>
      </c>
      <c r="AF8" s="951" t="s">
        <v>42</v>
      </c>
      <c r="AG8" s="951" t="s">
        <v>43</v>
      </c>
      <c r="AH8" s="951" t="s">
        <v>44</v>
      </c>
      <c r="AI8" s="951" t="s">
        <v>45</v>
      </c>
      <c r="AJ8" s="951" t="s">
        <v>46</v>
      </c>
      <c r="AK8" s="4264"/>
      <c r="AL8" s="4259"/>
      <c r="AM8" s="4259"/>
      <c r="AN8" s="4260"/>
    </row>
    <row r="9" spans="1:40" ht="28.5" customHeight="1" x14ac:dyDescent="0.25">
      <c r="A9" s="2177">
        <v>2</v>
      </c>
      <c r="B9" s="4271" t="s">
        <v>525</v>
      </c>
      <c r="C9" s="4272"/>
      <c r="D9" s="4272"/>
      <c r="E9" s="2178"/>
      <c r="F9" s="2178"/>
      <c r="G9" s="2178"/>
      <c r="H9" s="2178"/>
      <c r="I9" s="2179"/>
      <c r="J9" s="2178"/>
      <c r="K9" s="2178"/>
      <c r="L9" s="2178"/>
      <c r="M9" s="2178"/>
      <c r="N9" s="2178"/>
      <c r="O9" s="2178"/>
      <c r="P9" s="2178"/>
      <c r="Q9" s="2178"/>
      <c r="R9" s="2178"/>
      <c r="S9" s="2178"/>
      <c r="T9" s="2178"/>
      <c r="U9" s="2178"/>
      <c r="V9" s="2178"/>
      <c r="W9" s="2178"/>
      <c r="X9" s="2178"/>
      <c r="Y9" s="2178"/>
      <c r="Z9" s="2178"/>
      <c r="AA9" s="2178"/>
      <c r="AB9" s="2178"/>
      <c r="AC9" s="2178"/>
      <c r="AD9" s="2178"/>
      <c r="AE9" s="2178"/>
      <c r="AF9" s="2178"/>
      <c r="AG9" s="2178"/>
      <c r="AH9" s="2178"/>
      <c r="AI9" s="2178"/>
      <c r="AJ9" s="2178"/>
      <c r="AK9" s="2178"/>
      <c r="AL9" s="2180"/>
      <c r="AM9" s="2180"/>
      <c r="AN9" s="2181"/>
    </row>
    <row r="10" spans="1:40" ht="24.75" customHeight="1" x14ac:dyDescent="0.25">
      <c r="A10" s="2182"/>
      <c r="B10" s="2183"/>
      <c r="C10" s="2184">
        <v>4</v>
      </c>
      <c r="D10" s="4273" t="s">
        <v>2242</v>
      </c>
      <c r="E10" s="4274"/>
      <c r="F10" s="4274"/>
      <c r="G10" s="4274"/>
      <c r="H10" s="4274"/>
      <c r="I10" s="4274"/>
      <c r="J10" s="4274"/>
      <c r="K10" s="4274"/>
      <c r="L10" s="4274"/>
      <c r="M10" s="4274"/>
      <c r="N10" s="4274"/>
      <c r="O10" s="4274"/>
      <c r="P10" s="4274"/>
      <c r="Q10" s="4274"/>
      <c r="R10" s="4274"/>
      <c r="S10" s="4274"/>
      <c r="T10" s="4274"/>
      <c r="U10" s="4274"/>
      <c r="V10" s="4274"/>
      <c r="W10" s="4274"/>
      <c r="X10" s="4274"/>
      <c r="Y10" s="4274"/>
      <c r="Z10" s="4274"/>
      <c r="AA10" s="4274"/>
      <c r="AB10" s="4274"/>
      <c r="AC10" s="4274"/>
      <c r="AD10" s="4274"/>
      <c r="AE10" s="4274"/>
      <c r="AF10" s="4274"/>
      <c r="AG10" s="4274"/>
      <c r="AH10" s="4274"/>
      <c r="AI10" s="4274"/>
      <c r="AJ10" s="4274"/>
      <c r="AK10" s="4274"/>
      <c r="AL10" s="4274"/>
      <c r="AM10" s="4274"/>
      <c r="AN10" s="4275"/>
    </row>
    <row r="11" spans="1:40" ht="25.5" customHeight="1" x14ac:dyDescent="0.25">
      <c r="A11" s="2185"/>
      <c r="B11" s="2186"/>
      <c r="C11" s="2183"/>
      <c r="D11" s="2182"/>
      <c r="E11" s="2187">
        <v>14</v>
      </c>
      <c r="F11" s="4276" t="s">
        <v>2243</v>
      </c>
      <c r="G11" s="4276"/>
      <c r="H11" s="4276"/>
      <c r="I11" s="4276"/>
      <c r="J11" s="4276"/>
      <c r="K11" s="4276"/>
      <c r="L11" s="4276"/>
      <c r="M11" s="4276"/>
      <c r="N11" s="4276"/>
      <c r="O11" s="4276"/>
      <c r="P11" s="4276"/>
      <c r="Q11" s="4276"/>
      <c r="R11" s="4277"/>
      <c r="S11" s="4277"/>
      <c r="T11" s="4277"/>
      <c r="U11" s="4277"/>
      <c r="V11" s="4276"/>
      <c r="W11" s="4276"/>
      <c r="X11" s="4276"/>
      <c r="Y11" s="4276"/>
      <c r="Z11" s="4276"/>
      <c r="AA11" s="4276"/>
      <c r="AB11" s="4276"/>
      <c r="AC11" s="4276"/>
      <c r="AD11" s="4276"/>
      <c r="AE11" s="4276"/>
      <c r="AF11" s="4276"/>
      <c r="AG11" s="4276"/>
      <c r="AH11" s="4276"/>
      <c r="AI11" s="4276"/>
      <c r="AJ11" s="4276"/>
      <c r="AK11" s="4276"/>
      <c r="AL11" s="4276"/>
      <c r="AM11" s="4276"/>
      <c r="AN11" s="4276"/>
    </row>
    <row r="12" spans="1:40" ht="72" customHeight="1" x14ac:dyDescent="0.25">
      <c r="A12" s="2188"/>
      <c r="B12" s="2189"/>
      <c r="C12" s="2188"/>
      <c r="D12" s="2189"/>
      <c r="E12" s="4278"/>
      <c r="F12" s="4280"/>
      <c r="G12" s="4282">
        <v>54</v>
      </c>
      <c r="H12" s="2564" t="s">
        <v>739</v>
      </c>
      <c r="I12" s="2564" t="s">
        <v>740</v>
      </c>
      <c r="J12" s="2563">
        <v>130</v>
      </c>
      <c r="K12" s="2563" t="s">
        <v>2244</v>
      </c>
      <c r="L12" s="2563" t="s">
        <v>2245</v>
      </c>
      <c r="M12" s="2564" t="s">
        <v>2246</v>
      </c>
      <c r="N12" s="4286">
        <f>+O12/$O$22</f>
        <v>0.11900775791364593</v>
      </c>
      <c r="O12" s="4288">
        <f>+SUM(S12:S13)</f>
        <v>313916292</v>
      </c>
      <c r="P12" s="2564" t="s">
        <v>2247</v>
      </c>
      <c r="Q12" s="4290" t="s">
        <v>2248</v>
      </c>
      <c r="R12" s="4297" t="s">
        <v>2249</v>
      </c>
      <c r="S12" s="2190">
        <f>+'[1]METAS PROMOTORA'!O16</f>
        <v>290660276</v>
      </c>
      <c r="T12" s="2191" t="s">
        <v>2250</v>
      </c>
      <c r="U12" s="2192" t="s">
        <v>2251</v>
      </c>
      <c r="V12" s="4298">
        <v>1382.4</v>
      </c>
      <c r="W12" s="4284">
        <v>1317.6</v>
      </c>
      <c r="X12" s="4284">
        <v>459</v>
      </c>
      <c r="Y12" s="4284">
        <v>248</v>
      </c>
      <c r="Z12" s="4284">
        <v>1615</v>
      </c>
      <c r="AA12" s="4284">
        <v>378</v>
      </c>
      <c r="AB12" s="4284"/>
      <c r="AC12" s="4284"/>
      <c r="AD12" s="4284"/>
      <c r="AE12" s="4284"/>
      <c r="AF12" s="4284"/>
      <c r="AG12" s="4284"/>
      <c r="AH12" s="4284"/>
      <c r="AI12" s="4284"/>
      <c r="AJ12" s="4284"/>
      <c r="AK12" s="4284">
        <f>+X12+Y12+Z12+AA12</f>
        <v>2700</v>
      </c>
      <c r="AL12" s="4291">
        <v>43466</v>
      </c>
      <c r="AM12" s="4291">
        <v>43829</v>
      </c>
      <c r="AN12" s="2563" t="s">
        <v>2252</v>
      </c>
    </row>
    <row r="13" spans="1:40" ht="72" customHeight="1" x14ac:dyDescent="0.25">
      <c r="A13" s="2188"/>
      <c r="B13" s="2189"/>
      <c r="C13" s="2188"/>
      <c r="D13" s="2189"/>
      <c r="E13" s="4279"/>
      <c r="F13" s="4281"/>
      <c r="G13" s="4283"/>
      <c r="H13" s="2591"/>
      <c r="I13" s="2591"/>
      <c r="J13" s="2552"/>
      <c r="K13" s="2552"/>
      <c r="L13" s="2552"/>
      <c r="M13" s="2591"/>
      <c r="N13" s="4287"/>
      <c r="O13" s="4289"/>
      <c r="P13" s="2591"/>
      <c r="Q13" s="2554"/>
      <c r="R13" s="4297"/>
      <c r="S13" s="2190">
        <f>+'[1]METAS PROMOTORA'!O17</f>
        <v>23256016</v>
      </c>
      <c r="T13" s="2191" t="s">
        <v>2253</v>
      </c>
      <c r="U13" s="2192" t="s">
        <v>2254</v>
      </c>
      <c r="V13" s="4299"/>
      <c r="W13" s="4285"/>
      <c r="X13" s="4285"/>
      <c r="Y13" s="4285"/>
      <c r="Z13" s="4285"/>
      <c r="AA13" s="4285"/>
      <c r="AB13" s="4285"/>
      <c r="AC13" s="4285"/>
      <c r="AD13" s="4285"/>
      <c r="AE13" s="4285"/>
      <c r="AF13" s="4285"/>
      <c r="AG13" s="4285"/>
      <c r="AH13" s="4285"/>
      <c r="AI13" s="4285"/>
      <c r="AJ13" s="4285"/>
      <c r="AK13" s="4285"/>
      <c r="AL13" s="4292"/>
      <c r="AM13" s="4292"/>
      <c r="AN13" s="2552"/>
    </row>
    <row r="14" spans="1:40" ht="21" customHeight="1" x14ac:dyDescent="0.25">
      <c r="A14" s="2185"/>
      <c r="B14" s="2186"/>
      <c r="C14" s="2186"/>
      <c r="D14" s="2185"/>
      <c r="E14" s="2193">
        <v>15</v>
      </c>
      <c r="F14" s="4293" t="s">
        <v>2255</v>
      </c>
      <c r="G14" s="4293"/>
      <c r="H14" s="4293"/>
      <c r="I14" s="4293"/>
      <c r="J14" s="4293"/>
      <c r="K14" s="2194"/>
      <c r="L14" s="2194"/>
      <c r="M14" s="2195"/>
      <c r="N14" s="2194"/>
      <c r="O14" s="2196"/>
      <c r="P14" s="2195"/>
      <c r="Q14" s="2195"/>
      <c r="R14" s="2197"/>
      <c r="S14" s="2198"/>
      <c r="T14" s="2199"/>
      <c r="U14" s="2200"/>
      <c r="V14" s="2194"/>
      <c r="W14" s="2194"/>
      <c r="X14" s="2194"/>
      <c r="Y14" s="2194"/>
      <c r="Z14" s="2194"/>
      <c r="AA14" s="2194"/>
      <c r="AB14" s="2194"/>
      <c r="AC14" s="2194"/>
      <c r="AD14" s="2194"/>
      <c r="AE14" s="2194"/>
      <c r="AF14" s="2194"/>
      <c r="AG14" s="2194"/>
      <c r="AH14" s="2194"/>
      <c r="AI14" s="2194"/>
      <c r="AJ14" s="2194"/>
      <c r="AK14" s="2194"/>
      <c r="AL14" s="2201"/>
      <c r="AM14" s="2201"/>
      <c r="AN14" s="2194"/>
    </row>
    <row r="15" spans="1:40" ht="49.5" customHeight="1" x14ac:dyDescent="0.25">
      <c r="A15" s="2185"/>
      <c r="B15" s="2186"/>
      <c r="C15" s="2186"/>
      <c r="D15" s="2185"/>
      <c r="E15" s="4294"/>
      <c r="F15" s="4294"/>
      <c r="G15" s="4280">
        <v>59</v>
      </c>
      <c r="H15" s="3493" t="s">
        <v>785</v>
      </c>
      <c r="I15" s="3493" t="s">
        <v>786</v>
      </c>
      <c r="J15" s="4280">
        <v>12</v>
      </c>
      <c r="K15" s="4280" t="s">
        <v>2244</v>
      </c>
      <c r="L15" s="4280" t="s">
        <v>2245</v>
      </c>
      <c r="M15" s="3493" t="s">
        <v>2246</v>
      </c>
      <c r="N15" s="4286">
        <f>+O15/$O$22</f>
        <v>0.21729676462374667</v>
      </c>
      <c r="O15" s="4288">
        <f>+S15</f>
        <v>573181075</v>
      </c>
      <c r="P15" s="3493" t="s">
        <v>2247</v>
      </c>
      <c r="Q15" s="3493" t="s">
        <v>2256</v>
      </c>
      <c r="R15" s="3493" t="s">
        <v>2257</v>
      </c>
      <c r="S15" s="4288">
        <f>+'[1]METAS PROMOTORA'!O19</f>
        <v>573181075</v>
      </c>
      <c r="T15" s="4278" t="s">
        <v>689</v>
      </c>
      <c r="U15" s="4304" t="s">
        <v>2258</v>
      </c>
      <c r="V15" s="4300">
        <f>+[2]Hoja1!$E$12</f>
        <v>284400.12800000003</v>
      </c>
      <c r="W15" s="4300">
        <f>+[2]Hoja1!$D$12</f>
        <v>271068.87199999997</v>
      </c>
      <c r="X15" s="4300">
        <f>+X12</f>
        <v>459</v>
      </c>
      <c r="Y15" s="4300">
        <f>+Y12</f>
        <v>248</v>
      </c>
      <c r="Z15" s="4300">
        <f>+Z12</f>
        <v>1615</v>
      </c>
      <c r="AA15" s="4300">
        <f>+AA12</f>
        <v>378</v>
      </c>
      <c r="AB15" s="4294"/>
      <c r="AC15" s="4294"/>
      <c r="AD15" s="4294"/>
      <c r="AE15" s="4294"/>
      <c r="AF15" s="4294"/>
      <c r="AG15" s="4294"/>
      <c r="AH15" s="4294"/>
      <c r="AI15" s="4294"/>
      <c r="AJ15" s="4294"/>
      <c r="AK15" s="4284">
        <f>+X15+Y15+Z15+AA15</f>
        <v>2700</v>
      </c>
      <c r="AL15" s="4291">
        <v>43466</v>
      </c>
      <c r="AM15" s="4291">
        <v>43829</v>
      </c>
      <c r="AN15" s="2563" t="s">
        <v>2259</v>
      </c>
    </row>
    <row r="16" spans="1:40" ht="50.1" customHeight="1" x14ac:dyDescent="0.25">
      <c r="A16" s="2202"/>
      <c r="B16" s="2189"/>
      <c r="C16" s="2188"/>
      <c r="D16" s="2189"/>
      <c r="E16" s="4295"/>
      <c r="F16" s="4295"/>
      <c r="G16" s="4296"/>
      <c r="H16" s="3495"/>
      <c r="I16" s="3495"/>
      <c r="J16" s="4296"/>
      <c r="K16" s="4296"/>
      <c r="L16" s="4281"/>
      <c r="M16" s="3494"/>
      <c r="N16" s="4287"/>
      <c r="O16" s="4302"/>
      <c r="P16" s="3494"/>
      <c r="Q16" s="3494"/>
      <c r="R16" s="3495"/>
      <c r="S16" s="4302"/>
      <c r="T16" s="4303"/>
      <c r="U16" s="4305"/>
      <c r="V16" s="4301"/>
      <c r="W16" s="4301"/>
      <c r="X16" s="4301"/>
      <c r="Y16" s="4301"/>
      <c r="Z16" s="4301"/>
      <c r="AA16" s="4301"/>
      <c r="AB16" s="4295"/>
      <c r="AC16" s="4295"/>
      <c r="AD16" s="4295"/>
      <c r="AE16" s="4295"/>
      <c r="AF16" s="4295"/>
      <c r="AG16" s="4295"/>
      <c r="AH16" s="4295"/>
      <c r="AI16" s="4295"/>
      <c r="AJ16" s="4295"/>
      <c r="AK16" s="4285"/>
      <c r="AL16" s="4292"/>
      <c r="AM16" s="4292"/>
      <c r="AN16" s="2552"/>
    </row>
    <row r="17" spans="1:40" ht="99.95" customHeight="1" x14ac:dyDescent="0.25">
      <c r="A17" s="2202"/>
      <c r="B17" s="2189"/>
      <c r="C17" s="2188"/>
      <c r="D17" s="2189"/>
      <c r="E17" s="4295"/>
      <c r="F17" s="4295"/>
      <c r="G17" s="2203">
        <v>57</v>
      </c>
      <c r="H17" s="2174" t="s">
        <v>768</v>
      </c>
      <c r="I17" s="2174" t="s">
        <v>769</v>
      </c>
      <c r="J17" s="2203">
        <v>12</v>
      </c>
      <c r="K17" s="2203" t="s">
        <v>2244</v>
      </c>
      <c r="L17" s="4281"/>
      <c r="M17" s="3494"/>
      <c r="N17" s="2204">
        <f>+O17/O22</f>
        <v>0.21729676462374667</v>
      </c>
      <c r="O17" s="2205">
        <f>+S17</f>
        <v>573181075</v>
      </c>
      <c r="P17" s="3494"/>
      <c r="Q17" s="3494"/>
      <c r="R17" s="2174" t="s">
        <v>2260</v>
      </c>
      <c r="S17" s="2205">
        <f>+'[1]METAS PROMOTORA'!O18</f>
        <v>573181075</v>
      </c>
      <c r="T17" s="2206" t="s">
        <v>689</v>
      </c>
      <c r="U17" s="2207" t="s">
        <v>2258</v>
      </c>
      <c r="V17" s="4301"/>
      <c r="W17" s="4301"/>
      <c r="X17" s="4301"/>
      <c r="Y17" s="4301"/>
      <c r="Z17" s="4301"/>
      <c r="AA17" s="4301"/>
      <c r="AB17" s="4295"/>
      <c r="AC17" s="4295"/>
      <c r="AD17" s="4295"/>
      <c r="AE17" s="4295"/>
      <c r="AF17" s="4295"/>
      <c r="AG17" s="4295"/>
      <c r="AH17" s="4295"/>
      <c r="AI17" s="4295"/>
      <c r="AJ17" s="4295"/>
      <c r="AK17" s="4285"/>
      <c r="AL17" s="4292"/>
      <c r="AM17" s="4292"/>
      <c r="AN17" s="2552"/>
    </row>
    <row r="18" spans="1:40" ht="60" customHeight="1" x14ac:dyDescent="0.25">
      <c r="A18" s="2202"/>
      <c r="B18" s="2189"/>
      <c r="C18" s="2188"/>
      <c r="D18" s="2189"/>
      <c r="E18" s="4295"/>
      <c r="F18" s="4295"/>
      <c r="G18" s="4280">
        <v>60</v>
      </c>
      <c r="H18" s="3493" t="s">
        <v>2261</v>
      </c>
      <c r="I18" s="3493" t="s">
        <v>2262</v>
      </c>
      <c r="J18" s="4280">
        <v>12</v>
      </c>
      <c r="K18" s="4280" t="s">
        <v>2244</v>
      </c>
      <c r="L18" s="4281"/>
      <c r="M18" s="3494"/>
      <c r="N18" s="4307">
        <f>+(S18+S19)/O22</f>
        <v>0.22568998824833794</v>
      </c>
      <c r="O18" s="4288">
        <f>+S18+S19</f>
        <v>595320553</v>
      </c>
      <c r="P18" s="3494"/>
      <c r="Q18" s="3494"/>
      <c r="R18" s="4310" t="s">
        <v>2263</v>
      </c>
      <c r="S18" s="2190">
        <f>+'[1]METAS PROMOTORA'!O20</f>
        <v>572320553</v>
      </c>
      <c r="T18" s="2191" t="s">
        <v>2264</v>
      </c>
      <c r="U18" s="2208" t="s">
        <v>2251</v>
      </c>
      <c r="V18" s="4309"/>
      <c r="W18" s="4301"/>
      <c r="X18" s="4301"/>
      <c r="Y18" s="4301"/>
      <c r="Z18" s="4301"/>
      <c r="AA18" s="4301"/>
      <c r="AB18" s="4295"/>
      <c r="AC18" s="4295"/>
      <c r="AD18" s="4295"/>
      <c r="AE18" s="4295"/>
      <c r="AF18" s="4295"/>
      <c r="AG18" s="4295"/>
      <c r="AH18" s="4295"/>
      <c r="AI18" s="4295"/>
      <c r="AJ18" s="4295"/>
      <c r="AK18" s="4285"/>
      <c r="AL18" s="4292"/>
      <c r="AM18" s="4292"/>
      <c r="AN18" s="2552"/>
    </row>
    <row r="19" spans="1:40" ht="60" customHeight="1" x14ac:dyDescent="0.25">
      <c r="A19" s="2202"/>
      <c r="B19" s="2209"/>
      <c r="C19" s="2202"/>
      <c r="D19" s="2210"/>
      <c r="E19" s="4295"/>
      <c r="F19" s="4295"/>
      <c r="G19" s="4296"/>
      <c r="H19" s="3495"/>
      <c r="I19" s="3495"/>
      <c r="J19" s="4296"/>
      <c r="K19" s="4296"/>
      <c r="L19" s="4281"/>
      <c r="M19" s="3494"/>
      <c r="N19" s="4312"/>
      <c r="O19" s="4302"/>
      <c r="P19" s="3494"/>
      <c r="Q19" s="3494"/>
      <c r="R19" s="4311"/>
      <c r="S19" s="2190">
        <f>+'[1]METAS PROMOTORA'!O21</f>
        <v>23000000</v>
      </c>
      <c r="T19" s="2191" t="s">
        <v>2253</v>
      </c>
      <c r="U19" s="2192" t="s">
        <v>2254</v>
      </c>
      <c r="V19" s="4309"/>
      <c r="W19" s="4301"/>
      <c r="X19" s="4301"/>
      <c r="Y19" s="4301"/>
      <c r="Z19" s="4301"/>
      <c r="AA19" s="4301"/>
      <c r="AB19" s="4295"/>
      <c r="AC19" s="4295"/>
      <c r="AD19" s="4295"/>
      <c r="AE19" s="4295"/>
      <c r="AF19" s="4295"/>
      <c r="AG19" s="4295"/>
      <c r="AH19" s="4295"/>
      <c r="AI19" s="4295"/>
      <c r="AJ19" s="4295"/>
      <c r="AK19" s="4285"/>
      <c r="AL19" s="4292"/>
      <c r="AM19" s="4292"/>
      <c r="AN19" s="2552"/>
    </row>
    <row r="20" spans="1:40" ht="50.1" customHeight="1" x14ac:dyDescent="0.25">
      <c r="A20" s="2202"/>
      <c r="B20" s="2209"/>
      <c r="C20" s="2202"/>
      <c r="D20" s="2210"/>
      <c r="E20" s="4295"/>
      <c r="F20" s="4295"/>
      <c r="G20" s="4280">
        <v>63</v>
      </c>
      <c r="H20" s="3493" t="s">
        <v>804</v>
      </c>
      <c r="I20" s="3493" t="s">
        <v>805</v>
      </c>
      <c r="J20" s="4280">
        <v>250</v>
      </c>
      <c r="K20" s="4280" t="s">
        <v>2265</v>
      </c>
      <c r="L20" s="4281"/>
      <c r="M20" s="3494"/>
      <c r="N20" s="4307">
        <f>+SUM(S20:S21)/O22</f>
        <v>0.22070872459052282</v>
      </c>
      <c r="O20" s="4288">
        <f>+S20+S21</f>
        <v>582181075</v>
      </c>
      <c r="P20" s="3494"/>
      <c r="Q20" s="3494"/>
      <c r="R20" s="3493" t="s">
        <v>2266</v>
      </c>
      <c r="S20" s="2211">
        <f>+'[1]METAS PROMOTORA'!O23</f>
        <v>573181075</v>
      </c>
      <c r="T20" s="2212" t="s">
        <v>689</v>
      </c>
      <c r="U20" s="2213" t="s">
        <v>2258</v>
      </c>
      <c r="V20" s="4301"/>
      <c r="W20" s="4301"/>
      <c r="X20" s="4301"/>
      <c r="Y20" s="4301"/>
      <c r="Z20" s="4301"/>
      <c r="AA20" s="4301"/>
      <c r="AB20" s="4295"/>
      <c r="AC20" s="4295"/>
      <c r="AD20" s="4295"/>
      <c r="AE20" s="4295"/>
      <c r="AF20" s="4295"/>
      <c r="AG20" s="4295"/>
      <c r="AH20" s="4295"/>
      <c r="AI20" s="4295"/>
      <c r="AJ20" s="4295"/>
      <c r="AK20" s="4285"/>
      <c r="AL20" s="4292"/>
      <c r="AM20" s="4292"/>
      <c r="AN20" s="2552"/>
    </row>
    <row r="21" spans="1:40" ht="50.1" customHeight="1" x14ac:dyDescent="0.25">
      <c r="A21" s="2202"/>
      <c r="B21" s="2209"/>
      <c r="C21" s="2202"/>
      <c r="D21" s="2210"/>
      <c r="E21" s="4295"/>
      <c r="F21" s="4295"/>
      <c r="G21" s="4281"/>
      <c r="H21" s="3494"/>
      <c r="I21" s="3494"/>
      <c r="J21" s="4281"/>
      <c r="K21" s="4281"/>
      <c r="L21" s="4281"/>
      <c r="M21" s="3494"/>
      <c r="N21" s="4308"/>
      <c r="O21" s="4289"/>
      <c r="P21" s="3494"/>
      <c r="Q21" s="3494"/>
      <c r="R21" s="3494"/>
      <c r="S21" s="2214">
        <f>+'[1]METAS PROMOTORA'!O22</f>
        <v>9000000</v>
      </c>
      <c r="T21" s="2191" t="s">
        <v>2264</v>
      </c>
      <c r="U21" s="2208" t="s">
        <v>2251</v>
      </c>
      <c r="V21" s="4301"/>
      <c r="W21" s="4301"/>
      <c r="X21" s="4301"/>
      <c r="Y21" s="4301"/>
      <c r="Z21" s="4301"/>
      <c r="AA21" s="4301"/>
      <c r="AB21" s="4295"/>
      <c r="AC21" s="4295"/>
      <c r="AD21" s="4295"/>
      <c r="AE21" s="4295"/>
      <c r="AF21" s="4295"/>
      <c r="AG21" s="4295"/>
      <c r="AH21" s="4295"/>
      <c r="AI21" s="4295"/>
      <c r="AJ21" s="4295"/>
      <c r="AK21" s="4285"/>
      <c r="AL21" s="4292"/>
      <c r="AM21" s="4292"/>
      <c r="AN21" s="2552"/>
    </row>
    <row r="22" spans="1:40" ht="28.5" customHeight="1" x14ac:dyDescent="0.25">
      <c r="A22" s="4306" t="s">
        <v>818</v>
      </c>
      <c r="B22" s="4306"/>
      <c r="C22" s="4306"/>
      <c r="D22" s="4306"/>
      <c r="E22" s="4306"/>
      <c r="F22" s="4306"/>
      <c r="G22" s="4306"/>
      <c r="H22" s="4306"/>
      <c r="I22" s="4306"/>
      <c r="J22" s="4306"/>
      <c r="K22" s="4306"/>
      <c r="L22" s="4306"/>
      <c r="M22" s="4306"/>
      <c r="N22" s="4306"/>
      <c r="O22" s="2215">
        <f>SUM(O12:O21)</f>
        <v>2637780070</v>
      </c>
      <c r="P22" s="1270"/>
      <c r="Q22" s="2216"/>
      <c r="R22" s="2216"/>
      <c r="S22" s="2217">
        <f>SUM(S12:S21)</f>
        <v>2637780070</v>
      </c>
      <c r="T22" s="2218"/>
      <c r="U22" s="2218"/>
      <c r="V22" s="2219"/>
      <c r="W22" s="2219"/>
      <c r="X22" s="2219"/>
      <c r="Y22" s="2219"/>
      <c r="Z22" s="2219"/>
      <c r="AA22" s="2219"/>
      <c r="AB22" s="2219"/>
      <c r="AC22" s="2219"/>
      <c r="AD22" s="2219"/>
      <c r="AE22" s="2219"/>
      <c r="AF22" s="2219"/>
      <c r="AG22" s="2219"/>
      <c r="AH22" s="2219"/>
      <c r="AI22" s="2219"/>
      <c r="AJ22" s="2219"/>
      <c r="AK22" s="2219"/>
      <c r="AL22" s="2220"/>
      <c r="AM22" s="2221"/>
      <c r="AN22" s="2222"/>
    </row>
    <row r="23" spans="1:40" ht="15.75" x14ac:dyDescent="0.25">
      <c r="A23" s="1315"/>
      <c r="B23" s="1315"/>
      <c r="C23" s="1315"/>
      <c r="D23" s="1315"/>
      <c r="E23" s="2223"/>
      <c r="F23" s="1315"/>
      <c r="G23" s="2223"/>
      <c r="H23" s="1315"/>
      <c r="I23" s="2224"/>
      <c r="J23" s="1315"/>
      <c r="K23" s="1315"/>
      <c r="L23" s="1315"/>
      <c r="M23" s="1315"/>
      <c r="N23" s="2225"/>
      <c r="O23" s="1315"/>
      <c r="P23" s="1315"/>
      <c r="Q23" s="1315"/>
      <c r="R23" s="2226"/>
      <c r="S23" s="2226"/>
      <c r="T23" s="2226"/>
      <c r="U23" s="2226"/>
      <c r="V23" s="1315"/>
      <c r="W23" s="1315"/>
      <c r="X23" s="1315"/>
      <c r="Y23" s="1315"/>
      <c r="Z23" s="1315"/>
      <c r="AA23" s="1315"/>
      <c r="AB23" s="1315"/>
      <c r="AC23" s="1315"/>
      <c r="AD23" s="1315"/>
      <c r="AE23" s="1315"/>
      <c r="AF23" s="1315"/>
      <c r="AG23" s="1315"/>
      <c r="AH23" s="1315"/>
      <c r="AI23" s="1315"/>
      <c r="AJ23" s="1315"/>
      <c r="AK23" s="1315"/>
      <c r="AL23" s="2227"/>
      <c r="AM23" s="2228"/>
      <c r="AN23" s="1315"/>
    </row>
    <row r="24" spans="1:40" ht="15.75" x14ac:dyDescent="0.25">
      <c r="A24" s="1315"/>
      <c r="B24" s="1315"/>
      <c r="C24" s="1315"/>
      <c r="D24" s="1315"/>
      <c r="E24" s="2223"/>
      <c r="F24" s="1315"/>
      <c r="G24" s="2223"/>
      <c r="H24" s="1315"/>
      <c r="I24" s="2224"/>
      <c r="J24" s="1315"/>
      <c r="K24" s="1315"/>
      <c r="L24" s="1315"/>
      <c r="M24" s="1315"/>
      <c r="N24" s="2225"/>
      <c r="O24" s="1315"/>
      <c r="P24" s="1315"/>
      <c r="Q24" s="1315"/>
      <c r="R24" s="2226"/>
      <c r="S24" s="2226"/>
      <c r="T24" s="2226"/>
      <c r="U24" s="2226"/>
      <c r="V24" s="1315"/>
      <c r="W24" s="1315"/>
      <c r="X24" s="1315"/>
      <c r="Y24" s="1315"/>
      <c r="Z24" s="1315"/>
      <c r="AA24" s="1315"/>
      <c r="AB24" s="1315"/>
      <c r="AC24" s="1315"/>
      <c r="AD24" s="1315"/>
      <c r="AE24" s="1315"/>
      <c r="AF24" s="1315"/>
      <c r="AG24" s="1315"/>
      <c r="AH24" s="1315"/>
      <c r="AI24" s="1315"/>
      <c r="AJ24" s="1315"/>
      <c r="AK24" s="1315"/>
      <c r="AL24" s="2227"/>
      <c r="AM24" s="2228"/>
      <c r="AN24" s="1315"/>
    </row>
    <row r="25" spans="1:40" ht="16.5" x14ac:dyDescent="0.25">
      <c r="A25" s="2229"/>
      <c r="B25" s="2229"/>
      <c r="C25" s="2229"/>
      <c r="D25" s="2229"/>
      <c r="E25" s="2230"/>
      <c r="F25" s="2229"/>
      <c r="G25" s="2230"/>
      <c r="H25" s="2229"/>
      <c r="I25" s="2231"/>
      <c r="J25" s="2229"/>
      <c r="K25" s="2229"/>
      <c r="L25" s="2229"/>
      <c r="M25" s="2232"/>
      <c r="N25" s="2229"/>
      <c r="O25" s="2229"/>
      <c r="P25" s="2229"/>
      <c r="Q25" s="2233"/>
      <c r="R25" s="2233"/>
      <c r="S25" s="2233"/>
      <c r="T25" s="2229"/>
      <c r="U25" s="2229"/>
      <c r="V25" s="2229"/>
      <c r="W25" s="2229"/>
      <c r="X25" s="2229"/>
      <c r="Y25" s="2229"/>
      <c r="Z25" s="2229"/>
      <c r="AA25" s="2229"/>
      <c r="AB25" s="2229"/>
      <c r="AC25" s="2229"/>
      <c r="AD25" s="2229"/>
      <c r="AE25" s="2229"/>
      <c r="AF25" s="2234"/>
      <c r="AG25" s="2235"/>
      <c r="AH25" s="2236"/>
      <c r="AI25" s="2229"/>
      <c r="AJ25" s="2229"/>
      <c r="AK25" s="2229"/>
      <c r="AL25" s="2229"/>
      <c r="AM25" s="2229"/>
      <c r="AN25" s="2229"/>
    </row>
    <row r="26" spans="1:40" ht="33.75" x14ac:dyDescent="0.5">
      <c r="A26" s="2237" t="s">
        <v>2267</v>
      </c>
      <c r="B26" s="2238"/>
      <c r="C26" s="2238"/>
      <c r="D26" s="2238"/>
      <c r="E26" s="2239"/>
      <c r="F26" s="2238"/>
      <c r="G26" s="2239"/>
      <c r="H26" s="2238"/>
      <c r="I26" s="2240"/>
      <c r="J26" s="2229"/>
      <c r="K26" s="2229"/>
      <c r="L26" s="2229"/>
      <c r="M26" s="2232"/>
      <c r="N26" s="2229"/>
      <c r="O26" s="2229"/>
      <c r="P26" s="2229"/>
      <c r="Q26" s="2233"/>
      <c r="R26" s="2233"/>
      <c r="S26" s="2233"/>
      <c r="T26" s="2229"/>
      <c r="U26" s="2229"/>
      <c r="V26" s="2229"/>
      <c r="W26" s="2229"/>
      <c r="X26" s="2229"/>
      <c r="Y26" s="2229"/>
      <c r="Z26" s="2229"/>
      <c r="AA26" s="2229"/>
      <c r="AB26" s="2229"/>
      <c r="AC26" s="2229"/>
      <c r="AD26" s="2229"/>
      <c r="AE26" s="2229"/>
      <c r="AF26" s="2234"/>
      <c r="AG26" s="2235"/>
      <c r="AH26" s="2236"/>
      <c r="AI26" s="2229"/>
      <c r="AJ26" s="2229"/>
      <c r="AK26" s="2229"/>
      <c r="AL26" s="2229"/>
      <c r="AM26" s="2229"/>
      <c r="AN26" s="2229"/>
    </row>
    <row r="27" spans="1:40" ht="33.75" x14ac:dyDescent="0.5">
      <c r="A27" s="2237" t="s">
        <v>2268</v>
      </c>
      <c r="B27" s="2238"/>
      <c r="C27" s="2238"/>
      <c r="D27" s="2238"/>
      <c r="E27" s="2239"/>
      <c r="F27" s="2238"/>
      <c r="G27" s="2239"/>
      <c r="H27" s="2238"/>
      <c r="I27" s="2240"/>
      <c r="J27" s="2229"/>
      <c r="K27" s="2229"/>
      <c r="L27" s="2229"/>
      <c r="M27" s="2232"/>
      <c r="N27" s="2229"/>
      <c r="O27" s="2229"/>
      <c r="P27" s="2229"/>
      <c r="Q27" s="2233"/>
      <c r="R27" s="2233"/>
      <c r="S27" s="2233"/>
      <c r="T27" s="2229"/>
      <c r="U27" s="2229"/>
      <c r="V27" s="2229"/>
      <c r="W27" s="2229"/>
      <c r="X27" s="2229"/>
      <c r="Y27" s="2229"/>
      <c r="Z27" s="2229"/>
      <c r="AA27" s="2229"/>
      <c r="AB27" s="2229"/>
      <c r="AC27" s="2229"/>
      <c r="AD27" s="2229"/>
      <c r="AE27" s="2229"/>
      <c r="AF27" s="2234"/>
      <c r="AG27" s="2235"/>
      <c r="AH27" s="2236"/>
      <c r="AI27" s="2229"/>
      <c r="AJ27" s="2229"/>
      <c r="AK27" s="2229"/>
      <c r="AL27" s="2229"/>
      <c r="AM27" s="2229"/>
      <c r="AN27" s="2229"/>
    </row>
    <row r="28" spans="1:40" ht="33.75" x14ac:dyDescent="0.5">
      <c r="A28" s="2241"/>
      <c r="B28" s="2229"/>
      <c r="C28" s="2229"/>
      <c r="D28" s="2229"/>
      <c r="E28" s="2230"/>
      <c r="F28" s="2229"/>
      <c r="G28" s="2230"/>
      <c r="H28" s="2229"/>
      <c r="I28" s="2231"/>
      <c r="J28" s="2229"/>
      <c r="K28" s="2229"/>
      <c r="L28" s="2229"/>
      <c r="M28" s="2232"/>
      <c r="N28" s="2229"/>
      <c r="O28" s="2229"/>
      <c r="P28" s="2229"/>
      <c r="Q28" s="2233"/>
      <c r="R28" s="2233"/>
      <c r="S28" s="2233"/>
      <c r="T28" s="2229"/>
      <c r="U28" s="2229"/>
      <c r="V28" s="2229"/>
      <c r="W28" s="2229"/>
      <c r="X28" s="2229"/>
      <c r="Y28" s="2229"/>
      <c r="Z28" s="2229"/>
      <c r="AA28" s="2229"/>
      <c r="AB28" s="2229"/>
      <c r="AC28" s="2229"/>
      <c r="AD28" s="2229"/>
      <c r="AE28" s="2229"/>
      <c r="AF28" s="2234"/>
      <c r="AG28" s="2235"/>
      <c r="AH28" s="2236"/>
      <c r="AI28" s="2229"/>
      <c r="AJ28" s="2229"/>
      <c r="AK28" s="2229"/>
      <c r="AL28" s="2229"/>
      <c r="AM28" s="2229"/>
      <c r="AN28" s="2229"/>
    </row>
    <row r="29" spans="1:40" ht="25.5" x14ac:dyDescent="0.35">
      <c r="A29" s="2242" t="s">
        <v>2269</v>
      </c>
      <c r="B29" s="2243"/>
      <c r="C29" s="2243"/>
      <c r="D29" s="2243"/>
      <c r="E29" s="2244"/>
      <c r="F29" s="2243"/>
      <c r="G29" s="2244"/>
      <c r="H29" s="2229"/>
      <c r="I29" s="2231"/>
      <c r="J29" s="2229"/>
      <c r="K29" s="2229"/>
      <c r="L29" s="2229"/>
      <c r="M29" s="2232"/>
      <c r="N29" s="2229"/>
      <c r="O29" s="2229"/>
      <c r="P29" s="2229"/>
      <c r="Q29" s="2233"/>
      <c r="R29" s="2233"/>
      <c r="S29" s="2233"/>
      <c r="T29" s="2229"/>
      <c r="U29" s="2229"/>
      <c r="V29" s="2229"/>
      <c r="W29" s="2229"/>
      <c r="X29" s="2229"/>
      <c r="Y29" s="2229"/>
      <c r="Z29" s="2229"/>
      <c r="AA29" s="2229"/>
      <c r="AB29" s="2229"/>
      <c r="AC29" s="2229"/>
      <c r="AD29" s="2229"/>
      <c r="AE29" s="2229"/>
      <c r="AF29" s="2234"/>
      <c r="AG29" s="2235"/>
      <c r="AH29" s="2236"/>
      <c r="AI29" s="2229"/>
      <c r="AJ29" s="2229"/>
      <c r="AK29" s="2229"/>
      <c r="AL29" s="2229"/>
      <c r="AM29" s="2229"/>
      <c r="AN29" s="2229"/>
    </row>
    <row r="30" spans="1:40" ht="25.5" x14ac:dyDescent="0.35">
      <c r="A30" s="2242" t="s">
        <v>2270</v>
      </c>
      <c r="B30" s="2243"/>
      <c r="C30" s="2243"/>
      <c r="D30" s="2243"/>
      <c r="E30" s="2244"/>
      <c r="F30" s="2243"/>
      <c r="G30" s="2244"/>
      <c r="H30" s="2229"/>
      <c r="I30" s="2231"/>
      <c r="J30" s="2229"/>
      <c r="K30" s="2229"/>
      <c r="L30" s="2229"/>
      <c r="M30" s="2232"/>
      <c r="N30" s="2229"/>
      <c r="O30" s="2229"/>
      <c r="P30" s="2229"/>
      <c r="Q30" s="2233"/>
      <c r="R30" s="2233"/>
      <c r="S30" s="2233"/>
      <c r="T30" s="2229"/>
      <c r="U30" s="2229"/>
      <c r="V30" s="2229"/>
      <c r="W30" s="2229"/>
      <c r="X30" s="2229"/>
      <c r="Y30" s="2229"/>
      <c r="Z30" s="2229"/>
      <c r="AA30" s="2229"/>
      <c r="AB30" s="2229"/>
      <c r="AC30" s="2229"/>
      <c r="AD30" s="2229"/>
      <c r="AE30" s="2229"/>
      <c r="AF30" s="2234"/>
      <c r="AG30" s="2235"/>
      <c r="AH30" s="2236"/>
      <c r="AI30" s="2229"/>
      <c r="AJ30" s="2229"/>
      <c r="AK30" s="2229"/>
      <c r="AL30" s="2229"/>
      <c r="AM30" s="2229"/>
      <c r="AN30" s="2229"/>
    </row>
  </sheetData>
  <sheetProtection password="A60F" sheet="1" objects="1" scenarios="1"/>
  <mergeCells count="125">
    <mergeCell ref="A22:N22"/>
    <mergeCell ref="G20:G21"/>
    <mergeCell ref="H20:H21"/>
    <mergeCell ref="I20:I21"/>
    <mergeCell ref="J20:J21"/>
    <mergeCell ref="K20:K21"/>
    <mergeCell ref="N20:N21"/>
    <mergeCell ref="AJ15:AJ21"/>
    <mergeCell ref="AK15:AK21"/>
    <mergeCell ref="V15:V21"/>
    <mergeCell ref="W15:W21"/>
    <mergeCell ref="R18:R19"/>
    <mergeCell ref="R20:R21"/>
    <mergeCell ref="L15:L21"/>
    <mergeCell ref="M15:M21"/>
    <mergeCell ref="N15:N16"/>
    <mergeCell ref="O15:O16"/>
    <mergeCell ref="P15:P21"/>
    <mergeCell ref="Q15:Q21"/>
    <mergeCell ref="N18:N19"/>
    <mergeCell ref="O18:O19"/>
    <mergeCell ref="O20:O21"/>
    <mergeCell ref="AL15:AL21"/>
    <mergeCell ref="AM15:AM21"/>
    <mergeCell ref="AN15:AN21"/>
    <mergeCell ref="G18:G19"/>
    <mergeCell ref="H18:H19"/>
    <mergeCell ref="I18:I19"/>
    <mergeCell ref="J18:J19"/>
    <mergeCell ref="K18:K19"/>
    <mergeCell ref="AD15:AD21"/>
    <mergeCell ref="AE15:AE21"/>
    <mergeCell ref="AF15:AF21"/>
    <mergeCell ref="AG15:AG21"/>
    <mergeCell ref="AH15:AH21"/>
    <mergeCell ref="AI15:AI21"/>
    <mergeCell ref="X15:X21"/>
    <mergeCell ref="Y15:Y21"/>
    <mergeCell ref="Z15:Z21"/>
    <mergeCell ref="AA15:AA21"/>
    <mergeCell ref="AB15:AB21"/>
    <mergeCell ref="AC15:AC21"/>
    <mergeCell ref="R15:R16"/>
    <mergeCell ref="S15:S16"/>
    <mergeCell ref="T15:T16"/>
    <mergeCell ref="U15:U16"/>
    <mergeCell ref="AJ12:AJ13"/>
    <mergeCell ref="AK12:AK13"/>
    <mergeCell ref="AL12:AL13"/>
    <mergeCell ref="AA12:AA13"/>
    <mergeCell ref="AB12:AB13"/>
    <mergeCell ref="AC12:AC13"/>
    <mergeCell ref="AD12:AD13"/>
    <mergeCell ref="AE12:AE13"/>
    <mergeCell ref="AF12:AF13"/>
    <mergeCell ref="F14:J14"/>
    <mergeCell ref="E15:E21"/>
    <mergeCell ref="F15:F21"/>
    <mergeCell ref="G15:G16"/>
    <mergeCell ref="H15:H16"/>
    <mergeCell ref="I15:I16"/>
    <mergeCell ref="J15:J16"/>
    <mergeCell ref="K15:K16"/>
    <mergeCell ref="AG12:AG13"/>
    <mergeCell ref="R12:R13"/>
    <mergeCell ref="V12:V13"/>
    <mergeCell ref="B9:D9"/>
    <mergeCell ref="D10:AN10"/>
    <mergeCell ref="F11:AN11"/>
    <mergeCell ref="E12:E13"/>
    <mergeCell ref="F12:F13"/>
    <mergeCell ref="G12:G13"/>
    <mergeCell ref="H12:H13"/>
    <mergeCell ref="I12:I13"/>
    <mergeCell ref="J12:J13"/>
    <mergeCell ref="K12:K13"/>
    <mergeCell ref="W12:W13"/>
    <mergeCell ref="X12:X13"/>
    <mergeCell ref="Y12:Y13"/>
    <mergeCell ref="Z12:Z13"/>
    <mergeCell ref="L12:L13"/>
    <mergeCell ref="M12:M13"/>
    <mergeCell ref="N12:N13"/>
    <mergeCell ref="O12:O13"/>
    <mergeCell ref="P12:P13"/>
    <mergeCell ref="Q12:Q13"/>
    <mergeCell ref="AM12:AM13"/>
    <mergeCell ref="AN12:AN13"/>
    <mergeCell ref="AH12:AH13"/>
    <mergeCell ref="AI12:AI13"/>
    <mergeCell ref="U7:U8"/>
    <mergeCell ref="V7:W7"/>
    <mergeCell ref="X7:AA7"/>
    <mergeCell ref="AB7:AG7"/>
    <mergeCell ref="AH7:AJ7"/>
    <mergeCell ref="N7:N8"/>
    <mergeCell ref="O7:O8"/>
    <mergeCell ref="P7:P8"/>
    <mergeCell ref="Q7:Q8"/>
    <mergeCell ref="R7:R8"/>
    <mergeCell ref="S7:S8"/>
    <mergeCell ref="A1:AL4"/>
    <mergeCell ref="A5:J6"/>
    <mergeCell ref="K5:AK5"/>
    <mergeCell ref="AL5:AN5"/>
    <mergeCell ref="K6:U6"/>
    <mergeCell ref="V6:AK6"/>
    <mergeCell ref="AL6:AL8"/>
    <mergeCell ref="AM6:AM8"/>
    <mergeCell ref="AN6:AN8"/>
    <mergeCell ref="A7:A8"/>
    <mergeCell ref="AK7:AK8"/>
    <mergeCell ref="H7:H8"/>
    <mergeCell ref="I7:I8"/>
    <mergeCell ref="J7:J8"/>
    <mergeCell ref="K7:K8"/>
    <mergeCell ref="L7:L8"/>
    <mergeCell ref="M7:M8"/>
    <mergeCell ref="B7:B8"/>
    <mergeCell ref="C7:C8"/>
    <mergeCell ref="D7:D8"/>
    <mergeCell ref="E7:E8"/>
    <mergeCell ref="F7:F8"/>
    <mergeCell ref="G7:G8"/>
    <mergeCell ref="T7:T8"/>
  </mergeCells>
  <pageMargins left="0.59055118110236227" right="0.59055118110236227" top="0.39370078740157483" bottom="0.78740157480314965" header="0.31496062992125984" footer="0.31496062992125984"/>
  <pageSetup paperSize="196" scale="4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
  <sheetViews>
    <sheetView showGridLines="0" zoomScale="60" zoomScaleNormal="60" workbookViewId="0">
      <selection sqref="A1:AO4"/>
    </sheetView>
  </sheetViews>
  <sheetFormatPr baseColWidth="10" defaultColWidth="11.42578125" defaultRowHeight="27" customHeight="1" x14ac:dyDescent="0.2"/>
  <cols>
    <col min="1" max="1" width="15.5703125" style="702" customWidth="1"/>
    <col min="2" max="2" width="6.42578125" style="638" customWidth="1"/>
    <col min="3" max="3" width="17.85546875" style="638" customWidth="1"/>
    <col min="4" max="4" width="14.7109375" style="638" customWidth="1"/>
    <col min="5" max="5" width="10" style="638" customWidth="1"/>
    <col min="6" max="6" width="12.7109375" style="638" customWidth="1"/>
    <col min="7" max="7" width="12.28515625" style="638" customWidth="1"/>
    <col min="8" max="8" width="8.5703125" style="638" customWidth="1"/>
    <col min="9" max="9" width="13.7109375" style="638" customWidth="1"/>
    <col min="10" max="10" width="11.5703125" style="638" customWidth="1"/>
    <col min="11" max="11" width="33.28515625" style="703" customWidth="1"/>
    <col min="12" max="12" width="28.85546875" style="620" customWidth="1"/>
    <col min="13" max="13" width="23" style="620" customWidth="1"/>
    <col min="14" max="14" width="22.140625" style="620" customWidth="1"/>
    <col min="15" max="15" width="19.7109375" style="704" customWidth="1"/>
    <col min="16" max="16" width="19.42578125" style="703" customWidth="1"/>
    <col min="17" max="17" width="16.5703125" style="705" customWidth="1"/>
    <col min="18" max="18" width="24.85546875" style="706" bestFit="1" customWidth="1"/>
    <col min="19" max="19" width="29" style="703" customWidth="1"/>
    <col min="20" max="20" width="31.7109375" style="703" customWidth="1"/>
    <col min="21" max="21" width="34.7109375" style="703" customWidth="1"/>
    <col min="22" max="22" width="24.85546875" style="707" bestFit="1" customWidth="1"/>
    <col min="23" max="23" width="11.7109375" style="708" customWidth="1"/>
    <col min="24" max="24" width="37.7109375" style="1303" customWidth="1"/>
    <col min="25" max="25" width="8.7109375" style="638" customWidth="1"/>
    <col min="26" max="26" width="8" style="638" customWidth="1"/>
    <col min="27" max="27" width="10.5703125" style="638" customWidth="1"/>
    <col min="28" max="28" width="7.28515625" style="638" customWidth="1"/>
    <col min="29" max="29" width="8.42578125" style="638" customWidth="1"/>
    <col min="30" max="30" width="9.5703125" style="638" customWidth="1"/>
    <col min="31" max="37" width="9" style="638" customWidth="1"/>
    <col min="38" max="38" width="10.140625" style="638" customWidth="1"/>
    <col min="39" max="39" width="11.7109375" style="638" customWidth="1"/>
    <col min="40" max="40" width="8.140625" style="638" customWidth="1"/>
    <col min="41" max="41" width="11.5703125" style="709" customWidth="1"/>
    <col min="42" max="42" width="17.5703125" style="710" customWidth="1"/>
    <col min="43" max="43" width="23.42578125" style="711" customWidth="1"/>
    <col min="44" max="16384" width="11.42578125" style="638"/>
  </cols>
  <sheetData>
    <row r="1" spans="1:43" ht="15" x14ac:dyDescent="0.2">
      <c r="A1" s="2778" t="s">
        <v>1149</v>
      </c>
      <c r="B1" s="3416"/>
      <c r="C1" s="3416"/>
      <c r="D1" s="3416"/>
      <c r="E1" s="3416"/>
      <c r="F1" s="3416"/>
      <c r="G1" s="3416"/>
      <c r="H1" s="3416"/>
      <c r="I1" s="3416"/>
      <c r="J1" s="3416"/>
      <c r="K1" s="3416"/>
      <c r="L1" s="3416"/>
      <c r="M1" s="3416"/>
      <c r="N1" s="3416"/>
      <c r="O1" s="3416"/>
      <c r="P1" s="3416"/>
      <c r="Q1" s="3416"/>
      <c r="R1" s="3416"/>
      <c r="S1" s="3416"/>
      <c r="T1" s="3416"/>
      <c r="U1" s="3416"/>
      <c r="V1" s="3416"/>
      <c r="W1" s="3416"/>
      <c r="X1" s="3416"/>
      <c r="Y1" s="3416"/>
      <c r="Z1" s="3416"/>
      <c r="AA1" s="3416"/>
      <c r="AB1" s="3416"/>
      <c r="AC1" s="3416"/>
      <c r="AD1" s="3416"/>
      <c r="AE1" s="3416"/>
      <c r="AF1" s="3416"/>
      <c r="AG1" s="3416"/>
      <c r="AH1" s="3416"/>
      <c r="AI1" s="3416"/>
      <c r="AJ1" s="3416"/>
      <c r="AK1" s="3416"/>
      <c r="AL1" s="3416"/>
      <c r="AM1" s="3416"/>
      <c r="AN1" s="3416"/>
      <c r="AO1" s="3417"/>
      <c r="AP1" s="723" t="s">
        <v>0</v>
      </c>
      <c r="AQ1" s="723" t="s">
        <v>637</v>
      </c>
    </row>
    <row r="2" spans="1:43" ht="15" x14ac:dyDescent="0.2">
      <c r="A2" s="3416"/>
      <c r="B2" s="3416"/>
      <c r="C2" s="3416"/>
      <c r="D2" s="3416"/>
      <c r="E2" s="3416"/>
      <c r="F2" s="3416"/>
      <c r="G2" s="3416"/>
      <c r="H2" s="3416"/>
      <c r="I2" s="3416"/>
      <c r="J2" s="3416"/>
      <c r="K2" s="3416"/>
      <c r="L2" s="3416"/>
      <c r="M2" s="3416"/>
      <c r="N2" s="3416"/>
      <c r="O2" s="3416"/>
      <c r="P2" s="3416"/>
      <c r="Q2" s="3416"/>
      <c r="R2" s="3416"/>
      <c r="S2" s="3416"/>
      <c r="T2" s="3416"/>
      <c r="U2" s="3416"/>
      <c r="V2" s="3416"/>
      <c r="W2" s="3416"/>
      <c r="X2" s="3416"/>
      <c r="Y2" s="3416"/>
      <c r="Z2" s="3416"/>
      <c r="AA2" s="3416"/>
      <c r="AB2" s="3416"/>
      <c r="AC2" s="3416"/>
      <c r="AD2" s="3416"/>
      <c r="AE2" s="3416"/>
      <c r="AF2" s="3416"/>
      <c r="AG2" s="3416"/>
      <c r="AH2" s="3416"/>
      <c r="AI2" s="3416"/>
      <c r="AJ2" s="3416"/>
      <c r="AK2" s="3416"/>
      <c r="AL2" s="3416"/>
      <c r="AM2" s="3416"/>
      <c r="AN2" s="3416"/>
      <c r="AO2" s="3417"/>
      <c r="AP2" s="721" t="s">
        <v>2</v>
      </c>
      <c r="AQ2" s="723" t="s">
        <v>92</v>
      </c>
    </row>
    <row r="3" spans="1:43" ht="15" x14ac:dyDescent="0.2">
      <c r="A3" s="3416"/>
      <c r="B3" s="3416"/>
      <c r="C3" s="3416"/>
      <c r="D3" s="3416"/>
      <c r="E3" s="3416"/>
      <c r="F3" s="3416"/>
      <c r="G3" s="3416"/>
      <c r="H3" s="3416"/>
      <c r="I3" s="3416"/>
      <c r="J3" s="3416"/>
      <c r="K3" s="3416"/>
      <c r="L3" s="3416"/>
      <c r="M3" s="3416"/>
      <c r="N3" s="3416"/>
      <c r="O3" s="3416"/>
      <c r="P3" s="3416"/>
      <c r="Q3" s="3416"/>
      <c r="R3" s="3416"/>
      <c r="S3" s="3416"/>
      <c r="T3" s="3416"/>
      <c r="U3" s="3416"/>
      <c r="V3" s="3416"/>
      <c r="W3" s="3416"/>
      <c r="X3" s="3416"/>
      <c r="Y3" s="3416"/>
      <c r="Z3" s="3416"/>
      <c r="AA3" s="3416"/>
      <c r="AB3" s="3416"/>
      <c r="AC3" s="3416"/>
      <c r="AD3" s="3416"/>
      <c r="AE3" s="3416"/>
      <c r="AF3" s="3416"/>
      <c r="AG3" s="3416"/>
      <c r="AH3" s="3416"/>
      <c r="AI3" s="3416"/>
      <c r="AJ3" s="3416"/>
      <c r="AK3" s="3416"/>
      <c r="AL3" s="3416"/>
      <c r="AM3" s="3416"/>
      <c r="AN3" s="3416"/>
      <c r="AO3" s="3417"/>
      <c r="AP3" s="723" t="s">
        <v>3</v>
      </c>
      <c r="AQ3" s="938" t="s">
        <v>4</v>
      </c>
    </row>
    <row r="4" spans="1:43" ht="15" x14ac:dyDescent="0.2">
      <c r="A4" s="3418"/>
      <c r="B4" s="3418"/>
      <c r="C4" s="3418"/>
      <c r="D4" s="3418"/>
      <c r="E4" s="3418"/>
      <c r="F4" s="3418"/>
      <c r="G4" s="3418"/>
      <c r="H4" s="3418"/>
      <c r="I4" s="3418"/>
      <c r="J4" s="3418"/>
      <c r="K4" s="3418"/>
      <c r="L4" s="3418"/>
      <c r="M4" s="3418"/>
      <c r="N4" s="3418"/>
      <c r="O4" s="3418"/>
      <c r="P4" s="3418"/>
      <c r="Q4" s="3418"/>
      <c r="R4" s="3418"/>
      <c r="S4" s="3418"/>
      <c r="T4" s="3418"/>
      <c r="U4" s="3418"/>
      <c r="V4" s="3418"/>
      <c r="W4" s="3418"/>
      <c r="X4" s="3418"/>
      <c r="Y4" s="3418"/>
      <c r="Z4" s="3418"/>
      <c r="AA4" s="3418"/>
      <c r="AB4" s="3418"/>
      <c r="AC4" s="3418"/>
      <c r="AD4" s="3418"/>
      <c r="AE4" s="3418"/>
      <c r="AF4" s="3418"/>
      <c r="AG4" s="3418"/>
      <c r="AH4" s="3418"/>
      <c r="AI4" s="3418"/>
      <c r="AJ4" s="3418"/>
      <c r="AK4" s="3418"/>
      <c r="AL4" s="3418"/>
      <c r="AM4" s="3418"/>
      <c r="AN4" s="3418"/>
      <c r="AO4" s="3419"/>
      <c r="AP4" s="723" t="s">
        <v>5</v>
      </c>
      <c r="AQ4" s="939" t="s">
        <v>93</v>
      </c>
    </row>
    <row r="5" spans="1:43" ht="15" x14ac:dyDescent="0.2">
      <c r="A5" s="2974" t="s">
        <v>7</v>
      </c>
      <c r="B5" s="2974"/>
      <c r="C5" s="2974"/>
      <c r="D5" s="2974"/>
      <c r="E5" s="2974"/>
      <c r="F5" s="2974"/>
      <c r="G5" s="2974"/>
      <c r="H5" s="2974"/>
      <c r="I5" s="2974"/>
      <c r="J5" s="2974"/>
      <c r="K5" s="2974"/>
      <c r="L5" s="2974"/>
      <c r="M5" s="2974"/>
      <c r="N5" s="2976" t="s">
        <v>8</v>
      </c>
      <c r="O5" s="2976"/>
      <c r="P5" s="2976"/>
      <c r="Q5" s="2976"/>
      <c r="R5" s="2976"/>
      <c r="S5" s="2976"/>
      <c r="T5" s="2976"/>
      <c r="U5" s="2976"/>
      <c r="V5" s="2976"/>
      <c r="W5" s="2976"/>
      <c r="X5" s="2976"/>
      <c r="Y5" s="2976"/>
      <c r="Z5" s="2976"/>
      <c r="AA5" s="2976"/>
      <c r="AB5" s="2976"/>
      <c r="AC5" s="2976"/>
      <c r="AD5" s="2976"/>
      <c r="AE5" s="2976"/>
      <c r="AF5" s="2976"/>
      <c r="AG5" s="2976"/>
      <c r="AH5" s="2976"/>
      <c r="AI5" s="2976"/>
      <c r="AJ5" s="2976"/>
      <c r="AK5" s="2976"/>
      <c r="AL5" s="2976"/>
      <c r="AM5" s="2976"/>
      <c r="AN5" s="2976"/>
      <c r="AO5" s="2976"/>
      <c r="AP5" s="2976"/>
      <c r="AQ5" s="2976"/>
    </row>
    <row r="6" spans="1:43" ht="15" x14ac:dyDescent="0.2">
      <c r="A6" s="2975"/>
      <c r="B6" s="2975"/>
      <c r="C6" s="2975"/>
      <c r="D6" s="2975"/>
      <c r="E6" s="2975"/>
      <c r="F6" s="2975"/>
      <c r="G6" s="2975"/>
      <c r="H6" s="2975"/>
      <c r="I6" s="2975"/>
      <c r="J6" s="2975"/>
      <c r="K6" s="2975"/>
      <c r="L6" s="2975"/>
      <c r="M6" s="2975"/>
      <c r="N6" s="941"/>
      <c r="O6" s="943"/>
      <c r="P6" s="943"/>
      <c r="Q6" s="943"/>
      <c r="R6" s="943"/>
      <c r="S6" s="943"/>
      <c r="T6" s="943"/>
      <c r="U6" s="943"/>
      <c r="V6" s="943"/>
      <c r="W6" s="943"/>
      <c r="X6" s="943"/>
      <c r="Y6" s="3420" t="s">
        <v>320</v>
      </c>
      <c r="Z6" s="2975"/>
      <c r="AA6" s="2975"/>
      <c r="AB6" s="2975"/>
      <c r="AC6" s="2975"/>
      <c r="AD6" s="2975"/>
      <c r="AE6" s="2975"/>
      <c r="AF6" s="2975"/>
      <c r="AG6" s="2975"/>
      <c r="AH6" s="2975"/>
      <c r="AI6" s="2975"/>
      <c r="AJ6" s="2975"/>
      <c r="AK6" s="2975"/>
      <c r="AL6" s="2975"/>
      <c r="AM6" s="3421"/>
      <c r="AN6" s="1300"/>
      <c r="AO6" s="943"/>
      <c r="AP6" s="943"/>
      <c r="AQ6" s="945"/>
    </row>
    <row r="7" spans="1:43" ht="15" x14ac:dyDescent="0.2">
      <c r="A7" s="2977" t="s">
        <v>9</v>
      </c>
      <c r="B7" s="2970" t="s">
        <v>10</v>
      </c>
      <c r="C7" s="2972"/>
      <c r="D7" s="2972" t="s">
        <v>9</v>
      </c>
      <c r="E7" s="2970" t="s">
        <v>11</v>
      </c>
      <c r="F7" s="2972"/>
      <c r="G7" s="2972" t="s">
        <v>9</v>
      </c>
      <c r="H7" s="2970" t="s">
        <v>12</v>
      </c>
      <c r="I7" s="2972"/>
      <c r="J7" s="2972" t="s">
        <v>9</v>
      </c>
      <c r="K7" s="2970" t="s">
        <v>13</v>
      </c>
      <c r="L7" s="2962" t="s">
        <v>14</v>
      </c>
      <c r="M7" s="2962" t="s">
        <v>15</v>
      </c>
      <c r="N7" s="2962" t="s">
        <v>16</v>
      </c>
      <c r="O7" s="2962" t="s">
        <v>94</v>
      </c>
      <c r="P7" s="2962" t="s">
        <v>8</v>
      </c>
      <c r="Q7" s="2964" t="s">
        <v>18</v>
      </c>
      <c r="R7" s="2966" t="s">
        <v>19</v>
      </c>
      <c r="S7" s="2970" t="s">
        <v>20</v>
      </c>
      <c r="T7" s="2970" t="s">
        <v>21</v>
      </c>
      <c r="U7" s="2962" t="s">
        <v>22</v>
      </c>
      <c r="V7" s="3436" t="s">
        <v>19</v>
      </c>
      <c r="W7" s="946"/>
      <c r="X7" s="2962" t="s">
        <v>23</v>
      </c>
      <c r="Y7" s="2983" t="s">
        <v>24</v>
      </c>
      <c r="Z7" s="2983"/>
      <c r="AA7" s="2984" t="s">
        <v>25</v>
      </c>
      <c r="AB7" s="2984"/>
      <c r="AC7" s="2984"/>
      <c r="AD7" s="2984"/>
      <c r="AE7" s="2985" t="s">
        <v>26</v>
      </c>
      <c r="AF7" s="2986"/>
      <c r="AG7" s="2986"/>
      <c r="AH7" s="2986"/>
      <c r="AI7" s="2986"/>
      <c r="AJ7" s="2987"/>
      <c r="AK7" s="2984" t="s">
        <v>27</v>
      </c>
      <c r="AL7" s="2984"/>
      <c r="AM7" s="2984"/>
      <c r="AN7" s="1301" t="s">
        <v>28</v>
      </c>
      <c r="AO7" s="2979" t="s">
        <v>29</v>
      </c>
      <c r="AP7" s="2979" t="s">
        <v>30</v>
      </c>
      <c r="AQ7" s="2981" t="s">
        <v>31</v>
      </c>
    </row>
    <row r="8" spans="1:43" ht="127.5" x14ac:dyDescent="0.2">
      <c r="A8" s="2978"/>
      <c r="B8" s="2971"/>
      <c r="C8" s="2973"/>
      <c r="D8" s="2973"/>
      <c r="E8" s="2971"/>
      <c r="F8" s="2973"/>
      <c r="G8" s="2973"/>
      <c r="H8" s="2971"/>
      <c r="I8" s="2973"/>
      <c r="J8" s="2973"/>
      <c r="K8" s="2971"/>
      <c r="L8" s="2963"/>
      <c r="M8" s="2963"/>
      <c r="N8" s="2963"/>
      <c r="O8" s="2963"/>
      <c r="P8" s="2963"/>
      <c r="Q8" s="2965"/>
      <c r="R8" s="2967"/>
      <c r="S8" s="2971"/>
      <c r="T8" s="2971"/>
      <c r="U8" s="2963"/>
      <c r="V8" s="3437"/>
      <c r="W8" s="948" t="s">
        <v>9</v>
      </c>
      <c r="X8" s="2963"/>
      <c r="Y8" s="949" t="s">
        <v>32</v>
      </c>
      <c r="Z8" s="950" t="s">
        <v>33</v>
      </c>
      <c r="AA8" s="951" t="s">
        <v>34</v>
      </c>
      <c r="AB8" s="951" t="s">
        <v>35</v>
      </c>
      <c r="AC8" s="951" t="s">
        <v>524</v>
      </c>
      <c r="AD8" s="951" t="s">
        <v>37</v>
      </c>
      <c r="AE8" s="951" t="s">
        <v>38</v>
      </c>
      <c r="AF8" s="951" t="s">
        <v>39</v>
      </c>
      <c r="AG8" s="951" t="s">
        <v>40</v>
      </c>
      <c r="AH8" s="951" t="s">
        <v>41</v>
      </c>
      <c r="AI8" s="951" t="s">
        <v>42</v>
      </c>
      <c r="AJ8" s="951" t="s">
        <v>43</v>
      </c>
      <c r="AK8" s="951" t="s">
        <v>44</v>
      </c>
      <c r="AL8" s="951" t="s">
        <v>45</v>
      </c>
      <c r="AM8" s="951" t="s">
        <v>46</v>
      </c>
      <c r="AN8" s="951" t="s">
        <v>28</v>
      </c>
      <c r="AO8" s="2980"/>
      <c r="AP8" s="2980"/>
      <c r="AQ8" s="2982"/>
    </row>
    <row r="9" spans="1:43" s="2" customFormat="1" ht="15.75" x14ac:dyDescent="0.2">
      <c r="A9" s="1475">
        <v>4</v>
      </c>
      <c r="B9" s="1476" t="s">
        <v>1150</v>
      </c>
      <c r="C9" s="1477"/>
      <c r="D9" s="1477"/>
      <c r="E9" s="1477"/>
      <c r="F9" s="1477"/>
      <c r="G9" s="1477"/>
      <c r="H9" s="1477"/>
      <c r="I9" s="1477"/>
      <c r="J9" s="1477"/>
      <c r="K9" s="1478"/>
      <c r="L9" s="1477"/>
      <c r="M9" s="1477"/>
      <c r="N9" s="1477"/>
      <c r="O9" s="1477"/>
      <c r="P9" s="1479"/>
      <c r="Q9" s="1478"/>
      <c r="R9" s="1480"/>
      <c r="S9" s="1481"/>
      <c r="T9" s="1478"/>
      <c r="U9" s="1478"/>
      <c r="V9" s="1478"/>
      <c r="W9" s="1482"/>
      <c r="X9" s="1482"/>
      <c r="Y9" s="1482"/>
      <c r="Z9" s="1483"/>
      <c r="AA9" s="1479"/>
      <c r="AB9" s="1477"/>
      <c r="AC9" s="1477"/>
      <c r="AD9" s="1477"/>
      <c r="AE9" s="1477"/>
      <c r="AF9" s="1477"/>
      <c r="AG9" s="1477"/>
      <c r="AH9" s="1477"/>
      <c r="AI9" s="1477"/>
      <c r="AJ9" s="1477"/>
      <c r="AK9" s="1477"/>
      <c r="AL9" s="1477"/>
      <c r="AM9" s="1477"/>
      <c r="AN9" s="1477"/>
      <c r="AO9" s="1477"/>
      <c r="AP9" s="1477"/>
      <c r="AQ9" s="1477"/>
    </row>
    <row r="10" spans="1:43" s="620" customFormat="1" ht="21" customHeight="1" x14ac:dyDescent="0.2">
      <c r="A10" s="1484"/>
      <c r="B10" s="1307"/>
      <c r="C10" s="1307"/>
      <c r="D10" s="965">
        <v>23</v>
      </c>
      <c r="E10" s="1485" t="s">
        <v>1151</v>
      </c>
      <c r="F10" s="1485"/>
      <c r="G10" s="1485"/>
      <c r="H10" s="1485"/>
      <c r="I10" s="1485"/>
      <c r="J10" s="1485"/>
      <c r="K10" s="1486"/>
      <c r="L10" s="1485"/>
      <c r="M10" s="1485"/>
      <c r="N10" s="1485"/>
      <c r="O10" s="1299"/>
      <c r="P10" s="1486"/>
      <c r="Q10" s="1487"/>
      <c r="R10" s="1488"/>
      <c r="S10" s="1486"/>
      <c r="T10" s="1486"/>
      <c r="U10" s="1486"/>
      <c r="V10" s="1489"/>
      <c r="W10" s="1490"/>
      <c r="X10" s="1299"/>
      <c r="Y10" s="1485"/>
      <c r="Z10" s="1485"/>
      <c r="AA10" s="1485"/>
      <c r="AB10" s="1485"/>
      <c r="AC10" s="1485"/>
      <c r="AD10" s="1485"/>
      <c r="AE10" s="1485"/>
      <c r="AF10" s="1485"/>
      <c r="AG10" s="1485"/>
      <c r="AH10" s="1485"/>
      <c r="AI10" s="1485"/>
      <c r="AJ10" s="1485"/>
      <c r="AK10" s="1485"/>
      <c r="AL10" s="1485"/>
      <c r="AM10" s="1485"/>
      <c r="AN10" s="1485"/>
      <c r="AO10" s="1491"/>
      <c r="AP10" s="1491"/>
      <c r="AQ10" s="1492"/>
    </row>
    <row r="11" spans="1:43" s="620" customFormat="1" ht="17.25" customHeight="1" x14ac:dyDescent="0.2">
      <c r="A11" s="1493"/>
      <c r="B11" s="1308"/>
      <c r="C11" s="1308"/>
      <c r="D11" s="1494"/>
      <c r="E11" s="1308"/>
      <c r="F11" s="1308"/>
      <c r="G11" s="973">
        <v>77</v>
      </c>
      <c r="H11" s="1121" t="s">
        <v>1152</v>
      </c>
      <c r="I11" s="1123"/>
      <c r="J11" s="1123"/>
      <c r="K11" s="1123"/>
      <c r="L11" s="1121"/>
      <c r="M11" s="1121"/>
      <c r="N11" s="1121"/>
      <c r="O11" s="1122"/>
      <c r="P11" s="1123"/>
      <c r="Q11" s="1495"/>
      <c r="R11" s="1125"/>
      <c r="S11" s="1123"/>
      <c r="T11" s="1123"/>
      <c r="U11" s="1123"/>
      <c r="V11" s="1126"/>
      <c r="W11" s="1127"/>
      <c r="X11" s="1122"/>
      <c r="Y11" s="1121"/>
      <c r="Z11" s="1121"/>
      <c r="AA11" s="1121"/>
      <c r="AB11" s="1121"/>
      <c r="AC11" s="1121"/>
      <c r="AD11" s="1121"/>
      <c r="AE11" s="1121"/>
      <c r="AF11" s="1121"/>
      <c r="AG11" s="1121"/>
      <c r="AH11" s="1121"/>
      <c r="AI11" s="1121"/>
      <c r="AJ11" s="1121"/>
      <c r="AK11" s="1121"/>
      <c r="AL11" s="1121"/>
      <c r="AM11" s="1121"/>
      <c r="AN11" s="1121"/>
      <c r="AO11" s="1128"/>
      <c r="AP11" s="1128"/>
      <c r="AQ11" s="1129"/>
    </row>
    <row r="12" spans="1:43" s="620" customFormat="1" ht="30.75" customHeight="1" x14ac:dyDescent="0.2">
      <c r="A12" s="1496"/>
      <c r="B12" s="683"/>
      <c r="C12" s="683"/>
      <c r="D12" s="1310"/>
      <c r="E12" s="683"/>
      <c r="F12" s="683"/>
      <c r="G12" s="1309"/>
      <c r="H12" s="683"/>
      <c r="I12" s="683"/>
      <c r="J12" s="2936">
        <v>223</v>
      </c>
      <c r="K12" s="2607" t="s">
        <v>1153</v>
      </c>
      <c r="L12" s="2937" t="s">
        <v>1154</v>
      </c>
      <c r="M12" s="2588">
        <v>1</v>
      </c>
      <c r="N12" s="2588">
        <v>2301010423</v>
      </c>
      <c r="O12" s="2950" t="s">
        <v>1155</v>
      </c>
      <c r="P12" s="2607" t="s">
        <v>1156</v>
      </c>
      <c r="Q12" s="4320">
        <f>SUM(V12:V13)/R$12</f>
        <v>0.94892915980230641</v>
      </c>
      <c r="R12" s="4322">
        <f>SUM(V12:V17)</f>
        <v>607000000</v>
      </c>
      <c r="S12" s="2937" t="s">
        <v>1157</v>
      </c>
      <c r="T12" s="3307" t="s">
        <v>1158</v>
      </c>
      <c r="U12" s="4317" t="s">
        <v>1159</v>
      </c>
      <c r="V12" s="2048">
        <v>476000000</v>
      </c>
      <c r="W12" s="1302">
        <v>20</v>
      </c>
      <c r="X12" s="1497" t="s">
        <v>1160</v>
      </c>
      <c r="Y12" s="3343">
        <v>57041</v>
      </c>
      <c r="Z12" s="3343">
        <v>57731</v>
      </c>
      <c r="AA12" s="3343">
        <v>27907</v>
      </c>
      <c r="AB12" s="3343">
        <v>8963</v>
      </c>
      <c r="AC12" s="3343">
        <v>60564</v>
      </c>
      <c r="AD12" s="3343">
        <v>17338</v>
      </c>
      <c r="AE12" s="3343"/>
      <c r="AF12" s="3343"/>
      <c r="AG12" s="3343"/>
      <c r="AH12" s="1305"/>
      <c r="AI12" s="1305"/>
      <c r="AJ12" s="1305"/>
      <c r="AK12" s="3343"/>
      <c r="AL12" s="3343">
        <v>2944</v>
      </c>
      <c r="AM12" s="3343"/>
      <c r="AN12" s="3443">
        <f>Y12+Z12</f>
        <v>114772</v>
      </c>
      <c r="AO12" s="3449">
        <v>43466</v>
      </c>
      <c r="AP12" s="3449">
        <v>43830</v>
      </c>
      <c r="AQ12" s="4314" t="s">
        <v>1161</v>
      </c>
    </row>
    <row r="13" spans="1:43" s="620" customFormat="1" ht="60.75" customHeight="1" x14ac:dyDescent="0.2">
      <c r="A13" s="1496"/>
      <c r="B13" s="683"/>
      <c r="C13" s="683"/>
      <c r="D13" s="1310"/>
      <c r="E13" s="683"/>
      <c r="F13" s="683"/>
      <c r="G13" s="1310"/>
      <c r="H13" s="683"/>
      <c r="I13" s="683"/>
      <c r="J13" s="2936"/>
      <c r="K13" s="2607"/>
      <c r="L13" s="2937"/>
      <c r="M13" s="2608"/>
      <c r="N13" s="2608"/>
      <c r="O13" s="2951"/>
      <c r="P13" s="2607"/>
      <c r="Q13" s="4321"/>
      <c r="R13" s="4322"/>
      <c r="S13" s="2937"/>
      <c r="T13" s="3308"/>
      <c r="U13" s="4318"/>
      <c r="V13" s="2048">
        <v>100000000</v>
      </c>
      <c r="W13" s="1302">
        <v>23</v>
      </c>
      <c r="X13" s="1497" t="s">
        <v>1162</v>
      </c>
      <c r="Y13" s="3340"/>
      <c r="Z13" s="3340"/>
      <c r="AA13" s="3340"/>
      <c r="AB13" s="3340"/>
      <c r="AC13" s="3340"/>
      <c r="AD13" s="3340"/>
      <c r="AE13" s="3340"/>
      <c r="AF13" s="3340"/>
      <c r="AG13" s="3340"/>
      <c r="AH13" s="1304"/>
      <c r="AI13" s="1304"/>
      <c r="AJ13" s="1304"/>
      <c r="AK13" s="3340"/>
      <c r="AL13" s="3340"/>
      <c r="AM13" s="3340"/>
      <c r="AN13" s="4319"/>
      <c r="AO13" s="3478"/>
      <c r="AP13" s="3478"/>
      <c r="AQ13" s="4315"/>
    </row>
    <row r="14" spans="1:43" s="620" customFormat="1" ht="41.25" customHeight="1" x14ac:dyDescent="0.2">
      <c r="A14" s="1496"/>
      <c r="B14" s="683"/>
      <c r="C14" s="683"/>
      <c r="D14" s="1310"/>
      <c r="E14" s="683"/>
      <c r="F14" s="683"/>
      <c r="G14" s="1310"/>
      <c r="H14" s="683"/>
      <c r="I14" s="683"/>
      <c r="J14" s="2936">
        <v>224</v>
      </c>
      <c r="K14" s="2607" t="s">
        <v>1163</v>
      </c>
      <c r="L14" s="2937" t="s">
        <v>1164</v>
      </c>
      <c r="M14" s="2608">
        <v>1</v>
      </c>
      <c r="N14" s="2608"/>
      <c r="O14" s="2951"/>
      <c r="P14" s="2607"/>
      <c r="Q14" s="3707">
        <f>SUM(V14:V15)/R12</f>
        <v>3.459637561779242E-2</v>
      </c>
      <c r="R14" s="4322"/>
      <c r="S14" s="2937"/>
      <c r="T14" s="3308"/>
      <c r="U14" s="4317" t="s">
        <v>1165</v>
      </c>
      <c r="V14" s="2173">
        <v>14800000</v>
      </c>
      <c r="W14" s="1302">
        <v>20</v>
      </c>
      <c r="X14" s="1497" t="s">
        <v>1160</v>
      </c>
      <c r="Y14" s="3340"/>
      <c r="Z14" s="3340"/>
      <c r="AA14" s="3340"/>
      <c r="AB14" s="3340"/>
      <c r="AC14" s="3340"/>
      <c r="AD14" s="3340"/>
      <c r="AE14" s="3340"/>
      <c r="AF14" s="3340"/>
      <c r="AG14" s="3340"/>
      <c r="AH14" s="1304"/>
      <c r="AI14" s="1304"/>
      <c r="AJ14" s="1304"/>
      <c r="AK14" s="3340"/>
      <c r="AL14" s="3340"/>
      <c r="AM14" s="3340"/>
      <c r="AN14" s="4319"/>
      <c r="AO14" s="3478"/>
      <c r="AP14" s="3478"/>
      <c r="AQ14" s="4315"/>
    </row>
    <row r="15" spans="1:43" s="620" customFormat="1" ht="54.75" customHeight="1" x14ac:dyDescent="0.2">
      <c r="A15" s="1496"/>
      <c r="B15" s="683"/>
      <c r="C15" s="683"/>
      <c r="D15" s="1310"/>
      <c r="E15" s="683"/>
      <c r="F15" s="683"/>
      <c r="G15" s="1310"/>
      <c r="H15" s="683"/>
      <c r="I15" s="683"/>
      <c r="J15" s="2936"/>
      <c r="K15" s="2607"/>
      <c r="L15" s="2937"/>
      <c r="M15" s="2608"/>
      <c r="N15" s="2608"/>
      <c r="O15" s="2951"/>
      <c r="P15" s="2607"/>
      <c r="Q15" s="3690"/>
      <c r="R15" s="4322"/>
      <c r="S15" s="2937"/>
      <c r="T15" s="3308"/>
      <c r="U15" s="4318"/>
      <c r="V15" s="2173">
        <v>6200000</v>
      </c>
      <c r="W15" s="1302">
        <v>23</v>
      </c>
      <c r="X15" s="1497" t="s">
        <v>1162</v>
      </c>
      <c r="Y15" s="3340"/>
      <c r="Z15" s="3340"/>
      <c r="AA15" s="3340"/>
      <c r="AB15" s="3340"/>
      <c r="AC15" s="3340"/>
      <c r="AD15" s="3340"/>
      <c r="AE15" s="3340"/>
      <c r="AF15" s="3340"/>
      <c r="AG15" s="3340"/>
      <c r="AH15" s="1304"/>
      <c r="AI15" s="1304"/>
      <c r="AJ15" s="1304"/>
      <c r="AK15" s="3340"/>
      <c r="AL15" s="3340"/>
      <c r="AM15" s="3340"/>
      <c r="AN15" s="4319"/>
      <c r="AO15" s="3478"/>
      <c r="AP15" s="3478"/>
      <c r="AQ15" s="4315"/>
    </row>
    <row r="16" spans="1:43" s="620" customFormat="1" ht="39.75" customHeight="1" x14ac:dyDescent="0.2">
      <c r="A16" s="1496"/>
      <c r="B16" s="683"/>
      <c r="C16" s="683"/>
      <c r="D16" s="1310"/>
      <c r="E16" s="683"/>
      <c r="F16" s="683"/>
      <c r="G16" s="1310"/>
      <c r="H16" s="683"/>
      <c r="I16" s="683"/>
      <c r="J16" s="2936">
        <v>225</v>
      </c>
      <c r="K16" s="2607" t="s">
        <v>1166</v>
      </c>
      <c r="L16" s="2937" t="s">
        <v>1167</v>
      </c>
      <c r="M16" s="2588">
        <v>1</v>
      </c>
      <c r="N16" s="2608"/>
      <c r="O16" s="2951"/>
      <c r="P16" s="2607"/>
      <c r="Q16" s="3707">
        <f>(V16+V17)/R12</f>
        <v>1.6474464579901153E-2</v>
      </c>
      <c r="R16" s="4322"/>
      <c r="S16" s="2937"/>
      <c r="T16" s="3307" t="s">
        <v>1168</v>
      </c>
      <c r="U16" s="4323" t="s">
        <v>1169</v>
      </c>
      <c r="V16" s="2173">
        <v>9200000</v>
      </c>
      <c r="W16" s="1302">
        <v>20</v>
      </c>
      <c r="X16" s="1497" t="s">
        <v>1160</v>
      </c>
      <c r="Y16" s="3340"/>
      <c r="Z16" s="3340"/>
      <c r="AA16" s="3340"/>
      <c r="AB16" s="3340"/>
      <c r="AC16" s="3340"/>
      <c r="AD16" s="3340"/>
      <c r="AE16" s="3340"/>
      <c r="AF16" s="3340"/>
      <c r="AG16" s="3340"/>
      <c r="AH16" s="1304"/>
      <c r="AI16" s="1304"/>
      <c r="AJ16" s="1304"/>
      <c r="AK16" s="3340"/>
      <c r="AL16" s="3340"/>
      <c r="AM16" s="3340"/>
      <c r="AN16" s="4319"/>
      <c r="AO16" s="3478"/>
      <c r="AP16" s="3478"/>
      <c r="AQ16" s="4315"/>
    </row>
    <row r="17" spans="1:43" s="620" customFormat="1" ht="45" customHeight="1" x14ac:dyDescent="0.2">
      <c r="A17" s="1500"/>
      <c r="B17" s="1501"/>
      <c r="C17" s="1501"/>
      <c r="D17" s="1311"/>
      <c r="E17" s="1501"/>
      <c r="F17" s="1501"/>
      <c r="G17" s="1311"/>
      <c r="H17" s="1501"/>
      <c r="I17" s="1501"/>
      <c r="J17" s="2936"/>
      <c r="K17" s="2607"/>
      <c r="L17" s="2937"/>
      <c r="M17" s="2609"/>
      <c r="N17" s="2609"/>
      <c r="O17" s="2952"/>
      <c r="P17" s="2607"/>
      <c r="Q17" s="3684"/>
      <c r="R17" s="4322"/>
      <c r="S17" s="2937"/>
      <c r="T17" s="3319"/>
      <c r="U17" s="4324"/>
      <c r="V17" s="2173">
        <v>800000</v>
      </c>
      <c r="W17" s="1312">
        <v>23</v>
      </c>
      <c r="X17" s="1497" t="s">
        <v>1162</v>
      </c>
      <c r="Y17" s="3361"/>
      <c r="Z17" s="3361"/>
      <c r="AA17" s="3361"/>
      <c r="AB17" s="3361"/>
      <c r="AC17" s="3361"/>
      <c r="AD17" s="3361"/>
      <c r="AE17" s="3361"/>
      <c r="AF17" s="3361"/>
      <c r="AG17" s="3361"/>
      <c r="AH17" s="1306"/>
      <c r="AI17" s="1306"/>
      <c r="AJ17" s="1306"/>
      <c r="AK17" s="3361"/>
      <c r="AL17" s="3361"/>
      <c r="AM17" s="3361"/>
      <c r="AN17" s="3462"/>
      <c r="AO17" s="3479"/>
      <c r="AP17" s="3479"/>
      <c r="AQ17" s="4316"/>
    </row>
    <row r="18" spans="1:43" ht="15" x14ac:dyDescent="0.25">
      <c r="A18" s="4313" t="s">
        <v>818</v>
      </c>
      <c r="B18" s="4313"/>
      <c r="C18" s="4313"/>
      <c r="D18" s="4313"/>
      <c r="E18" s="4313"/>
      <c r="F18" s="4313"/>
      <c r="G18" s="4313"/>
      <c r="H18" s="4313"/>
      <c r="I18" s="4313"/>
      <c r="J18" s="4313"/>
      <c r="K18" s="4313"/>
      <c r="L18" s="4313"/>
      <c r="M18" s="4313"/>
      <c r="N18" s="4313"/>
      <c r="O18" s="4313"/>
      <c r="P18" s="4313"/>
      <c r="Q18" s="4313"/>
      <c r="R18" s="1503">
        <f>SUM(R12)</f>
        <v>607000000</v>
      </c>
      <c r="S18" s="1237"/>
      <c r="T18" s="1237"/>
      <c r="U18" s="1237"/>
      <c r="V18" s="1274">
        <f>SUM(V12:V17)</f>
        <v>607000000</v>
      </c>
      <c r="W18" s="1151"/>
      <c r="X18" s="1504"/>
      <c r="Y18" s="1505"/>
      <c r="Z18" s="1505"/>
      <c r="AA18" s="1505"/>
      <c r="AB18" s="1505"/>
      <c r="AC18" s="1505"/>
      <c r="AD18" s="1505"/>
      <c r="AE18" s="1505"/>
      <c r="AF18" s="1505"/>
      <c r="AG18" s="1505"/>
      <c r="AH18" s="1505"/>
      <c r="AI18" s="1505"/>
      <c r="AJ18" s="1505"/>
      <c r="AK18" s="1505"/>
      <c r="AL18" s="1505"/>
      <c r="AM18" s="1505"/>
      <c r="AN18" s="1505"/>
      <c r="AO18" s="1506"/>
      <c r="AP18" s="1507"/>
      <c r="AQ18" s="1508"/>
    </row>
    <row r="19" spans="1:43" ht="14.25" x14ac:dyDescent="0.2"/>
    <row r="20" spans="1:43" ht="14.25" x14ac:dyDescent="0.2"/>
    <row r="21" spans="1:43" ht="14.25" x14ac:dyDescent="0.2"/>
    <row r="22" spans="1:43" ht="14.25" x14ac:dyDescent="0.2"/>
    <row r="23" spans="1:43" ht="14.25" x14ac:dyDescent="0.2"/>
    <row r="24" spans="1:43" ht="14.25" x14ac:dyDescent="0.2"/>
    <row r="25" spans="1:43" ht="14.25" x14ac:dyDescent="0.2"/>
    <row r="26" spans="1:43" ht="15" x14ac:dyDescent="0.25">
      <c r="E26" s="1099" t="s">
        <v>1170</v>
      </c>
    </row>
    <row r="27" spans="1:43" ht="14.25" x14ac:dyDescent="0.2">
      <c r="E27" s="638" t="s">
        <v>1171</v>
      </c>
    </row>
  </sheetData>
  <sheetProtection password="A60F" sheet="1" objects="1" scenarios="1"/>
  <mergeCells count="73">
    <mergeCell ref="A1:AO4"/>
    <mergeCell ref="A5:M6"/>
    <mergeCell ref="N5:AQ5"/>
    <mergeCell ref="Y6:AM6"/>
    <mergeCell ref="A7:A8"/>
    <mergeCell ref="B7:C8"/>
    <mergeCell ref="D7:D8"/>
    <mergeCell ref="E7:F8"/>
    <mergeCell ref="G7:G8"/>
    <mergeCell ref="H7:I8"/>
    <mergeCell ref="U7:U8"/>
    <mergeCell ref="J7:J8"/>
    <mergeCell ref="AO7:AO8"/>
    <mergeCell ref="K7:K8"/>
    <mergeCell ref="L7:L8"/>
    <mergeCell ref="M7:M8"/>
    <mergeCell ref="AQ7:AQ8"/>
    <mergeCell ref="J12:J13"/>
    <mergeCell ref="K12:K13"/>
    <mergeCell ref="L12:L13"/>
    <mergeCell ref="M12:M13"/>
    <mergeCell ref="N12:N17"/>
    <mergeCell ref="O12:O17"/>
    <mergeCell ref="P12:P17"/>
    <mergeCell ref="V7:V8"/>
    <mergeCell ref="X7:X8"/>
    <mergeCell ref="Y7:Z7"/>
    <mergeCell ref="AA7:AD7"/>
    <mergeCell ref="AE7:AJ7"/>
    <mergeCell ref="O7:O8"/>
    <mergeCell ref="AK7:AM7"/>
    <mergeCell ref="Q7:Q8"/>
    <mergeCell ref="U12:U13"/>
    <mergeCell ref="Y12:Y17"/>
    <mergeCell ref="T16:T17"/>
    <mergeCell ref="U16:U17"/>
    <mergeCell ref="AP7:AP8"/>
    <mergeCell ref="T7:T8"/>
    <mergeCell ref="AD12:AD17"/>
    <mergeCell ref="AE12:AE17"/>
    <mergeCell ref="J14:J15"/>
    <mergeCell ref="K14:K15"/>
    <mergeCell ref="L14:L15"/>
    <mergeCell ref="M14:M15"/>
    <mergeCell ref="Q14:Q15"/>
    <mergeCell ref="Q12:Q13"/>
    <mergeCell ref="R12:R17"/>
    <mergeCell ref="S12:S17"/>
    <mergeCell ref="T12:T15"/>
    <mergeCell ref="R7:R8"/>
    <mergeCell ref="S7:S8"/>
    <mergeCell ref="N7:N8"/>
    <mergeCell ref="P7:P8"/>
    <mergeCell ref="AO12:AO17"/>
    <mergeCell ref="AP12:AP17"/>
    <mergeCell ref="AQ12:AQ17"/>
    <mergeCell ref="U14:U15"/>
    <mergeCell ref="AF12:AF17"/>
    <mergeCell ref="AG12:AG17"/>
    <mergeCell ref="AK12:AK17"/>
    <mergeCell ref="AL12:AL17"/>
    <mergeCell ref="AM12:AM17"/>
    <mergeCell ref="AN12:AN17"/>
    <mergeCell ref="Z12:Z17"/>
    <mergeCell ref="AA12:AA17"/>
    <mergeCell ref="AB12:AB17"/>
    <mergeCell ref="AC12:AC17"/>
    <mergeCell ref="A18:Q18"/>
    <mergeCell ref="K16:K17"/>
    <mergeCell ref="L16:L17"/>
    <mergeCell ref="M16:M17"/>
    <mergeCell ref="Q16:Q17"/>
    <mergeCell ref="J16:J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7"/>
  <sheetViews>
    <sheetView showGridLines="0" zoomScale="55" zoomScaleNormal="55" workbookViewId="0">
      <selection activeCell="E14" sqref="E14"/>
    </sheetView>
  </sheetViews>
  <sheetFormatPr baseColWidth="10" defaultColWidth="20.5703125" defaultRowHeight="24.75" customHeight="1" x14ac:dyDescent="0.2"/>
  <cols>
    <col min="1" max="1" width="12.85546875" style="326" customWidth="1"/>
    <col min="2" max="2" width="8.85546875" style="186" customWidth="1"/>
    <col min="3" max="3" width="11.7109375" style="186" customWidth="1"/>
    <col min="4" max="4" width="16.7109375" style="186" customWidth="1"/>
    <col min="5" max="5" width="7.140625" style="186" customWidth="1"/>
    <col min="6" max="6" width="16.7109375" style="186" customWidth="1"/>
    <col min="7" max="7" width="20.7109375" style="186" customWidth="1"/>
    <col min="8" max="8" width="6.140625" style="186" customWidth="1"/>
    <col min="9" max="9" width="20.7109375" style="186" customWidth="1"/>
    <col min="10" max="10" width="18.42578125" style="128" customWidth="1"/>
    <col min="11" max="11" width="47.28515625" style="354" customWidth="1"/>
    <col min="12" max="12" width="41.7109375" style="184" customWidth="1"/>
    <col min="13" max="13" width="28.140625" style="184" customWidth="1"/>
    <col min="14" max="14" width="40.5703125" style="355" customWidth="1"/>
    <col min="15" max="15" width="28.42578125" style="355" customWidth="1"/>
    <col min="16" max="16" width="30.7109375" style="354" customWidth="1"/>
    <col min="17" max="17" width="21.5703125" style="356" customWidth="1"/>
    <col min="18" max="18" width="27.5703125" style="357" customWidth="1"/>
    <col min="19" max="19" width="41.7109375" style="354" customWidth="1"/>
    <col min="20" max="20" width="56.7109375" style="354" customWidth="1"/>
    <col min="21" max="21" width="85.28515625" style="354" customWidth="1"/>
    <col min="22" max="22" width="27.7109375" style="365" customWidth="1"/>
    <col min="23" max="23" width="15.5703125" style="359" customWidth="1"/>
    <col min="24" max="24" width="27.140625" style="360" customWidth="1"/>
    <col min="25" max="25" width="10.140625" style="2" bestFit="1" customWidth="1"/>
    <col min="26" max="26" width="13.7109375" style="2" bestFit="1" customWidth="1"/>
    <col min="27" max="30" width="13.28515625" style="2" customWidth="1"/>
    <col min="31" max="36" width="10.42578125" style="2" customWidth="1"/>
    <col min="37" max="39" width="15.85546875" style="2" customWidth="1"/>
    <col min="40" max="40" width="17" style="2" bestFit="1" customWidth="1"/>
    <col min="41" max="41" width="20.5703125" style="361" customWidth="1"/>
    <col min="42" max="42" width="23.85546875" style="362" customWidth="1"/>
    <col min="43" max="43" width="24.42578125" style="233" customWidth="1"/>
    <col min="44" max="16384" width="20.5703125" style="2"/>
  </cols>
  <sheetData>
    <row r="1" spans="1:43" ht="24.75" customHeight="1" x14ac:dyDescent="0.2">
      <c r="A1" s="2778" t="s">
        <v>502</v>
      </c>
      <c r="B1" s="2778"/>
      <c r="C1" s="2778"/>
      <c r="D1" s="2778"/>
      <c r="E1" s="2778"/>
      <c r="F1" s="2778"/>
      <c r="G1" s="2778"/>
      <c r="H1" s="2778"/>
      <c r="I1" s="2778"/>
      <c r="J1" s="2778"/>
      <c r="K1" s="2778"/>
      <c r="L1" s="2778"/>
      <c r="M1" s="2778"/>
      <c r="N1" s="2778"/>
      <c r="O1" s="2778"/>
      <c r="P1" s="2778"/>
      <c r="Q1" s="2778"/>
      <c r="R1" s="2778"/>
      <c r="S1" s="2778"/>
      <c r="T1" s="2778"/>
      <c r="U1" s="2778"/>
      <c r="V1" s="2778"/>
      <c r="W1" s="2778"/>
      <c r="X1" s="2778"/>
      <c r="Y1" s="2778"/>
      <c r="Z1" s="2778"/>
      <c r="AA1" s="2778"/>
      <c r="AB1" s="2778"/>
      <c r="AC1" s="2778"/>
      <c r="AD1" s="2778"/>
      <c r="AE1" s="2778"/>
      <c r="AF1" s="2778"/>
      <c r="AG1" s="2778"/>
      <c r="AH1" s="2778"/>
      <c r="AI1" s="2778"/>
      <c r="AJ1" s="2778"/>
      <c r="AK1" s="2778"/>
      <c r="AL1" s="2778"/>
      <c r="AM1" s="2778"/>
      <c r="AN1" s="2778"/>
      <c r="AO1" s="2778"/>
      <c r="AP1" s="6" t="s">
        <v>0</v>
      </c>
      <c r="AQ1" s="6" t="s">
        <v>1</v>
      </c>
    </row>
    <row r="2" spans="1:43" ht="24.75" customHeight="1" x14ac:dyDescent="0.2">
      <c r="A2" s="2778"/>
      <c r="B2" s="2778"/>
      <c r="C2" s="2778"/>
      <c r="D2" s="2778"/>
      <c r="E2" s="2778"/>
      <c r="F2" s="2778"/>
      <c r="G2" s="2778"/>
      <c r="H2" s="2778"/>
      <c r="I2" s="2778"/>
      <c r="J2" s="2778"/>
      <c r="K2" s="2778"/>
      <c r="L2" s="2778"/>
      <c r="M2" s="2778"/>
      <c r="N2" s="2778"/>
      <c r="O2" s="2778"/>
      <c r="P2" s="2778"/>
      <c r="Q2" s="2778"/>
      <c r="R2" s="2778"/>
      <c r="S2" s="2778"/>
      <c r="T2" s="2778"/>
      <c r="U2" s="2778"/>
      <c r="V2" s="2778"/>
      <c r="W2" s="2778"/>
      <c r="X2" s="2778"/>
      <c r="Y2" s="2778"/>
      <c r="Z2" s="2778"/>
      <c r="AA2" s="2778"/>
      <c r="AB2" s="2778"/>
      <c r="AC2" s="2778"/>
      <c r="AD2" s="2778"/>
      <c r="AE2" s="2778"/>
      <c r="AF2" s="2778"/>
      <c r="AG2" s="2778"/>
      <c r="AH2" s="2778"/>
      <c r="AI2" s="2778"/>
      <c r="AJ2" s="2778"/>
      <c r="AK2" s="2778"/>
      <c r="AL2" s="2778"/>
      <c r="AM2" s="2778"/>
      <c r="AN2" s="2778"/>
      <c r="AO2" s="2778"/>
      <c r="AP2" s="123" t="s">
        <v>2</v>
      </c>
      <c r="AQ2" s="6" t="s">
        <v>92</v>
      </c>
    </row>
    <row r="3" spans="1:43" ht="24.75" customHeight="1" x14ac:dyDescent="0.2">
      <c r="A3" s="2778"/>
      <c r="B3" s="2778"/>
      <c r="C3" s="2778"/>
      <c r="D3" s="2778"/>
      <c r="E3" s="2778"/>
      <c r="F3" s="2778"/>
      <c r="G3" s="2778"/>
      <c r="H3" s="2778"/>
      <c r="I3" s="2778"/>
      <c r="J3" s="2778"/>
      <c r="K3" s="2778"/>
      <c r="L3" s="2778"/>
      <c r="M3" s="2778"/>
      <c r="N3" s="2778"/>
      <c r="O3" s="2778"/>
      <c r="P3" s="2778"/>
      <c r="Q3" s="2778"/>
      <c r="R3" s="2778"/>
      <c r="S3" s="2778"/>
      <c r="T3" s="2778"/>
      <c r="U3" s="2778"/>
      <c r="V3" s="2778"/>
      <c r="W3" s="2778"/>
      <c r="X3" s="2778"/>
      <c r="Y3" s="2778"/>
      <c r="Z3" s="2778"/>
      <c r="AA3" s="2778"/>
      <c r="AB3" s="2778"/>
      <c r="AC3" s="2778"/>
      <c r="AD3" s="2778"/>
      <c r="AE3" s="2778"/>
      <c r="AF3" s="2778"/>
      <c r="AG3" s="2778"/>
      <c r="AH3" s="2778"/>
      <c r="AI3" s="2778"/>
      <c r="AJ3" s="2778"/>
      <c r="AK3" s="2778"/>
      <c r="AL3" s="2778"/>
      <c r="AM3" s="2778"/>
      <c r="AN3" s="2778"/>
      <c r="AO3" s="2778"/>
      <c r="AP3" s="6" t="s">
        <v>3</v>
      </c>
      <c r="AQ3" s="124" t="s">
        <v>4</v>
      </c>
    </row>
    <row r="4" spans="1:43" ht="24.75" customHeight="1" x14ac:dyDescent="0.2">
      <c r="A4" s="2779"/>
      <c r="B4" s="2779"/>
      <c r="C4" s="2779"/>
      <c r="D4" s="2779"/>
      <c r="E4" s="2779"/>
      <c r="F4" s="2779"/>
      <c r="G4" s="2779"/>
      <c r="H4" s="2779"/>
      <c r="I4" s="2779"/>
      <c r="J4" s="2779"/>
      <c r="K4" s="2779"/>
      <c r="L4" s="2779"/>
      <c r="M4" s="2779"/>
      <c r="N4" s="2779"/>
      <c r="O4" s="2779"/>
      <c r="P4" s="2779"/>
      <c r="Q4" s="2779"/>
      <c r="R4" s="2779"/>
      <c r="S4" s="2779"/>
      <c r="T4" s="2779"/>
      <c r="U4" s="2779"/>
      <c r="V4" s="2779"/>
      <c r="W4" s="2779"/>
      <c r="X4" s="2779"/>
      <c r="Y4" s="2779"/>
      <c r="Z4" s="2779"/>
      <c r="AA4" s="2779"/>
      <c r="AB4" s="2779"/>
      <c r="AC4" s="2779"/>
      <c r="AD4" s="2779"/>
      <c r="AE4" s="2779"/>
      <c r="AF4" s="2779"/>
      <c r="AG4" s="2779"/>
      <c r="AH4" s="2779"/>
      <c r="AI4" s="2779"/>
      <c r="AJ4" s="2779"/>
      <c r="AK4" s="2779"/>
      <c r="AL4" s="2779"/>
      <c r="AM4" s="2779"/>
      <c r="AN4" s="2779"/>
      <c r="AO4" s="2779"/>
      <c r="AP4" s="6" t="s">
        <v>5</v>
      </c>
      <c r="AQ4" s="125" t="s">
        <v>93</v>
      </c>
    </row>
    <row r="5" spans="1:43" ht="24.75" customHeight="1" x14ac:dyDescent="0.2">
      <c r="A5" s="2780" t="s">
        <v>7</v>
      </c>
      <c r="B5" s="2780"/>
      <c r="C5" s="2780"/>
      <c r="D5" s="2780"/>
      <c r="E5" s="2780"/>
      <c r="F5" s="2780"/>
      <c r="G5" s="2780"/>
      <c r="H5" s="2780"/>
      <c r="I5" s="2780"/>
      <c r="J5" s="2780"/>
      <c r="K5" s="2780"/>
      <c r="L5" s="2780"/>
      <c r="M5" s="2780"/>
      <c r="N5" s="2762" t="s">
        <v>8</v>
      </c>
      <c r="O5" s="2763"/>
      <c r="P5" s="2763"/>
      <c r="Q5" s="2763"/>
      <c r="R5" s="2763"/>
      <c r="S5" s="2763"/>
      <c r="T5" s="2763"/>
      <c r="U5" s="2763"/>
      <c r="V5" s="2763"/>
      <c r="W5" s="2763"/>
      <c r="X5" s="2764"/>
      <c r="Y5" s="2762" t="s">
        <v>2233</v>
      </c>
      <c r="Z5" s="2763"/>
      <c r="AA5" s="2763"/>
      <c r="AB5" s="2763"/>
      <c r="AC5" s="2763"/>
      <c r="AD5" s="2763"/>
      <c r="AE5" s="2763"/>
      <c r="AF5" s="2763"/>
      <c r="AG5" s="2763"/>
      <c r="AH5" s="2763"/>
      <c r="AI5" s="2763"/>
      <c r="AJ5" s="2763"/>
      <c r="AK5" s="2763"/>
      <c r="AL5" s="2763"/>
      <c r="AM5" s="2763"/>
      <c r="AN5" s="2764"/>
      <c r="AO5" s="2762"/>
      <c r="AP5" s="2763"/>
      <c r="AQ5" s="2764"/>
    </row>
    <row r="6" spans="1:43" ht="24.75" customHeight="1" x14ac:dyDescent="0.2">
      <c r="A6" s="2770" t="s">
        <v>9</v>
      </c>
      <c r="B6" s="2781" t="s">
        <v>10</v>
      </c>
      <c r="C6" s="2782"/>
      <c r="D6" s="2772" t="s">
        <v>9</v>
      </c>
      <c r="E6" s="2781" t="s">
        <v>11</v>
      </c>
      <c r="F6" s="2782"/>
      <c r="G6" s="2772" t="s">
        <v>9</v>
      </c>
      <c r="H6" s="2781" t="s">
        <v>12</v>
      </c>
      <c r="I6" s="2782"/>
      <c r="J6" s="2772" t="s">
        <v>9</v>
      </c>
      <c r="K6" s="2772" t="s">
        <v>13</v>
      </c>
      <c r="L6" s="2772" t="s">
        <v>14</v>
      </c>
      <c r="M6" s="2781" t="s">
        <v>15</v>
      </c>
      <c r="N6" s="2772" t="s">
        <v>16</v>
      </c>
      <c r="O6" s="2772" t="s">
        <v>94</v>
      </c>
      <c r="P6" s="2772" t="s">
        <v>8</v>
      </c>
      <c r="Q6" s="2785" t="s">
        <v>18</v>
      </c>
      <c r="R6" s="2787" t="s">
        <v>19</v>
      </c>
      <c r="S6" s="2772" t="s">
        <v>20</v>
      </c>
      <c r="T6" s="2772" t="s">
        <v>21</v>
      </c>
      <c r="U6" s="2772" t="s">
        <v>22</v>
      </c>
      <c r="V6" s="2789" t="s">
        <v>19</v>
      </c>
      <c r="W6" s="2770" t="s">
        <v>9</v>
      </c>
      <c r="X6" s="2772" t="s">
        <v>23</v>
      </c>
      <c r="Y6" s="2774" t="s">
        <v>24</v>
      </c>
      <c r="Z6" s="2775"/>
      <c r="AA6" s="2792" t="s">
        <v>25</v>
      </c>
      <c r="AB6" s="2793"/>
      <c r="AC6" s="2793"/>
      <c r="AD6" s="2793"/>
      <c r="AE6" s="2794" t="s">
        <v>26</v>
      </c>
      <c r="AF6" s="2795"/>
      <c r="AG6" s="2795"/>
      <c r="AH6" s="2795"/>
      <c r="AI6" s="2795"/>
      <c r="AJ6" s="2795"/>
      <c r="AK6" s="2776" t="s">
        <v>27</v>
      </c>
      <c r="AL6" s="2777"/>
      <c r="AM6" s="2777"/>
      <c r="AN6" s="2756" t="s">
        <v>28</v>
      </c>
      <c r="AO6" s="2758" t="s">
        <v>29</v>
      </c>
      <c r="AP6" s="2758" t="s">
        <v>30</v>
      </c>
      <c r="AQ6" s="2765" t="s">
        <v>31</v>
      </c>
    </row>
    <row r="7" spans="1:43" s="128" customFormat="1" ht="144.75" customHeight="1" x14ac:dyDescent="0.25">
      <c r="A7" s="2771"/>
      <c r="B7" s="2783"/>
      <c r="C7" s="2784"/>
      <c r="D7" s="2773"/>
      <c r="E7" s="2783"/>
      <c r="F7" s="2784"/>
      <c r="G7" s="2773"/>
      <c r="H7" s="2783"/>
      <c r="I7" s="2784"/>
      <c r="J7" s="2773"/>
      <c r="K7" s="2773"/>
      <c r="L7" s="2773"/>
      <c r="M7" s="2791"/>
      <c r="N7" s="2773"/>
      <c r="O7" s="2773"/>
      <c r="P7" s="2773"/>
      <c r="Q7" s="2786"/>
      <c r="R7" s="2788"/>
      <c r="S7" s="2773"/>
      <c r="T7" s="2773"/>
      <c r="U7" s="2773"/>
      <c r="V7" s="2790"/>
      <c r="W7" s="2771"/>
      <c r="X7" s="2773"/>
      <c r="Y7" s="126" t="s">
        <v>32</v>
      </c>
      <c r="Z7" s="127" t="s">
        <v>33</v>
      </c>
      <c r="AA7" s="126" t="s">
        <v>34</v>
      </c>
      <c r="AB7" s="126" t="s">
        <v>35</v>
      </c>
      <c r="AC7" s="126" t="s">
        <v>95</v>
      </c>
      <c r="AD7" s="126" t="s">
        <v>37</v>
      </c>
      <c r="AE7" s="126" t="s">
        <v>38</v>
      </c>
      <c r="AF7" s="126" t="s">
        <v>39</v>
      </c>
      <c r="AG7" s="126" t="s">
        <v>40</v>
      </c>
      <c r="AH7" s="126" t="s">
        <v>41</v>
      </c>
      <c r="AI7" s="126" t="s">
        <v>42</v>
      </c>
      <c r="AJ7" s="126" t="s">
        <v>96</v>
      </c>
      <c r="AK7" s="12" t="s">
        <v>44</v>
      </c>
      <c r="AL7" s="12" t="s">
        <v>45</v>
      </c>
      <c r="AM7" s="12" t="s">
        <v>46</v>
      </c>
      <c r="AN7" s="2757"/>
      <c r="AO7" s="2759"/>
      <c r="AP7" s="2759"/>
      <c r="AQ7" s="2766"/>
    </row>
    <row r="8" spans="1:43" ht="24.75" customHeight="1" x14ac:dyDescent="0.2">
      <c r="A8" s="129">
        <v>5</v>
      </c>
      <c r="B8" s="2760" t="s">
        <v>47</v>
      </c>
      <c r="C8" s="2760"/>
      <c r="D8" s="2760"/>
      <c r="E8" s="2760"/>
      <c r="F8" s="2760"/>
      <c r="G8" s="2760"/>
      <c r="H8" s="2760"/>
      <c r="I8" s="2760"/>
      <c r="J8" s="2760"/>
      <c r="K8" s="2760"/>
      <c r="L8" s="130"/>
      <c r="M8" s="130"/>
      <c r="N8" s="131"/>
      <c r="O8" s="131"/>
      <c r="P8" s="130"/>
      <c r="Q8" s="132"/>
      <c r="R8" s="133"/>
      <c r="S8" s="130"/>
      <c r="T8" s="130"/>
      <c r="U8" s="134"/>
      <c r="V8" s="135"/>
      <c r="W8" s="136"/>
      <c r="X8" s="131"/>
      <c r="Y8" s="137"/>
      <c r="Z8" s="137"/>
      <c r="AA8" s="137"/>
      <c r="AB8" s="137"/>
      <c r="AC8" s="137"/>
      <c r="AD8" s="137"/>
      <c r="AE8" s="137"/>
      <c r="AF8" s="137"/>
      <c r="AG8" s="137"/>
      <c r="AH8" s="137"/>
      <c r="AI8" s="137"/>
      <c r="AJ8" s="137"/>
      <c r="AK8" s="137"/>
      <c r="AL8" s="137"/>
      <c r="AM8" s="137"/>
      <c r="AN8" s="137"/>
      <c r="AO8" s="138"/>
      <c r="AP8" s="138"/>
      <c r="AQ8" s="139"/>
    </row>
    <row r="9" spans="1:43" s="38" customFormat="1" ht="24.75" customHeight="1" x14ac:dyDescent="0.2">
      <c r="A9" s="140"/>
      <c r="B9" s="141"/>
      <c r="C9" s="142"/>
      <c r="D9" s="143">
        <v>26</v>
      </c>
      <c r="E9" s="2761" t="s">
        <v>48</v>
      </c>
      <c r="F9" s="2761"/>
      <c r="G9" s="2761"/>
      <c r="H9" s="2761"/>
      <c r="I9" s="2761"/>
      <c r="J9" s="2761"/>
      <c r="K9" s="2761"/>
      <c r="L9" s="144"/>
      <c r="M9" s="144"/>
      <c r="N9" s="145"/>
      <c r="O9" s="145"/>
      <c r="P9" s="144"/>
      <c r="Q9" s="146"/>
      <c r="R9" s="147"/>
      <c r="S9" s="144"/>
      <c r="T9" s="144"/>
      <c r="U9" s="148"/>
      <c r="V9" s="149"/>
      <c r="W9" s="150"/>
      <c r="X9" s="145"/>
      <c r="Y9" s="151"/>
      <c r="Z9" s="151"/>
      <c r="AA9" s="151"/>
      <c r="AB9" s="151"/>
      <c r="AC9" s="151"/>
      <c r="AD9" s="151"/>
      <c r="AE9" s="151"/>
      <c r="AF9" s="151"/>
      <c r="AG9" s="151"/>
      <c r="AH9" s="151"/>
      <c r="AI9" s="151"/>
      <c r="AJ9" s="151"/>
      <c r="AK9" s="151"/>
      <c r="AL9" s="151"/>
      <c r="AM9" s="151"/>
      <c r="AN9" s="151"/>
      <c r="AO9" s="152"/>
      <c r="AP9" s="152"/>
      <c r="AQ9" s="153"/>
    </row>
    <row r="10" spans="1:43" s="38" customFormat="1" ht="24.75" customHeight="1" x14ac:dyDescent="0.2">
      <c r="A10" s="154"/>
      <c r="B10" s="155"/>
      <c r="C10" s="155"/>
      <c r="D10" s="156"/>
      <c r="E10" s="141"/>
      <c r="F10" s="142"/>
      <c r="G10" s="157">
        <v>83</v>
      </c>
      <c r="H10" s="2751" t="s">
        <v>97</v>
      </c>
      <c r="I10" s="2751"/>
      <c r="J10" s="2751"/>
      <c r="K10" s="2751"/>
      <c r="L10" s="158"/>
      <c r="M10" s="158"/>
      <c r="N10" s="159"/>
      <c r="O10" s="159"/>
      <c r="P10" s="158"/>
      <c r="Q10" s="160"/>
      <c r="R10" s="161"/>
      <c r="S10" s="158"/>
      <c r="T10" s="158"/>
      <c r="U10" s="162"/>
      <c r="V10" s="163"/>
      <c r="W10" s="164"/>
      <c r="X10" s="159"/>
      <c r="Y10" s="165"/>
      <c r="Z10" s="165"/>
      <c r="AA10" s="165"/>
      <c r="AB10" s="165"/>
      <c r="AC10" s="165"/>
      <c r="AD10" s="165"/>
      <c r="AE10" s="165"/>
      <c r="AF10" s="165"/>
      <c r="AG10" s="165"/>
      <c r="AH10" s="165"/>
      <c r="AI10" s="165"/>
      <c r="AJ10" s="165"/>
      <c r="AK10" s="165"/>
      <c r="AL10" s="165"/>
      <c r="AM10" s="165"/>
      <c r="AN10" s="165"/>
      <c r="AO10" s="166"/>
      <c r="AP10" s="166"/>
      <c r="AQ10" s="167"/>
    </row>
    <row r="11" spans="1:43" ht="201" customHeight="1" x14ac:dyDescent="0.2">
      <c r="A11" s="168"/>
      <c r="B11" s="169"/>
      <c r="C11" s="169"/>
      <c r="D11" s="170"/>
      <c r="E11" s="169"/>
      <c r="F11" s="171"/>
      <c r="G11" s="172"/>
      <c r="H11" s="169"/>
      <c r="I11" s="169"/>
      <c r="J11" s="2587">
        <v>246</v>
      </c>
      <c r="K11" s="2607" t="s">
        <v>98</v>
      </c>
      <c r="L11" s="2607" t="s">
        <v>99</v>
      </c>
      <c r="M11" s="2587">
        <v>13</v>
      </c>
      <c r="N11" s="2587" t="s">
        <v>100</v>
      </c>
      <c r="O11" s="2587" t="s">
        <v>101</v>
      </c>
      <c r="P11" s="2607" t="s">
        <v>102</v>
      </c>
      <c r="Q11" s="2767">
        <v>1</v>
      </c>
      <c r="R11" s="2768">
        <f>SUM(V11:V32)</f>
        <v>17500000</v>
      </c>
      <c r="S11" s="2617" t="s">
        <v>103</v>
      </c>
      <c r="T11" s="173" t="s">
        <v>104</v>
      </c>
      <c r="U11" s="174" t="s">
        <v>105</v>
      </c>
      <c r="V11" s="175">
        <v>1200000</v>
      </c>
      <c r="W11" s="176">
        <v>20</v>
      </c>
      <c r="X11" s="177" t="s">
        <v>106</v>
      </c>
      <c r="Y11" s="2747">
        <v>294321</v>
      </c>
      <c r="Z11" s="2755">
        <v>283947</v>
      </c>
      <c r="AA11" s="2747">
        <v>135754</v>
      </c>
      <c r="AB11" s="2747">
        <v>44640</v>
      </c>
      <c r="AC11" s="2747">
        <v>308178</v>
      </c>
      <c r="AD11" s="2747">
        <v>89696</v>
      </c>
      <c r="AE11" s="2747">
        <v>2145</v>
      </c>
      <c r="AF11" s="2747">
        <v>12718</v>
      </c>
      <c r="AG11" s="2747">
        <v>26</v>
      </c>
      <c r="AH11" s="2747">
        <v>37</v>
      </c>
      <c r="AI11" s="2747"/>
      <c r="AJ11" s="2747"/>
      <c r="AK11" s="2747">
        <v>54612</v>
      </c>
      <c r="AL11" s="2747">
        <v>21944</v>
      </c>
      <c r="AM11" s="2747">
        <v>1010</v>
      </c>
      <c r="AN11" s="2747">
        <f>+Y11+Z11</f>
        <v>578268</v>
      </c>
      <c r="AO11" s="2568">
        <v>43102</v>
      </c>
      <c r="AP11" s="2568">
        <v>43465</v>
      </c>
      <c r="AQ11" s="2550" t="s">
        <v>107</v>
      </c>
    </row>
    <row r="12" spans="1:43" ht="45.75" customHeight="1" x14ac:dyDescent="0.2">
      <c r="A12" s="168"/>
      <c r="B12" s="169"/>
      <c r="C12" s="169"/>
      <c r="D12" s="170"/>
      <c r="E12" s="169"/>
      <c r="F12" s="171"/>
      <c r="G12" s="170"/>
      <c r="H12" s="169"/>
      <c r="I12" s="169"/>
      <c r="J12" s="2587"/>
      <c r="K12" s="2607"/>
      <c r="L12" s="2607"/>
      <c r="M12" s="2587"/>
      <c r="N12" s="2587"/>
      <c r="O12" s="2587"/>
      <c r="P12" s="2607"/>
      <c r="Q12" s="2767"/>
      <c r="R12" s="2768"/>
      <c r="S12" s="2742"/>
      <c r="T12" s="2769" t="s">
        <v>108</v>
      </c>
      <c r="U12" s="178" t="s">
        <v>109</v>
      </c>
      <c r="V12" s="175">
        <v>360000</v>
      </c>
      <c r="W12" s="176">
        <v>20</v>
      </c>
      <c r="X12" s="177" t="s">
        <v>106</v>
      </c>
      <c r="Y12" s="2747"/>
      <c r="Z12" s="2755"/>
      <c r="AA12" s="2747"/>
      <c r="AB12" s="2747"/>
      <c r="AC12" s="2747"/>
      <c r="AD12" s="2747"/>
      <c r="AE12" s="2747"/>
      <c r="AF12" s="2747"/>
      <c r="AG12" s="2747"/>
      <c r="AH12" s="2747"/>
      <c r="AI12" s="2747"/>
      <c r="AJ12" s="2747"/>
      <c r="AK12" s="2747"/>
      <c r="AL12" s="2747"/>
      <c r="AM12" s="2747"/>
      <c r="AN12" s="2747"/>
      <c r="AO12" s="2568"/>
      <c r="AP12" s="2568"/>
      <c r="AQ12" s="2550"/>
    </row>
    <row r="13" spans="1:43" ht="45.75" customHeight="1" x14ac:dyDescent="0.2">
      <c r="A13" s="168"/>
      <c r="B13" s="169"/>
      <c r="C13" s="169"/>
      <c r="D13" s="170"/>
      <c r="E13" s="169"/>
      <c r="F13" s="171"/>
      <c r="G13" s="170"/>
      <c r="H13" s="169"/>
      <c r="I13" s="169"/>
      <c r="J13" s="2587"/>
      <c r="K13" s="2607"/>
      <c r="L13" s="2607"/>
      <c r="M13" s="2587"/>
      <c r="N13" s="2587"/>
      <c r="O13" s="2587"/>
      <c r="P13" s="2607"/>
      <c r="Q13" s="2767"/>
      <c r="R13" s="2768"/>
      <c r="S13" s="2742"/>
      <c r="T13" s="2769"/>
      <c r="U13" s="178" t="s">
        <v>110</v>
      </c>
      <c r="V13" s="175">
        <v>300000</v>
      </c>
      <c r="W13" s="176">
        <v>20</v>
      </c>
      <c r="X13" s="177" t="s">
        <v>106</v>
      </c>
      <c r="Y13" s="2747"/>
      <c r="Z13" s="2755"/>
      <c r="AA13" s="2747"/>
      <c r="AB13" s="2747"/>
      <c r="AC13" s="2747"/>
      <c r="AD13" s="2747"/>
      <c r="AE13" s="2747"/>
      <c r="AF13" s="2747"/>
      <c r="AG13" s="2747"/>
      <c r="AH13" s="2747"/>
      <c r="AI13" s="2747"/>
      <c r="AJ13" s="2747"/>
      <c r="AK13" s="2747"/>
      <c r="AL13" s="2747"/>
      <c r="AM13" s="2747"/>
      <c r="AN13" s="2747"/>
      <c r="AO13" s="2568"/>
      <c r="AP13" s="2568"/>
      <c r="AQ13" s="2550"/>
    </row>
    <row r="14" spans="1:43" ht="96.75" customHeight="1" x14ac:dyDescent="0.2">
      <c r="A14" s="168"/>
      <c r="B14" s="169"/>
      <c r="C14" s="169"/>
      <c r="D14" s="170"/>
      <c r="E14" s="169"/>
      <c r="F14" s="171"/>
      <c r="G14" s="170"/>
      <c r="H14" s="169"/>
      <c r="I14" s="169"/>
      <c r="J14" s="2587"/>
      <c r="K14" s="2607"/>
      <c r="L14" s="2607"/>
      <c r="M14" s="2587"/>
      <c r="N14" s="2587"/>
      <c r="O14" s="2587"/>
      <c r="P14" s="2607"/>
      <c r="Q14" s="2767"/>
      <c r="R14" s="2768"/>
      <c r="S14" s="2742"/>
      <c r="T14" s="2769"/>
      <c r="U14" s="179" t="s">
        <v>111</v>
      </c>
      <c r="V14" s="175">
        <v>360000</v>
      </c>
      <c r="W14" s="176">
        <v>20</v>
      </c>
      <c r="X14" s="177" t="s">
        <v>106</v>
      </c>
      <c r="Y14" s="2747"/>
      <c r="Z14" s="2755"/>
      <c r="AA14" s="2747"/>
      <c r="AB14" s="2747"/>
      <c r="AC14" s="2747"/>
      <c r="AD14" s="2747"/>
      <c r="AE14" s="2747"/>
      <c r="AF14" s="2747"/>
      <c r="AG14" s="2747"/>
      <c r="AH14" s="2747"/>
      <c r="AI14" s="2747"/>
      <c r="AJ14" s="2747"/>
      <c r="AK14" s="2747"/>
      <c r="AL14" s="2747"/>
      <c r="AM14" s="2747"/>
      <c r="AN14" s="2747"/>
      <c r="AO14" s="2568"/>
      <c r="AP14" s="2568"/>
      <c r="AQ14" s="2550"/>
    </row>
    <row r="15" spans="1:43" ht="72" customHeight="1" x14ac:dyDescent="0.2">
      <c r="A15" s="168"/>
      <c r="B15" s="169"/>
      <c r="C15" s="169"/>
      <c r="D15" s="170"/>
      <c r="E15" s="169"/>
      <c r="F15" s="171"/>
      <c r="G15" s="170"/>
      <c r="H15" s="169"/>
      <c r="I15" s="169"/>
      <c r="J15" s="2587"/>
      <c r="K15" s="2607"/>
      <c r="L15" s="2607"/>
      <c r="M15" s="2587"/>
      <c r="N15" s="2587"/>
      <c r="O15" s="2587"/>
      <c r="P15" s="2607"/>
      <c r="Q15" s="2767"/>
      <c r="R15" s="2768"/>
      <c r="S15" s="2742"/>
      <c r="T15" s="2769"/>
      <c r="U15" s="179" t="s">
        <v>112</v>
      </c>
      <c r="V15" s="175">
        <v>360000</v>
      </c>
      <c r="W15" s="176">
        <v>20</v>
      </c>
      <c r="X15" s="177" t="s">
        <v>106</v>
      </c>
      <c r="Y15" s="2747"/>
      <c r="Z15" s="2755"/>
      <c r="AA15" s="2747"/>
      <c r="AB15" s="2747"/>
      <c r="AC15" s="2747"/>
      <c r="AD15" s="2747"/>
      <c r="AE15" s="2747"/>
      <c r="AF15" s="2747"/>
      <c r="AG15" s="2747"/>
      <c r="AH15" s="2747"/>
      <c r="AI15" s="2747"/>
      <c r="AJ15" s="2747"/>
      <c r="AK15" s="2747"/>
      <c r="AL15" s="2747"/>
      <c r="AM15" s="2747"/>
      <c r="AN15" s="2747"/>
      <c r="AO15" s="2568"/>
      <c r="AP15" s="2568"/>
      <c r="AQ15" s="2550"/>
    </row>
    <row r="16" spans="1:43" ht="156" customHeight="1" x14ac:dyDescent="0.2">
      <c r="A16" s="168"/>
      <c r="B16" s="169"/>
      <c r="C16" s="169"/>
      <c r="D16" s="170"/>
      <c r="E16" s="169"/>
      <c r="F16" s="171"/>
      <c r="G16" s="170"/>
      <c r="H16" s="169"/>
      <c r="I16" s="169"/>
      <c r="J16" s="2587"/>
      <c r="K16" s="2607"/>
      <c r="L16" s="2607"/>
      <c r="M16" s="2587"/>
      <c r="N16" s="2587"/>
      <c r="O16" s="2587"/>
      <c r="P16" s="2607"/>
      <c r="Q16" s="2767"/>
      <c r="R16" s="2768"/>
      <c r="S16" s="2742"/>
      <c r="T16" s="2769"/>
      <c r="U16" s="179" t="s">
        <v>113</v>
      </c>
      <c r="V16" s="175">
        <v>360000</v>
      </c>
      <c r="W16" s="176">
        <v>20</v>
      </c>
      <c r="X16" s="177" t="s">
        <v>106</v>
      </c>
      <c r="Y16" s="2747"/>
      <c r="Z16" s="2755"/>
      <c r="AA16" s="2747"/>
      <c r="AB16" s="2747"/>
      <c r="AC16" s="2747"/>
      <c r="AD16" s="2747"/>
      <c r="AE16" s="2747"/>
      <c r="AF16" s="2747"/>
      <c r="AG16" s="2747"/>
      <c r="AH16" s="2747"/>
      <c r="AI16" s="2747"/>
      <c r="AJ16" s="2747"/>
      <c r="AK16" s="2747"/>
      <c r="AL16" s="2747"/>
      <c r="AM16" s="2747"/>
      <c r="AN16" s="2747"/>
      <c r="AO16" s="2568"/>
      <c r="AP16" s="2568"/>
      <c r="AQ16" s="2550"/>
    </row>
    <row r="17" spans="1:43" ht="45.75" customHeight="1" x14ac:dyDescent="0.2">
      <c r="A17" s="168"/>
      <c r="B17" s="169"/>
      <c r="C17" s="169"/>
      <c r="D17" s="170"/>
      <c r="E17" s="169"/>
      <c r="F17" s="171"/>
      <c r="G17" s="170"/>
      <c r="H17" s="169"/>
      <c r="I17" s="169"/>
      <c r="J17" s="2587"/>
      <c r="K17" s="2607"/>
      <c r="L17" s="2607"/>
      <c r="M17" s="2587"/>
      <c r="N17" s="2587"/>
      <c r="O17" s="2587"/>
      <c r="P17" s="2607"/>
      <c r="Q17" s="2767"/>
      <c r="R17" s="2768"/>
      <c r="S17" s="2742"/>
      <c r="T17" s="2769"/>
      <c r="U17" s="179" t="s">
        <v>114</v>
      </c>
      <c r="V17" s="175">
        <v>360000</v>
      </c>
      <c r="W17" s="176">
        <v>20</v>
      </c>
      <c r="X17" s="177" t="s">
        <v>106</v>
      </c>
      <c r="Y17" s="2747"/>
      <c r="Z17" s="2755"/>
      <c r="AA17" s="2747"/>
      <c r="AB17" s="2747"/>
      <c r="AC17" s="2747"/>
      <c r="AD17" s="2747"/>
      <c r="AE17" s="2747"/>
      <c r="AF17" s="2747"/>
      <c r="AG17" s="2747"/>
      <c r="AH17" s="2747"/>
      <c r="AI17" s="2747"/>
      <c r="AJ17" s="2747"/>
      <c r="AK17" s="2747"/>
      <c r="AL17" s="2747"/>
      <c r="AM17" s="2747"/>
      <c r="AN17" s="2747"/>
      <c r="AO17" s="2568"/>
      <c r="AP17" s="2568"/>
      <c r="AQ17" s="2550"/>
    </row>
    <row r="18" spans="1:43" ht="45.75" customHeight="1" x14ac:dyDescent="0.2">
      <c r="A18" s="168"/>
      <c r="B18" s="169"/>
      <c r="C18" s="169"/>
      <c r="D18" s="170"/>
      <c r="E18" s="169"/>
      <c r="F18" s="171"/>
      <c r="G18" s="170"/>
      <c r="H18" s="169"/>
      <c r="I18" s="169"/>
      <c r="J18" s="2587"/>
      <c r="K18" s="2607"/>
      <c r="L18" s="2607"/>
      <c r="M18" s="2587"/>
      <c r="N18" s="2587"/>
      <c r="O18" s="2587"/>
      <c r="P18" s="2607"/>
      <c r="Q18" s="2767"/>
      <c r="R18" s="2768"/>
      <c r="S18" s="2742"/>
      <c r="T18" s="2769"/>
      <c r="U18" s="179" t="s">
        <v>115</v>
      </c>
      <c r="V18" s="175">
        <v>360000</v>
      </c>
      <c r="W18" s="176">
        <v>20</v>
      </c>
      <c r="X18" s="177" t="s">
        <v>106</v>
      </c>
      <c r="Y18" s="2747"/>
      <c r="Z18" s="2755"/>
      <c r="AA18" s="2747"/>
      <c r="AB18" s="2747"/>
      <c r="AC18" s="2747"/>
      <c r="AD18" s="2747"/>
      <c r="AE18" s="2747"/>
      <c r="AF18" s="2747"/>
      <c r="AG18" s="2747"/>
      <c r="AH18" s="2747"/>
      <c r="AI18" s="2747"/>
      <c r="AJ18" s="2747"/>
      <c r="AK18" s="2747"/>
      <c r="AL18" s="2747"/>
      <c r="AM18" s="2747"/>
      <c r="AN18" s="2747"/>
      <c r="AO18" s="2568"/>
      <c r="AP18" s="2568"/>
      <c r="AQ18" s="2550"/>
    </row>
    <row r="19" spans="1:43" ht="45.75" customHeight="1" x14ac:dyDescent="0.2">
      <c r="A19" s="168"/>
      <c r="B19" s="169"/>
      <c r="C19" s="169"/>
      <c r="D19" s="170"/>
      <c r="E19" s="169"/>
      <c r="F19" s="171"/>
      <c r="G19" s="170"/>
      <c r="H19" s="169"/>
      <c r="I19" s="169"/>
      <c r="J19" s="2587"/>
      <c r="K19" s="2607"/>
      <c r="L19" s="2607"/>
      <c r="M19" s="2587"/>
      <c r="N19" s="2587"/>
      <c r="O19" s="2587"/>
      <c r="P19" s="2607"/>
      <c r="Q19" s="2767"/>
      <c r="R19" s="2768"/>
      <c r="S19" s="2742"/>
      <c r="T19" s="2769"/>
      <c r="U19" s="179" t="s">
        <v>116</v>
      </c>
      <c r="V19" s="175">
        <v>360000</v>
      </c>
      <c r="W19" s="176">
        <v>20</v>
      </c>
      <c r="X19" s="177" t="s">
        <v>106</v>
      </c>
      <c r="Y19" s="2747"/>
      <c r="Z19" s="2755"/>
      <c r="AA19" s="2747"/>
      <c r="AB19" s="2747"/>
      <c r="AC19" s="2747"/>
      <c r="AD19" s="2747"/>
      <c r="AE19" s="2747"/>
      <c r="AF19" s="2747"/>
      <c r="AG19" s="2747"/>
      <c r="AH19" s="2747"/>
      <c r="AI19" s="2747"/>
      <c r="AJ19" s="2747"/>
      <c r="AK19" s="2747"/>
      <c r="AL19" s="2747"/>
      <c r="AM19" s="2747"/>
      <c r="AN19" s="2747"/>
      <c r="AO19" s="2568"/>
      <c r="AP19" s="2568"/>
      <c r="AQ19" s="2550"/>
    </row>
    <row r="20" spans="1:43" ht="45.75" customHeight="1" x14ac:dyDescent="0.2">
      <c r="A20" s="168"/>
      <c r="B20" s="169"/>
      <c r="C20" s="169"/>
      <c r="D20" s="170"/>
      <c r="E20" s="169"/>
      <c r="F20" s="171"/>
      <c r="G20" s="170"/>
      <c r="H20" s="169"/>
      <c r="I20" s="169"/>
      <c r="J20" s="2587"/>
      <c r="K20" s="2607"/>
      <c r="L20" s="2607"/>
      <c r="M20" s="2587"/>
      <c r="N20" s="2587"/>
      <c r="O20" s="2587"/>
      <c r="P20" s="2607"/>
      <c r="Q20" s="2767"/>
      <c r="R20" s="2768"/>
      <c r="S20" s="2742"/>
      <c r="T20" s="2769"/>
      <c r="U20" s="179" t="s">
        <v>117</v>
      </c>
      <c r="V20" s="175">
        <v>360000</v>
      </c>
      <c r="W20" s="176">
        <v>20</v>
      </c>
      <c r="X20" s="177" t="s">
        <v>106</v>
      </c>
      <c r="Y20" s="2747"/>
      <c r="Z20" s="2755"/>
      <c r="AA20" s="2747"/>
      <c r="AB20" s="2747"/>
      <c r="AC20" s="2747"/>
      <c r="AD20" s="2747"/>
      <c r="AE20" s="2747"/>
      <c r="AF20" s="2747"/>
      <c r="AG20" s="2747"/>
      <c r="AH20" s="2747"/>
      <c r="AI20" s="2747"/>
      <c r="AJ20" s="2747"/>
      <c r="AK20" s="2747"/>
      <c r="AL20" s="2747"/>
      <c r="AM20" s="2747"/>
      <c r="AN20" s="2747"/>
      <c r="AO20" s="2568"/>
      <c r="AP20" s="2568"/>
      <c r="AQ20" s="2550"/>
    </row>
    <row r="21" spans="1:43" ht="74.25" customHeight="1" x14ac:dyDescent="0.2">
      <c r="A21" s="168"/>
      <c r="B21" s="169"/>
      <c r="C21" s="169"/>
      <c r="D21" s="170"/>
      <c r="E21" s="169"/>
      <c r="F21" s="171"/>
      <c r="G21" s="170"/>
      <c r="H21" s="169"/>
      <c r="I21" s="169"/>
      <c r="J21" s="2587"/>
      <c r="K21" s="2607"/>
      <c r="L21" s="2607"/>
      <c r="M21" s="2587"/>
      <c r="N21" s="2587"/>
      <c r="O21" s="2587"/>
      <c r="P21" s="2607"/>
      <c r="Q21" s="2767"/>
      <c r="R21" s="2768"/>
      <c r="S21" s="2742"/>
      <c r="T21" s="2769"/>
      <c r="U21" s="179" t="s">
        <v>118</v>
      </c>
      <c r="V21" s="175">
        <v>360000</v>
      </c>
      <c r="W21" s="176">
        <v>20</v>
      </c>
      <c r="X21" s="177" t="s">
        <v>106</v>
      </c>
      <c r="Y21" s="2747"/>
      <c r="Z21" s="2755"/>
      <c r="AA21" s="2747"/>
      <c r="AB21" s="2747"/>
      <c r="AC21" s="2747"/>
      <c r="AD21" s="2747"/>
      <c r="AE21" s="2747"/>
      <c r="AF21" s="2747"/>
      <c r="AG21" s="2747"/>
      <c r="AH21" s="2747"/>
      <c r="AI21" s="2747"/>
      <c r="AJ21" s="2747"/>
      <c r="AK21" s="2747"/>
      <c r="AL21" s="2747"/>
      <c r="AM21" s="2747"/>
      <c r="AN21" s="2747"/>
      <c r="AO21" s="2568"/>
      <c r="AP21" s="2568"/>
      <c r="AQ21" s="2550"/>
    </row>
    <row r="22" spans="1:43" ht="45.75" customHeight="1" x14ac:dyDescent="0.2">
      <c r="A22" s="168"/>
      <c r="B22" s="169"/>
      <c r="C22" s="169"/>
      <c r="D22" s="170"/>
      <c r="E22" s="169"/>
      <c r="F22" s="171"/>
      <c r="G22" s="170"/>
      <c r="H22" s="169"/>
      <c r="I22" s="169"/>
      <c r="J22" s="2587"/>
      <c r="K22" s="2607"/>
      <c r="L22" s="2607"/>
      <c r="M22" s="2587"/>
      <c r="N22" s="2587"/>
      <c r="O22" s="2587"/>
      <c r="P22" s="2607"/>
      <c r="Q22" s="2767"/>
      <c r="R22" s="2768"/>
      <c r="S22" s="2742"/>
      <c r="T22" s="2769"/>
      <c r="U22" s="179" t="s">
        <v>119</v>
      </c>
      <c r="V22" s="180">
        <v>360000</v>
      </c>
      <c r="W22" s="176">
        <v>20</v>
      </c>
      <c r="X22" s="177" t="s">
        <v>106</v>
      </c>
      <c r="Y22" s="2747"/>
      <c r="Z22" s="2755"/>
      <c r="AA22" s="2747"/>
      <c r="AB22" s="2747"/>
      <c r="AC22" s="2747"/>
      <c r="AD22" s="2747"/>
      <c r="AE22" s="2747"/>
      <c r="AF22" s="2747"/>
      <c r="AG22" s="2747"/>
      <c r="AH22" s="2747"/>
      <c r="AI22" s="2747"/>
      <c r="AJ22" s="2747"/>
      <c r="AK22" s="2747"/>
      <c r="AL22" s="2747"/>
      <c r="AM22" s="2747"/>
      <c r="AN22" s="2747"/>
      <c r="AO22" s="2568"/>
      <c r="AP22" s="2568"/>
      <c r="AQ22" s="2550"/>
    </row>
    <row r="23" spans="1:43" ht="45.75" customHeight="1" x14ac:dyDescent="0.2">
      <c r="A23" s="168"/>
      <c r="B23" s="169"/>
      <c r="C23" s="169"/>
      <c r="D23" s="170"/>
      <c r="E23" s="169"/>
      <c r="F23" s="171"/>
      <c r="G23" s="170"/>
      <c r="H23" s="169"/>
      <c r="I23" s="169"/>
      <c r="J23" s="2587"/>
      <c r="K23" s="2607"/>
      <c r="L23" s="2607"/>
      <c r="M23" s="2587"/>
      <c r="N23" s="2587"/>
      <c r="O23" s="2587"/>
      <c r="P23" s="2607"/>
      <c r="Q23" s="2767"/>
      <c r="R23" s="2768"/>
      <c r="S23" s="2742"/>
      <c r="T23" s="2769"/>
      <c r="U23" s="179" t="s">
        <v>120</v>
      </c>
      <c r="V23" s="180">
        <v>360000</v>
      </c>
      <c r="W23" s="176">
        <v>20</v>
      </c>
      <c r="X23" s="177" t="s">
        <v>106</v>
      </c>
      <c r="Y23" s="2747"/>
      <c r="Z23" s="2755"/>
      <c r="AA23" s="2747"/>
      <c r="AB23" s="2747"/>
      <c r="AC23" s="2747"/>
      <c r="AD23" s="2747"/>
      <c r="AE23" s="2747"/>
      <c r="AF23" s="2747"/>
      <c r="AG23" s="2747"/>
      <c r="AH23" s="2747"/>
      <c r="AI23" s="2747"/>
      <c r="AJ23" s="2747"/>
      <c r="AK23" s="2747"/>
      <c r="AL23" s="2747"/>
      <c r="AM23" s="2747"/>
      <c r="AN23" s="2747"/>
      <c r="AO23" s="2568"/>
      <c r="AP23" s="2568"/>
      <c r="AQ23" s="2550"/>
    </row>
    <row r="24" spans="1:43" ht="45.75" customHeight="1" x14ac:dyDescent="0.2">
      <c r="A24" s="168"/>
      <c r="B24" s="169"/>
      <c r="C24" s="169"/>
      <c r="D24" s="170"/>
      <c r="E24" s="169"/>
      <c r="F24" s="171"/>
      <c r="G24" s="170"/>
      <c r="H24" s="169"/>
      <c r="I24" s="169"/>
      <c r="J24" s="2587"/>
      <c r="K24" s="2607"/>
      <c r="L24" s="2607"/>
      <c r="M24" s="2587"/>
      <c r="N24" s="2587"/>
      <c r="O24" s="2587"/>
      <c r="P24" s="2607"/>
      <c r="Q24" s="2767"/>
      <c r="R24" s="2768"/>
      <c r="S24" s="2742"/>
      <c r="T24" s="2769"/>
      <c r="U24" s="179" t="s">
        <v>121</v>
      </c>
      <c r="V24" s="180">
        <v>360000</v>
      </c>
      <c r="W24" s="176">
        <v>20</v>
      </c>
      <c r="X24" s="177" t="s">
        <v>106</v>
      </c>
      <c r="Y24" s="2747"/>
      <c r="Z24" s="2755"/>
      <c r="AA24" s="2747"/>
      <c r="AB24" s="2747"/>
      <c r="AC24" s="2747"/>
      <c r="AD24" s="2747"/>
      <c r="AE24" s="2747"/>
      <c r="AF24" s="2747"/>
      <c r="AG24" s="2747"/>
      <c r="AH24" s="2747"/>
      <c r="AI24" s="2747"/>
      <c r="AJ24" s="2747"/>
      <c r="AK24" s="2747"/>
      <c r="AL24" s="2747"/>
      <c r="AM24" s="2747"/>
      <c r="AN24" s="2747"/>
      <c r="AO24" s="2568"/>
      <c r="AP24" s="2568"/>
      <c r="AQ24" s="2550"/>
    </row>
    <row r="25" spans="1:43" ht="45.75" customHeight="1" x14ac:dyDescent="0.2">
      <c r="A25" s="168"/>
      <c r="B25" s="169"/>
      <c r="C25" s="169"/>
      <c r="D25" s="170"/>
      <c r="E25" s="169"/>
      <c r="F25" s="171"/>
      <c r="G25" s="170"/>
      <c r="H25" s="169"/>
      <c r="I25" s="169"/>
      <c r="J25" s="2587"/>
      <c r="K25" s="2607"/>
      <c r="L25" s="2607"/>
      <c r="M25" s="2587"/>
      <c r="N25" s="2587"/>
      <c r="O25" s="2587"/>
      <c r="P25" s="2607"/>
      <c r="Q25" s="2767"/>
      <c r="R25" s="2768"/>
      <c r="S25" s="2742"/>
      <c r="T25" s="2769"/>
      <c r="U25" s="179" t="s">
        <v>122</v>
      </c>
      <c r="V25" s="180">
        <v>360000</v>
      </c>
      <c r="W25" s="176">
        <v>20</v>
      </c>
      <c r="X25" s="177" t="s">
        <v>106</v>
      </c>
      <c r="Y25" s="2747"/>
      <c r="Z25" s="2755"/>
      <c r="AA25" s="2747"/>
      <c r="AB25" s="2747"/>
      <c r="AC25" s="2747"/>
      <c r="AD25" s="2747"/>
      <c r="AE25" s="2747"/>
      <c r="AF25" s="2747"/>
      <c r="AG25" s="2747"/>
      <c r="AH25" s="2747"/>
      <c r="AI25" s="2747"/>
      <c r="AJ25" s="2747"/>
      <c r="AK25" s="2747"/>
      <c r="AL25" s="2747"/>
      <c r="AM25" s="2747"/>
      <c r="AN25" s="2747"/>
      <c r="AO25" s="2568"/>
      <c r="AP25" s="2568"/>
      <c r="AQ25" s="2550"/>
    </row>
    <row r="26" spans="1:43" ht="45.75" customHeight="1" x14ac:dyDescent="0.2">
      <c r="A26" s="168"/>
      <c r="B26" s="169"/>
      <c r="C26" s="169"/>
      <c r="D26" s="170"/>
      <c r="E26" s="169"/>
      <c r="F26" s="171"/>
      <c r="G26" s="170"/>
      <c r="H26" s="169"/>
      <c r="I26" s="169"/>
      <c r="J26" s="2587"/>
      <c r="K26" s="2607"/>
      <c r="L26" s="2607"/>
      <c r="M26" s="2587"/>
      <c r="N26" s="2587"/>
      <c r="O26" s="2587"/>
      <c r="P26" s="2607"/>
      <c r="Q26" s="2767"/>
      <c r="R26" s="2768"/>
      <c r="S26" s="2742"/>
      <c r="T26" s="2769"/>
      <c r="U26" s="179" t="s">
        <v>123</v>
      </c>
      <c r="V26" s="180">
        <v>360000</v>
      </c>
      <c r="W26" s="176">
        <v>20</v>
      </c>
      <c r="X26" s="177" t="s">
        <v>106</v>
      </c>
      <c r="Y26" s="2747"/>
      <c r="Z26" s="2755"/>
      <c r="AA26" s="2747"/>
      <c r="AB26" s="2747"/>
      <c r="AC26" s="2747"/>
      <c r="AD26" s="2747"/>
      <c r="AE26" s="2747"/>
      <c r="AF26" s="2747"/>
      <c r="AG26" s="2747"/>
      <c r="AH26" s="2747"/>
      <c r="AI26" s="2747"/>
      <c r="AJ26" s="2747"/>
      <c r="AK26" s="2747"/>
      <c r="AL26" s="2747"/>
      <c r="AM26" s="2747"/>
      <c r="AN26" s="2747"/>
      <c r="AO26" s="2568"/>
      <c r="AP26" s="2568"/>
      <c r="AQ26" s="2550"/>
    </row>
    <row r="27" spans="1:43" ht="96" customHeight="1" x14ac:dyDescent="0.2">
      <c r="A27" s="168"/>
      <c r="B27" s="169"/>
      <c r="C27" s="169"/>
      <c r="D27" s="170"/>
      <c r="E27" s="169"/>
      <c r="F27" s="171"/>
      <c r="G27" s="170"/>
      <c r="H27" s="169"/>
      <c r="I27" s="169"/>
      <c r="J27" s="2587"/>
      <c r="K27" s="2607"/>
      <c r="L27" s="2607"/>
      <c r="M27" s="2587"/>
      <c r="N27" s="2587"/>
      <c r="O27" s="2587"/>
      <c r="P27" s="2607"/>
      <c r="Q27" s="2767"/>
      <c r="R27" s="2768"/>
      <c r="S27" s="2742"/>
      <c r="T27" s="2769"/>
      <c r="U27" s="179" t="s">
        <v>124</v>
      </c>
      <c r="V27" s="180">
        <v>360000</v>
      </c>
      <c r="W27" s="176">
        <v>20</v>
      </c>
      <c r="X27" s="177" t="s">
        <v>106</v>
      </c>
      <c r="Y27" s="2747"/>
      <c r="Z27" s="2755"/>
      <c r="AA27" s="2747"/>
      <c r="AB27" s="2747"/>
      <c r="AC27" s="2747"/>
      <c r="AD27" s="2747"/>
      <c r="AE27" s="2747"/>
      <c r="AF27" s="2747"/>
      <c r="AG27" s="2747"/>
      <c r="AH27" s="2747"/>
      <c r="AI27" s="2747"/>
      <c r="AJ27" s="2747"/>
      <c r="AK27" s="2747"/>
      <c r="AL27" s="2747"/>
      <c r="AM27" s="2747"/>
      <c r="AN27" s="2747"/>
      <c r="AO27" s="2568"/>
      <c r="AP27" s="2568"/>
      <c r="AQ27" s="2550"/>
    </row>
    <row r="28" spans="1:43" ht="73.5" customHeight="1" x14ac:dyDescent="0.2">
      <c r="A28" s="168"/>
      <c r="B28" s="169"/>
      <c r="C28" s="169"/>
      <c r="D28" s="170"/>
      <c r="E28" s="169"/>
      <c r="F28" s="171"/>
      <c r="G28" s="170"/>
      <c r="H28" s="169"/>
      <c r="I28" s="169"/>
      <c r="J28" s="2587"/>
      <c r="K28" s="2607"/>
      <c r="L28" s="2607"/>
      <c r="M28" s="2587"/>
      <c r="N28" s="2587"/>
      <c r="O28" s="2587"/>
      <c r="P28" s="2607"/>
      <c r="Q28" s="2767"/>
      <c r="R28" s="2768"/>
      <c r="S28" s="2742"/>
      <c r="T28" s="2769"/>
      <c r="U28" s="179" t="s">
        <v>125</v>
      </c>
      <c r="V28" s="180">
        <v>360000</v>
      </c>
      <c r="W28" s="176">
        <v>20</v>
      </c>
      <c r="X28" s="177" t="s">
        <v>106</v>
      </c>
      <c r="Y28" s="2747"/>
      <c r="Z28" s="2755"/>
      <c r="AA28" s="2747"/>
      <c r="AB28" s="2747"/>
      <c r="AC28" s="2747"/>
      <c r="AD28" s="2747"/>
      <c r="AE28" s="2747"/>
      <c r="AF28" s="2747"/>
      <c r="AG28" s="2747"/>
      <c r="AH28" s="2747"/>
      <c r="AI28" s="2747"/>
      <c r="AJ28" s="2747"/>
      <c r="AK28" s="2747"/>
      <c r="AL28" s="2747"/>
      <c r="AM28" s="2747"/>
      <c r="AN28" s="2747"/>
      <c r="AO28" s="2568"/>
      <c r="AP28" s="2568"/>
      <c r="AQ28" s="2550"/>
    </row>
    <row r="29" spans="1:43" ht="52.5" customHeight="1" x14ac:dyDescent="0.2">
      <c r="A29" s="168"/>
      <c r="B29" s="169"/>
      <c r="C29" s="169"/>
      <c r="D29" s="170"/>
      <c r="E29" s="169"/>
      <c r="F29" s="171"/>
      <c r="G29" s="170"/>
      <c r="H29" s="169"/>
      <c r="I29" s="169"/>
      <c r="J29" s="2587"/>
      <c r="K29" s="2607"/>
      <c r="L29" s="2607"/>
      <c r="M29" s="2587"/>
      <c r="N29" s="2587"/>
      <c r="O29" s="2587"/>
      <c r="P29" s="2607"/>
      <c r="Q29" s="2767"/>
      <c r="R29" s="2768"/>
      <c r="S29" s="2742"/>
      <c r="T29" s="2769"/>
      <c r="U29" s="179" t="s">
        <v>126</v>
      </c>
      <c r="V29" s="181">
        <v>5400000</v>
      </c>
      <c r="W29" s="176">
        <v>20</v>
      </c>
      <c r="X29" s="177" t="s">
        <v>106</v>
      </c>
      <c r="Y29" s="2747"/>
      <c r="Z29" s="2755"/>
      <c r="AA29" s="2747"/>
      <c r="AB29" s="2747"/>
      <c r="AC29" s="2747"/>
      <c r="AD29" s="2747"/>
      <c r="AE29" s="2747"/>
      <c r="AF29" s="2747"/>
      <c r="AG29" s="2747"/>
      <c r="AH29" s="2747"/>
      <c r="AI29" s="2747"/>
      <c r="AJ29" s="2747"/>
      <c r="AK29" s="2747"/>
      <c r="AL29" s="2747"/>
      <c r="AM29" s="2747"/>
      <c r="AN29" s="2747"/>
      <c r="AO29" s="2568"/>
      <c r="AP29" s="2568"/>
      <c r="AQ29" s="2550"/>
    </row>
    <row r="30" spans="1:43" ht="124.5" customHeight="1" x14ac:dyDescent="0.2">
      <c r="A30" s="168"/>
      <c r="B30" s="169"/>
      <c r="C30" s="169"/>
      <c r="D30" s="170"/>
      <c r="E30" s="169"/>
      <c r="F30" s="171"/>
      <c r="G30" s="170"/>
      <c r="H30" s="169"/>
      <c r="I30" s="169"/>
      <c r="J30" s="2587"/>
      <c r="K30" s="2607"/>
      <c r="L30" s="2607"/>
      <c r="M30" s="2587"/>
      <c r="N30" s="2587"/>
      <c r="O30" s="2587"/>
      <c r="P30" s="2607"/>
      <c r="Q30" s="2767"/>
      <c r="R30" s="2768"/>
      <c r="S30" s="2742"/>
      <c r="T30" s="2769"/>
      <c r="U30" s="179" t="s">
        <v>127</v>
      </c>
      <c r="V30" s="181">
        <v>3600000</v>
      </c>
      <c r="W30" s="176">
        <v>20</v>
      </c>
      <c r="X30" s="177" t="s">
        <v>106</v>
      </c>
      <c r="Y30" s="2747"/>
      <c r="Z30" s="2755"/>
      <c r="AA30" s="2747"/>
      <c r="AB30" s="2747"/>
      <c r="AC30" s="2747"/>
      <c r="AD30" s="2747"/>
      <c r="AE30" s="2747"/>
      <c r="AF30" s="2747"/>
      <c r="AG30" s="2747"/>
      <c r="AH30" s="2747"/>
      <c r="AI30" s="2747"/>
      <c r="AJ30" s="2747"/>
      <c r="AK30" s="2747"/>
      <c r="AL30" s="2747"/>
      <c r="AM30" s="2747"/>
      <c r="AN30" s="2747"/>
      <c r="AO30" s="2568"/>
      <c r="AP30" s="2568"/>
      <c r="AQ30" s="2550"/>
    </row>
    <row r="31" spans="1:43" ht="45.75" customHeight="1" x14ac:dyDescent="0.2">
      <c r="A31" s="168"/>
      <c r="B31" s="169"/>
      <c r="C31" s="169"/>
      <c r="D31" s="170"/>
      <c r="E31" s="169"/>
      <c r="F31" s="171"/>
      <c r="G31" s="170"/>
      <c r="H31" s="169"/>
      <c r="I31" s="169"/>
      <c r="J31" s="2587"/>
      <c r="K31" s="2607"/>
      <c r="L31" s="2607"/>
      <c r="M31" s="2587"/>
      <c r="N31" s="2587"/>
      <c r="O31" s="2587"/>
      <c r="P31" s="2607"/>
      <c r="Q31" s="2767"/>
      <c r="R31" s="2768"/>
      <c r="S31" s="2742"/>
      <c r="T31" s="2769"/>
      <c r="U31" s="179" t="s">
        <v>128</v>
      </c>
      <c r="V31" s="181">
        <v>1200000</v>
      </c>
      <c r="W31" s="176">
        <v>20</v>
      </c>
      <c r="X31" s="177" t="s">
        <v>106</v>
      </c>
      <c r="Y31" s="2747"/>
      <c r="Z31" s="2755"/>
      <c r="AA31" s="2747"/>
      <c r="AB31" s="2747"/>
      <c r="AC31" s="2747"/>
      <c r="AD31" s="2747"/>
      <c r="AE31" s="2747"/>
      <c r="AF31" s="2747"/>
      <c r="AG31" s="2747"/>
      <c r="AH31" s="2747"/>
      <c r="AI31" s="2747"/>
      <c r="AJ31" s="2747"/>
      <c r="AK31" s="2747"/>
      <c r="AL31" s="2747"/>
      <c r="AM31" s="2747"/>
      <c r="AN31" s="2747"/>
      <c r="AO31" s="2568"/>
      <c r="AP31" s="2568"/>
      <c r="AQ31" s="2550"/>
    </row>
    <row r="32" spans="1:43" ht="45.75" customHeight="1" x14ac:dyDescent="0.2">
      <c r="A32" s="168"/>
      <c r="B32" s="169"/>
      <c r="C32" s="169"/>
      <c r="D32" s="170"/>
      <c r="E32" s="169"/>
      <c r="F32" s="171"/>
      <c r="G32" s="182"/>
      <c r="H32" s="169"/>
      <c r="I32" s="169"/>
      <c r="J32" s="2587"/>
      <c r="K32" s="2607"/>
      <c r="L32" s="2607"/>
      <c r="M32" s="2587"/>
      <c r="N32" s="2587"/>
      <c r="O32" s="2587"/>
      <c r="P32" s="2607"/>
      <c r="Q32" s="2767"/>
      <c r="R32" s="2768"/>
      <c r="S32" s="2616"/>
      <c r="T32" s="2769"/>
      <c r="U32" s="179" t="s">
        <v>129</v>
      </c>
      <c r="V32" s="181">
        <v>40000</v>
      </c>
      <c r="W32" s="176">
        <v>20</v>
      </c>
      <c r="X32" s="177" t="s">
        <v>106</v>
      </c>
      <c r="Y32" s="2747"/>
      <c r="Z32" s="2755"/>
      <c r="AA32" s="2747"/>
      <c r="AB32" s="2747"/>
      <c r="AC32" s="2747"/>
      <c r="AD32" s="2747"/>
      <c r="AE32" s="2747"/>
      <c r="AF32" s="2747"/>
      <c r="AG32" s="2747"/>
      <c r="AH32" s="2747"/>
      <c r="AI32" s="2747"/>
      <c r="AJ32" s="2747"/>
      <c r="AK32" s="2747"/>
      <c r="AL32" s="2747"/>
      <c r="AM32" s="2747"/>
      <c r="AN32" s="2747"/>
      <c r="AO32" s="2568"/>
      <c r="AP32" s="2568"/>
      <c r="AQ32" s="2550"/>
    </row>
    <row r="33" spans="1:43" ht="45.75" customHeight="1" x14ac:dyDescent="0.2">
      <c r="A33" s="183"/>
      <c r="B33" s="184"/>
      <c r="C33" s="184"/>
      <c r="D33" s="185"/>
      <c r="E33" s="184"/>
      <c r="G33" s="157">
        <v>84</v>
      </c>
      <c r="H33" s="2751" t="s">
        <v>130</v>
      </c>
      <c r="I33" s="2751"/>
      <c r="J33" s="2751"/>
      <c r="K33" s="2751"/>
      <c r="L33" s="158"/>
      <c r="M33" s="159"/>
      <c r="N33" s="159"/>
      <c r="O33" s="159"/>
      <c r="P33" s="158"/>
      <c r="Q33" s="160"/>
      <c r="R33" s="187"/>
      <c r="S33" s="188"/>
      <c r="T33" s="188"/>
      <c r="U33" s="189"/>
      <c r="V33" s="190"/>
      <c r="W33" s="191"/>
      <c r="X33" s="192"/>
      <c r="Y33" s="193"/>
      <c r="Z33" s="194"/>
      <c r="AA33" s="193"/>
      <c r="AB33" s="193"/>
      <c r="AC33" s="193"/>
      <c r="AD33" s="193"/>
      <c r="AE33" s="193"/>
      <c r="AF33" s="193"/>
      <c r="AG33" s="193"/>
      <c r="AH33" s="193"/>
      <c r="AI33" s="193"/>
      <c r="AJ33" s="193"/>
      <c r="AK33" s="193"/>
      <c r="AL33" s="193"/>
      <c r="AM33" s="193"/>
      <c r="AN33" s="193"/>
      <c r="AO33" s="195"/>
      <c r="AP33" s="196"/>
      <c r="AQ33" s="197"/>
    </row>
    <row r="34" spans="1:43" ht="45.75" customHeight="1" x14ac:dyDescent="0.2">
      <c r="A34" s="198"/>
      <c r="D34" s="199"/>
      <c r="G34" s="199"/>
      <c r="J34" s="2587">
        <v>248</v>
      </c>
      <c r="K34" s="2607" t="s">
        <v>131</v>
      </c>
      <c r="L34" s="2607" t="s">
        <v>132</v>
      </c>
      <c r="M34" s="2752">
        <v>12</v>
      </c>
      <c r="N34" s="2587" t="s">
        <v>133</v>
      </c>
      <c r="O34" s="2587" t="s">
        <v>134</v>
      </c>
      <c r="P34" s="2607" t="s">
        <v>135</v>
      </c>
      <c r="Q34" s="2604">
        <v>1</v>
      </c>
      <c r="R34" s="2753">
        <f>SUM(V34:V49)</f>
        <v>58500000</v>
      </c>
      <c r="S34" s="2619" t="s">
        <v>136</v>
      </c>
      <c r="T34" s="2617" t="s">
        <v>137</v>
      </c>
      <c r="U34" s="200" t="s">
        <v>138</v>
      </c>
      <c r="V34" s="175">
        <v>500000</v>
      </c>
      <c r="W34" s="176">
        <v>20</v>
      </c>
      <c r="X34" s="177" t="s">
        <v>106</v>
      </c>
      <c r="Y34" s="2747">
        <v>294321</v>
      </c>
      <c r="Z34" s="2755">
        <v>283947</v>
      </c>
      <c r="AA34" s="2747">
        <v>135754</v>
      </c>
      <c r="AB34" s="2747">
        <v>44640</v>
      </c>
      <c r="AC34" s="2747">
        <v>308178</v>
      </c>
      <c r="AD34" s="2747">
        <v>89696</v>
      </c>
      <c r="AE34" s="2747">
        <v>2145</v>
      </c>
      <c r="AF34" s="2747">
        <v>12718</v>
      </c>
      <c r="AG34" s="2747">
        <v>26</v>
      </c>
      <c r="AH34" s="2747">
        <v>37</v>
      </c>
      <c r="AI34" s="2747"/>
      <c r="AJ34" s="2747"/>
      <c r="AK34" s="2747">
        <v>54612</v>
      </c>
      <c r="AL34" s="2747">
        <v>16982</v>
      </c>
      <c r="AM34" s="2747">
        <v>1010</v>
      </c>
      <c r="AN34" s="2747">
        <f>Y34+Z34</f>
        <v>578268</v>
      </c>
      <c r="AO34" s="2568">
        <v>43102</v>
      </c>
      <c r="AP34" s="2568">
        <v>43465</v>
      </c>
      <c r="AQ34" s="2550" t="s">
        <v>107</v>
      </c>
    </row>
    <row r="35" spans="1:43" ht="45.75" customHeight="1" x14ac:dyDescent="0.2">
      <c r="A35" s="198"/>
      <c r="D35" s="199"/>
      <c r="G35" s="199"/>
      <c r="J35" s="2587"/>
      <c r="K35" s="2607"/>
      <c r="L35" s="2607"/>
      <c r="M35" s="2752"/>
      <c r="N35" s="2587"/>
      <c r="O35" s="2587"/>
      <c r="P35" s="2607"/>
      <c r="Q35" s="2604"/>
      <c r="R35" s="2753"/>
      <c r="S35" s="2619"/>
      <c r="T35" s="2742"/>
      <c r="U35" s="200" t="s">
        <v>139</v>
      </c>
      <c r="V35" s="201">
        <v>500000</v>
      </c>
      <c r="W35" s="202">
        <v>88</v>
      </c>
      <c r="X35" s="203" t="s">
        <v>140</v>
      </c>
      <c r="Y35" s="2747"/>
      <c r="Z35" s="2755"/>
      <c r="AA35" s="2747"/>
      <c r="AB35" s="2747"/>
      <c r="AC35" s="2747"/>
      <c r="AD35" s="2747"/>
      <c r="AE35" s="2747"/>
      <c r="AF35" s="2747"/>
      <c r="AG35" s="2747"/>
      <c r="AH35" s="2747"/>
      <c r="AI35" s="2747"/>
      <c r="AJ35" s="2747"/>
      <c r="AK35" s="2747"/>
      <c r="AL35" s="2747"/>
      <c r="AM35" s="2747"/>
      <c r="AN35" s="2747"/>
      <c r="AO35" s="2568"/>
      <c r="AP35" s="2568"/>
      <c r="AQ35" s="2550"/>
    </row>
    <row r="36" spans="1:43" ht="45.75" customHeight="1" x14ac:dyDescent="0.2">
      <c r="A36" s="198"/>
      <c r="D36" s="199"/>
      <c r="G36" s="199"/>
      <c r="J36" s="2587"/>
      <c r="K36" s="2607"/>
      <c r="L36" s="2607"/>
      <c r="M36" s="2752"/>
      <c r="N36" s="2587"/>
      <c r="O36" s="2587"/>
      <c r="P36" s="2607"/>
      <c r="Q36" s="2604"/>
      <c r="R36" s="2753"/>
      <c r="S36" s="2619"/>
      <c r="T36" s="2742"/>
      <c r="U36" s="200" t="s">
        <v>141</v>
      </c>
      <c r="V36" s="204">
        <v>500000</v>
      </c>
      <c r="W36" s="205">
        <v>20</v>
      </c>
      <c r="X36" s="206" t="s">
        <v>106</v>
      </c>
      <c r="Y36" s="2747"/>
      <c r="Z36" s="2755"/>
      <c r="AA36" s="2747"/>
      <c r="AB36" s="2747"/>
      <c r="AC36" s="2747"/>
      <c r="AD36" s="2747"/>
      <c r="AE36" s="2747"/>
      <c r="AF36" s="2747"/>
      <c r="AG36" s="2747"/>
      <c r="AH36" s="2747"/>
      <c r="AI36" s="2747"/>
      <c r="AJ36" s="2747"/>
      <c r="AK36" s="2747"/>
      <c r="AL36" s="2747"/>
      <c r="AM36" s="2747"/>
      <c r="AN36" s="2747"/>
      <c r="AO36" s="2568"/>
      <c r="AP36" s="2568"/>
      <c r="AQ36" s="2550"/>
    </row>
    <row r="37" spans="1:43" ht="45.75" customHeight="1" x14ac:dyDescent="0.2">
      <c r="A37" s="198"/>
      <c r="D37" s="199"/>
      <c r="G37" s="199"/>
      <c r="J37" s="2587"/>
      <c r="K37" s="2607"/>
      <c r="L37" s="2607"/>
      <c r="M37" s="2752"/>
      <c r="N37" s="2587"/>
      <c r="O37" s="2587"/>
      <c r="P37" s="2607"/>
      <c r="Q37" s="2604"/>
      <c r="R37" s="2753"/>
      <c r="S37" s="2619"/>
      <c r="T37" s="2742"/>
      <c r="U37" s="200" t="s">
        <v>142</v>
      </c>
      <c r="V37" s="201">
        <v>1000000</v>
      </c>
      <c r="W37" s="202">
        <v>88</v>
      </c>
      <c r="X37" s="203" t="s">
        <v>140</v>
      </c>
      <c r="Y37" s="2747"/>
      <c r="Z37" s="2755"/>
      <c r="AA37" s="2747"/>
      <c r="AB37" s="2747"/>
      <c r="AC37" s="2747"/>
      <c r="AD37" s="2747"/>
      <c r="AE37" s="2747"/>
      <c r="AF37" s="2747"/>
      <c r="AG37" s="2747"/>
      <c r="AH37" s="2747"/>
      <c r="AI37" s="2747"/>
      <c r="AJ37" s="2747"/>
      <c r="AK37" s="2747"/>
      <c r="AL37" s="2747"/>
      <c r="AM37" s="2747"/>
      <c r="AN37" s="2747"/>
      <c r="AO37" s="2568"/>
      <c r="AP37" s="2568"/>
      <c r="AQ37" s="2550"/>
    </row>
    <row r="38" spans="1:43" ht="45.75" customHeight="1" x14ac:dyDescent="0.2">
      <c r="A38" s="198"/>
      <c r="D38" s="199"/>
      <c r="G38" s="199"/>
      <c r="J38" s="2587"/>
      <c r="K38" s="2607"/>
      <c r="L38" s="2607"/>
      <c r="M38" s="2752"/>
      <c r="N38" s="2587"/>
      <c r="O38" s="2587"/>
      <c r="P38" s="2607"/>
      <c r="Q38" s="2604"/>
      <c r="R38" s="2753"/>
      <c r="S38" s="2619"/>
      <c r="T38" s="2742"/>
      <c r="U38" s="200" t="s">
        <v>143</v>
      </c>
      <c r="V38" s="204">
        <v>1000000</v>
      </c>
      <c r="W38" s="205">
        <v>20</v>
      </c>
      <c r="X38" s="206" t="s">
        <v>106</v>
      </c>
      <c r="Y38" s="2747"/>
      <c r="Z38" s="2755"/>
      <c r="AA38" s="2747"/>
      <c r="AB38" s="2747"/>
      <c r="AC38" s="2747"/>
      <c r="AD38" s="2747"/>
      <c r="AE38" s="2747"/>
      <c r="AF38" s="2747"/>
      <c r="AG38" s="2747"/>
      <c r="AH38" s="2747"/>
      <c r="AI38" s="2747"/>
      <c r="AJ38" s="2747"/>
      <c r="AK38" s="2747"/>
      <c r="AL38" s="2747"/>
      <c r="AM38" s="2747"/>
      <c r="AN38" s="2747"/>
      <c r="AO38" s="2568"/>
      <c r="AP38" s="2568"/>
      <c r="AQ38" s="2550"/>
    </row>
    <row r="39" spans="1:43" ht="45.75" customHeight="1" x14ac:dyDescent="0.2">
      <c r="A39" s="198"/>
      <c r="D39" s="199"/>
      <c r="G39" s="199"/>
      <c r="J39" s="2587"/>
      <c r="K39" s="2607"/>
      <c r="L39" s="2607"/>
      <c r="M39" s="2752"/>
      <c r="N39" s="2587"/>
      <c r="O39" s="2587"/>
      <c r="P39" s="2607"/>
      <c r="Q39" s="2604"/>
      <c r="R39" s="2753"/>
      <c r="S39" s="2619"/>
      <c r="T39" s="2742"/>
      <c r="U39" s="200" t="s">
        <v>144</v>
      </c>
      <c r="V39" s="201">
        <v>1500000</v>
      </c>
      <c r="W39" s="202">
        <v>88</v>
      </c>
      <c r="X39" s="203" t="s">
        <v>140</v>
      </c>
      <c r="Y39" s="2747"/>
      <c r="Z39" s="2755"/>
      <c r="AA39" s="2747"/>
      <c r="AB39" s="2747"/>
      <c r="AC39" s="2747"/>
      <c r="AD39" s="2747"/>
      <c r="AE39" s="2747"/>
      <c r="AF39" s="2747"/>
      <c r="AG39" s="2747"/>
      <c r="AH39" s="2747"/>
      <c r="AI39" s="2747"/>
      <c r="AJ39" s="2747"/>
      <c r="AK39" s="2747"/>
      <c r="AL39" s="2747"/>
      <c r="AM39" s="2747"/>
      <c r="AN39" s="2747"/>
      <c r="AO39" s="2568"/>
      <c r="AP39" s="2568"/>
      <c r="AQ39" s="2550"/>
    </row>
    <row r="40" spans="1:43" ht="45.75" customHeight="1" x14ac:dyDescent="0.2">
      <c r="A40" s="198"/>
      <c r="D40" s="199"/>
      <c r="G40" s="199"/>
      <c r="J40" s="2587"/>
      <c r="K40" s="2607"/>
      <c r="L40" s="2607"/>
      <c r="M40" s="2752"/>
      <c r="N40" s="2587"/>
      <c r="O40" s="2587"/>
      <c r="P40" s="2607"/>
      <c r="Q40" s="2604"/>
      <c r="R40" s="2753"/>
      <c r="S40" s="2619"/>
      <c r="T40" s="2742"/>
      <c r="U40" s="200" t="s">
        <v>145</v>
      </c>
      <c r="V40" s="204">
        <v>500000</v>
      </c>
      <c r="W40" s="205">
        <v>20</v>
      </c>
      <c r="X40" s="206" t="s">
        <v>106</v>
      </c>
      <c r="Y40" s="2747"/>
      <c r="Z40" s="2755"/>
      <c r="AA40" s="2747"/>
      <c r="AB40" s="2747"/>
      <c r="AC40" s="2747"/>
      <c r="AD40" s="2747"/>
      <c r="AE40" s="2747"/>
      <c r="AF40" s="2747"/>
      <c r="AG40" s="2747"/>
      <c r="AH40" s="2747"/>
      <c r="AI40" s="2747"/>
      <c r="AJ40" s="2747"/>
      <c r="AK40" s="2747"/>
      <c r="AL40" s="2747"/>
      <c r="AM40" s="2747"/>
      <c r="AN40" s="2747"/>
      <c r="AO40" s="2568"/>
      <c r="AP40" s="2568"/>
      <c r="AQ40" s="2550"/>
    </row>
    <row r="41" spans="1:43" ht="45.75" customHeight="1" x14ac:dyDescent="0.2">
      <c r="A41" s="198"/>
      <c r="D41" s="199"/>
      <c r="G41" s="199"/>
      <c r="J41" s="2587"/>
      <c r="K41" s="2607"/>
      <c r="L41" s="2607"/>
      <c r="M41" s="2752"/>
      <c r="N41" s="2587"/>
      <c r="O41" s="2587"/>
      <c r="P41" s="2607"/>
      <c r="Q41" s="2604"/>
      <c r="R41" s="2753"/>
      <c r="S41" s="2619"/>
      <c r="T41" s="2742"/>
      <c r="U41" s="200" t="s">
        <v>146</v>
      </c>
      <c r="V41" s="201">
        <v>1000000</v>
      </c>
      <c r="W41" s="202">
        <v>88</v>
      </c>
      <c r="X41" s="203" t="s">
        <v>140</v>
      </c>
      <c r="Y41" s="2747"/>
      <c r="Z41" s="2755"/>
      <c r="AA41" s="2747"/>
      <c r="AB41" s="2747"/>
      <c r="AC41" s="2747"/>
      <c r="AD41" s="2747"/>
      <c r="AE41" s="2747"/>
      <c r="AF41" s="2747"/>
      <c r="AG41" s="2747"/>
      <c r="AH41" s="2747"/>
      <c r="AI41" s="2747"/>
      <c r="AJ41" s="2747"/>
      <c r="AK41" s="2747"/>
      <c r="AL41" s="2747"/>
      <c r="AM41" s="2747"/>
      <c r="AN41" s="2747"/>
      <c r="AO41" s="2568"/>
      <c r="AP41" s="2568"/>
      <c r="AQ41" s="2550"/>
    </row>
    <row r="42" spans="1:43" ht="45.75" customHeight="1" x14ac:dyDescent="0.2">
      <c r="A42" s="198"/>
      <c r="D42" s="199"/>
      <c r="G42" s="199"/>
      <c r="J42" s="2587"/>
      <c r="K42" s="2607"/>
      <c r="L42" s="2607"/>
      <c r="M42" s="2752"/>
      <c r="N42" s="2587"/>
      <c r="O42" s="2587"/>
      <c r="P42" s="2607"/>
      <c r="Q42" s="2604"/>
      <c r="R42" s="2753"/>
      <c r="S42" s="2619"/>
      <c r="T42" s="2742"/>
      <c r="U42" s="200" t="s">
        <v>147</v>
      </c>
      <c r="V42" s="204">
        <v>500000</v>
      </c>
      <c r="W42" s="205">
        <v>20</v>
      </c>
      <c r="X42" s="206" t="s">
        <v>106</v>
      </c>
      <c r="Y42" s="2747"/>
      <c r="Z42" s="2755"/>
      <c r="AA42" s="2747"/>
      <c r="AB42" s="2747"/>
      <c r="AC42" s="2747"/>
      <c r="AD42" s="2747"/>
      <c r="AE42" s="2747"/>
      <c r="AF42" s="2747"/>
      <c r="AG42" s="2747"/>
      <c r="AH42" s="2747"/>
      <c r="AI42" s="2747"/>
      <c r="AJ42" s="2747"/>
      <c r="AK42" s="2747"/>
      <c r="AL42" s="2747"/>
      <c r="AM42" s="2747"/>
      <c r="AN42" s="2747"/>
      <c r="AO42" s="2568"/>
      <c r="AP42" s="2568"/>
      <c r="AQ42" s="2550"/>
    </row>
    <row r="43" spans="1:43" ht="45.75" customHeight="1" x14ac:dyDescent="0.2">
      <c r="A43" s="198"/>
      <c r="D43" s="199"/>
      <c r="G43" s="199"/>
      <c r="J43" s="2587"/>
      <c r="K43" s="2607"/>
      <c r="L43" s="2607"/>
      <c r="M43" s="2752"/>
      <c r="N43" s="2587"/>
      <c r="O43" s="2587"/>
      <c r="P43" s="2607"/>
      <c r="Q43" s="2604"/>
      <c r="R43" s="2753"/>
      <c r="S43" s="2619"/>
      <c r="T43" s="2616"/>
      <c r="U43" s="200" t="s">
        <v>148</v>
      </c>
      <c r="V43" s="201">
        <v>500000</v>
      </c>
      <c r="W43" s="202">
        <v>88</v>
      </c>
      <c r="X43" s="203" t="s">
        <v>140</v>
      </c>
      <c r="Y43" s="2747"/>
      <c r="Z43" s="2755"/>
      <c r="AA43" s="2747"/>
      <c r="AB43" s="2747"/>
      <c r="AC43" s="2747"/>
      <c r="AD43" s="2747"/>
      <c r="AE43" s="2747"/>
      <c r="AF43" s="2747"/>
      <c r="AG43" s="2747"/>
      <c r="AH43" s="2747"/>
      <c r="AI43" s="2747"/>
      <c r="AJ43" s="2747"/>
      <c r="AK43" s="2747"/>
      <c r="AL43" s="2747"/>
      <c r="AM43" s="2747"/>
      <c r="AN43" s="2747"/>
      <c r="AO43" s="2568"/>
      <c r="AP43" s="2568"/>
      <c r="AQ43" s="2550"/>
    </row>
    <row r="44" spans="1:43" ht="53.25" customHeight="1" x14ac:dyDescent="0.2">
      <c r="A44" s="198"/>
      <c r="D44" s="199"/>
      <c r="G44" s="199"/>
      <c r="J44" s="2587"/>
      <c r="K44" s="2607"/>
      <c r="L44" s="2607"/>
      <c r="M44" s="2752"/>
      <c r="N44" s="2587"/>
      <c r="O44" s="2587"/>
      <c r="P44" s="2607"/>
      <c r="Q44" s="2604"/>
      <c r="R44" s="2753"/>
      <c r="S44" s="2619"/>
      <c r="T44" s="2617" t="s">
        <v>149</v>
      </c>
      <c r="U44" s="200" t="s">
        <v>150</v>
      </c>
      <c r="V44" s="201">
        <v>15000000</v>
      </c>
      <c r="W44" s="205">
        <v>20</v>
      </c>
      <c r="X44" s="206" t="s">
        <v>106</v>
      </c>
      <c r="Y44" s="2747"/>
      <c r="Z44" s="2755"/>
      <c r="AA44" s="2747"/>
      <c r="AB44" s="2747"/>
      <c r="AC44" s="2747"/>
      <c r="AD44" s="2747"/>
      <c r="AE44" s="2747"/>
      <c r="AF44" s="2747"/>
      <c r="AG44" s="2747"/>
      <c r="AH44" s="2747"/>
      <c r="AI44" s="2747"/>
      <c r="AJ44" s="2747"/>
      <c r="AK44" s="2747"/>
      <c r="AL44" s="2747"/>
      <c r="AM44" s="2747"/>
      <c r="AN44" s="2747"/>
      <c r="AO44" s="2568"/>
      <c r="AP44" s="2568"/>
      <c r="AQ44" s="2550"/>
    </row>
    <row r="45" spans="1:43" ht="53.25" customHeight="1" x14ac:dyDescent="0.2">
      <c r="A45" s="198"/>
      <c r="D45" s="199"/>
      <c r="G45" s="199"/>
      <c r="J45" s="2587"/>
      <c r="K45" s="2607"/>
      <c r="L45" s="2607"/>
      <c r="M45" s="2752"/>
      <c r="N45" s="2587"/>
      <c r="O45" s="2587"/>
      <c r="P45" s="2607"/>
      <c r="Q45" s="2604"/>
      <c r="R45" s="2753"/>
      <c r="S45" s="2619"/>
      <c r="T45" s="2616"/>
      <c r="U45" s="200" t="s">
        <v>151</v>
      </c>
      <c r="V45" s="201">
        <v>15000000</v>
      </c>
      <c r="W45" s="202">
        <v>88</v>
      </c>
      <c r="X45" s="203" t="s">
        <v>140</v>
      </c>
      <c r="Y45" s="2747"/>
      <c r="Z45" s="2755"/>
      <c r="AA45" s="2747"/>
      <c r="AB45" s="2747"/>
      <c r="AC45" s="2747"/>
      <c r="AD45" s="2747"/>
      <c r="AE45" s="2747"/>
      <c r="AF45" s="2747"/>
      <c r="AG45" s="2747"/>
      <c r="AH45" s="2747"/>
      <c r="AI45" s="2747"/>
      <c r="AJ45" s="2747"/>
      <c r="AK45" s="2747"/>
      <c r="AL45" s="2747"/>
      <c r="AM45" s="2747"/>
      <c r="AN45" s="2747"/>
      <c r="AO45" s="2568"/>
      <c r="AP45" s="2568"/>
      <c r="AQ45" s="2550"/>
    </row>
    <row r="46" spans="1:43" ht="45.75" customHeight="1" x14ac:dyDescent="0.2">
      <c r="A46" s="198"/>
      <c r="D46" s="199"/>
      <c r="G46" s="199"/>
      <c r="J46" s="2587"/>
      <c r="K46" s="2607"/>
      <c r="L46" s="2607"/>
      <c r="M46" s="2752"/>
      <c r="N46" s="2587"/>
      <c r="O46" s="2587"/>
      <c r="P46" s="2607"/>
      <c r="Q46" s="2604"/>
      <c r="R46" s="2753"/>
      <c r="S46" s="2619"/>
      <c r="T46" s="2607" t="s">
        <v>152</v>
      </c>
      <c r="U46" s="200" t="s">
        <v>153</v>
      </c>
      <c r="V46" s="201">
        <v>3500000</v>
      </c>
      <c r="W46" s="205">
        <v>20</v>
      </c>
      <c r="X46" s="206" t="s">
        <v>106</v>
      </c>
      <c r="Y46" s="2747"/>
      <c r="Z46" s="2755"/>
      <c r="AA46" s="2747"/>
      <c r="AB46" s="2747"/>
      <c r="AC46" s="2747"/>
      <c r="AD46" s="2747"/>
      <c r="AE46" s="2747"/>
      <c r="AF46" s="2747"/>
      <c r="AG46" s="2747"/>
      <c r="AH46" s="2747"/>
      <c r="AI46" s="2747"/>
      <c r="AJ46" s="2747"/>
      <c r="AK46" s="2747"/>
      <c r="AL46" s="2747"/>
      <c r="AM46" s="2747"/>
      <c r="AN46" s="2747"/>
      <c r="AO46" s="2568"/>
      <c r="AP46" s="2568"/>
      <c r="AQ46" s="2550"/>
    </row>
    <row r="47" spans="1:43" ht="45.75" customHeight="1" x14ac:dyDescent="0.2">
      <c r="A47" s="198"/>
      <c r="D47" s="199"/>
      <c r="G47" s="199"/>
      <c r="J47" s="2587"/>
      <c r="K47" s="2607"/>
      <c r="L47" s="2607"/>
      <c r="M47" s="2752"/>
      <c r="N47" s="2587"/>
      <c r="O47" s="2587"/>
      <c r="P47" s="2607"/>
      <c r="Q47" s="2604"/>
      <c r="R47" s="2753"/>
      <c r="S47" s="2619"/>
      <c r="T47" s="2607"/>
      <c r="U47" s="200" t="s">
        <v>154</v>
      </c>
      <c r="V47" s="201">
        <v>3500000</v>
      </c>
      <c r="W47" s="202">
        <v>88</v>
      </c>
      <c r="X47" s="203" t="s">
        <v>140</v>
      </c>
      <c r="Y47" s="2747"/>
      <c r="Z47" s="2755"/>
      <c r="AA47" s="2747"/>
      <c r="AB47" s="2747"/>
      <c r="AC47" s="2747"/>
      <c r="AD47" s="2747"/>
      <c r="AE47" s="2747"/>
      <c r="AF47" s="2747"/>
      <c r="AG47" s="2747"/>
      <c r="AH47" s="2747"/>
      <c r="AI47" s="2747"/>
      <c r="AJ47" s="2747"/>
      <c r="AK47" s="2747"/>
      <c r="AL47" s="2747"/>
      <c r="AM47" s="2747"/>
      <c r="AN47" s="2747"/>
      <c r="AO47" s="2568"/>
      <c r="AP47" s="2568"/>
      <c r="AQ47" s="2550"/>
    </row>
    <row r="48" spans="1:43" ht="45.75" customHeight="1" x14ac:dyDescent="0.2">
      <c r="A48" s="198"/>
      <c r="D48" s="199"/>
      <c r="G48" s="199"/>
      <c r="J48" s="2587"/>
      <c r="K48" s="2607"/>
      <c r="L48" s="2607"/>
      <c r="M48" s="2752"/>
      <c r="N48" s="2587"/>
      <c r="O48" s="2587"/>
      <c r="P48" s="2607"/>
      <c r="Q48" s="2604"/>
      <c r="R48" s="2753"/>
      <c r="S48" s="2619"/>
      <c r="T48" s="2607"/>
      <c r="U48" s="200" t="s">
        <v>155</v>
      </c>
      <c r="V48" s="207">
        <v>7000000</v>
      </c>
      <c r="W48" s="208">
        <v>20</v>
      </c>
      <c r="X48" s="209" t="s">
        <v>106</v>
      </c>
      <c r="Y48" s="2747"/>
      <c r="Z48" s="2755"/>
      <c r="AA48" s="2747"/>
      <c r="AB48" s="2747"/>
      <c r="AC48" s="2747"/>
      <c r="AD48" s="2747"/>
      <c r="AE48" s="2747"/>
      <c r="AF48" s="2747"/>
      <c r="AG48" s="2747"/>
      <c r="AH48" s="2747"/>
      <c r="AI48" s="2747"/>
      <c r="AJ48" s="2747"/>
      <c r="AK48" s="2747"/>
      <c r="AL48" s="2747"/>
      <c r="AM48" s="2747"/>
      <c r="AN48" s="2747"/>
      <c r="AO48" s="2568"/>
      <c r="AP48" s="2568"/>
      <c r="AQ48" s="2550"/>
    </row>
    <row r="49" spans="1:43" ht="45.75" customHeight="1" x14ac:dyDescent="0.2">
      <c r="A49" s="198"/>
      <c r="D49" s="199"/>
      <c r="G49" s="210"/>
      <c r="J49" s="2587"/>
      <c r="K49" s="2607"/>
      <c r="L49" s="2607"/>
      <c r="M49" s="2752"/>
      <c r="N49" s="2587"/>
      <c r="O49" s="2587"/>
      <c r="P49" s="2607"/>
      <c r="Q49" s="2604"/>
      <c r="R49" s="2753"/>
      <c r="S49" s="2619"/>
      <c r="T49" s="2607"/>
      <c r="U49" s="211" t="s">
        <v>156</v>
      </c>
      <c r="V49" s="201">
        <v>7000000</v>
      </c>
      <c r="W49" s="212">
        <v>88</v>
      </c>
      <c r="X49" s="213" t="s">
        <v>140</v>
      </c>
      <c r="Y49" s="2754"/>
      <c r="Z49" s="2755"/>
      <c r="AA49" s="2747"/>
      <c r="AB49" s="2747"/>
      <c r="AC49" s="2747"/>
      <c r="AD49" s="2747"/>
      <c r="AE49" s="2747"/>
      <c r="AF49" s="2747"/>
      <c r="AG49" s="2747"/>
      <c r="AH49" s="2747"/>
      <c r="AI49" s="2747"/>
      <c r="AJ49" s="2747"/>
      <c r="AK49" s="2747"/>
      <c r="AL49" s="2747"/>
      <c r="AM49" s="2747"/>
      <c r="AN49" s="2747"/>
      <c r="AO49" s="2568"/>
      <c r="AP49" s="2568"/>
      <c r="AQ49" s="2550"/>
    </row>
    <row r="50" spans="1:43" ht="24.75" customHeight="1" x14ac:dyDescent="0.2">
      <c r="A50" s="183"/>
      <c r="B50" s="184"/>
      <c r="C50" s="184"/>
      <c r="D50" s="214">
        <v>27</v>
      </c>
      <c r="E50" s="2750" t="s">
        <v>157</v>
      </c>
      <c r="F50" s="2750"/>
      <c r="G50" s="2750"/>
      <c r="H50" s="2750"/>
      <c r="I50" s="2750"/>
      <c r="J50" s="2750"/>
      <c r="K50" s="2750"/>
      <c r="L50" s="215"/>
      <c r="M50" s="216"/>
      <c r="N50" s="216"/>
      <c r="O50" s="216"/>
      <c r="P50" s="215"/>
      <c r="Q50" s="217"/>
      <c r="R50" s="218"/>
      <c r="S50" s="219"/>
      <c r="T50" s="219"/>
      <c r="U50" s="220"/>
      <c r="V50" s="221"/>
      <c r="W50" s="222"/>
      <c r="X50" s="223"/>
      <c r="Y50" s="224"/>
      <c r="Z50" s="225"/>
      <c r="AA50" s="226"/>
      <c r="AB50" s="226"/>
      <c r="AC50" s="226"/>
      <c r="AD50" s="226"/>
      <c r="AE50" s="226"/>
      <c r="AF50" s="226"/>
      <c r="AG50" s="226"/>
      <c r="AH50" s="226"/>
      <c r="AI50" s="226"/>
      <c r="AJ50" s="226"/>
      <c r="AK50" s="226"/>
      <c r="AL50" s="226"/>
      <c r="AM50" s="226"/>
      <c r="AN50" s="226"/>
      <c r="AO50" s="227"/>
      <c r="AP50" s="228"/>
      <c r="AQ50" s="229"/>
    </row>
    <row r="51" spans="1:43" ht="24.75" customHeight="1" x14ac:dyDescent="0.2">
      <c r="A51" s="183"/>
      <c r="B51" s="184"/>
      <c r="C51" s="230"/>
      <c r="D51" s="185"/>
      <c r="E51" s="184"/>
      <c r="F51" s="230"/>
      <c r="G51" s="157">
        <v>85</v>
      </c>
      <c r="H51" s="2751" t="s">
        <v>158</v>
      </c>
      <c r="I51" s="2751"/>
      <c r="J51" s="2751"/>
      <c r="K51" s="2751"/>
      <c r="L51" s="158"/>
      <c r="M51" s="159"/>
      <c r="N51" s="159"/>
      <c r="O51" s="159"/>
      <c r="P51" s="158"/>
      <c r="Q51" s="160"/>
      <c r="R51" s="231"/>
      <c r="S51" s="188"/>
      <c r="T51" s="188"/>
      <c r="U51" s="189"/>
      <c r="V51" s="163"/>
      <c r="W51" s="191"/>
      <c r="X51" s="192"/>
      <c r="Y51" s="193"/>
      <c r="Z51" s="194"/>
      <c r="AA51" s="193"/>
      <c r="AB51" s="193"/>
      <c r="AC51" s="193"/>
      <c r="AD51" s="193"/>
      <c r="AE51" s="193"/>
      <c r="AF51" s="193"/>
      <c r="AG51" s="193"/>
      <c r="AH51" s="193"/>
      <c r="AI51" s="193"/>
      <c r="AJ51" s="193"/>
      <c r="AK51" s="193"/>
      <c r="AL51" s="193"/>
      <c r="AM51" s="193"/>
      <c r="AN51" s="193"/>
      <c r="AO51" s="195"/>
      <c r="AP51" s="196"/>
      <c r="AQ51" s="197"/>
    </row>
    <row r="52" spans="1:43" ht="71.25" customHeight="1" x14ac:dyDescent="0.2">
      <c r="A52" s="232"/>
      <c r="B52" s="233"/>
      <c r="C52" s="234"/>
      <c r="D52" s="235"/>
      <c r="E52" s="233"/>
      <c r="F52" s="233"/>
      <c r="G52" s="236"/>
      <c r="H52" s="233"/>
      <c r="I52" s="233"/>
      <c r="J52" s="2587">
        <v>249</v>
      </c>
      <c r="K52" s="2607" t="s">
        <v>159</v>
      </c>
      <c r="L52" s="2619" t="s">
        <v>160</v>
      </c>
      <c r="M52" s="2752">
        <v>1</v>
      </c>
      <c r="N52" s="2587" t="s">
        <v>161</v>
      </c>
      <c r="O52" s="2587" t="s">
        <v>162</v>
      </c>
      <c r="P52" s="2607" t="s">
        <v>163</v>
      </c>
      <c r="Q52" s="2604">
        <v>1</v>
      </c>
      <c r="R52" s="2753">
        <f>SUM(V52:V64)</f>
        <v>120000000</v>
      </c>
      <c r="S52" s="2607" t="s">
        <v>164</v>
      </c>
      <c r="T52" s="2607" t="s">
        <v>165</v>
      </c>
      <c r="U52" s="237" t="s">
        <v>166</v>
      </c>
      <c r="V52" s="175">
        <v>7354100</v>
      </c>
      <c r="W52" s="176">
        <v>20</v>
      </c>
      <c r="X52" s="238" t="s">
        <v>72</v>
      </c>
      <c r="Y52" s="2748">
        <v>294321</v>
      </c>
      <c r="Z52" s="2749">
        <v>283947</v>
      </c>
      <c r="AA52" s="2565">
        <v>135754</v>
      </c>
      <c r="AB52" s="2565">
        <v>44640</v>
      </c>
      <c r="AC52" s="2565">
        <v>308178</v>
      </c>
      <c r="AD52" s="2565">
        <v>89696</v>
      </c>
      <c r="AE52" s="2565">
        <v>2145</v>
      </c>
      <c r="AF52" s="2565">
        <v>12718</v>
      </c>
      <c r="AG52" s="2565">
        <v>26</v>
      </c>
      <c r="AH52" s="2565">
        <v>37</v>
      </c>
      <c r="AI52" s="2565"/>
      <c r="AJ52" s="2565"/>
      <c r="AK52" s="2747">
        <v>54612</v>
      </c>
      <c r="AL52" s="2747">
        <v>16982</v>
      </c>
      <c r="AM52" s="2565">
        <v>1010</v>
      </c>
      <c r="AN52" s="2565">
        <f>Y52+Z52</f>
        <v>578268</v>
      </c>
      <c r="AO52" s="2568">
        <v>43102</v>
      </c>
      <c r="AP52" s="2568">
        <v>43465</v>
      </c>
      <c r="AQ52" s="2587" t="s">
        <v>107</v>
      </c>
    </row>
    <row r="53" spans="1:43" ht="129" customHeight="1" x14ac:dyDescent="0.2">
      <c r="A53" s="232"/>
      <c r="B53" s="233"/>
      <c r="C53" s="234"/>
      <c r="D53" s="235"/>
      <c r="E53" s="233"/>
      <c r="F53" s="233"/>
      <c r="G53" s="235"/>
      <c r="H53" s="233"/>
      <c r="I53" s="233"/>
      <c r="J53" s="2587"/>
      <c r="K53" s="2607"/>
      <c r="L53" s="2619"/>
      <c r="M53" s="2752"/>
      <c r="N53" s="2587"/>
      <c r="O53" s="2587"/>
      <c r="P53" s="2607"/>
      <c r="Q53" s="2604"/>
      <c r="R53" s="2753"/>
      <c r="S53" s="2607"/>
      <c r="T53" s="2607"/>
      <c r="U53" s="237" t="s">
        <v>167</v>
      </c>
      <c r="V53" s="175">
        <v>11613500</v>
      </c>
      <c r="W53" s="176">
        <v>20</v>
      </c>
      <c r="X53" s="238" t="s">
        <v>72</v>
      </c>
      <c r="Y53" s="2748"/>
      <c r="Z53" s="2749"/>
      <c r="AA53" s="2565"/>
      <c r="AB53" s="2565"/>
      <c r="AC53" s="2565"/>
      <c r="AD53" s="2565"/>
      <c r="AE53" s="2565"/>
      <c r="AF53" s="2565"/>
      <c r="AG53" s="2565"/>
      <c r="AH53" s="2565"/>
      <c r="AI53" s="2565"/>
      <c r="AJ53" s="2565"/>
      <c r="AK53" s="2747"/>
      <c r="AL53" s="2747"/>
      <c r="AM53" s="2565"/>
      <c r="AN53" s="2565"/>
      <c r="AO53" s="2568"/>
      <c r="AP53" s="2568"/>
      <c r="AQ53" s="2587"/>
    </row>
    <row r="54" spans="1:43" ht="135" customHeight="1" x14ac:dyDescent="0.2">
      <c r="A54" s="232"/>
      <c r="B54" s="233"/>
      <c r="C54" s="234"/>
      <c r="D54" s="235"/>
      <c r="E54" s="233"/>
      <c r="F54" s="233"/>
      <c r="G54" s="235"/>
      <c r="H54" s="233"/>
      <c r="I54" s="233"/>
      <c r="J54" s="2587"/>
      <c r="K54" s="2607"/>
      <c r="L54" s="2619"/>
      <c r="M54" s="2752"/>
      <c r="N54" s="2587"/>
      <c r="O54" s="2587"/>
      <c r="P54" s="2607"/>
      <c r="Q54" s="2604"/>
      <c r="R54" s="2753"/>
      <c r="S54" s="2607"/>
      <c r="T54" s="2607"/>
      <c r="U54" s="237" t="s">
        <v>168</v>
      </c>
      <c r="V54" s="175">
        <v>17700000</v>
      </c>
      <c r="W54" s="176">
        <v>20</v>
      </c>
      <c r="X54" s="238" t="s">
        <v>72</v>
      </c>
      <c r="Y54" s="2748"/>
      <c r="Z54" s="2749"/>
      <c r="AA54" s="2565"/>
      <c r="AB54" s="2565"/>
      <c r="AC54" s="2565"/>
      <c r="AD54" s="2565"/>
      <c r="AE54" s="2565"/>
      <c r="AF54" s="2565"/>
      <c r="AG54" s="2565"/>
      <c r="AH54" s="2565"/>
      <c r="AI54" s="2565"/>
      <c r="AJ54" s="2565"/>
      <c r="AK54" s="2747"/>
      <c r="AL54" s="2747"/>
      <c r="AM54" s="2565"/>
      <c r="AN54" s="2565"/>
      <c r="AO54" s="2568"/>
      <c r="AP54" s="2568"/>
      <c r="AQ54" s="2587"/>
    </row>
    <row r="55" spans="1:43" ht="105" customHeight="1" x14ac:dyDescent="0.2">
      <c r="A55" s="232"/>
      <c r="B55" s="233"/>
      <c r="C55" s="234"/>
      <c r="D55" s="235"/>
      <c r="E55" s="233"/>
      <c r="F55" s="233"/>
      <c r="G55" s="235"/>
      <c r="H55" s="233"/>
      <c r="I55" s="233"/>
      <c r="J55" s="2587"/>
      <c r="K55" s="2607"/>
      <c r="L55" s="2619"/>
      <c r="M55" s="2752"/>
      <c r="N55" s="2587"/>
      <c r="O55" s="2587"/>
      <c r="P55" s="2607"/>
      <c r="Q55" s="2604"/>
      <c r="R55" s="2753"/>
      <c r="S55" s="2607"/>
      <c r="T55" s="2607"/>
      <c r="U55" s="237" t="s">
        <v>169</v>
      </c>
      <c r="V55" s="175">
        <v>10000000</v>
      </c>
      <c r="W55" s="176">
        <v>20</v>
      </c>
      <c r="X55" s="238" t="s">
        <v>72</v>
      </c>
      <c r="Y55" s="2748"/>
      <c r="Z55" s="2749"/>
      <c r="AA55" s="2565"/>
      <c r="AB55" s="2565"/>
      <c r="AC55" s="2565"/>
      <c r="AD55" s="2565"/>
      <c r="AE55" s="2565"/>
      <c r="AF55" s="2565"/>
      <c r="AG55" s="2565"/>
      <c r="AH55" s="2565"/>
      <c r="AI55" s="2565"/>
      <c r="AJ55" s="2565"/>
      <c r="AK55" s="2747"/>
      <c r="AL55" s="2747"/>
      <c r="AM55" s="2565"/>
      <c r="AN55" s="2565"/>
      <c r="AO55" s="2568"/>
      <c r="AP55" s="2568"/>
      <c r="AQ55" s="2587"/>
    </row>
    <row r="56" spans="1:43" ht="58.5" customHeight="1" x14ac:dyDescent="0.2">
      <c r="A56" s="232"/>
      <c r="B56" s="233"/>
      <c r="C56" s="234"/>
      <c r="D56" s="235"/>
      <c r="E56" s="233"/>
      <c r="F56" s="233"/>
      <c r="G56" s="235"/>
      <c r="H56" s="233"/>
      <c r="I56" s="233"/>
      <c r="J56" s="2587"/>
      <c r="K56" s="2607"/>
      <c r="L56" s="2619"/>
      <c r="M56" s="2752"/>
      <c r="N56" s="2587"/>
      <c r="O56" s="2587"/>
      <c r="P56" s="2607"/>
      <c r="Q56" s="2604"/>
      <c r="R56" s="2753"/>
      <c r="S56" s="2607"/>
      <c r="T56" s="2617" t="s">
        <v>170</v>
      </c>
      <c r="U56" s="237" t="s">
        <v>171</v>
      </c>
      <c r="V56" s="175">
        <f>17718900-7000000</f>
        <v>10718900</v>
      </c>
      <c r="W56" s="176">
        <v>20</v>
      </c>
      <c r="X56" s="238" t="s">
        <v>72</v>
      </c>
      <c r="Y56" s="2748"/>
      <c r="Z56" s="2749"/>
      <c r="AA56" s="2565"/>
      <c r="AB56" s="2565"/>
      <c r="AC56" s="2565"/>
      <c r="AD56" s="2565"/>
      <c r="AE56" s="2565"/>
      <c r="AF56" s="2565"/>
      <c r="AG56" s="2565"/>
      <c r="AH56" s="2565"/>
      <c r="AI56" s="2565"/>
      <c r="AJ56" s="2565"/>
      <c r="AK56" s="2747"/>
      <c r="AL56" s="2747"/>
      <c r="AM56" s="2565"/>
      <c r="AN56" s="2565"/>
      <c r="AO56" s="2568"/>
      <c r="AP56" s="2568"/>
      <c r="AQ56" s="2587"/>
    </row>
    <row r="57" spans="1:43" ht="58.5" customHeight="1" x14ac:dyDescent="0.2">
      <c r="A57" s="232"/>
      <c r="B57" s="233"/>
      <c r="C57" s="234"/>
      <c r="D57" s="235"/>
      <c r="E57" s="233"/>
      <c r="F57" s="233"/>
      <c r="G57" s="235"/>
      <c r="H57" s="233"/>
      <c r="I57" s="233"/>
      <c r="J57" s="2587"/>
      <c r="K57" s="2607"/>
      <c r="L57" s="2619"/>
      <c r="M57" s="2752"/>
      <c r="N57" s="2587"/>
      <c r="O57" s="2587"/>
      <c r="P57" s="2607"/>
      <c r="Q57" s="2604"/>
      <c r="R57" s="2753"/>
      <c r="S57" s="2607"/>
      <c r="T57" s="2742"/>
      <c r="U57" s="237" t="s">
        <v>172</v>
      </c>
      <c r="V57" s="204">
        <f>0+12000000+2000000+1000000</f>
        <v>15000000</v>
      </c>
      <c r="W57" s="176">
        <v>20</v>
      </c>
      <c r="X57" s="238" t="s">
        <v>72</v>
      </c>
      <c r="Y57" s="2748"/>
      <c r="Z57" s="2749"/>
      <c r="AA57" s="2565"/>
      <c r="AB57" s="2565"/>
      <c r="AC57" s="2565"/>
      <c r="AD57" s="2565"/>
      <c r="AE57" s="2565"/>
      <c r="AF57" s="2565"/>
      <c r="AG57" s="2565"/>
      <c r="AH57" s="2565"/>
      <c r="AI57" s="2565"/>
      <c r="AJ57" s="2565"/>
      <c r="AK57" s="2747"/>
      <c r="AL57" s="2747"/>
      <c r="AM57" s="2565"/>
      <c r="AN57" s="2565"/>
      <c r="AO57" s="2568"/>
      <c r="AP57" s="2568"/>
      <c r="AQ57" s="2587"/>
    </row>
    <row r="58" spans="1:43" ht="58.5" customHeight="1" x14ac:dyDescent="0.2">
      <c r="A58" s="232"/>
      <c r="B58" s="233"/>
      <c r="C58" s="234"/>
      <c r="D58" s="235"/>
      <c r="E58" s="233"/>
      <c r="F58" s="233"/>
      <c r="G58" s="235"/>
      <c r="H58" s="233"/>
      <c r="I58" s="233"/>
      <c r="J58" s="2587"/>
      <c r="K58" s="2607"/>
      <c r="L58" s="2619"/>
      <c r="M58" s="2752"/>
      <c r="N58" s="2587"/>
      <c r="O58" s="2587"/>
      <c r="P58" s="2607"/>
      <c r="Q58" s="2604"/>
      <c r="R58" s="2753"/>
      <c r="S58" s="2607"/>
      <c r="T58" s="2742"/>
      <c r="U58" s="239" t="s">
        <v>173</v>
      </c>
      <c r="V58" s="204">
        <f>15613500-5306750</f>
        <v>10306750</v>
      </c>
      <c r="W58" s="176">
        <v>20</v>
      </c>
      <c r="X58" s="238" t="s">
        <v>72</v>
      </c>
      <c r="Y58" s="2748"/>
      <c r="Z58" s="2749"/>
      <c r="AA58" s="2565"/>
      <c r="AB58" s="2565"/>
      <c r="AC58" s="2565"/>
      <c r="AD58" s="2565"/>
      <c r="AE58" s="2565"/>
      <c r="AF58" s="2565"/>
      <c r="AG58" s="2565"/>
      <c r="AH58" s="2565"/>
      <c r="AI58" s="2565"/>
      <c r="AJ58" s="2565"/>
      <c r="AK58" s="2747"/>
      <c r="AL58" s="2747"/>
      <c r="AM58" s="2565"/>
      <c r="AN58" s="2565"/>
      <c r="AO58" s="2568"/>
      <c r="AP58" s="2568"/>
      <c r="AQ58" s="2587"/>
    </row>
    <row r="59" spans="1:43" ht="58.5" customHeight="1" x14ac:dyDescent="0.2">
      <c r="A59" s="232"/>
      <c r="B59" s="233"/>
      <c r="C59" s="234"/>
      <c r="D59" s="235"/>
      <c r="E59" s="233"/>
      <c r="F59" s="233"/>
      <c r="G59" s="235"/>
      <c r="H59" s="233"/>
      <c r="I59" s="233"/>
      <c r="J59" s="2587"/>
      <c r="K59" s="2607"/>
      <c r="L59" s="2619"/>
      <c r="M59" s="2752"/>
      <c r="N59" s="2587"/>
      <c r="O59" s="2587"/>
      <c r="P59" s="2607"/>
      <c r="Q59" s="2604"/>
      <c r="R59" s="2753"/>
      <c r="S59" s="2607"/>
      <c r="T59" s="2742"/>
      <c r="U59" s="239" t="s">
        <v>174</v>
      </c>
      <c r="V59" s="204">
        <f>0+4000000+5806750-9806750</f>
        <v>0</v>
      </c>
      <c r="W59" s="176"/>
      <c r="X59" s="238"/>
      <c r="Y59" s="2748"/>
      <c r="Z59" s="2749"/>
      <c r="AA59" s="2565"/>
      <c r="AB59" s="2565"/>
      <c r="AC59" s="2565"/>
      <c r="AD59" s="2565"/>
      <c r="AE59" s="2565"/>
      <c r="AF59" s="2565"/>
      <c r="AG59" s="2565"/>
      <c r="AH59" s="2565"/>
      <c r="AI59" s="2565"/>
      <c r="AJ59" s="2565"/>
      <c r="AK59" s="2747"/>
      <c r="AL59" s="2747"/>
      <c r="AM59" s="2565"/>
      <c r="AN59" s="2565"/>
      <c r="AO59" s="2568"/>
      <c r="AP59" s="2568"/>
      <c r="AQ59" s="2587"/>
    </row>
    <row r="60" spans="1:43" ht="58.5" customHeight="1" x14ac:dyDescent="0.2">
      <c r="A60" s="232"/>
      <c r="B60" s="233"/>
      <c r="C60" s="234"/>
      <c r="D60" s="235"/>
      <c r="E60" s="233"/>
      <c r="F60" s="233"/>
      <c r="G60" s="235"/>
      <c r="H60" s="233"/>
      <c r="I60" s="233"/>
      <c r="J60" s="2587"/>
      <c r="K60" s="2607"/>
      <c r="L60" s="2619"/>
      <c r="M60" s="2752"/>
      <c r="N60" s="2587"/>
      <c r="O60" s="2587"/>
      <c r="P60" s="2607"/>
      <c r="Q60" s="2604"/>
      <c r="R60" s="2753"/>
      <c r="S60" s="2607"/>
      <c r="T60" s="2742"/>
      <c r="U60" s="239" t="s">
        <v>175</v>
      </c>
      <c r="V60" s="204">
        <f>0+500000-500000</f>
        <v>0</v>
      </c>
      <c r="W60" s="176"/>
      <c r="X60" s="238"/>
      <c r="Y60" s="2748"/>
      <c r="Z60" s="2749"/>
      <c r="AA60" s="2565"/>
      <c r="AB60" s="2565"/>
      <c r="AC60" s="2565"/>
      <c r="AD60" s="2565"/>
      <c r="AE60" s="2565"/>
      <c r="AF60" s="2565"/>
      <c r="AG60" s="2565"/>
      <c r="AH60" s="2565"/>
      <c r="AI60" s="2565"/>
      <c r="AJ60" s="2565"/>
      <c r="AK60" s="2747"/>
      <c r="AL60" s="2747"/>
      <c r="AM60" s="2565"/>
      <c r="AN60" s="2565"/>
      <c r="AO60" s="2568"/>
      <c r="AP60" s="2568"/>
      <c r="AQ60" s="2587"/>
    </row>
    <row r="61" spans="1:43" ht="58.5" customHeight="1" x14ac:dyDescent="0.2">
      <c r="A61" s="232"/>
      <c r="B61" s="233"/>
      <c r="C61" s="234"/>
      <c r="D61" s="235"/>
      <c r="E61" s="233"/>
      <c r="F61" s="233"/>
      <c r="G61" s="235"/>
      <c r="H61" s="233"/>
      <c r="I61" s="233"/>
      <c r="J61" s="2587"/>
      <c r="K61" s="2607"/>
      <c r="L61" s="2619"/>
      <c r="M61" s="2752"/>
      <c r="N61" s="2587"/>
      <c r="O61" s="2587"/>
      <c r="P61" s="2607"/>
      <c r="Q61" s="2604"/>
      <c r="R61" s="2753"/>
      <c r="S61" s="2607"/>
      <c r="T61" s="2742"/>
      <c r="U61" s="239" t="s">
        <v>176</v>
      </c>
      <c r="V61" s="204">
        <f>0+10306750</f>
        <v>10306750</v>
      </c>
      <c r="W61" s="176">
        <v>20</v>
      </c>
      <c r="X61" s="238" t="s">
        <v>72</v>
      </c>
      <c r="Y61" s="2748"/>
      <c r="Z61" s="2749"/>
      <c r="AA61" s="2565"/>
      <c r="AB61" s="2565"/>
      <c r="AC61" s="2565"/>
      <c r="AD61" s="2565"/>
      <c r="AE61" s="2565"/>
      <c r="AF61" s="2565"/>
      <c r="AG61" s="2565"/>
      <c r="AH61" s="2565"/>
      <c r="AI61" s="2565"/>
      <c r="AJ61" s="2565"/>
      <c r="AK61" s="2747"/>
      <c r="AL61" s="2747"/>
      <c r="AM61" s="2565"/>
      <c r="AN61" s="2565"/>
      <c r="AO61" s="2568"/>
      <c r="AP61" s="2568"/>
      <c r="AQ61" s="2587"/>
    </row>
    <row r="62" spans="1:43" ht="58.5" customHeight="1" x14ac:dyDescent="0.2">
      <c r="A62" s="232"/>
      <c r="B62" s="233"/>
      <c r="C62" s="234"/>
      <c r="D62" s="235"/>
      <c r="E62" s="233"/>
      <c r="F62" s="233"/>
      <c r="G62" s="235"/>
      <c r="H62" s="233"/>
      <c r="I62" s="233"/>
      <c r="J62" s="2587"/>
      <c r="K62" s="2607"/>
      <c r="L62" s="2619"/>
      <c r="M62" s="2752"/>
      <c r="N62" s="2587"/>
      <c r="O62" s="2587"/>
      <c r="P62" s="2607"/>
      <c r="Q62" s="2604"/>
      <c r="R62" s="2753"/>
      <c r="S62" s="2607"/>
      <c r="T62" s="2616"/>
      <c r="U62" s="239" t="s">
        <v>177</v>
      </c>
      <c r="V62" s="204">
        <f>0+500000-500000</f>
        <v>0</v>
      </c>
      <c r="W62" s="176"/>
      <c r="X62" s="238"/>
      <c r="Y62" s="2748"/>
      <c r="Z62" s="2749"/>
      <c r="AA62" s="2565"/>
      <c r="AB62" s="2565"/>
      <c r="AC62" s="2565"/>
      <c r="AD62" s="2565"/>
      <c r="AE62" s="2565"/>
      <c r="AF62" s="2565"/>
      <c r="AG62" s="2565"/>
      <c r="AH62" s="2565"/>
      <c r="AI62" s="2565"/>
      <c r="AJ62" s="2565"/>
      <c r="AK62" s="2747"/>
      <c r="AL62" s="2747"/>
      <c r="AM62" s="2565"/>
      <c r="AN62" s="2565"/>
      <c r="AO62" s="2568"/>
      <c r="AP62" s="2568"/>
      <c r="AQ62" s="2587"/>
    </row>
    <row r="63" spans="1:43" ht="54.75" customHeight="1" x14ac:dyDescent="0.2">
      <c r="A63" s="232"/>
      <c r="B63" s="233"/>
      <c r="C63" s="234"/>
      <c r="D63" s="235"/>
      <c r="E63" s="233"/>
      <c r="F63" s="233"/>
      <c r="G63" s="235"/>
      <c r="H63" s="233"/>
      <c r="I63" s="233"/>
      <c r="J63" s="2587"/>
      <c r="K63" s="2607"/>
      <c r="L63" s="2619"/>
      <c r="M63" s="2752"/>
      <c r="N63" s="2587"/>
      <c r="O63" s="2587"/>
      <c r="P63" s="2607"/>
      <c r="Q63" s="2604"/>
      <c r="R63" s="2753"/>
      <c r="S63" s="2607"/>
      <c r="T63" s="2607" t="s">
        <v>178</v>
      </c>
      <c r="U63" s="240" t="s">
        <v>179</v>
      </c>
      <c r="V63" s="204">
        <f>20000000-5000000-2000000-1000000</f>
        <v>12000000</v>
      </c>
      <c r="W63" s="176">
        <v>20</v>
      </c>
      <c r="X63" s="238" t="s">
        <v>72</v>
      </c>
      <c r="Y63" s="2748"/>
      <c r="Z63" s="2749"/>
      <c r="AA63" s="2565"/>
      <c r="AB63" s="2565"/>
      <c r="AC63" s="2565"/>
      <c r="AD63" s="2565"/>
      <c r="AE63" s="2565"/>
      <c r="AF63" s="2565"/>
      <c r="AG63" s="2565"/>
      <c r="AH63" s="2565"/>
      <c r="AI63" s="2565"/>
      <c r="AJ63" s="2565"/>
      <c r="AK63" s="2747"/>
      <c r="AL63" s="2747"/>
      <c r="AM63" s="2565"/>
      <c r="AN63" s="2565"/>
      <c r="AO63" s="2568"/>
      <c r="AP63" s="2568"/>
      <c r="AQ63" s="2587"/>
    </row>
    <row r="64" spans="1:43" ht="52.5" customHeight="1" x14ac:dyDescent="0.2">
      <c r="A64" s="232"/>
      <c r="B64" s="233"/>
      <c r="C64" s="234"/>
      <c r="D64" s="235"/>
      <c r="E64" s="233"/>
      <c r="F64" s="233"/>
      <c r="G64" s="235"/>
      <c r="H64" s="233"/>
      <c r="I64" s="233"/>
      <c r="J64" s="2587"/>
      <c r="K64" s="2607"/>
      <c r="L64" s="2619"/>
      <c r="M64" s="2752"/>
      <c r="N64" s="2587"/>
      <c r="O64" s="2587"/>
      <c r="P64" s="2607"/>
      <c r="Q64" s="2604"/>
      <c r="R64" s="2753"/>
      <c r="S64" s="2607"/>
      <c r="T64" s="2607"/>
      <c r="U64" s="240" t="s">
        <v>180</v>
      </c>
      <c r="V64" s="204">
        <f>20000000-5000000</f>
        <v>15000000</v>
      </c>
      <c r="W64" s="176">
        <v>20</v>
      </c>
      <c r="X64" s="238" t="s">
        <v>72</v>
      </c>
      <c r="Y64" s="2748"/>
      <c r="Z64" s="2749"/>
      <c r="AA64" s="2565"/>
      <c r="AB64" s="2565"/>
      <c r="AC64" s="2565"/>
      <c r="AD64" s="2565"/>
      <c r="AE64" s="2565"/>
      <c r="AF64" s="2565"/>
      <c r="AG64" s="2565"/>
      <c r="AH64" s="2565"/>
      <c r="AI64" s="2565"/>
      <c r="AJ64" s="2565"/>
      <c r="AK64" s="2747"/>
      <c r="AL64" s="2747"/>
      <c r="AM64" s="2565"/>
      <c r="AN64" s="2565"/>
      <c r="AO64" s="2568"/>
      <c r="AP64" s="2568"/>
      <c r="AQ64" s="2587"/>
    </row>
    <row r="65" spans="1:43" ht="24.75" customHeight="1" x14ac:dyDescent="0.2">
      <c r="A65" s="183"/>
      <c r="B65" s="184"/>
      <c r="C65" s="230"/>
      <c r="D65" s="241">
        <v>28</v>
      </c>
      <c r="E65" s="242"/>
      <c r="F65" s="2743" t="s">
        <v>73</v>
      </c>
      <c r="G65" s="2743"/>
      <c r="H65" s="2743"/>
      <c r="I65" s="2743"/>
      <c r="J65" s="2743"/>
      <c r="K65" s="2743"/>
      <c r="L65" s="243"/>
      <c r="M65" s="244"/>
      <c r="N65" s="244"/>
      <c r="O65" s="244"/>
      <c r="P65" s="243"/>
      <c r="Q65" s="245"/>
      <c r="R65" s="246"/>
      <c r="S65" s="247"/>
      <c r="T65" s="247"/>
      <c r="U65" s="248"/>
      <c r="V65" s="249"/>
      <c r="W65" s="250"/>
      <c r="X65" s="251"/>
      <c r="Y65" s="252"/>
      <c r="Z65" s="253"/>
      <c r="AA65" s="252"/>
      <c r="AB65" s="252"/>
      <c r="AC65" s="252"/>
      <c r="AD65" s="252"/>
      <c r="AE65" s="252"/>
      <c r="AF65" s="252"/>
      <c r="AG65" s="252"/>
      <c r="AH65" s="252"/>
      <c r="AI65" s="252"/>
      <c r="AJ65" s="252"/>
      <c r="AK65" s="252"/>
      <c r="AL65" s="252"/>
      <c r="AM65" s="252"/>
      <c r="AN65" s="252"/>
      <c r="AO65" s="254"/>
      <c r="AP65" s="255"/>
      <c r="AQ65" s="256"/>
    </row>
    <row r="66" spans="1:43" ht="24.75" customHeight="1" x14ac:dyDescent="0.2">
      <c r="A66" s="183"/>
      <c r="B66" s="184"/>
      <c r="C66" s="184"/>
      <c r="D66" s="257"/>
      <c r="E66" s="258"/>
      <c r="F66" s="259"/>
      <c r="G66" s="157">
        <v>87</v>
      </c>
      <c r="H66" s="165" t="s">
        <v>181</v>
      </c>
      <c r="I66" s="165"/>
      <c r="J66" s="165"/>
      <c r="K66" s="165"/>
      <c r="L66" s="158"/>
      <c r="M66" s="159"/>
      <c r="N66" s="260"/>
      <c r="O66" s="260"/>
      <c r="P66" s="158"/>
      <c r="Q66" s="160"/>
      <c r="R66" s="231"/>
      <c r="S66" s="188"/>
      <c r="T66" s="188"/>
      <c r="U66" s="189"/>
      <c r="V66" s="163"/>
      <c r="W66" s="261"/>
      <c r="X66" s="262"/>
      <c r="Y66" s="193"/>
      <c r="Z66" s="194"/>
      <c r="AA66" s="193"/>
      <c r="AB66" s="263"/>
      <c r="AC66" s="263"/>
      <c r="AD66" s="263"/>
      <c r="AE66" s="263"/>
      <c r="AF66" s="263"/>
      <c r="AG66" s="193"/>
      <c r="AH66" s="193"/>
      <c r="AI66" s="193"/>
      <c r="AJ66" s="193"/>
      <c r="AK66" s="193"/>
      <c r="AL66" s="193"/>
      <c r="AM66" s="193"/>
      <c r="AN66" s="193"/>
      <c r="AO66" s="195"/>
      <c r="AP66" s="196"/>
      <c r="AQ66" s="197"/>
    </row>
    <row r="67" spans="1:43" s="88" customFormat="1" ht="45.75" customHeight="1" x14ac:dyDescent="0.2">
      <c r="A67" s="264"/>
      <c r="B67" s="265"/>
      <c r="C67" s="265"/>
      <c r="D67" s="266"/>
      <c r="E67" s="265"/>
      <c r="F67" s="265"/>
      <c r="G67" s="267"/>
      <c r="H67" s="268"/>
      <c r="I67" s="268"/>
      <c r="J67" s="2646">
        <v>257</v>
      </c>
      <c r="K67" s="2559" t="s">
        <v>182</v>
      </c>
      <c r="L67" s="2559" t="s">
        <v>183</v>
      </c>
      <c r="M67" s="2744">
        <v>1</v>
      </c>
      <c r="N67" s="2745" t="s">
        <v>184</v>
      </c>
      <c r="O67" s="2745" t="s">
        <v>185</v>
      </c>
      <c r="P67" s="2689" t="s">
        <v>186</v>
      </c>
      <c r="Q67" s="2726">
        <f>SUM(V67:V75)/R67</f>
        <v>0.5551270815074496</v>
      </c>
      <c r="R67" s="2727">
        <f>SUM(V67:V82)</f>
        <v>399350000</v>
      </c>
      <c r="S67" s="2560" t="s">
        <v>187</v>
      </c>
      <c r="T67" s="2559" t="s">
        <v>188</v>
      </c>
      <c r="U67" s="269" t="s">
        <v>189</v>
      </c>
      <c r="V67" s="204">
        <f>23200000-1208000</f>
        <v>21992000</v>
      </c>
      <c r="W67" s="270">
        <v>20</v>
      </c>
      <c r="X67" s="209" t="s">
        <v>190</v>
      </c>
      <c r="Y67" s="2729">
        <v>294321</v>
      </c>
      <c r="Z67" s="2718">
        <v>283947</v>
      </c>
      <c r="AA67" s="2721">
        <v>135754</v>
      </c>
      <c r="AB67" s="2724">
        <v>44640</v>
      </c>
      <c r="AC67" s="2724">
        <v>308178</v>
      </c>
      <c r="AD67" s="2724">
        <v>89696</v>
      </c>
      <c r="AE67" s="2724">
        <v>2145</v>
      </c>
      <c r="AF67" s="2724">
        <v>12718</v>
      </c>
      <c r="AG67" s="2718">
        <v>26</v>
      </c>
      <c r="AH67" s="2718">
        <v>37</v>
      </c>
      <c r="AI67" s="2718"/>
      <c r="AJ67" s="2718"/>
      <c r="AK67" s="2740">
        <v>54612</v>
      </c>
      <c r="AL67" s="2718">
        <v>16982</v>
      </c>
      <c r="AM67" s="2718">
        <v>1010</v>
      </c>
      <c r="AN67" s="2718">
        <f>Y67+Z67</f>
        <v>578268</v>
      </c>
      <c r="AO67" s="2736">
        <v>43102</v>
      </c>
      <c r="AP67" s="2736">
        <v>43465</v>
      </c>
      <c r="AQ67" s="2712" t="s">
        <v>107</v>
      </c>
    </row>
    <row r="68" spans="1:43" s="88" customFormat="1" ht="45.75" customHeight="1" x14ac:dyDescent="0.2">
      <c r="A68" s="264"/>
      <c r="B68" s="265"/>
      <c r="C68" s="265"/>
      <c r="D68" s="266"/>
      <c r="E68" s="265"/>
      <c r="F68" s="265"/>
      <c r="G68" s="266"/>
      <c r="H68" s="265"/>
      <c r="I68" s="265"/>
      <c r="J68" s="2646"/>
      <c r="K68" s="2559"/>
      <c r="L68" s="2559"/>
      <c r="M68" s="2744"/>
      <c r="N68" s="2746"/>
      <c r="O68" s="2746"/>
      <c r="P68" s="2725"/>
      <c r="Q68" s="2726"/>
      <c r="R68" s="2728"/>
      <c r="S68" s="2627"/>
      <c r="T68" s="2559"/>
      <c r="U68" s="269" t="s">
        <v>191</v>
      </c>
      <c r="V68" s="204">
        <f>68400000-68400000</f>
        <v>0</v>
      </c>
      <c r="W68" s="270"/>
      <c r="X68" s="209"/>
      <c r="Y68" s="2730"/>
      <c r="Z68" s="2719"/>
      <c r="AA68" s="2722"/>
      <c r="AB68" s="2724"/>
      <c r="AC68" s="2724"/>
      <c r="AD68" s="2724"/>
      <c r="AE68" s="2724"/>
      <c r="AF68" s="2724"/>
      <c r="AG68" s="2719"/>
      <c r="AH68" s="2719"/>
      <c r="AI68" s="2719"/>
      <c r="AJ68" s="2719"/>
      <c r="AK68" s="2740"/>
      <c r="AL68" s="2719"/>
      <c r="AM68" s="2719"/>
      <c r="AN68" s="2719"/>
      <c r="AO68" s="2737"/>
      <c r="AP68" s="2737"/>
      <c r="AQ68" s="2713"/>
    </row>
    <row r="69" spans="1:43" s="88" customFormat="1" ht="45.75" customHeight="1" x14ac:dyDescent="0.2">
      <c r="A69" s="264"/>
      <c r="B69" s="265"/>
      <c r="C69" s="265"/>
      <c r="D69" s="266"/>
      <c r="E69" s="265"/>
      <c r="F69" s="265"/>
      <c r="G69" s="266"/>
      <c r="H69" s="265"/>
      <c r="I69" s="265"/>
      <c r="J69" s="2646"/>
      <c r="K69" s="2559"/>
      <c r="L69" s="2559"/>
      <c r="M69" s="2744"/>
      <c r="N69" s="2746"/>
      <c r="O69" s="2746"/>
      <c r="P69" s="2725"/>
      <c r="Q69" s="2726"/>
      <c r="R69" s="2728"/>
      <c r="S69" s="2627"/>
      <c r="T69" s="2559"/>
      <c r="U69" s="2733" t="s">
        <v>192</v>
      </c>
      <c r="V69" s="204">
        <f>0+69608000</f>
        <v>69608000</v>
      </c>
      <c r="W69" s="270">
        <v>20</v>
      </c>
      <c r="X69" s="209" t="s">
        <v>190</v>
      </c>
      <c r="Y69" s="2730"/>
      <c r="Z69" s="2719"/>
      <c r="AA69" s="2722"/>
      <c r="AB69" s="2724"/>
      <c r="AC69" s="2724"/>
      <c r="AD69" s="2724"/>
      <c r="AE69" s="2724"/>
      <c r="AF69" s="2724"/>
      <c r="AG69" s="2719"/>
      <c r="AH69" s="2719"/>
      <c r="AI69" s="2719"/>
      <c r="AJ69" s="2719"/>
      <c r="AK69" s="2740"/>
      <c r="AL69" s="2719"/>
      <c r="AM69" s="2719"/>
      <c r="AN69" s="2719"/>
      <c r="AO69" s="2737"/>
      <c r="AP69" s="2737"/>
      <c r="AQ69" s="2713"/>
    </row>
    <row r="70" spans="1:43" s="88" customFormat="1" ht="45.75" customHeight="1" x14ac:dyDescent="0.2">
      <c r="A70" s="264"/>
      <c r="B70" s="265"/>
      <c r="C70" s="265"/>
      <c r="D70" s="266"/>
      <c r="E70" s="265"/>
      <c r="F70" s="265"/>
      <c r="G70" s="266"/>
      <c r="H70" s="265"/>
      <c r="I70" s="265"/>
      <c r="J70" s="2646"/>
      <c r="K70" s="2559"/>
      <c r="L70" s="2559"/>
      <c r="M70" s="2744"/>
      <c r="N70" s="2746"/>
      <c r="O70" s="2746"/>
      <c r="P70" s="2725"/>
      <c r="Q70" s="2726"/>
      <c r="R70" s="2728"/>
      <c r="S70" s="2627"/>
      <c r="T70" s="2559"/>
      <c r="U70" s="2734"/>
      <c r="V70" s="271">
        <f>0+25833800+21050000</f>
        <v>46883800</v>
      </c>
      <c r="W70" s="270">
        <v>88</v>
      </c>
      <c r="X70" s="209" t="s">
        <v>193</v>
      </c>
      <c r="Y70" s="2730"/>
      <c r="Z70" s="2719"/>
      <c r="AA70" s="2722"/>
      <c r="AB70" s="2724"/>
      <c r="AC70" s="2724"/>
      <c r="AD70" s="2724"/>
      <c r="AE70" s="2724"/>
      <c r="AF70" s="2724"/>
      <c r="AG70" s="2719"/>
      <c r="AH70" s="2719"/>
      <c r="AI70" s="2719"/>
      <c r="AJ70" s="2719"/>
      <c r="AK70" s="2740"/>
      <c r="AL70" s="2719"/>
      <c r="AM70" s="2719"/>
      <c r="AN70" s="2719"/>
      <c r="AO70" s="2737"/>
      <c r="AP70" s="2737"/>
      <c r="AQ70" s="2713"/>
    </row>
    <row r="71" spans="1:43" s="88" customFormat="1" ht="45.75" customHeight="1" x14ac:dyDescent="0.2">
      <c r="A71" s="264"/>
      <c r="B71" s="265"/>
      <c r="C71" s="265"/>
      <c r="D71" s="266"/>
      <c r="E71" s="265"/>
      <c r="F71" s="265"/>
      <c r="G71" s="266"/>
      <c r="H71" s="265"/>
      <c r="I71" s="265"/>
      <c r="J71" s="2646"/>
      <c r="K71" s="2559"/>
      <c r="L71" s="2559"/>
      <c r="M71" s="2744"/>
      <c r="N71" s="2746"/>
      <c r="O71" s="2746"/>
      <c r="P71" s="2725"/>
      <c r="Q71" s="2726"/>
      <c r="R71" s="2728"/>
      <c r="S71" s="2627"/>
      <c r="T71" s="2629"/>
      <c r="U71" s="2735" t="s">
        <v>194</v>
      </c>
      <c r="V71" s="272">
        <f>68400000-6360000</f>
        <v>62040000</v>
      </c>
      <c r="W71" s="270">
        <v>20</v>
      </c>
      <c r="X71" s="209" t="s">
        <v>190</v>
      </c>
      <c r="Y71" s="2730"/>
      <c r="Z71" s="2719"/>
      <c r="AA71" s="2722"/>
      <c r="AB71" s="2724"/>
      <c r="AC71" s="2724"/>
      <c r="AD71" s="2724"/>
      <c r="AE71" s="2724"/>
      <c r="AF71" s="2724"/>
      <c r="AG71" s="2719"/>
      <c r="AH71" s="2719"/>
      <c r="AI71" s="2719"/>
      <c r="AJ71" s="2719"/>
      <c r="AK71" s="2740"/>
      <c r="AL71" s="2719"/>
      <c r="AM71" s="2719"/>
      <c r="AN71" s="2719"/>
      <c r="AO71" s="2737"/>
      <c r="AP71" s="2737"/>
      <c r="AQ71" s="2713"/>
    </row>
    <row r="72" spans="1:43" s="88" customFormat="1" ht="45.75" customHeight="1" x14ac:dyDescent="0.2">
      <c r="A72" s="264"/>
      <c r="B72" s="265"/>
      <c r="C72" s="265"/>
      <c r="D72" s="266"/>
      <c r="E72" s="265"/>
      <c r="F72" s="265"/>
      <c r="G72" s="266"/>
      <c r="H72" s="265"/>
      <c r="I72" s="265"/>
      <c r="J72" s="2646"/>
      <c r="K72" s="2559"/>
      <c r="L72" s="2559"/>
      <c r="M72" s="2744"/>
      <c r="N72" s="2746"/>
      <c r="O72" s="2746"/>
      <c r="P72" s="2725"/>
      <c r="Q72" s="2726"/>
      <c r="R72" s="2728"/>
      <c r="S72" s="2627"/>
      <c r="T72" s="2629"/>
      <c r="U72" s="2735"/>
      <c r="V72" s="273">
        <f>0+4584800</f>
        <v>4584800</v>
      </c>
      <c r="W72" s="92">
        <v>88</v>
      </c>
      <c r="X72" s="274" t="s">
        <v>193</v>
      </c>
      <c r="Y72" s="2731"/>
      <c r="Z72" s="2719"/>
      <c r="AA72" s="2722"/>
      <c r="AB72" s="2724"/>
      <c r="AC72" s="2724"/>
      <c r="AD72" s="2724"/>
      <c r="AE72" s="2724"/>
      <c r="AF72" s="2724"/>
      <c r="AG72" s="2719"/>
      <c r="AH72" s="2719"/>
      <c r="AI72" s="2719"/>
      <c r="AJ72" s="2719"/>
      <c r="AK72" s="2740"/>
      <c r="AL72" s="2719"/>
      <c r="AM72" s="2719"/>
      <c r="AN72" s="2719"/>
      <c r="AO72" s="2737"/>
      <c r="AP72" s="2737"/>
      <c r="AQ72" s="2713"/>
    </row>
    <row r="73" spans="1:43" s="88" customFormat="1" ht="45.75" customHeight="1" x14ac:dyDescent="0.2">
      <c r="A73" s="264"/>
      <c r="B73" s="265"/>
      <c r="C73" s="265"/>
      <c r="D73" s="266"/>
      <c r="E73" s="265"/>
      <c r="F73" s="265"/>
      <c r="G73" s="266"/>
      <c r="H73" s="265"/>
      <c r="I73" s="265"/>
      <c r="J73" s="2646"/>
      <c r="K73" s="2559"/>
      <c r="L73" s="2559"/>
      <c r="M73" s="2744"/>
      <c r="N73" s="2746"/>
      <c r="O73" s="2746"/>
      <c r="P73" s="2725"/>
      <c r="Q73" s="2726"/>
      <c r="R73" s="2728"/>
      <c r="S73" s="2627"/>
      <c r="T73" s="2629"/>
      <c r="U73" s="275" t="s">
        <v>195</v>
      </c>
      <c r="V73" s="276">
        <f>0+6360000</f>
        <v>6360000</v>
      </c>
      <c r="W73" s="90">
        <v>20</v>
      </c>
      <c r="X73" s="277" t="s">
        <v>190</v>
      </c>
      <c r="Y73" s="2731"/>
      <c r="Z73" s="2719"/>
      <c r="AA73" s="2722"/>
      <c r="AB73" s="2724"/>
      <c r="AC73" s="2724"/>
      <c r="AD73" s="2724"/>
      <c r="AE73" s="2724"/>
      <c r="AF73" s="2724"/>
      <c r="AG73" s="2719"/>
      <c r="AH73" s="2719"/>
      <c r="AI73" s="2719"/>
      <c r="AJ73" s="2719"/>
      <c r="AK73" s="2740"/>
      <c r="AL73" s="2719"/>
      <c r="AM73" s="2719"/>
      <c r="AN73" s="2719"/>
      <c r="AO73" s="2737"/>
      <c r="AP73" s="2737"/>
      <c r="AQ73" s="2713"/>
    </row>
    <row r="74" spans="1:43" s="88" customFormat="1" ht="45.75" customHeight="1" x14ac:dyDescent="0.2">
      <c r="A74" s="264"/>
      <c r="B74" s="265"/>
      <c r="C74" s="265"/>
      <c r="D74" s="266"/>
      <c r="E74" s="265"/>
      <c r="F74" s="265"/>
      <c r="G74" s="266"/>
      <c r="H74" s="265"/>
      <c r="I74" s="265"/>
      <c r="J74" s="2646"/>
      <c r="K74" s="2559"/>
      <c r="L74" s="2559"/>
      <c r="M74" s="2744"/>
      <c r="N74" s="2746"/>
      <c r="O74" s="2746"/>
      <c r="P74" s="2725"/>
      <c r="Q74" s="2726"/>
      <c r="R74" s="2728"/>
      <c r="S74" s="2627"/>
      <c r="T74" s="2629"/>
      <c r="U74" s="278" t="s">
        <v>196</v>
      </c>
      <c r="V74" s="279">
        <f>0+3000000</f>
        <v>3000000</v>
      </c>
      <c r="W74" s="92">
        <v>88</v>
      </c>
      <c r="X74" s="274" t="s">
        <v>193</v>
      </c>
      <c r="Y74" s="2731"/>
      <c r="Z74" s="2719"/>
      <c r="AA74" s="2722"/>
      <c r="AB74" s="2724"/>
      <c r="AC74" s="2724"/>
      <c r="AD74" s="2724"/>
      <c r="AE74" s="2724"/>
      <c r="AF74" s="2724"/>
      <c r="AG74" s="2719"/>
      <c r="AH74" s="2719"/>
      <c r="AI74" s="2719"/>
      <c r="AJ74" s="2719"/>
      <c r="AK74" s="2740"/>
      <c r="AL74" s="2719"/>
      <c r="AM74" s="2719"/>
      <c r="AN74" s="2719"/>
      <c r="AO74" s="2737"/>
      <c r="AP74" s="2737"/>
      <c r="AQ74" s="2713"/>
    </row>
    <row r="75" spans="1:43" s="88" customFormat="1" ht="45.75" customHeight="1" x14ac:dyDescent="0.2">
      <c r="A75" s="264"/>
      <c r="B75" s="265"/>
      <c r="C75" s="265"/>
      <c r="D75" s="266"/>
      <c r="E75" s="265"/>
      <c r="F75" s="265"/>
      <c r="G75" s="266"/>
      <c r="H75" s="265"/>
      <c r="I75" s="280"/>
      <c r="J75" s="2646"/>
      <c r="K75" s="2559"/>
      <c r="L75" s="2559"/>
      <c r="M75" s="2744"/>
      <c r="N75" s="2746"/>
      <c r="O75" s="2746"/>
      <c r="P75" s="2725"/>
      <c r="Q75" s="2726"/>
      <c r="R75" s="2728"/>
      <c r="S75" s="2627"/>
      <c r="T75" s="2629"/>
      <c r="U75" s="93" t="s">
        <v>197</v>
      </c>
      <c r="V75" s="281">
        <f>0+7221400</f>
        <v>7221400</v>
      </c>
      <c r="W75" s="92">
        <v>88</v>
      </c>
      <c r="X75" s="274" t="s">
        <v>193</v>
      </c>
      <c r="Y75" s="2731"/>
      <c r="Z75" s="2719"/>
      <c r="AA75" s="2722"/>
      <c r="AB75" s="2724"/>
      <c r="AC75" s="2724"/>
      <c r="AD75" s="2724"/>
      <c r="AE75" s="2724"/>
      <c r="AF75" s="2724"/>
      <c r="AG75" s="2719"/>
      <c r="AH75" s="2719"/>
      <c r="AI75" s="2719"/>
      <c r="AJ75" s="2719"/>
      <c r="AK75" s="2740"/>
      <c r="AL75" s="2719"/>
      <c r="AM75" s="2719"/>
      <c r="AN75" s="2719"/>
      <c r="AO75" s="2737"/>
      <c r="AP75" s="2737"/>
      <c r="AQ75" s="2713"/>
    </row>
    <row r="76" spans="1:43" s="88" customFormat="1" ht="68.25" customHeight="1" x14ac:dyDescent="0.2">
      <c r="A76" s="264"/>
      <c r="B76" s="265"/>
      <c r="C76" s="265"/>
      <c r="D76" s="266"/>
      <c r="E76" s="265"/>
      <c r="F76" s="265"/>
      <c r="G76" s="266"/>
      <c r="H76" s="265"/>
      <c r="I76" s="280"/>
      <c r="J76" s="270">
        <v>258</v>
      </c>
      <c r="K76" s="95" t="s">
        <v>198</v>
      </c>
      <c r="L76" s="95" t="s">
        <v>199</v>
      </c>
      <c r="M76" s="208">
        <v>1</v>
      </c>
      <c r="N76" s="2746"/>
      <c r="O76" s="2746"/>
      <c r="P76" s="2725"/>
      <c r="Q76" s="282">
        <f>(V76)/R67</f>
        <v>7.4621259546763491E-2</v>
      </c>
      <c r="R76" s="2728"/>
      <c r="S76" s="2627"/>
      <c r="T76" s="95" t="s">
        <v>200</v>
      </c>
      <c r="U76" s="283" t="s">
        <v>201</v>
      </c>
      <c r="V76" s="284">
        <v>29800000</v>
      </c>
      <c r="W76" s="285" t="s">
        <v>202</v>
      </c>
      <c r="X76" s="286" t="s">
        <v>190</v>
      </c>
      <c r="Y76" s="2730"/>
      <c r="Z76" s="2719"/>
      <c r="AA76" s="2722"/>
      <c r="AB76" s="2724"/>
      <c r="AC76" s="2724"/>
      <c r="AD76" s="2724"/>
      <c r="AE76" s="2724"/>
      <c r="AF76" s="2724"/>
      <c r="AG76" s="2719"/>
      <c r="AH76" s="2719"/>
      <c r="AI76" s="2719"/>
      <c r="AJ76" s="2719"/>
      <c r="AK76" s="2740"/>
      <c r="AL76" s="2719"/>
      <c r="AM76" s="2719"/>
      <c r="AN76" s="2719"/>
      <c r="AO76" s="2737"/>
      <c r="AP76" s="2737"/>
      <c r="AQ76" s="2713"/>
    </row>
    <row r="77" spans="1:43" s="88" customFormat="1" ht="45.75" customHeight="1" x14ac:dyDescent="0.2">
      <c r="A77" s="264"/>
      <c r="B77" s="265"/>
      <c r="C77" s="265"/>
      <c r="D77" s="266"/>
      <c r="E77" s="265"/>
      <c r="F77" s="265"/>
      <c r="G77" s="266"/>
      <c r="H77" s="265"/>
      <c r="I77" s="265"/>
      <c r="J77" s="287">
        <v>259</v>
      </c>
      <c r="K77" s="84" t="s">
        <v>203</v>
      </c>
      <c r="L77" s="84" t="s">
        <v>204</v>
      </c>
      <c r="M77" s="288">
        <v>1</v>
      </c>
      <c r="N77" s="2746"/>
      <c r="O77" s="2746"/>
      <c r="P77" s="2725"/>
      <c r="Q77" s="289">
        <f>V77/R67</f>
        <v>2.1284587454613747E-2</v>
      </c>
      <c r="R77" s="2728"/>
      <c r="S77" s="2627"/>
      <c r="T77" s="84" t="s">
        <v>205</v>
      </c>
      <c r="U77" s="269" t="s">
        <v>206</v>
      </c>
      <c r="V77" s="290">
        <v>8500000</v>
      </c>
      <c r="W77" s="270" t="s">
        <v>202</v>
      </c>
      <c r="X77" s="209" t="s">
        <v>190</v>
      </c>
      <c r="Y77" s="2730"/>
      <c r="Z77" s="2719"/>
      <c r="AA77" s="2722"/>
      <c r="AB77" s="2724"/>
      <c r="AC77" s="2724"/>
      <c r="AD77" s="2724"/>
      <c r="AE77" s="2724"/>
      <c r="AF77" s="2724"/>
      <c r="AG77" s="2719"/>
      <c r="AH77" s="2719"/>
      <c r="AI77" s="2719"/>
      <c r="AJ77" s="2719"/>
      <c r="AK77" s="2740"/>
      <c r="AL77" s="2719"/>
      <c r="AM77" s="2719"/>
      <c r="AN77" s="2719"/>
      <c r="AO77" s="2737"/>
      <c r="AP77" s="2737"/>
      <c r="AQ77" s="2713"/>
    </row>
    <row r="78" spans="1:43" s="88" customFormat="1" ht="45.75" customHeight="1" x14ac:dyDescent="0.2">
      <c r="A78" s="264"/>
      <c r="B78" s="265"/>
      <c r="C78" s="265"/>
      <c r="D78" s="266"/>
      <c r="E78" s="265"/>
      <c r="F78" s="265"/>
      <c r="G78" s="266"/>
      <c r="H78" s="265"/>
      <c r="I78" s="265"/>
      <c r="J78" s="287">
        <v>263</v>
      </c>
      <c r="K78" s="84" t="s">
        <v>207</v>
      </c>
      <c r="L78" s="84" t="s">
        <v>208</v>
      </c>
      <c r="M78" s="288">
        <v>1</v>
      </c>
      <c r="N78" s="2746"/>
      <c r="O78" s="2746"/>
      <c r="P78" s="2725"/>
      <c r="Q78" s="289">
        <f>V78/R67</f>
        <v>0.20032552898459999</v>
      </c>
      <c r="R78" s="2728"/>
      <c r="S78" s="2627"/>
      <c r="T78" s="84" t="s">
        <v>209</v>
      </c>
      <c r="U78" s="269" t="s">
        <v>210</v>
      </c>
      <c r="V78" s="290">
        <v>80000000</v>
      </c>
      <c r="W78" s="270" t="s">
        <v>202</v>
      </c>
      <c r="X78" s="209" t="s">
        <v>190</v>
      </c>
      <c r="Y78" s="2730"/>
      <c r="Z78" s="2719"/>
      <c r="AA78" s="2722"/>
      <c r="AB78" s="2724"/>
      <c r="AC78" s="2724"/>
      <c r="AD78" s="2724"/>
      <c r="AE78" s="2724"/>
      <c r="AF78" s="2724"/>
      <c r="AG78" s="2719"/>
      <c r="AH78" s="2719"/>
      <c r="AI78" s="2719"/>
      <c r="AJ78" s="2719"/>
      <c r="AK78" s="2740"/>
      <c r="AL78" s="2719"/>
      <c r="AM78" s="2719"/>
      <c r="AN78" s="2719"/>
      <c r="AO78" s="2737"/>
      <c r="AP78" s="2737"/>
      <c r="AQ78" s="2713"/>
    </row>
    <row r="79" spans="1:43" s="88" customFormat="1" ht="45.75" customHeight="1" x14ac:dyDescent="0.2">
      <c r="A79" s="264"/>
      <c r="B79" s="265"/>
      <c r="C79" s="265"/>
      <c r="D79" s="266"/>
      <c r="E79" s="265"/>
      <c r="F79" s="265"/>
      <c r="G79" s="266"/>
      <c r="H79" s="265"/>
      <c r="I79" s="265"/>
      <c r="J79" s="2712">
        <v>261</v>
      </c>
      <c r="K79" s="2560" t="s">
        <v>211</v>
      </c>
      <c r="L79" s="2560" t="s">
        <v>212</v>
      </c>
      <c r="M79" s="2714">
        <v>2</v>
      </c>
      <c r="N79" s="2746"/>
      <c r="O79" s="2746"/>
      <c r="P79" s="2725"/>
      <c r="Q79" s="2716">
        <f>SUM(V79:V82)/R67</f>
        <v>0.14864154250657319</v>
      </c>
      <c r="R79" s="2728"/>
      <c r="S79" s="2627"/>
      <c r="T79" s="2560" t="s">
        <v>213</v>
      </c>
      <c r="U79" s="2733" t="s">
        <v>214</v>
      </c>
      <c r="V79" s="290">
        <v>26400000</v>
      </c>
      <c r="W79" s="270" t="s">
        <v>202</v>
      </c>
      <c r="X79" s="209" t="s">
        <v>190</v>
      </c>
      <c r="Y79" s="2730"/>
      <c r="Z79" s="2719"/>
      <c r="AA79" s="2722"/>
      <c r="AB79" s="2724"/>
      <c r="AC79" s="2724"/>
      <c r="AD79" s="2724"/>
      <c r="AE79" s="2724"/>
      <c r="AF79" s="2724"/>
      <c r="AG79" s="2719"/>
      <c r="AH79" s="2719"/>
      <c r="AI79" s="2719"/>
      <c r="AJ79" s="2719"/>
      <c r="AK79" s="2740"/>
      <c r="AL79" s="2719"/>
      <c r="AM79" s="2719"/>
      <c r="AN79" s="2719"/>
      <c r="AO79" s="2737"/>
      <c r="AP79" s="2737"/>
      <c r="AQ79" s="2713"/>
    </row>
    <row r="80" spans="1:43" s="88" customFormat="1" ht="45.75" customHeight="1" x14ac:dyDescent="0.2">
      <c r="A80" s="264"/>
      <c r="B80" s="265"/>
      <c r="C80" s="265"/>
      <c r="D80" s="266"/>
      <c r="E80" s="265"/>
      <c r="F80" s="265"/>
      <c r="G80" s="266"/>
      <c r="H80" s="265"/>
      <c r="I80" s="265"/>
      <c r="J80" s="2713"/>
      <c r="K80" s="2627"/>
      <c r="L80" s="2627"/>
      <c r="M80" s="2715"/>
      <c r="N80" s="2746"/>
      <c r="O80" s="2746"/>
      <c r="P80" s="2725"/>
      <c r="Q80" s="2717"/>
      <c r="R80" s="2728"/>
      <c r="S80" s="2627"/>
      <c r="T80" s="2627"/>
      <c r="U80" s="2734"/>
      <c r="V80" s="291">
        <f>0+8760000</f>
        <v>8760000</v>
      </c>
      <c r="W80" s="92">
        <v>88</v>
      </c>
      <c r="X80" s="274" t="s">
        <v>193</v>
      </c>
      <c r="Y80" s="2730"/>
      <c r="Z80" s="2719"/>
      <c r="AA80" s="2722"/>
      <c r="AB80" s="2724"/>
      <c r="AC80" s="2724"/>
      <c r="AD80" s="2724"/>
      <c r="AE80" s="2724"/>
      <c r="AF80" s="2724"/>
      <c r="AG80" s="2719"/>
      <c r="AH80" s="2719"/>
      <c r="AI80" s="2719"/>
      <c r="AJ80" s="2719"/>
      <c r="AK80" s="2740"/>
      <c r="AL80" s="2719"/>
      <c r="AM80" s="2719"/>
      <c r="AN80" s="2719"/>
      <c r="AO80" s="2737"/>
      <c r="AP80" s="2737"/>
      <c r="AQ80" s="2713"/>
    </row>
    <row r="81" spans="1:43" s="88" customFormat="1" ht="45.75" customHeight="1" x14ac:dyDescent="0.2">
      <c r="A81" s="264"/>
      <c r="B81" s="265"/>
      <c r="C81" s="265"/>
      <c r="D81" s="266"/>
      <c r="E81" s="265"/>
      <c r="F81" s="265"/>
      <c r="G81" s="266"/>
      <c r="H81" s="265"/>
      <c r="I81" s="265"/>
      <c r="J81" s="2713"/>
      <c r="K81" s="2627"/>
      <c r="L81" s="2627"/>
      <c r="M81" s="2715"/>
      <c r="N81" s="2746"/>
      <c r="O81" s="2746"/>
      <c r="P81" s="2725"/>
      <c r="Q81" s="2717"/>
      <c r="R81" s="2728"/>
      <c r="S81" s="2627"/>
      <c r="T81" s="2627"/>
      <c r="U81" s="2733" t="s">
        <v>215</v>
      </c>
      <c r="V81" s="292">
        <v>13600000</v>
      </c>
      <c r="W81" s="270">
        <v>20</v>
      </c>
      <c r="X81" s="209" t="s">
        <v>190</v>
      </c>
      <c r="Y81" s="2730"/>
      <c r="Z81" s="2719"/>
      <c r="AA81" s="2722"/>
      <c r="AB81" s="2724"/>
      <c r="AC81" s="2724"/>
      <c r="AD81" s="2724"/>
      <c r="AE81" s="2724"/>
      <c r="AF81" s="2724"/>
      <c r="AG81" s="2719"/>
      <c r="AH81" s="2719"/>
      <c r="AI81" s="2719"/>
      <c r="AJ81" s="2719"/>
      <c r="AK81" s="2740"/>
      <c r="AL81" s="2719"/>
      <c r="AM81" s="2719"/>
      <c r="AN81" s="2719"/>
      <c r="AO81" s="2737"/>
      <c r="AP81" s="2737"/>
      <c r="AQ81" s="2713"/>
    </row>
    <row r="82" spans="1:43" s="88" customFormat="1" ht="45.75" customHeight="1" x14ac:dyDescent="0.2">
      <c r="A82" s="264"/>
      <c r="B82" s="265"/>
      <c r="C82" s="265"/>
      <c r="D82" s="266"/>
      <c r="E82" s="265"/>
      <c r="F82" s="265"/>
      <c r="G82" s="266"/>
      <c r="H82" s="265"/>
      <c r="I82" s="265"/>
      <c r="J82" s="2713"/>
      <c r="K82" s="2627"/>
      <c r="L82" s="2627"/>
      <c r="M82" s="2715"/>
      <c r="N82" s="2746"/>
      <c r="O82" s="2746"/>
      <c r="P82" s="2725"/>
      <c r="Q82" s="2717"/>
      <c r="R82" s="2728"/>
      <c r="S82" s="2628"/>
      <c r="T82" s="2628"/>
      <c r="U82" s="2741"/>
      <c r="V82" s="293">
        <f>0+10600000</f>
        <v>10600000</v>
      </c>
      <c r="W82" s="92">
        <v>88</v>
      </c>
      <c r="X82" s="274" t="s">
        <v>193</v>
      </c>
      <c r="Y82" s="2732"/>
      <c r="Z82" s="2720"/>
      <c r="AA82" s="2723"/>
      <c r="AB82" s="2724"/>
      <c r="AC82" s="2724"/>
      <c r="AD82" s="2724"/>
      <c r="AE82" s="2724"/>
      <c r="AF82" s="2724"/>
      <c r="AG82" s="2720"/>
      <c r="AH82" s="2720"/>
      <c r="AI82" s="2720"/>
      <c r="AJ82" s="2720"/>
      <c r="AK82" s="2740"/>
      <c r="AL82" s="2720"/>
      <c r="AM82" s="2720"/>
      <c r="AN82" s="2720"/>
      <c r="AO82" s="2738"/>
      <c r="AP82" s="2738"/>
      <c r="AQ82" s="2739"/>
    </row>
    <row r="83" spans="1:43" s="88" customFormat="1" ht="66" customHeight="1" x14ac:dyDescent="0.2">
      <c r="A83" s="294"/>
      <c r="B83" s="265"/>
      <c r="C83" s="265"/>
      <c r="D83" s="295"/>
      <c r="E83" s="2702"/>
      <c r="F83" s="2702"/>
      <c r="G83" s="2703"/>
      <c r="H83" s="2702"/>
      <c r="I83" s="2702"/>
      <c r="J83" s="2639">
        <v>262</v>
      </c>
      <c r="K83" s="2635" t="s">
        <v>216</v>
      </c>
      <c r="L83" s="2635" t="s">
        <v>217</v>
      </c>
      <c r="M83" s="2639">
        <v>1</v>
      </c>
      <c r="N83" s="2639" t="s">
        <v>218</v>
      </c>
      <c r="O83" s="2639" t="s">
        <v>219</v>
      </c>
      <c r="P83" s="2635" t="s">
        <v>220</v>
      </c>
      <c r="Q83" s="2698">
        <v>1</v>
      </c>
      <c r="R83" s="2700">
        <f>SUM(V83:V92)</f>
        <v>82600000</v>
      </c>
      <c r="S83" s="2625" t="s">
        <v>221</v>
      </c>
      <c r="T83" s="2690" t="s">
        <v>222</v>
      </c>
      <c r="U83" s="2710" t="s">
        <v>223</v>
      </c>
      <c r="V83" s="296">
        <v>6000000</v>
      </c>
      <c r="W83" s="285">
        <v>20</v>
      </c>
      <c r="X83" s="209" t="s">
        <v>190</v>
      </c>
      <c r="Y83" s="2688">
        <v>294321</v>
      </c>
      <c r="Z83" s="2711">
        <v>283947</v>
      </c>
      <c r="AA83" s="2688">
        <v>135754</v>
      </c>
      <c r="AB83" s="2709">
        <v>44640</v>
      </c>
      <c r="AC83" s="2709">
        <v>308178</v>
      </c>
      <c r="AD83" s="2709">
        <v>89696</v>
      </c>
      <c r="AE83" s="2709">
        <v>2145</v>
      </c>
      <c r="AF83" s="2709">
        <v>12718</v>
      </c>
      <c r="AG83" s="2688">
        <v>26</v>
      </c>
      <c r="AH83" s="2708">
        <v>37</v>
      </c>
      <c r="AI83" s="2688"/>
      <c r="AJ83" s="2688"/>
      <c r="AK83" s="2688">
        <v>54612</v>
      </c>
      <c r="AL83" s="2688">
        <v>16982</v>
      </c>
      <c r="AM83" s="2688">
        <v>1010</v>
      </c>
      <c r="AN83" s="2688">
        <f>Y83+Z83</f>
        <v>578268</v>
      </c>
      <c r="AO83" s="2645">
        <v>43102</v>
      </c>
      <c r="AP83" s="2645">
        <v>43465</v>
      </c>
      <c r="AQ83" s="2646" t="s">
        <v>224</v>
      </c>
    </row>
    <row r="84" spans="1:43" s="88" customFormat="1" ht="66" customHeight="1" x14ac:dyDescent="0.2">
      <c r="A84" s="294"/>
      <c r="B84" s="265"/>
      <c r="C84" s="265"/>
      <c r="D84" s="295"/>
      <c r="E84" s="2702"/>
      <c r="F84" s="2702"/>
      <c r="G84" s="2703"/>
      <c r="H84" s="2702"/>
      <c r="I84" s="2702"/>
      <c r="J84" s="2639"/>
      <c r="K84" s="2635"/>
      <c r="L84" s="2635"/>
      <c r="M84" s="2639"/>
      <c r="N84" s="2639"/>
      <c r="O84" s="2639"/>
      <c r="P84" s="2635"/>
      <c r="Q84" s="2698"/>
      <c r="R84" s="2700"/>
      <c r="S84" s="2625"/>
      <c r="T84" s="2691"/>
      <c r="U84" s="2705"/>
      <c r="V84" s="204">
        <f>0+4500000</f>
        <v>4500000</v>
      </c>
      <c r="W84" s="287">
        <v>88</v>
      </c>
      <c r="X84" s="206" t="s">
        <v>193</v>
      </c>
      <c r="Y84" s="2708"/>
      <c r="Z84" s="2711"/>
      <c r="AA84" s="2688"/>
      <c r="AB84" s="2709"/>
      <c r="AC84" s="2709"/>
      <c r="AD84" s="2709"/>
      <c r="AE84" s="2709"/>
      <c r="AF84" s="2709"/>
      <c r="AG84" s="2688"/>
      <c r="AH84" s="2708"/>
      <c r="AI84" s="2688"/>
      <c r="AJ84" s="2688"/>
      <c r="AK84" s="2688"/>
      <c r="AL84" s="2688"/>
      <c r="AM84" s="2688"/>
      <c r="AN84" s="2688"/>
      <c r="AO84" s="2645"/>
      <c r="AP84" s="2645"/>
      <c r="AQ84" s="2646"/>
    </row>
    <row r="85" spans="1:43" s="88" customFormat="1" ht="66" customHeight="1" x14ac:dyDescent="0.2">
      <c r="A85" s="294"/>
      <c r="B85" s="265"/>
      <c r="C85" s="265"/>
      <c r="D85" s="295"/>
      <c r="E85" s="2702"/>
      <c r="F85" s="2702"/>
      <c r="G85" s="2703"/>
      <c r="H85" s="2702"/>
      <c r="I85" s="2702"/>
      <c r="J85" s="2639"/>
      <c r="K85" s="2635"/>
      <c r="L85" s="2635"/>
      <c r="M85" s="2639"/>
      <c r="N85" s="2639"/>
      <c r="O85" s="2639"/>
      <c r="P85" s="2635"/>
      <c r="Q85" s="2698"/>
      <c r="R85" s="2700"/>
      <c r="S85" s="2625"/>
      <c r="T85" s="2691"/>
      <c r="U85" s="2704" t="s">
        <v>225</v>
      </c>
      <c r="V85" s="204">
        <v>3600000</v>
      </c>
      <c r="W85" s="287">
        <v>20</v>
      </c>
      <c r="X85" s="206" t="s">
        <v>190</v>
      </c>
      <c r="Y85" s="2708"/>
      <c r="Z85" s="2711"/>
      <c r="AA85" s="2688"/>
      <c r="AB85" s="2709"/>
      <c r="AC85" s="2709"/>
      <c r="AD85" s="2709"/>
      <c r="AE85" s="2709"/>
      <c r="AF85" s="2709"/>
      <c r="AG85" s="2688"/>
      <c r="AH85" s="2708"/>
      <c r="AI85" s="2688"/>
      <c r="AJ85" s="2688"/>
      <c r="AK85" s="2688"/>
      <c r="AL85" s="2688"/>
      <c r="AM85" s="2688"/>
      <c r="AN85" s="2688"/>
      <c r="AO85" s="2645"/>
      <c r="AP85" s="2645"/>
      <c r="AQ85" s="2646"/>
    </row>
    <row r="86" spans="1:43" s="88" customFormat="1" ht="66" customHeight="1" x14ac:dyDescent="0.2">
      <c r="A86" s="294"/>
      <c r="B86" s="265"/>
      <c r="C86" s="265"/>
      <c r="D86" s="295"/>
      <c r="E86" s="2702"/>
      <c r="F86" s="2702"/>
      <c r="G86" s="2703"/>
      <c r="H86" s="2702"/>
      <c r="I86" s="2702"/>
      <c r="J86" s="2639"/>
      <c r="K86" s="2635"/>
      <c r="L86" s="2635"/>
      <c r="M86" s="2639"/>
      <c r="N86" s="2639"/>
      <c r="O86" s="2639"/>
      <c r="P86" s="2635"/>
      <c r="Q86" s="2698"/>
      <c r="R86" s="2700"/>
      <c r="S86" s="2625"/>
      <c r="T86" s="2691"/>
      <c r="U86" s="2705"/>
      <c r="V86" s="204">
        <f>0+9300000</f>
        <v>9300000</v>
      </c>
      <c r="W86" s="287">
        <v>88</v>
      </c>
      <c r="X86" s="206" t="s">
        <v>226</v>
      </c>
      <c r="Y86" s="2708"/>
      <c r="Z86" s="2711"/>
      <c r="AA86" s="2688"/>
      <c r="AB86" s="2709"/>
      <c r="AC86" s="2709"/>
      <c r="AD86" s="2709"/>
      <c r="AE86" s="2709"/>
      <c r="AF86" s="2709"/>
      <c r="AG86" s="2688"/>
      <c r="AH86" s="2708"/>
      <c r="AI86" s="2688"/>
      <c r="AJ86" s="2688"/>
      <c r="AK86" s="2688"/>
      <c r="AL86" s="2688"/>
      <c r="AM86" s="2688"/>
      <c r="AN86" s="2688"/>
      <c r="AO86" s="2645"/>
      <c r="AP86" s="2645"/>
      <c r="AQ86" s="2646"/>
    </row>
    <row r="87" spans="1:43" s="88" customFormat="1" ht="66" customHeight="1" x14ac:dyDescent="0.2">
      <c r="A87" s="294"/>
      <c r="B87" s="265"/>
      <c r="C87" s="265"/>
      <c r="D87" s="295"/>
      <c r="E87" s="2702"/>
      <c r="F87" s="2702"/>
      <c r="G87" s="2703"/>
      <c r="H87" s="2702"/>
      <c r="I87" s="2702"/>
      <c r="J87" s="2639"/>
      <c r="K87" s="2635"/>
      <c r="L87" s="2635"/>
      <c r="M87" s="2639"/>
      <c r="N87" s="2639"/>
      <c r="O87" s="2639"/>
      <c r="P87" s="2635"/>
      <c r="Q87" s="2698"/>
      <c r="R87" s="2700"/>
      <c r="S87" s="2625"/>
      <c r="T87" s="2691"/>
      <c r="U87" s="2704" t="s">
        <v>227</v>
      </c>
      <c r="V87" s="204">
        <f>960000+2000000</f>
        <v>2960000</v>
      </c>
      <c r="W87" s="287">
        <v>20</v>
      </c>
      <c r="X87" s="206" t="s">
        <v>190</v>
      </c>
      <c r="Y87" s="2708"/>
      <c r="Z87" s="2711"/>
      <c r="AA87" s="2688"/>
      <c r="AB87" s="2688"/>
      <c r="AC87" s="2688"/>
      <c r="AD87" s="2688"/>
      <c r="AE87" s="2688"/>
      <c r="AF87" s="2688"/>
      <c r="AG87" s="2688"/>
      <c r="AH87" s="2708"/>
      <c r="AI87" s="2688"/>
      <c r="AJ87" s="2688"/>
      <c r="AK87" s="2688"/>
      <c r="AL87" s="2688"/>
      <c r="AM87" s="2688"/>
      <c r="AN87" s="2688"/>
      <c r="AO87" s="2645"/>
      <c r="AP87" s="2645"/>
      <c r="AQ87" s="2646"/>
    </row>
    <row r="88" spans="1:43" s="88" customFormat="1" ht="66" customHeight="1" x14ac:dyDescent="0.2">
      <c r="A88" s="294"/>
      <c r="B88" s="265"/>
      <c r="C88" s="265"/>
      <c r="D88" s="295"/>
      <c r="E88" s="2702"/>
      <c r="F88" s="2702"/>
      <c r="G88" s="2703"/>
      <c r="H88" s="2702"/>
      <c r="I88" s="2702"/>
      <c r="J88" s="2639"/>
      <c r="K88" s="2635"/>
      <c r="L88" s="2635"/>
      <c r="M88" s="2639"/>
      <c r="N88" s="2639"/>
      <c r="O88" s="2639"/>
      <c r="P88" s="2635"/>
      <c r="Q88" s="2698"/>
      <c r="R88" s="2700"/>
      <c r="S88" s="2625"/>
      <c r="T88" s="2692"/>
      <c r="U88" s="2706"/>
      <c r="V88" s="204">
        <f>0+3888666.63</f>
        <v>3888666.63</v>
      </c>
      <c r="W88" s="287">
        <v>88</v>
      </c>
      <c r="X88" s="206" t="s">
        <v>193</v>
      </c>
      <c r="Y88" s="2708"/>
      <c r="Z88" s="2711"/>
      <c r="AA88" s="2688"/>
      <c r="AB88" s="2688"/>
      <c r="AC88" s="2688"/>
      <c r="AD88" s="2688"/>
      <c r="AE88" s="2688"/>
      <c r="AF88" s="2688"/>
      <c r="AG88" s="2688"/>
      <c r="AH88" s="2708"/>
      <c r="AI88" s="2688"/>
      <c r="AJ88" s="2688"/>
      <c r="AK88" s="2688"/>
      <c r="AL88" s="2688"/>
      <c r="AM88" s="2688"/>
      <c r="AN88" s="2688"/>
      <c r="AO88" s="2645"/>
      <c r="AP88" s="2645"/>
      <c r="AQ88" s="2646"/>
    </row>
    <row r="89" spans="1:43" s="88" customFormat="1" ht="66" customHeight="1" x14ac:dyDescent="0.2">
      <c r="A89" s="294"/>
      <c r="B89" s="265"/>
      <c r="C89" s="265"/>
      <c r="D89" s="295"/>
      <c r="E89" s="2702"/>
      <c r="F89" s="2702"/>
      <c r="G89" s="2703"/>
      <c r="H89" s="2702"/>
      <c r="I89" s="2702"/>
      <c r="J89" s="2639"/>
      <c r="K89" s="2635"/>
      <c r="L89" s="2635"/>
      <c r="M89" s="2639"/>
      <c r="N89" s="2639"/>
      <c r="O89" s="2639"/>
      <c r="P89" s="2635"/>
      <c r="Q89" s="2698"/>
      <c r="R89" s="2700"/>
      <c r="S89" s="2625"/>
      <c r="T89" s="2693" t="s">
        <v>228</v>
      </c>
      <c r="U89" s="2707" t="s">
        <v>229</v>
      </c>
      <c r="V89" s="204">
        <f>19440000+10350000</f>
        <v>29790000</v>
      </c>
      <c r="W89" s="287">
        <v>20</v>
      </c>
      <c r="X89" s="206" t="s">
        <v>190</v>
      </c>
      <c r="Y89" s="2708"/>
      <c r="Z89" s="2711"/>
      <c r="AA89" s="2688"/>
      <c r="AB89" s="2688"/>
      <c r="AC89" s="2688"/>
      <c r="AD89" s="2688"/>
      <c r="AE89" s="2688"/>
      <c r="AF89" s="2688"/>
      <c r="AG89" s="2688"/>
      <c r="AH89" s="2708"/>
      <c r="AI89" s="2688"/>
      <c r="AJ89" s="2688"/>
      <c r="AK89" s="2688"/>
      <c r="AL89" s="2688"/>
      <c r="AM89" s="2688"/>
      <c r="AN89" s="2688"/>
      <c r="AO89" s="2645"/>
      <c r="AP89" s="2645"/>
      <c r="AQ89" s="2646"/>
    </row>
    <row r="90" spans="1:43" s="88" customFormat="1" ht="66" customHeight="1" x14ac:dyDescent="0.2">
      <c r="A90" s="294"/>
      <c r="B90" s="265"/>
      <c r="C90" s="265"/>
      <c r="D90" s="295"/>
      <c r="E90" s="2702"/>
      <c r="F90" s="2702"/>
      <c r="G90" s="2703"/>
      <c r="H90" s="2702"/>
      <c r="I90" s="2702"/>
      <c r="J90" s="2639"/>
      <c r="K90" s="2635"/>
      <c r="L90" s="2635"/>
      <c r="M90" s="2639"/>
      <c r="N90" s="2639"/>
      <c r="O90" s="2639"/>
      <c r="P90" s="2635"/>
      <c r="Q90" s="2698"/>
      <c r="R90" s="2700"/>
      <c r="S90" s="2625"/>
      <c r="T90" s="2694"/>
      <c r="U90" s="2707"/>
      <c r="V90" s="204">
        <v>15395000</v>
      </c>
      <c r="W90" s="287">
        <v>88</v>
      </c>
      <c r="X90" s="206" t="s">
        <v>193</v>
      </c>
      <c r="Y90" s="2708"/>
      <c r="Z90" s="2711"/>
      <c r="AA90" s="2688"/>
      <c r="AB90" s="2688"/>
      <c r="AC90" s="2688"/>
      <c r="AD90" s="2688"/>
      <c r="AE90" s="2688"/>
      <c r="AF90" s="2688"/>
      <c r="AG90" s="2688"/>
      <c r="AH90" s="2708"/>
      <c r="AI90" s="2688"/>
      <c r="AJ90" s="2688"/>
      <c r="AK90" s="2688"/>
      <c r="AL90" s="2688"/>
      <c r="AM90" s="2688"/>
      <c r="AN90" s="2688"/>
      <c r="AO90" s="2645"/>
      <c r="AP90" s="2645"/>
      <c r="AQ90" s="2646"/>
    </row>
    <row r="91" spans="1:43" s="88" customFormat="1" ht="66" customHeight="1" x14ac:dyDescent="0.2">
      <c r="A91" s="294"/>
      <c r="B91" s="265"/>
      <c r="C91" s="265"/>
      <c r="D91" s="295"/>
      <c r="E91" s="2702"/>
      <c r="F91" s="2702"/>
      <c r="G91" s="2703"/>
      <c r="H91" s="2702"/>
      <c r="I91" s="2702"/>
      <c r="J91" s="2639"/>
      <c r="K91" s="2635"/>
      <c r="L91" s="2635"/>
      <c r="M91" s="2639"/>
      <c r="N91" s="2639"/>
      <c r="O91" s="2639"/>
      <c r="P91" s="2635"/>
      <c r="Q91" s="2698"/>
      <c r="R91" s="2700"/>
      <c r="S91" s="2625"/>
      <c r="T91" s="2694"/>
      <c r="U91" s="297" t="s">
        <v>230</v>
      </c>
      <c r="V91" s="298">
        <f>0+7296333.33-5145000</f>
        <v>2151333.33</v>
      </c>
      <c r="W91" s="99">
        <v>88</v>
      </c>
      <c r="X91" s="286" t="s">
        <v>193</v>
      </c>
      <c r="Y91" s="2708"/>
      <c r="Z91" s="2711"/>
      <c r="AA91" s="2688"/>
      <c r="AB91" s="2688"/>
      <c r="AC91" s="2688"/>
      <c r="AD91" s="2688"/>
      <c r="AE91" s="2688"/>
      <c r="AF91" s="2688"/>
      <c r="AG91" s="2688"/>
      <c r="AH91" s="2708"/>
      <c r="AI91" s="2688"/>
      <c r="AJ91" s="2688"/>
      <c r="AK91" s="2688"/>
      <c r="AL91" s="2688"/>
      <c r="AM91" s="2688"/>
      <c r="AN91" s="2688"/>
      <c r="AO91" s="2645"/>
      <c r="AP91" s="2645"/>
      <c r="AQ91" s="2646"/>
    </row>
    <row r="92" spans="1:43" s="88" customFormat="1" ht="66" customHeight="1" x14ac:dyDescent="0.2">
      <c r="A92" s="294"/>
      <c r="B92" s="265"/>
      <c r="C92" s="265"/>
      <c r="D92" s="295"/>
      <c r="E92" s="2702"/>
      <c r="F92" s="2702"/>
      <c r="G92" s="2703"/>
      <c r="H92" s="2702"/>
      <c r="I92" s="2702"/>
      <c r="J92" s="2696"/>
      <c r="K92" s="2697"/>
      <c r="L92" s="2697"/>
      <c r="M92" s="2696"/>
      <c r="N92" s="2696"/>
      <c r="O92" s="2696"/>
      <c r="P92" s="2697"/>
      <c r="Q92" s="2699"/>
      <c r="R92" s="2701"/>
      <c r="S92" s="2689"/>
      <c r="T92" s="2695"/>
      <c r="U92" s="299" t="s">
        <v>231</v>
      </c>
      <c r="V92" s="300">
        <f>0+5015000.04</f>
        <v>5015000.04</v>
      </c>
      <c r="W92" s="301">
        <v>88</v>
      </c>
      <c r="X92" s="209" t="s">
        <v>193</v>
      </c>
      <c r="Y92" s="2708"/>
      <c r="Z92" s="2711"/>
      <c r="AA92" s="2688"/>
      <c r="AB92" s="2688"/>
      <c r="AC92" s="2688"/>
      <c r="AD92" s="2688"/>
      <c r="AE92" s="2688"/>
      <c r="AF92" s="2688"/>
      <c r="AG92" s="2688"/>
      <c r="AH92" s="2708"/>
      <c r="AI92" s="2688"/>
      <c r="AJ92" s="2688"/>
      <c r="AK92" s="2688"/>
      <c r="AL92" s="2688"/>
      <c r="AM92" s="2688"/>
      <c r="AN92" s="2688"/>
      <c r="AO92" s="2645"/>
      <c r="AP92" s="2645"/>
      <c r="AQ92" s="2646"/>
    </row>
    <row r="93" spans="1:43" s="304" customFormat="1" ht="59.25" customHeight="1" x14ac:dyDescent="0.2">
      <c r="A93" s="2670"/>
      <c r="B93" s="2671"/>
      <c r="C93" s="2672"/>
      <c r="D93" s="2679"/>
      <c r="E93" s="2680"/>
      <c r="F93" s="2681"/>
      <c r="G93" s="2679"/>
      <c r="H93" s="2680"/>
      <c r="I93" s="2681"/>
      <c r="J93" s="2665">
        <v>264</v>
      </c>
      <c r="K93" s="2667" t="s">
        <v>232</v>
      </c>
      <c r="L93" s="2667" t="s">
        <v>233</v>
      </c>
      <c r="M93" s="2665">
        <v>1</v>
      </c>
      <c r="N93" s="2666" t="s">
        <v>234</v>
      </c>
      <c r="O93" s="2665" t="s">
        <v>235</v>
      </c>
      <c r="P93" s="2667" t="s">
        <v>236</v>
      </c>
      <c r="Q93" s="2668">
        <v>1</v>
      </c>
      <c r="R93" s="2669">
        <f>SUM(V93:V95)</f>
        <v>37650000</v>
      </c>
      <c r="S93" s="2662" t="s">
        <v>237</v>
      </c>
      <c r="T93" s="2662" t="s">
        <v>238</v>
      </c>
      <c r="U93" s="302" t="s">
        <v>239</v>
      </c>
      <c r="V93" s="303">
        <v>10000000</v>
      </c>
      <c r="W93" s="92">
        <v>20</v>
      </c>
      <c r="X93" s="209" t="s">
        <v>190</v>
      </c>
      <c r="Y93" s="2663">
        <v>294321</v>
      </c>
      <c r="Z93" s="2664">
        <v>283947</v>
      </c>
      <c r="AA93" s="2661">
        <v>135754</v>
      </c>
      <c r="AB93" s="2661">
        <v>44640</v>
      </c>
      <c r="AC93" s="2661">
        <v>308178</v>
      </c>
      <c r="AD93" s="2661">
        <v>89696</v>
      </c>
      <c r="AE93" s="2661">
        <v>2145</v>
      </c>
      <c r="AF93" s="2661">
        <v>12718</v>
      </c>
      <c r="AG93" s="2661">
        <v>26</v>
      </c>
      <c r="AH93" s="2661">
        <v>37</v>
      </c>
      <c r="AI93" s="2661"/>
      <c r="AJ93" s="2661"/>
      <c r="AK93" s="2661">
        <v>54612</v>
      </c>
      <c r="AL93" s="2661">
        <v>16982</v>
      </c>
      <c r="AM93" s="2661">
        <v>1010</v>
      </c>
      <c r="AN93" s="2661">
        <f>+Y93+Z93</f>
        <v>578268</v>
      </c>
      <c r="AO93" s="2654">
        <v>43102</v>
      </c>
      <c r="AP93" s="2654">
        <v>43465</v>
      </c>
      <c r="AQ93" s="2655" t="s">
        <v>107</v>
      </c>
    </row>
    <row r="94" spans="1:43" s="304" customFormat="1" ht="59.25" customHeight="1" x14ac:dyDescent="0.2">
      <c r="A94" s="2673"/>
      <c r="B94" s="2674"/>
      <c r="C94" s="2675"/>
      <c r="D94" s="2682"/>
      <c r="E94" s="2683"/>
      <c r="F94" s="2684"/>
      <c r="G94" s="2682"/>
      <c r="H94" s="2683"/>
      <c r="I94" s="2684"/>
      <c r="J94" s="2665"/>
      <c r="K94" s="2667"/>
      <c r="L94" s="2667"/>
      <c r="M94" s="2665"/>
      <c r="N94" s="2666"/>
      <c r="O94" s="2665"/>
      <c r="P94" s="2667"/>
      <c r="Q94" s="2668"/>
      <c r="R94" s="2669"/>
      <c r="S94" s="2662"/>
      <c r="T94" s="2662"/>
      <c r="U94" s="305" t="s">
        <v>240</v>
      </c>
      <c r="V94" s="303">
        <v>10000000</v>
      </c>
      <c r="W94" s="92">
        <v>20</v>
      </c>
      <c r="X94" s="209" t="s">
        <v>190</v>
      </c>
      <c r="Y94" s="2663"/>
      <c r="Z94" s="2664"/>
      <c r="AA94" s="2661"/>
      <c r="AB94" s="2661"/>
      <c r="AC94" s="2661"/>
      <c r="AD94" s="2661"/>
      <c r="AE94" s="2661"/>
      <c r="AF94" s="2661"/>
      <c r="AG94" s="2661"/>
      <c r="AH94" s="2661"/>
      <c r="AI94" s="2661"/>
      <c r="AJ94" s="2661"/>
      <c r="AK94" s="2661"/>
      <c r="AL94" s="2661"/>
      <c r="AM94" s="2661"/>
      <c r="AN94" s="2661"/>
      <c r="AO94" s="2654"/>
      <c r="AP94" s="2654"/>
      <c r="AQ94" s="2655"/>
    </row>
    <row r="95" spans="1:43" s="304" customFormat="1" ht="59.25" customHeight="1" x14ac:dyDescent="0.2">
      <c r="A95" s="2676"/>
      <c r="B95" s="2677"/>
      <c r="C95" s="2678"/>
      <c r="D95" s="2685"/>
      <c r="E95" s="2686"/>
      <c r="F95" s="2687"/>
      <c r="G95" s="2685"/>
      <c r="H95" s="2686"/>
      <c r="I95" s="2687"/>
      <c r="J95" s="2665"/>
      <c r="K95" s="2667"/>
      <c r="L95" s="2667"/>
      <c r="M95" s="2665"/>
      <c r="N95" s="2666"/>
      <c r="O95" s="2665"/>
      <c r="P95" s="2667"/>
      <c r="Q95" s="2668"/>
      <c r="R95" s="2669"/>
      <c r="S95" s="2662"/>
      <c r="T95" s="2662"/>
      <c r="U95" s="302" t="s">
        <v>241</v>
      </c>
      <c r="V95" s="303">
        <f>30000000-12350000</f>
        <v>17650000</v>
      </c>
      <c r="W95" s="92">
        <v>20</v>
      </c>
      <c r="X95" s="209" t="s">
        <v>190</v>
      </c>
      <c r="Y95" s="2663"/>
      <c r="Z95" s="2664"/>
      <c r="AA95" s="2661"/>
      <c r="AB95" s="2661"/>
      <c r="AC95" s="2661"/>
      <c r="AD95" s="2661"/>
      <c r="AE95" s="2661"/>
      <c r="AF95" s="2661"/>
      <c r="AG95" s="2661"/>
      <c r="AH95" s="2661"/>
      <c r="AI95" s="2661"/>
      <c r="AJ95" s="2661"/>
      <c r="AK95" s="2661"/>
      <c r="AL95" s="2661"/>
      <c r="AM95" s="2661"/>
      <c r="AN95" s="2661"/>
      <c r="AO95" s="2654"/>
      <c r="AP95" s="2654"/>
      <c r="AQ95" s="2655"/>
    </row>
    <row r="96" spans="1:43" s="88" customFormat="1" ht="70.5" customHeight="1" x14ac:dyDescent="0.2">
      <c r="A96" s="2656"/>
      <c r="B96" s="2657"/>
      <c r="C96" s="2657"/>
      <c r="D96" s="2658"/>
      <c r="E96" s="2657"/>
      <c r="F96" s="2657"/>
      <c r="G96" s="2658"/>
      <c r="H96" s="2659"/>
      <c r="I96" s="2659"/>
      <c r="J96" s="2614">
        <v>265</v>
      </c>
      <c r="K96" s="2634" t="s">
        <v>242</v>
      </c>
      <c r="L96" s="2634" t="s">
        <v>243</v>
      </c>
      <c r="M96" s="2636">
        <v>1</v>
      </c>
      <c r="N96" s="2638" t="s">
        <v>244</v>
      </c>
      <c r="O96" s="2638" t="s">
        <v>245</v>
      </c>
      <c r="P96" s="2640" t="s">
        <v>246</v>
      </c>
      <c r="Q96" s="2620">
        <v>1</v>
      </c>
      <c r="R96" s="2622">
        <f>SUM(V96:V119)</f>
        <v>493700000</v>
      </c>
      <c r="S96" s="2624" t="s">
        <v>247</v>
      </c>
      <c r="T96" s="2626" t="s">
        <v>248</v>
      </c>
      <c r="U96" s="283" t="s">
        <v>249</v>
      </c>
      <c r="V96" s="306">
        <f>18000000-4000000-14000000</f>
        <v>0</v>
      </c>
      <c r="W96" s="92"/>
      <c r="X96" s="209"/>
      <c r="Y96" s="2642">
        <v>294321</v>
      </c>
      <c r="Z96" s="2651">
        <v>283947</v>
      </c>
      <c r="AA96" s="2642">
        <v>135754</v>
      </c>
      <c r="AB96" s="2642">
        <v>44640</v>
      </c>
      <c r="AC96" s="2642">
        <v>308178</v>
      </c>
      <c r="AD96" s="2642">
        <v>89696</v>
      </c>
      <c r="AE96" s="2642">
        <v>2145</v>
      </c>
      <c r="AF96" s="2642">
        <v>12718</v>
      </c>
      <c r="AG96" s="2642">
        <v>26</v>
      </c>
      <c r="AH96" s="2642">
        <v>37</v>
      </c>
      <c r="AI96" s="2642"/>
      <c r="AJ96" s="2642"/>
      <c r="AK96" s="2642">
        <v>54612</v>
      </c>
      <c r="AL96" s="2642">
        <v>16982</v>
      </c>
      <c r="AM96" s="2642">
        <v>1010</v>
      </c>
      <c r="AN96" s="2642">
        <f>+Y96+Z96</f>
        <v>578268</v>
      </c>
      <c r="AO96" s="2645">
        <v>43102</v>
      </c>
      <c r="AP96" s="2645">
        <v>43465</v>
      </c>
      <c r="AQ96" s="2646" t="s">
        <v>224</v>
      </c>
    </row>
    <row r="97" spans="1:43" s="88" customFormat="1" ht="70.5" customHeight="1" x14ac:dyDescent="0.2">
      <c r="A97" s="2656"/>
      <c r="B97" s="2657"/>
      <c r="C97" s="2657"/>
      <c r="D97" s="2658"/>
      <c r="E97" s="2657"/>
      <c r="F97" s="2657"/>
      <c r="G97" s="2658"/>
      <c r="H97" s="2659"/>
      <c r="I97" s="2659"/>
      <c r="J97" s="2660"/>
      <c r="K97" s="2635"/>
      <c r="L97" s="2635"/>
      <c r="M97" s="2637"/>
      <c r="N97" s="2639"/>
      <c r="O97" s="2639"/>
      <c r="P97" s="2641"/>
      <c r="Q97" s="2621"/>
      <c r="R97" s="2623"/>
      <c r="S97" s="2625"/>
      <c r="T97" s="2627"/>
      <c r="U97" s="269" t="s">
        <v>250</v>
      </c>
      <c r="V97" s="204">
        <f>55440000+11340000</f>
        <v>66780000</v>
      </c>
      <c r="W97" s="92">
        <v>20</v>
      </c>
      <c r="X97" s="209" t="s">
        <v>190</v>
      </c>
      <c r="Y97" s="2643"/>
      <c r="Z97" s="2652"/>
      <c r="AA97" s="2643"/>
      <c r="AB97" s="2643"/>
      <c r="AC97" s="2643"/>
      <c r="AD97" s="2643"/>
      <c r="AE97" s="2643"/>
      <c r="AF97" s="2643"/>
      <c r="AG97" s="2643"/>
      <c r="AH97" s="2643"/>
      <c r="AI97" s="2643"/>
      <c r="AJ97" s="2643"/>
      <c r="AK97" s="2643"/>
      <c r="AL97" s="2643"/>
      <c r="AM97" s="2643"/>
      <c r="AN97" s="2643"/>
      <c r="AO97" s="2645"/>
      <c r="AP97" s="2645"/>
      <c r="AQ97" s="2646"/>
    </row>
    <row r="98" spans="1:43" s="88" customFormat="1" ht="70.5" customHeight="1" x14ac:dyDescent="0.2">
      <c r="A98" s="2656"/>
      <c r="B98" s="2657"/>
      <c r="C98" s="2657"/>
      <c r="D98" s="2658"/>
      <c r="E98" s="2657"/>
      <c r="F98" s="2657"/>
      <c r="G98" s="2658"/>
      <c r="H98" s="2659"/>
      <c r="I98" s="2659"/>
      <c r="J98" s="2660"/>
      <c r="K98" s="2635"/>
      <c r="L98" s="2635"/>
      <c r="M98" s="2637"/>
      <c r="N98" s="2639"/>
      <c r="O98" s="2639"/>
      <c r="P98" s="2641"/>
      <c r="Q98" s="2621"/>
      <c r="R98" s="2623"/>
      <c r="S98" s="2625"/>
      <c r="T98" s="2627"/>
      <c r="U98" s="307" t="s">
        <v>251</v>
      </c>
      <c r="V98" s="204">
        <f>92400000-80640000</f>
        <v>11760000</v>
      </c>
      <c r="W98" s="92">
        <v>20</v>
      </c>
      <c r="X98" s="209" t="s">
        <v>190</v>
      </c>
      <c r="Y98" s="2643"/>
      <c r="Z98" s="2652"/>
      <c r="AA98" s="2643"/>
      <c r="AB98" s="2643"/>
      <c r="AC98" s="2643"/>
      <c r="AD98" s="2643"/>
      <c r="AE98" s="2643"/>
      <c r="AF98" s="2643"/>
      <c r="AG98" s="2643"/>
      <c r="AH98" s="2643"/>
      <c r="AI98" s="2643"/>
      <c r="AJ98" s="2643"/>
      <c r="AK98" s="2643"/>
      <c r="AL98" s="2643"/>
      <c r="AM98" s="2643"/>
      <c r="AN98" s="2643"/>
      <c r="AO98" s="2645"/>
      <c r="AP98" s="2645"/>
      <c r="AQ98" s="2646"/>
    </row>
    <row r="99" spans="1:43" s="88" customFormat="1" ht="51.75" customHeight="1" x14ac:dyDescent="0.2">
      <c r="A99" s="2656"/>
      <c r="B99" s="2657"/>
      <c r="C99" s="2657"/>
      <c r="D99" s="2658"/>
      <c r="E99" s="2657"/>
      <c r="F99" s="2657"/>
      <c r="G99" s="2658"/>
      <c r="H99" s="2659"/>
      <c r="I99" s="2659"/>
      <c r="J99" s="2660"/>
      <c r="K99" s="2635"/>
      <c r="L99" s="2635"/>
      <c r="M99" s="2637"/>
      <c r="N99" s="2639"/>
      <c r="O99" s="2639"/>
      <c r="P99" s="2641"/>
      <c r="Q99" s="2621"/>
      <c r="R99" s="2623"/>
      <c r="S99" s="2625"/>
      <c r="T99" s="2627"/>
      <c r="U99" s="2632" t="s">
        <v>252</v>
      </c>
      <c r="V99" s="204">
        <f>5760000+20170000</f>
        <v>25930000</v>
      </c>
      <c r="W99" s="92">
        <v>20</v>
      </c>
      <c r="X99" s="209" t="s">
        <v>190</v>
      </c>
      <c r="Y99" s="2643"/>
      <c r="Z99" s="2652"/>
      <c r="AA99" s="2643"/>
      <c r="AB99" s="2643"/>
      <c r="AC99" s="2643"/>
      <c r="AD99" s="2643"/>
      <c r="AE99" s="2643"/>
      <c r="AF99" s="2643"/>
      <c r="AG99" s="2643"/>
      <c r="AH99" s="2643"/>
      <c r="AI99" s="2643"/>
      <c r="AJ99" s="2643"/>
      <c r="AK99" s="2643"/>
      <c r="AL99" s="2643"/>
      <c r="AM99" s="2643"/>
      <c r="AN99" s="2643"/>
      <c r="AO99" s="2645"/>
      <c r="AP99" s="2645"/>
      <c r="AQ99" s="2646"/>
    </row>
    <row r="100" spans="1:43" s="88" customFormat="1" ht="51.75" customHeight="1" x14ac:dyDescent="0.2">
      <c r="A100" s="2656"/>
      <c r="B100" s="2657"/>
      <c r="C100" s="2657"/>
      <c r="D100" s="2658"/>
      <c r="E100" s="2657"/>
      <c r="F100" s="2657"/>
      <c r="G100" s="2658"/>
      <c r="H100" s="2659"/>
      <c r="I100" s="2659"/>
      <c r="J100" s="2660"/>
      <c r="K100" s="2635"/>
      <c r="L100" s="2635"/>
      <c r="M100" s="2637"/>
      <c r="N100" s="2639"/>
      <c r="O100" s="2639"/>
      <c r="P100" s="2641"/>
      <c r="Q100" s="2621"/>
      <c r="R100" s="2623"/>
      <c r="S100" s="2625"/>
      <c r="T100" s="2627"/>
      <c r="U100" s="2631"/>
      <c r="V100" s="204">
        <f>0+20000</f>
        <v>20000</v>
      </c>
      <c r="W100" s="270">
        <v>88</v>
      </c>
      <c r="X100" s="206" t="s">
        <v>61</v>
      </c>
      <c r="Y100" s="2643"/>
      <c r="Z100" s="2652"/>
      <c r="AA100" s="2643"/>
      <c r="AB100" s="2643"/>
      <c r="AC100" s="2643"/>
      <c r="AD100" s="2643"/>
      <c r="AE100" s="2643"/>
      <c r="AF100" s="2643"/>
      <c r="AG100" s="2643"/>
      <c r="AH100" s="2643"/>
      <c r="AI100" s="2643"/>
      <c r="AJ100" s="2643"/>
      <c r="AK100" s="2643"/>
      <c r="AL100" s="2643"/>
      <c r="AM100" s="2643"/>
      <c r="AN100" s="2643"/>
      <c r="AO100" s="2645"/>
      <c r="AP100" s="2645"/>
      <c r="AQ100" s="2646"/>
    </row>
    <row r="101" spans="1:43" s="88" customFormat="1" ht="51.75" customHeight="1" x14ac:dyDescent="0.2">
      <c r="A101" s="2656"/>
      <c r="B101" s="2657"/>
      <c r="C101" s="2657"/>
      <c r="D101" s="2658"/>
      <c r="E101" s="2657"/>
      <c r="F101" s="2657"/>
      <c r="G101" s="2658"/>
      <c r="H101" s="2659"/>
      <c r="I101" s="2659"/>
      <c r="J101" s="2660"/>
      <c r="K101" s="2635"/>
      <c r="L101" s="2635"/>
      <c r="M101" s="2637"/>
      <c r="N101" s="2639"/>
      <c r="O101" s="2639"/>
      <c r="P101" s="2641"/>
      <c r="Q101" s="2621"/>
      <c r="R101" s="2623"/>
      <c r="S101" s="2625"/>
      <c r="T101" s="2627"/>
      <c r="U101" s="307" t="s">
        <v>253</v>
      </c>
      <c r="V101" s="204">
        <f>5760000-5760000</f>
        <v>0</v>
      </c>
      <c r="W101" s="270"/>
      <c r="X101" s="209"/>
      <c r="Y101" s="2643"/>
      <c r="Z101" s="2652"/>
      <c r="AA101" s="2643"/>
      <c r="AB101" s="2643"/>
      <c r="AC101" s="2643"/>
      <c r="AD101" s="2643"/>
      <c r="AE101" s="2643"/>
      <c r="AF101" s="2643"/>
      <c r="AG101" s="2643"/>
      <c r="AH101" s="2643"/>
      <c r="AI101" s="2643"/>
      <c r="AJ101" s="2643"/>
      <c r="AK101" s="2643"/>
      <c r="AL101" s="2643"/>
      <c r="AM101" s="2643"/>
      <c r="AN101" s="2643"/>
      <c r="AO101" s="2645"/>
      <c r="AP101" s="2645"/>
      <c r="AQ101" s="2646"/>
    </row>
    <row r="102" spans="1:43" s="88" customFormat="1" ht="51.75" customHeight="1" x14ac:dyDescent="0.2">
      <c r="A102" s="2656"/>
      <c r="B102" s="2657"/>
      <c r="C102" s="2657"/>
      <c r="D102" s="2658"/>
      <c r="E102" s="2657"/>
      <c r="F102" s="2657"/>
      <c r="G102" s="2658"/>
      <c r="H102" s="2659"/>
      <c r="I102" s="2659"/>
      <c r="J102" s="2660"/>
      <c r="K102" s="2635"/>
      <c r="L102" s="2635"/>
      <c r="M102" s="2637"/>
      <c r="N102" s="2639"/>
      <c r="O102" s="2639"/>
      <c r="P102" s="2641"/>
      <c r="Q102" s="2621"/>
      <c r="R102" s="2623"/>
      <c r="S102" s="2625"/>
      <c r="T102" s="2627"/>
      <c r="U102" s="2632" t="s">
        <v>254</v>
      </c>
      <c r="V102" s="204">
        <f>14410000-14410000</f>
        <v>0</v>
      </c>
      <c r="W102" s="270"/>
      <c r="X102" s="209"/>
      <c r="Y102" s="2643"/>
      <c r="Z102" s="2652"/>
      <c r="AA102" s="2643"/>
      <c r="AB102" s="2643"/>
      <c r="AC102" s="2643"/>
      <c r="AD102" s="2643"/>
      <c r="AE102" s="2643"/>
      <c r="AF102" s="2643"/>
      <c r="AG102" s="2643"/>
      <c r="AH102" s="2643"/>
      <c r="AI102" s="2643"/>
      <c r="AJ102" s="2643"/>
      <c r="AK102" s="2643"/>
      <c r="AL102" s="2643"/>
      <c r="AM102" s="2643"/>
      <c r="AN102" s="2643"/>
      <c r="AO102" s="2645"/>
      <c r="AP102" s="2645"/>
      <c r="AQ102" s="2646"/>
    </row>
    <row r="103" spans="1:43" s="88" customFormat="1" ht="51.75" customHeight="1" x14ac:dyDescent="0.2">
      <c r="A103" s="2656"/>
      <c r="B103" s="2657"/>
      <c r="C103" s="2657"/>
      <c r="D103" s="2658"/>
      <c r="E103" s="2657"/>
      <c r="F103" s="2657"/>
      <c r="G103" s="2658"/>
      <c r="H103" s="2659"/>
      <c r="I103" s="2659"/>
      <c r="J103" s="2660"/>
      <c r="K103" s="2635"/>
      <c r="L103" s="2635"/>
      <c r="M103" s="2637"/>
      <c r="N103" s="2639"/>
      <c r="O103" s="2639"/>
      <c r="P103" s="2641"/>
      <c r="Q103" s="2621"/>
      <c r="R103" s="2623"/>
      <c r="S103" s="2625"/>
      <c r="T103" s="2628"/>
      <c r="U103" s="2631"/>
      <c r="V103" s="204">
        <f>20000-20000</f>
        <v>0</v>
      </c>
      <c r="W103" s="270"/>
      <c r="X103" s="206"/>
      <c r="Y103" s="2643"/>
      <c r="Z103" s="2652"/>
      <c r="AA103" s="2643"/>
      <c r="AB103" s="2643"/>
      <c r="AC103" s="2643"/>
      <c r="AD103" s="2643"/>
      <c r="AE103" s="2643"/>
      <c r="AF103" s="2643"/>
      <c r="AG103" s="2643"/>
      <c r="AH103" s="2643"/>
      <c r="AI103" s="2643"/>
      <c r="AJ103" s="2643"/>
      <c r="AK103" s="2643"/>
      <c r="AL103" s="2643"/>
      <c r="AM103" s="2643"/>
      <c r="AN103" s="2643"/>
      <c r="AO103" s="2645"/>
      <c r="AP103" s="2645"/>
      <c r="AQ103" s="2646"/>
    </row>
    <row r="104" spans="1:43" s="88" customFormat="1" ht="63" customHeight="1" x14ac:dyDescent="0.2">
      <c r="A104" s="2656"/>
      <c r="B104" s="2657"/>
      <c r="C104" s="2657"/>
      <c r="D104" s="2658"/>
      <c r="E104" s="2657"/>
      <c r="F104" s="2657"/>
      <c r="G104" s="2658"/>
      <c r="H104" s="2659"/>
      <c r="I104" s="2659"/>
      <c r="J104" s="2660"/>
      <c r="K104" s="2635"/>
      <c r="L104" s="2635"/>
      <c r="M104" s="2637"/>
      <c r="N104" s="2639"/>
      <c r="O104" s="2639"/>
      <c r="P104" s="2641"/>
      <c r="Q104" s="2621"/>
      <c r="R104" s="2623"/>
      <c r="S104" s="2625"/>
      <c r="T104" s="2559" t="s">
        <v>255</v>
      </c>
      <c r="U104" s="269" t="s">
        <v>256</v>
      </c>
      <c r="V104" s="204">
        <f>8500000+850000</f>
        <v>9350000</v>
      </c>
      <c r="W104" s="270">
        <v>20</v>
      </c>
      <c r="X104" s="209" t="s">
        <v>190</v>
      </c>
      <c r="Y104" s="2643"/>
      <c r="Z104" s="2652"/>
      <c r="AA104" s="2643"/>
      <c r="AB104" s="2643"/>
      <c r="AC104" s="2643"/>
      <c r="AD104" s="2643"/>
      <c r="AE104" s="2643"/>
      <c r="AF104" s="2643"/>
      <c r="AG104" s="2643"/>
      <c r="AH104" s="2643"/>
      <c r="AI104" s="2643"/>
      <c r="AJ104" s="2643"/>
      <c r="AK104" s="2643"/>
      <c r="AL104" s="2643"/>
      <c r="AM104" s="2643"/>
      <c r="AN104" s="2643"/>
      <c r="AO104" s="2645"/>
      <c r="AP104" s="2645"/>
      <c r="AQ104" s="2646"/>
    </row>
    <row r="105" spans="1:43" s="88" customFormat="1" ht="63" customHeight="1" x14ac:dyDescent="0.2">
      <c r="A105" s="2656"/>
      <c r="B105" s="2657"/>
      <c r="C105" s="2657"/>
      <c r="D105" s="2658"/>
      <c r="E105" s="2657"/>
      <c r="F105" s="2657"/>
      <c r="G105" s="2658"/>
      <c r="H105" s="2659"/>
      <c r="I105" s="2659"/>
      <c r="J105" s="2660"/>
      <c r="K105" s="2635"/>
      <c r="L105" s="2635"/>
      <c r="M105" s="2637"/>
      <c r="N105" s="2639"/>
      <c r="O105" s="2639"/>
      <c r="P105" s="2641"/>
      <c r="Q105" s="2621"/>
      <c r="R105" s="2623"/>
      <c r="S105" s="2625"/>
      <c r="T105" s="2559"/>
      <c r="U105" s="269" t="s">
        <v>257</v>
      </c>
      <c r="V105" s="204">
        <f>6500000+650000</f>
        <v>7150000</v>
      </c>
      <c r="W105" s="270">
        <v>20</v>
      </c>
      <c r="X105" s="209" t="s">
        <v>190</v>
      </c>
      <c r="Y105" s="2643"/>
      <c r="Z105" s="2652"/>
      <c r="AA105" s="2643"/>
      <c r="AB105" s="2643"/>
      <c r="AC105" s="2643"/>
      <c r="AD105" s="2643"/>
      <c r="AE105" s="2643"/>
      <c r="AF105" s="2643"/>
      <c r="AG105" s="2643"/>
      <c r="AH105" s="2643"/>
      <c r="AI105" s="2643"/>
      <c r="AJ105" s="2643"/>
      <c r="AK105" s="2643"/>
      <c r="AL105" s="2643"/>
      <c r="AM105" s="2643"/>
      <c r="AN105" s="2643"/>
      <c r="AO105" s="2645"/>
      <c r="AP105" s="2645"/>
      <c r="AQ105" s="2646"/>
    </row>
    <row r="106" spans="1:43" s="88" customFormat="1" ht="63" customHeight="1" x14ac:dyDescent="0.2">
      <c r="A106" s="2656"/>
      <c r="B106" s="2657"/>
      <c r="C106" s="2657"/>
      <c r="D106" s="2658"/>
      <c r="E106" s="2657"/>
      <c r="F106" s="2657"/>
      <c r="G106" s="2658"/>
      <c r="H106" s="2659"/>
      <c r="I106" s="2659"/>
      <c r="J106" s="2660"/>
      <c r="K106" s="2635"/>
      <c r="L106" s="2635"/>
      <c r="M106" s="2637"/>
      <c r="N106" s="2639"/>
      <c r="O106" s="2639"/>
      <c r="P106" s="2641"/>
      <c r="Q106" s="2621"/>
      <c r="R106" s="2623"/>
      <c r="S106" s="2625"/>
      <c r="T106" s="2559"/>
      <c r="U106" s="269" t="s">
        <v>258</v>
      </c>
      <c r="V106" s="204">
        <v>18000000</v>
      </c>
      <c r="W106" s="270">
        <v>20</v>
      </c>
      <c r="X106" s="209" t="s">
        <v>190</v>
      </c>
      <c r="Y106" s="2643"/>
      <c r="Z106" s="2652"/>
      <c r="AA106" s="2643"/>
      <c r="AB106" s="2643"/>
      <c r="AC106" s="2643"/>
      <c r="AD106" s="2643"/>
      <c r="AE106" s="2643"/>
      <c r="AF106" s="2643"/>
      <c r="AG106" s="2643"/>
      <c r="AH106" s="2643"/>
      <c r="AI106" s="2643"/>
      <c r="AJ106" s="2643"/>
      <c r="AK106" s="2643"/>
      <c r="AL106" s="2643"/>
      <c r="AM106" s="2643"/>
      <c r="AN106" s="2643"/>
      <c r="AO106" s="2645"/>
      <c r="AP106" s="2645"/>
      <c r="AQ106" s="2646"/>
    </row>
    <row r="107" spans="1:43" s="88" customFormat="1" ht="63" customHeight="1" x14ac:dyDescent="0.2">
      <c r="A107" s="2656"/>
      <c r="B107" s="2657"/>
      <c r="C107" s="2657"/>
      <c r="D107" s="2658"/>
      <c r="E107" s="2657"/>
      <c r="F107" s="2657"/>
      <c r="G107" s="2658"/>
      <c r="H107" s="2659"/>
      <c r="I107" s="2659"/>
      <c r="J107" s="2660"/>
      <c r="K107" s="2635"/>
      <c r="L107" s="2635"/>
      <c r="M107" s="2637"/>
      <c r="N107" s="2639"/>
      <c r="O107" s="2639"/>
      <c r="P107" s="2641"/>
      <c r="Q107" s="2621"/>
      <c r="R107" s="2623"/>
      <c r="S107" s="2625"/>
      <c r="T107" s="2559" t="s">
        <v>259</v>
      </c>
      <c r="U107" s="2632" t="s">
        <v>260</v>
      </c>
      <c r="V107" s="204">
        <f>76230000+59290000-5100000-3370000</f>
        <v>127050000</v>
      </c>
      <c r="W107" s="270">
        <v>20</v>
      </c>
      <c r="X107" s="209" t="s">
        <v>190</v>
      </c>
      <c r="Y107" s="2643"/>
      <c r="Z107" s="2652"/>
      <c r="AA107" s="2643"/>
      <c r="AB107" s="2643"/>
      <c r="AC107" s="2643"/>
      <c r="AD107" s="2643"/>
      <c r="AE107" s="2643"/>
      <c r="AF107" s="2643"/>
      <c r="AG107" s="2643"/>
      <c r="AH107" s="2643"/>
      <c r="AI107" s="2643"/>
      <c r="AJ107" s="2643"/>
      <c r="AK107" s="2643"/>
      <c r="AL107" s="2643"/>
      <c r="AM107" s="2643"/>
      <c r="AN107" s="2643"/>
      <c r="AO107" s="2645"/>
      <c r="AP107" s="2645"/>
      <c r="AQ107" s="2646"/>
    </row>
    <row r="108" spans="1:43" s="88" customFormat="1" ht="63" customHeight="1" x14ac:dyDescent="0.2">
      <c r="A108" s="2656"/>
      <c r="B108" s="2657"/>
      <c r="C108" s="2657"/>
      <c r="D108" s="2658"/>
      <c r="E108" s="2657"/>
      <c r="F108" s="2657"/>
      <c r="G108" s="2658"/>
      <c r="H108" s="2659"/>
      <c r="I108" s="2659"/>
      <c r="J108" s="2660"/>
      <c r="K108" s="2635"/>
      <c r="L108" s="2635"/>
      <c r="M108" s="2637"/>
      <c r="N108" s="2639"/>
      <c r="O108" s="2639"/>
      <c r="P108" s="2641"/>
      <c r="Q108" s="2621"/>
      <c r="R108" s="2623"/>
      <c r="S108" s="2625"/>
      <c r="T108" s="2559"/>
      <c r="U108" s="2631"/>
      <c r="V108" s="204">
        <f>0+33880000+8470000+5100000+11840000</f>
        <v>59290000</v>
      </c>
      <c r="W108" s="270">
        <v>88</v>
      </c>
      <c r="X108" s="206" t="s">
        <v>261</v>
      </c>
      <c r="Y108" s="2643"/>
      <c r="Z108" s="2652"/>
      <c r="AA108" s="2643"/>
      <c r="AB108" s="2643"/>
      <c r="AC108" s="2643"/>
      <c r="AD108" s="2643"/>
      <c r="AE108" s="2643"/>
      <c r="AF108" s="2643"/>
      <c r="AG108" s="2643"/>
      <c r="AH108" s="2643"/>
      <c r="AI108" s="2643"/>
      <c r="AJ108" s="2643"/>
      <c r="AK108" s="2643"/>
      <c r="AL108" s="2643"/>
      <c r="AM108" s="2643"/>
      <c r="AN108" s="2643"/>
      <c r="AO108" s="2645"/>
      <c r="AP108" s="2645"/>
      <c r="AQ108" s="2646"/>
    </row>
    <row r="109" spans="1:43" s="88" customFormat="1" ht="63" customHeight="1" x14ac:dyDescent="0.2">
      <c r="A109" s="2656"/>
      <c r="B109" s="2657"/>
      <c r="C109" s="2657"/>
      <c r="D109" s="2658"/>
      <c r="E109" s="2657"/>
      <c r="F109" s="2657"/>
      <c r="G109" s="2658"/>
      <c r="H109" s="2659"/>
      <c r="I109" s="2659"/>
      <c r="J109" s="2660"/>
      <c r="K109" s="2635"/>
      <c r="L109" s="2635"/>
      <c r="M109" s="2637"/>
      <c r="N109" s="2639"/>
      <c r="O109" s="2639"/>
      <c r="P109" s="2641"/>
      <c r="Q109" s="2621"/>
      <c r="R109" s="2623"/>
      <c r="S109" s="2625"/>
      <c r="T109" s="2559"/>
      <c r="U109" s="2632" t="s">
        <v>262</v>
      </c>
      <c r="V109" s="271">
        <f>19800000-5100000+5100000</f>
        <v>19800000</v>
      </c>
      <c r="W109" s="270">
        <v>20</v>
      </c>
      <c r="X109" s="209" t="s">
        <v>190</v>
      </c>
      <c r="Y109" s="2643"/>
      <c r="Z109" s="2652"/>
      <c r="AA109" s="2643"/>
      <c r="AB109" s="2643"/>
      <c r="AC109" s="2643"/>
      <c r="AD109" s="2643"/>
      <c r="AE109" s="2643"/>
      <c r="AF109" s="2643"/>
      <c r="AG109" s="2643"/>
      <c r="AH109" s="2643"/>
      <c r="AI109" s="2643"/>
      <c r="AJ109" s="2643"/>
      <c r="AK109" s="2643"/>
      <c r="AL109" s="2643"/>
      <c r="AM109" s="2643"/>
      <c r="AN109" s="2643"/>
      <c r="AO109" s="2645"/>
      <c r="AP109" s="2645"/>
      <c r="AQ109" s="2646"/>
    </row>
    <row r="110" spans="1:43" s="88" customFormat="1" ht="63" customHeight="1" x14ac:dyDescent="0.2">
      <c r="A110" s="2656"/>
      <c r="B110" s="2657"/>
      <c r="C110" s="2657"/>
      <c r="D110" s="2658"/>
      <c r="E110" s="2657"/>
      <c r="F110" s="2657"/>
      <c r="G110" s="2658"/>
      <c r="H110" s="2659"/>
      <c r="I110" s="2659"/>
      <c r="J110" s="2660"/>
      <c r="K110" s="2635"/>
      <c r="L110" s="2635"/>
      <c r="M110" s="2637"/>
      <c r="N110" s="2639"/>
      <c r="O110" s="2639"/>
      <c r="P110" s="2641"/>
      <c r="Q110" s="2621"/>
      <c r="R110" s="2623"/>
      <c r="S110" s="2625"/>
      <c r="T110" s="2559"/>
      <c r="U110" s="2647"/>
      <c r="V110" s="308">
        <f>0+5100000-5100000</f>
        <v>0</v>
      </c>
      <c r="W110" s="270"/>
      <c r="X110" s="209"/>
      <c r="Y110" s="2650"/>
      <c r="Z110" s="2652"/>
      <c r="AA110" s="2643"/>
      <c r="AB110" s="2643"/>
      <c r="AC110" s="2643"/>
      <c r="AD110" s="2643"/>
      <c r="AE110" s="2643"/>
      <c r="AF110" s="2643"/>
      <c r="AG110" s="2643"/>
      <c r="AH110" s="2643"/>
      <c r="AI110" s="2643"/>
      <c r="AJ110" s="2643"/>
      <c r="AK110" s="2643"/>
      <c r="AL110" s="2643"/>
      <c r="AM110" s="2643"/>
      <c r="AN110" s="2643"/>
      <c r="AO110" s="2645"/>
      <c r="AP110" s="2645"/>
      <c r="AQ110" s="2646"/>
    </row>
    <row r="111" spans="1:43" s="88" customFormat="1" ht="63" customHeight="1" x14ac:dyDescent="0.2">
      <c r="A111" s="2656"/>
      <c r="B111" s="2657"/>
      <c r="C111" s="2657"/>
      <c r="D111" s="2658"/>
      <c r="E111" s="2657"/>
      <c r="F111" s="2657"/>
      <c r="G111" s="2658"/>
      <c r="H111" s="2659"/>
      <c r="I111" s="2659"/>
      <c r="J111" s="2660"/>
      <c r="K111" s="2635"/>
      <c r="L111" s="2635"/>
      <c r="M111" s="2637"/>
      <c r="N111" s="2639"/>
      <c r="O111" s="2639"/>
      <c r="P111" s="2641"/>
      <c r="Q111" s="2621"/>
      <c r="R111" s="2623"/>
      <c r="S111" s="2625"/>
      <c r="T111" s="2559"/>
      <c r="U111" s="2648" t="s">
        <v>263</v>
      </c>
      <c r="V111" s="293">
        <f>20000+4160000</f>
        <v>4180000</v>
      </c>
      <c r="W111" s="92">
        <v>20</v>
      </c>
      <c r="X111" s="209" t="s">
        <v>190</v>
      </c>
      <c r="Y111" s="2650"/>
      <c r="Z111" s="2652"/>
      <c r="AA111" s="2643"/>
      <c r="AB111" s="2643"/>
      <c r="AC111" s="2643"/>
      <c r="AD111" s="2643"/>
      <c r="AE111" s="2643"/>
      <c r="AF111" s="2643"/>
      <c r="AG111" s="2643"/>
      <c r="AH111" s="2643"/>
      <c r="AI111" s="2643"/>
      <c r="AJ111" s="2643"/>
      <c r="AK111" s="2643"/>
      <c r="AL111" s="2643"/>
      <c r="AM111" s="2643"/>
      <c r="AN111" s="2643"/>
      <c r="AO111" s="2645"/>
      <c r="AP111" s="2645"/>
      <c r="AQ111" s="2646"/>
    </row>
    <row r="112" spans="1:43" s="88" customFormat="1" ht="63" customHeight="1" x14ac:dyDescent="0.2">
      <c r="A112" s="2656"/>
      <c r="B112" s="2657"/>
      <c r="C112" s="2657"/>
      <c r="D112" s="2658"/>
      <c r="E112" s="2657"/>
      <c r="F112" s="2657"/>
      <c r="G112" s="2658"/>
      <c r="H112" s="2659"/>
      <c r="I112" s="2659"/>
      <c r="J112" s="2660"/>
      <c r="K112" s="2635"/>
      <c r="L112" s="2635"/>
      <c r="M112" s="2637"/>
      <c r="N112" s="2639"/>
      <c r="O112" s="2639"/>
      <c r="P112" s="2641"/>
      <c r="Q112" s="2621"/>
      <c r="R112" s="2623"/>
      <c r="S112" s="2625"/>
      <c r="T112" s="2559"/>
      <c r="U112" s="2649"/>
      <c r="V112" s="293">
        <f>2030000-1940000</f>
        <v>90000</v>
      </c>
      <c r="W112" s="90">
        <v>88</v>
      </c>
      <c r="X112" s="277" t="s">
        <v>261</v>
      </c>
      <c r="Y112" s="2650"/>
      <c r="Z112" s="2652"/>
      <c r="AA112" s="2643"/>
      <c r="AB112" s="2643"/>
      <c r="AC112" s="2643"/>
      <c r="AD112" s="2643"/>
      <c r="AE112" s="2643"/>
      <c r="AF112" s="2643"/>
      <c r="AG112" s="2643"/>
      <c r="AH112" s="2643"/>
      <c r="AI112" s="2643"/>
      <c r="AJ112" s="2643"/>
      <c r="AK112" s="2643"/>
      <c r="AL112" s="2643"/>
      <c r="AM112" s="2643"/>
      <c r="AN112" s="2643"/>
      <c r="AO112" s="2645"/>
      <c r="AP112" s="2645"/>
      <c r="AQ112" s="2646"/>
    </row>
    <row r="113" spans="1:43" s="88" customFormat="1" ht="63" customHeight="1" x14ac:dyDescent="0.2">
      <c r="A113" s="2656"/>
      <c r="B113" s="2657"/>
      <c r="C113" s="2657"/>
      <c r="D113" s="2658"/>
      <c r="E113" s="2657"/>
      <c r="F113" s="2657"/>
      <c r="G113" s="2658"/>
      <c r="H113" s="2659"/>
      <c r="I113" s="2659"/>
      <c r="J113" s="2660"/>
      <c r="K113" s="2635"/>
      <c r="L113" s="2635"/>
      <c r="M113" s="2637"/>
      <c r="N113" s="2639"/>
      <c r="O113" s="2639"/>
      <c r="P113" s="2641"/>
      <c r="Q113" s="2621"/>
      <c r="R113" s="2623"/>
      <c r="S113" s="2625"/>
      <c r="T113" s="2559"/>
      <c r="U113" s="2630" t="s">
        <v>264</v>
      </c>
      <c r="V113" s="309">
        <f>72600000+29800000+1000000</f>
        <v>103400000</v>
      </c>
      <c r="W113" s="287">
        <v>20</v>
      </c>
      <c r="X113" s="206" t="s">
        <v>190</v>
      </c>
      <c r="Y113" s="2650"/>
      <c r="Z113" s="2652"/>
      <c r="AA113" s="2643"/>
      <c r="AB113" s="2643"/>
      <c r="AC113" s="2643"/>
      <c r="AD113" s="2643"/>
      <c r="AE113" s="2643"/>
      <c r="AF113" s="2643"/>
      <c r="AG113" s="2643"/>
      <c r="AH113" s="2643"/>
      <c r="AI113" s="2643"/>
      <c r="AJ113" s="2643"/>
      <c r="AK113" s="2643"/>
      <c r="AL113" s="2643"/>
      <c r="AM113" s="2643"/>
      <c r="AN113" s="2643"/>
      <c r="AO113" s="2645"/>
      <c r="AP113" s="2645"/>
      <c r="AQ113" s="2646"/>
    </row>
    <row r="114" spans="1:43" s="88" customFormat="1" ht="63" customHeight="1" x14ac:dyDescent="0.2">
      <c r="A114" s="2656"/>
      <c r="B114" s="2657"/>
      <c r="C114" s="2657"/>
      <c r="D114" s="2658"/>
      <c r="E114" s="2657"/>
      <c r="F114" s="2657"/>
      <c r="G114" s="2658"/>
      <c r="H114" s="2659"/>
      <c r="I114" s="2659"/>
      <c r="J114" s="2660"/>
      <c r="K114" s="2635"/>
      <c r="L114" s="2635"/>
      <c r="M114" s="2637"/>
      <c r="N114" s="2639"/>
      <c r="O114" s="2639"/>
      <c r="P114" s="2641"/>
      <c r="Q114" s="2621"/>
      <c r="R114" s="2623"/>
      <c r="S114" s="2625"/>
      <c r="T114" s="2559"/>
      <c r="U114" s="2631"/>
      <c r="V114" s="306">
        <f>0+33900000+8200000-9900000</f>
        <v>32200000</v>
      </c>
      <c r="W114" s="285">
        <v>88</v>
      </c>
      <c r="X114" s="310" t="s">
        <v>61</v>
      </c>
      <c r="Y114" s="2643"/>
      <c r="Z114" s="2652"/>
      <c r="AA114" s="2643"/>
      <c r="AB114" s="2643"/>
      <c r="AC114" s="2643"/>
      <c r="AD114" s="2643"/>
      <c r="AE114" s="2643"/>
      <c r="AF114" s="2643"/>
      <c r="AG114" s="2643"/>
      <c r="AH114" s="2643"/>
      <c r="AI114" s="2643"/>
      <c r="AJ114" s="2643"/>
      <c r="AK114" s="2643"/>
      <c r="AL114" s="2643"/>
      <c r="AM114" s="2643"/>
      <c r="AN114" s="2643"/>
      <c r="AO114" s="2645"/>
      <c r="AP114" s="2645"/>
      <c r="AQ114" s="2646"/>
    </row>
    <row r="115" spans="1:43" s="88" customFormat="1" ht="63" customHeight="1" x14ac:dyDescent="0.2">
      <c r="A115" s="2656"/>
      <c r="B115" s="2657"/>
      <c r="C115" s="2657"/>
      <c r="D115" s="2658"/>
      <c r="E115" s="2657"/>
      <c r="F115" s="2657"/>
      <c r="G115" s="2658"/>
      <c r="H115" s="2659"/>
      <c r="I115" s="2659"/>
      <c r="J115" s="2660"/>
      <c r="K115" s="2635"/>
      <c r="L115" s="2635"/>
      <c r="M115" s="2637"/>
      <c r="N115" s="2639"/>
      <c r="O115" s="2639"/>
      <c r="P115" s="2641"/>
      <c r="Q115" s="2621"/>
      <c r="R115" s="2623"/>
      <c r="S115" s="2625"/>
      <c r="T115" s="2559"/>
      <c r="U115" s="2632" t="s">
        <v>265</v>
      </c>
      <c r="V115" s="204">
        <f>2100000</f>
        <v>2100000</v>
      </c>
      <c r="W115" s="270">
        <v>20</v>
      </c>
      <c r="X115" s="209" t="s">
        <v>190</v>
      </c>
      <c r="Y115" s="2643"/>
      <c r="Z115" s="2652"/>
      <c r="AA115" s="2643"/>
      <c r="AB115" s="2643"/>
      <c r="AC115" s="2643"/>
      <c r="AD115" s="2643"/>
      <c r="AE115" s="2643"/>
      <c r="AF115" s="2643"/>
      <c r="AG115" s="2643"/>
      <c r="AH115" s="2643"/>
      <c r="AI115" s="2643"/>
      <c r="AJ115" s="2643"/>
      <c r="AK115" s="2643"/>
      <c r="AL115" s="2643"/>
      <c r="AM115" s="2643"/>
      <c r="AN115" s="2643"/>
      <c r="AO115" s="2645"/>
      <c r="AP115" s="2645"/>
      <c r="AQ115" s="2646"/>
    </row>
    <row r="116" spans="1:43" s="88" customFormat="1" ht="63" customHeight="1" x14ac:dyDescent="0.2">
      <c r="A116" s="2656"/>
      <c r="B116" s="2657"/>
      <c r="C116" s="2657"/>
      <c r="D116" s="2658"/>
      <c r="E116" s="2657"/>
      <c r="F116" s="2657"/>
      <c r="G116" s="2658"/>
      <c r="H116" s="2659"/>
      <c r="I116" s="2659"/>
      <c r="J116" s="2660"/>
      <c r="K116" s="2635"/>
      <c r="L116" s="2635"/>
      <c r="M116" s="2637"/>
      <c r="N116" s="2639"/>
      <c r="O116" s="2639"/>
      <c r="P116" s="2641"/>
      <c r="Q116" s="2621"/>
      <c r="R116" s="2623"/>
      <c r="S116" s="2625"/>
      <c r="T116" s="2559"/>
      <c r="U116" s="2633"/>
      <c r="V116" s="204">
        <f>2100000</f>
        <v>2100000</v>
      </c>
      <c r="W116" s="270">
        <v>88</v>
      </c>
      <c r="X116" s="209" t="s">
        <v>261</v>
      </c>
      <c r="Y116" s="2643"/>
      <c r="Z116" s="2652"/>
      <c r="AA116" s="2643"/>
      <c r="AB116" s="2643"/>
      <c r="AC116" s="2643"/>
      <c r="AD116" s="2643"/>
      <c r="AE116" s="2643"/>
      <c r="AF116" s="2643"/>
      <c r="AG116" s="2643"/>
      <c r="AH116" s="2643"/>
      <c r="AI116" s="2643"/>
      <c r="AJ116" s="2643"/>
      <c r="AK116" s="2643"/>
      <c r="AL116" s="2643"/>
      <c r="AM116" s="2643"/>
      <c r="AN116" s="2643"/>
      <c r="AO116" s="2645"/>
      <c r="AP116" s="2645"/>
      <c r="AQ116" s="2646"/>
    </row>
    <row r="117" spans="1:43" s="88" customFormat="1" ht="63" customHeight="1" x14ac:dyDescent="0.2">
      <c r="A117" s="2656"/>
      <c r="B117" s="2657"/>
      <c r="C117" s="2657"/>
      <c r="D117" s="2658"/>
      <c r="E117" s="2657"/>
      <c r="F117" s="2657"/>
      <c r="G117" s="2658"/>
      <c r="H117" s="2659"/>
      <c r="I117" s="2659"/>
      <c r="J117" s="2660"/>
      <c r="K117" s="2635"/>
      <c r="L117" s="2635"/>
      <c r="M117" s="2637"/>
      <c r="N117" s="2639"/>
      <c r="O117" s="2639"/>
      <c r="P117" s="2641"/>
      <c r="Q117" s="2621"/>
      <c r="R117" s="2623"/>
      <c r="S117" s="2625"/>
      <c r="T117" s="2629"/>
      <c r="U117" s="2610" t="s">
        <v>266</v>
      </c>
      <c r="V117" s="2611">
        <f>4500000-2250000</f>
        <v>2250000</v>
      </c>
      <c r="W117" s="2613">
        <v>20</v>
      </c>
      <c r="X117" s="2613" t="s">
        <v>190</v>
      </c>
      <c r="Y117" s="2650"/>
      <c r="Z117" s="2652"/>
      <c r="AA117" s="2643"/>
      <c r="AB117" s="2643"/>
      <c r="AC117" s="2643"/>
      <c r="AD117" s="2643"/>
      <c r="AE117" s="2643"/>
      <c r="AF117" s="2643"/>
      <c r="AG117" s="2643"/>
      <c r="AH117" s="2643"/>
      <c r="AI117" s="2643"/>
      <c r="AJ117" s="2643"/>
      <c r="AK117" s="2643"/>
      <c r="AL117" s="2643"/>
      <c r="AM117" s="2643"/>
      <c r="AN117" s="2643"/>
      <c r="AO117" s="2645"/>
      <c r="AP117" s="2645"/>
      <c r="AQ117" s="2646"/>
    </row>
    <row r="118" spans="1:43" s="88" customFormat="1" ht="63" customHeight="1" x14ac:dyDescent="0.2">
      <c r="A118" s="2656"/>
      <c r="B118" s="2657"/>
      <c r="C118" s="2657"/>
      <c r="D118" s="2658"/>
      <c r="E118" s="2657"/>
      <c r="F118" s="2657"/>
      <c r="G118" s="2658"/>
      <c r="H118" s="2659"/>
      <c r="I118" s="2659"/>
      <c r="J118" s="2660"/>
      <c r="K118" s="2635"/>
      <c r="L118" s="2635"/>
      <c r="M118" s="2637"/>
      <c r="N118" s="2639"/>
      <c r="O118" s="2639"/>
      <c r="P118" s="2641"/>
      <c r="Q118" s="2621"/>
      <c r="R118" s="2623"/>
      <c r="S118" s="2625"/>
      <c r="T118" s="2629"/>
      <c r="U118" s="2610"/>
      <c r="V118" s="2612"/>
      <c r="W118" s="2614"/>
      <c r="X118" s="2614"/>
      <c r="Y118" s="2650"/>
      <c r="Z118" s="2652"/>
      <c r="AA118" s="2643"/>
      <c r="AB118" s="2643"/>
      <c r="AC118" s="2643"/>
      <c r="AD118" s="2643"/>
      <c r="AE118" s="2643"/>
      <c r="AF118" s="2643"/>
      <c r="AG118" s="2643"/>
      <c r="AH118" s="2643"/>
      <c r="AI118" s="2643"/>
      <c r="AJ118" s="2643"/>
      <c r="AK118" s="2643"/>
      <c r="AL118" s="2643"/>
      <c r="AM118" s="2643"/>
      <c r="AN118" s="2643"/>
      <c r="AO118" s="2645"/>
      <c r="AP118" s="2645"/>
      <c r="AQ118" s="2646"/>
    </row>
    <row r="119" spans="1:43" s="88" customFormat="1" ht="63" customHeight="1" x14ac:dyDescent="0.2">
      <c r="A119" s="2656"/>
      <c r="B119" s="2657"/>
      <c r="C119" s="2657"/>
      <c r="D119" s="2658"/>
      <c r="E119" s="2657"/>
      <c r="F119" s="2657"/>
      <c r="G119" s="2658"/>
      <c r="H119" s="2659"/>
      <c r="I119" s="2659"/>
      <c r="J119" s="2660"/>
      <c r="K119" s="2635"/>
      <c r="L119" s="2635"/>
      <c r="M119" s="2637"/>
      <c r="N119" s="2639"/>
      <c r="O119" s="2639"/>
      <c r="P119" s="2641"/>
      <c r="Q119" s="2621"/>
      <c r="R119" s="2623"/>
      <c r="S119" s="2625"/>
      <c r="T119" s="2559"/>
      <c r="U119" s="311" t="s">
        <v>267</v>
      </c>
      <c r="V119" s="312">
        <f>0+2250000</f>
        <v>2250000</v>
      </c>
      <c r="W119" s="90">
        <v>20</v>
      </c>
      <c r="X119" s="277" t="s">
        <v>190</v>
      </c>
      <c r="Y119" s="2650"/>
      <c r="Z119" s="2653"/>
      <c r="AA119" s="2644"/>
      <c r="AB119" s="2644"/>
      <c r="AC119" s="2644"/>
      <c r="AD119" s="2644"/>
      <c r="AE119" s="2644"/>
      <c r="AF119" s="2644"/>
      <c r="AG119" s="2644"/>
      <c r="AH119" s="2644"/>
      <c r="AI119" s="2644"/>
      <c r="AJ119" s="2644"/>
      <c r="AK119" s="2644"/>
      <c r="AL119" s="2644"/>
      <c r="AM119" s="2644"/>
      <c r="AN119" s="2644"/>
      <c r="AO119" s="2645"/>
      <c r="AP119" s="2645"/>
      <c r="AQ119" s="2646"/>
    </row>
    <row r="120" spans="1:43" ht="60.75" customHeight="1" x14ac:dyDescent="0.2">
      <c r="A120" s="198"/>
      <c r="D120" s="199"/>
      <c r="G120" s="199"/>
      <c r="J120" s="2615">
        <v>266</v>
      </c>
      <c r="K120" s="2616" t="s">
        <v>268</v>
      </c>
      <c r="L120" s="2618" t="s">
        <v>269</v>
      </c>
      <c r="M120" s="2599">
        <v>1</v>
      </c>
      <c r="N120" s="2609" t="s">
        <v>270</v>
      </c>
      <c r="O120" s="2609" t="s">
        <v>271</v>
      </c>
      <c r="P120" s="2602" t="s">
        <v>272</v>
      </c>
      <c r="Q120" s="2603">
        <v>1</v>
      </c>
      <c r="R120" s="2605">
        <f>SUM(V120:V131)</f>
        <v>48000000</v>
      </c>
      <c r="S120" s="2607" t="s">
        <v>273</v>
      </c>
      <c r="T120" s="2588" t="s">
        <v>274</v>
      </c>
      <c r="U120" s="313" t="s">
        <v>275</v>
      </c>
      <c r="V120" s="314">
        <v>4800000</v>
      </c>
      <c r="W120" s="315">
        <v>20</v>
      </c>
      <c r="X120" s="177" t="s">
        <v>190</v>
      </c>
      <c r="Y120" s="2566">
        <v>282326</v>
      </c>
      <c r="Z120" s="2572">
        <v>292684</v>
      </c>
      <c r="AA120" s="2566">
        <v>135912</v>
      </c>
      <c r="AB120" s="2566">
        <v>45122</v>
      </c>
      <c r="AC120" s="2566">
        <v>307101</v>
      </c>
      <c r="AD120" s="2566">
        <v>86875</v>
      </c>
      <c r="AE120" s="2566">
        <v>2145</v>
      </c>
      <c r="AF120" s="2566">
        <v>12718</v>
      </c>
      <c r="AG120" s="2566">
        <v>26</v>
      </c>
      <c r="AH120" s="2566">
        <v>37</v>
      </c>
      <c r="AI120" s="2566"/>
      <c r="AJ120" s="2566"/>
      <c r="AK120" s="2566">
        <v>43029</v>
      </c>
      <c r="AL120" s="2596">
        <f>AL96</f>
        <v>16982</v>
      </c>
      <c r="AM120" s="2566">
        <v>60013</v>
      </c>
      <c r="AN120" s="2596">
        <f>Y120+Z120</f>
        <v>575010</v>
      </c>
      <c r="AO120" s="2568">
        <v>43102</v>
      </c>
      <c r="AP120" s="2568">
        <v>43465</v>
      </c>
      <c r="AQ120" s="2550" t="s">
        <v>224</v>
      </c>
    </row>
    <row r="121" spans="1:43" ht="60.75" customHeight="1" x14ac:dyDescent="0.2">
      <c r="A121" s="198"/>
      <c r="D121" s="199"/>
      <c r="G121" s="199"/>
      <c r="J121" s="2550"/>
      <c r="K121" s="2607"/>
      <c r="L121" s="2619"/>
      <c r="M121" s="2565"/>
      <c r="N121" s="2587"/>
      <c r="O121" s="2587"/>
      <c r="P121" s="2573"/>
      <c r="Q121" s="2604"/>
      <c r="R121" s="2606"/>
      <c r="S121" s="2607"/>
      <c r="T121" s="2608"/>
      <c r="U121" s="313" t="s">
        <v>276</v>
      </c>
      <c r="V121" s="314">
        <v>2120000</v>
      </c>
      <c r="W121" s="316">
        <v>20</v>
      </c>
      <c r="X121" s="177" t="s">
        <v>190</v>
      </c>
      <c r="Y121" s="2567"/>
      <c r="Z121" s="2600"/>
      <c r="AA121" s="2567"/>
      <c r="AB121" s="2567"/>
      <c r="AC121" s="2567"/>
      <c r="AD121" s="2567"/>
      <c r="AE121" s="2567"/>
      <c r="AF121" s="2567"/>
      <c r="AG121" s="2567"/>
      <c r="AH121" s="2567"/>
      <c r="AI121" s="2567"/>
      <c r="AJ121" s="2567"/>
      <c r="AK121" s="2567"/>
      <c r="AL121" s="2597"/>
      <c r="AM121" s="2567"/>
      <c r="AN121" s="2597"/>
      <c r="AO121" s="2568"/>
      <c r="AP121" s="2568"/>
      <c r="AQ121" s="2550"/>
    </row>
    <row r="122" spans="1:43" ht="60.75" customHeight="1" x14ac:dyDescent="0.2">
      <c r="A122" s="198"/>
      <c r="D122" s="199"/>
      <c r="G122" s="199"/>
      <c r="J122" s="2550"/>
      <c r="K122" s="2607"/>
      <c r="L122" s="2619"/>
      <c r="M122" s="2565"/>
      <c r="N122" s="2587"/>
      <c r="O122" s="2587"/>
      <c r="P122" s="2573"/>
      <c r="Q122" s="2604"/>
      <c r="R122" s="2606"/>
      <c r="S122" s="2607"/>
      <c r="T122" s="2608"/>
      <c r="U122" s="317" t="s">
        <v>277</v>
      </c>
      <c r="V122" s="314">
        <v>14250000</v>
      </c>
      <c r="W122" s="316">
        <v>20</v>
      </c>
      <c r="X122" s="177" t="s">
        <v>190</v>
      </c>
      <c r="Y122" s="2567"/>
      <c r="Z122" s="2600"/>
      <c r="AA122" s="2567"/>
      <c r="AB122" s="2567"/>
      <c r="AC122" s="2567"/>
      <c r="AD122" s="2567"/>
      <c r="AE122" s="2567"/>
      <c r="AF122" s="2567"/>
      <c r="AG122" s="2567"/>
      <c r="AH122" s="2567"/>
      <c r="AI122" s="2567"/>
      <c r="AJ122" s="2567"/>
      <c r="AK122" s="2567"/>
      <c r="AL122" s="2597"/>
      <c r="AM122" s="2567"/>
      <c r="AN122" s="2597"/>
      <c r="AO122" s="2568"/>
      <c r="AP122" s="2568"/>
      <c r="AQ122" s="2550"/>
    </row>
    <row r="123" spans="1:43" ht="60.75" customHeight="1" x14ac:dyDescent="0.2">
      <c r="A123" s="198"/>
      <c r="D123" s="199"/>
      <c r="G123" s="199"/>
      <c r="J123" s="2550"/>
      <c r="K123" s="2607"/>
      <c r="L123" s="2619"/>
      <c r="M123" s="2565"/>
      <c r="N123" s="2587"/>
      <c r="O123" s="2587"/>
      <c r="P123" s="2573"/>
      <c r="Q123" s="2604"/>
      <c r="R123" s="2606"/>
      <c r="S123" s="2607"/>
      <c r="T123" s="2608"/>
      <c r="U123" s="313" t="s">
        <v>278</v>
      </c>
      <c r="V123" s="314">
        <v>2850000</v>
      </c>
      <c r="W123" s="316">
        <v>20</v>
      </c>
      <c r="X123" s="177" t="s">
        <v>190</v>
      </c>
      <c r="Y123" s="2567"/>
      <c r="Z123" s="2600"/>
      <c r="AA123" s="2567"/>
      <c r="AB123" s="2567"/>
      <c r="AC123" s="2567"/>
      <c r="AD123" s="2567"/>
      <c r="AE123" s="2567"/>
      <c r="AF123" s="2567"/>
      <c r="AG123" s="2567"/>
      <c r="AH123" s="2567"/>
      <c r="AI123" s="2567"/>
      <c r="AJ123" s="2567"/>
      <c r="AK123" s="2567"/>
      <c r="AL123" s="2597"/>
      <c r="AM123" s="2567"/>
      <c r="AN123" s="2597"/>
      <c r="AO123" s="2568"/>
      <c r="AP123" s="2568"/>
      <c r="AQ123" s="2550"/>
    </row>
    <row r="124" spans="1:43" ht="60.75" customHeight="1" x14ac:dyDescent="0.2">
      <c r="A124" s="198"/>
      <c r="D124" s="199"/>
      <c r="G124" s="199"/>
      <c r="J124" s="2550"/>
      <c r="K124" s="2607"/>
      <c r="L124" s="2619"/>
      <c r="M124" s="2565"/>
      <c r="N124" s="2587"/>
      <c r="O124" s="2587"/>
      <c r="P124" s="2573"/>
      <c r="Q124" s="2604"/>
      <c r="R124" s="2606"/>
      <c r="S124" s="2607"/>
      <c r="T124" s="2608"/>
      <c r="U124" s="313" t="s">
        <v>279</v>
      </c>
      <c r="V124" s="314">
        <v>1200000</v>
      </c>
      <c r="W124" s="316">
        <v>20</v>
      </c>
      <c r="X124" s="177" t="s">
        <v>190</v>
      </c>
      <c r="Y124" s="2567"/>
      <c r="Z124" s="2600"/>
      <c r="AA124" s="2567"/>
      <c r="AB124" s="2567"/>
      <c r="AC124" s="2567"/>
      <c r="AD124" s="2567"/>
      <c r="AE124" s="2567"/>
      <c r="AF124" s="2567"/>
      <c r="AG124" s="2567"/>
      <c r="AH124" s="2567"/>
      <c r="AI124" s="2567"/>
      <c r="AJ124" s="2567"/>
      <c r="AK124" s="2567"/>
      <c r="AL124" s="2597"/>
      <c r="AM124" s="2567"/>
      <c r="AN124" s="2597"/>
      <c r="AO124" s="2568"/>
      <c r="AP124" s="2568"/>
      <c r="AQ124" s="2550"/>
    </row>
    <row r="125" spans="1:43" ht="60.75" customHeight="1" x14ac:dyDescent="0.2">
      <c r="A125" s="198"/>
      <c r="D125" s="199"/>
      <c r="G125" s="199"/>
      <c r="J125" s="2550"/>
      <c r="K125" s="2607"/>
      <c r="L125" s="2619"/>
      <c r="M125" s="2565"/>
      <c r="N125" s="2587"/>
      <c r="O125" s="2587"/>
      <c r="P125" s="2573"/>
      <c r="Q125" s="2604"/>
      <c r="R125" s="2606"/>
      <c r="S125" s="2607"/>
      <c r="T125" s="2608"/>
      <c r="U125" s="313" t="s">
        <v>280</v>
      </c>
      <c r="V125" s="314">
        <v>1200000</v>
      </c>
      <c r="W125" s="316">
        <v>20</v>
      </c>
      <c r="X125" s="177" t="s">
        <v>190</v>
      </c>
      <c r="Y125" s="2567"/>
      <c r="Z125" s="2600"/>
      <c r="AA125" s="2567"/>
      <c r="AB125" s="2567"/>
      <c r="AC125" s="2567"/>
      <c r="AD125" s="2567"/>
      <c r="AE125" s="2567"/>
      <c r="AF125" s="2567"/>
      <c r="AG125" s="2567"/>
      <c r="AH125" s="2567"/>
      <c r="AI125" s="2567"/>
      <c r="AJ125" s="2567"/>
      <c r="AK125" s="2567"/>
      <c r="AL125" s="2597"/>
      <c r="AM125" s="2567"/>
      <c r="AN125" s="2597"/>
      <c r="AO125" s="2568"/>
      <c r="AP125" s="2568"/>
      <c r="AQ125" s="2550"/>
    </row>
    <row r="126" spans="1:43" ht="60.75" customHeight="1" x14ac:dyDescent="0.2">
      <c r="A126" s="198"/>
      <c r="D126" s="199"/>
      <c r="G126" s="199"/>
      <c r="J126" s="2550"/>
      <c r="K126" s="2607"/>
      <c r="L126" s="2619"/>
      <c r="M126" s="2565"/>
      <c r="N126" s="2587"/>
      <c r="O126" s="2587"/>
      <c r="P126" s="2573"/>
      <c r="Q126" s="2604"/>
      <c r="R126" s="2606"/>
      <c r="S126" s="2607"/>
      <c r="T126" s="2608"/>
      <c r="U126" s="313" t="s">
        <v>281</v>
      </c>
      <c r="V126" s="314">
        <v>300000</v>
      </c>
      <c r="W126" s="316">
        <v>20</v>
      </c>
      <c r="X126" s="177" t="s">
        <v>190</v>
      </c>
      <c r="Y126" s="2567"/>
      <c r="Z126" s="2600"/>
      <c r="AA126" s="2567"/>
      <c r="AB126" s="2567"/>
      <c r="AC126" s="2567"/>
      <c r="AD126" s="2567"/>
      <c r="AE126" s="2567"/>
      <c r="AF126" s="2567"/>
      <c r="AG126" s="2567"/>
      <c r="AH126" s="2567"/>
      <c r="AI126" s="2567"/>
      <c r="AJ126" s="2567"/>
      <c r="AK126" s="2567"/>
      <c r="AL126" s="2597"/>
      <c r="AM126" s="2567"/>
      <c r="AN126" s="2597"/>
      <c r="AO126" s="2568"/>
      <c r="AP126" s="2568"/>
      <c r="AQ126" s="2550"/>
    </row>
    <row r="127" spans="1:43" ht="60.75" customHeight="1" x14ac:dyDescent="0.2">
      <c r="A127" s="198"/>
      <c r="D127" s="199"/>
      <c r="G127" s="199"/>
      <c r="J127" s="2550"/>
      <c r="K127" s="2607"/>
      <c r="L127" s="2619"/>
      <c r="M127" s="2565"/>
      <c r="N127" s="2587"/>
      <c r="O127" s="2587"/>
      <c r="P127" s="2573"/>
      <c r="Q127" s="2604"/>
      <c r="R127" s="2606"/>
      <c r="S127" s="2607"/>
      <c r="T127" s="2608"/>
      <c r="U127" s="313" t="s">
        <v>282</v>
      </c>
      <c r="V127" s="314">
        <v>3760000</v>
      </c>
      <c r="W127" s="316">
        <v>20</v>
      </c>
      <c r="X127" s="177" t="s">
        <v>190</v>
      </c>
      <c r="Y127" s="2567"/>
      <c r="Z127" s="2600"/>
      <c r="AA127" s="2567"/>
      <c r="AB127" s="2567"/>
      <c r="AC127" s="2567"/>
      <c r="AD127" s="2567"/>
      <c r="AE127" s="2567"/>
      <c r="AF127" s="2567"/>
      <c r="AG127" s="2567"/>
      <c r="AH127" s="2567"/>
      <c r="AI127" s="2567"/>
      <c r="AJ127" s="2567"/>
      <c r="AK127" s="2567"/>
      <c r="AL127" s="2597"/>
      <c r="AM127" s="2567"/>
      <c r="AN127" s="2597"/>
      <c r="AO127" s="2568"/>
      <c r="AP127" s="2568"/>
      <c r="AQ127" s="2550"/>
    </row>
    <row r="128" spans="1:43" ht="49.5" customHeight="1" x14ac:dyDescent="0.2">
      <c r="A128" s="198"/>
      <c r="D128" s="199"/>
      <c r="G128" s="199"/>
      <c r="J128" s="2550"/>
      <c r="K128" s="2607"/>
      <c r="L128" s="2619"/>
      <c r="M128" s="2565"/>
      <c r="N128" s="2587"/>
      <c r="O128" s="2587"/>
      <c r="P128" s="2573"/>
      <c r="Q128" s="2604"/>
      <c r="R128" s="2606"/>
      <c r="S128" s="2607"/>
      <c r="T128" s="2608"/>
      <c r="U128" s="313" t="s">
        <v>283</v>
      </c>
      <c r="V128" s="314">
        <v>3760000</v>
      </c>
      <c r="W128" s="316">
        <v>20</v>
      </c>
      <c r="X128" s="177" t="s">
        <v>190</v>
      </c>
      <c r="Y128" s="2567"/>
      <c r="Z128" s="2600"/>
      <c r="AA128" s="2567"/>
      <c r="AB128" s="2567"/>
      <c r="AC128" s="2567"/>
      <c r="AD128" s="2567"/>
      <c r="AE128" s="2567"/>
      <c r="AF128" s="2567"/>
      <c r="AG128" s="2567"/>
      <c r="AH128" s="2567"/>
      <c r="AI128" s="2567"/>
      <c r="AJ128" s="2567"/>
      <c r="AK128" s="2567"/>
      <c r="AL128" s="2597"/>
      <c r="AM128" s="2567"/>
      <c r="AN128" s="2597"/>
      <c r="AO128" s="2568"/>
      <c r="AP128" s="2568"/>
      <c r="AQ128" s="2550"/>
    </row>
    <row r="129" spans="1:43" ht="49.5" customHeight="1" x14ac:dyDescent="0.2">
      <c r="A129" s="198"/>
      <c r="D129" s="199"/>
      <c r="G129" s="199"/>
      <c r="J129" s="2550"/>
      <c r="K129" s="2607"/>
      <c r="L129" s="2619"/>
      <c r="M129" s="2565"/>
      <c r="N129" s="2587"/>
      <c r="O129" s="2587"/>
      <c r="P129" s="2573"/>
      <c r="Q129" s="2604"/>
      <c r="R129" s="2606"/>
      <c r="S129" s="2607"/>
      <c r="T129" s="2608"/>
      <c r="U129" s="318" t="s">
        <v>284</v>
      </c>
      <c r="V129" s="319">
        <f>0+3500000</f>
        <v>3500000</v>
      </c>
      <c r="W129" s="316">
        <v>88</v>
      </c>
      <c r="X129" s="320" t="s">
        <v>61</v>
      </c>
      <c r="Y129" s="2567"/>
      <c r="Z129" s="2600"/>
      <c r="AA129" s="2567"/>
      <c r="AB129" s="2567"/>
      <c r="AC129" s="2567"/>
      <c r="AD129" s="2567"/>
      <c r="AE129" s="2567"/>
      <c r="AF129" s="2567"/>
      <c r="AG129" s="2567"/>
      <c r="AH129" s="2567"/>
      <c r="AI129" s="2567"/>
      <c r="AJ129" s="2567"/>
      <c r="AK129" s="2567"/>
      <c r="AL129" s="2597"/>
      <c r="AM129" s="2567"/>
      <c r="AN129" s="2597"/>
      <c r="AO129" s="2568"/>
      <c r="AP129" s="2568"/>
      <c r="AQ129" s="2550"/>
    </row>
    <row r="130" spans="1:43" ht="49.5" customHeight="1" x14ac:dyDescent="0.2">
      <c r="A130" s="198"/>
      <c r="D130" s="199"/>
      <c r="G130" s="199"/>
      <c r="J130" s="2550"/>
      <c r="K130" s="2607"/>
      <c r="L130" s="2619"/>
      <c r="M130" s="2565"/>
      <c r="N130" s="2587"/>
      <c r="O130" s="2587"/>
      <c r="P130" s="2573"/>
      <c r="Q130" s="2604"/>
      <c r="R130" s="2606"/>
      <c r="S130" s="2607"/>
      <c r="T130" s="2609"/>
      <c r="U130" s="318" t="s">
        <v>285</v>
      </c>
      <c r="V130" s="319">
        <f>0+6500000</f>
        <v>6500000</v>
      </c>
      <c r="W130" s="316">
        <v>88</v>
      </c>
      <c r="X130" s="320" t="s">
        <v>61</v>
      </c>
      <c r="Y130" s="2567"/>
      <c r="Z130" s="2600"/>
      <c r="AA130" s="2567"/>
      <c r="AB130" s="2567"/>
      <c r="AC130" s="2567"/>
      <c r="AD130" s="2567"/>
      <c r="AE130" s="2567"/>
      <c r="AF130" s="2567"/>
      <c r="AG130" s="2567"/>
      <c r="AH130" s="2567"/>
      <c r="AI130" s="2567"/>
      <c r="AJ130" s="2567"/>
      <c r="AK130" s="2567"/>
      <c r="AL130" s="2597"/>
      <c r="AM130" s="2567"/>
      <c r="AN130" s="2597"/>
      <c r="AO130" s="2568"/>
      <c r="AP130" s="2568"/>
      <c r="AQ130" s="2550"/>
    </row>
    <row r="131" spans="1:43" ht="105.75" customHeight="1" x14ac:dyDescent="0.2">
      <c r="A131" s="198"/>
      <c r="D131" s="199"/>
      <c r="G131" s="199"/>
      <c r="J131" s="2551"/>
      <c r="K131" s="2617"/>
      <c r="L131" s="2619"/>
      <c r="M131" s="2565"/>
      <c r="N131" s="2587"/>
      <c r="O131" s="2587"/>
      <c r="P131" s="2573"/>
      <c r="Q131" s="2604"/>
      <c r="R131" s="2606"/>
      <c r="S131" s="2607"/>
      <c r="T131" s="321" t="s">
        <v>286</v>
      </c>
      <c r="U131" s="318" t="s">
        <v>287</v>
      </c>
      <c r="V131" s="319">
        <v>3760000</v>
      </c>
      <c r="W131" s="316">
        <v>20</v>
      </c>
      <c r="X131" s="320" t="s">
        <v>190</v>
      </c>
      <c r="Y131" s="2599"/>
      <c r="Z131" s="2601"/>
      <c r="AA131" s="2599"/>
      <c r="AB131" s="2599"/>
      <c r="AC131" s="2599"/>
      <c r="AD131" s="2599"/>
      <c r="AE131" s="2599"/>
      <c r="AF131" s="2599"/>
      <c r="AG131" s="2599"/>
      <c r="AH131" s="2599"/>
      <c r="AI131" s="2599"/>
      <c r="AJ131" s="2599"/>
      <c r="AK131" s="2599"/>
      <c r="AL131" s="2598"/>
      <c r="AM131" s="2599"/>
      <c r="AN131" s="2598"/>
      <c r="AO131" s="2568"/>
      <c r="AP131" s="2568"/>
      <c r="AQ131" s="2550"/>
    </row>
    <row r="132" spans="1:43" s="304" customFormat="1" ht="49.5" customHeight="1" x14ac:dyDescent="0.2">
      <c r="A132" s="322"/>
      <c r="B132" s="323"/>
      <c r="C132" s="323"/>
      <c r="D132" s="323"/>
      <c r="E132" s="323"/>
      <c r="F132" s="323"/>
      <c r="G132" s="323"/>
      <c r="H132" s="323"/>
      <c r="I132" s="324"/>
      <c r="J132" s="2585">
        <v>267</v>
      </c>
      <c r="K132" s="2586" t="s">
        <v>288</v>
      </c>
      <c r="L132" s="2556" t="s">
        <v>289</v>
      </c>
      <c r="M132" s="2544">
        <v>1</v>
      </c>
      <c r="N132" s="2587" t="s">
        <v>290</v>
      </c>
      <c r="O132" s="2589" t="s">
        <v>291</v>
      </c>
      <c r="P132" s="2573" t="s">
        <v>292</v>
      </c>
      <c r="Q132" s="2547">
        <f>SUM(V132+V133)/R132</f>
        <v>0.10732699054937611</v>
      </c>
      <c r="R132" s="2575">
        <f>SUM(V132:V152)</f>
        <v>232187634</v>
      </c>
      <c r="S132" s="2559" t="s">
        <v>293</v>
      </c>
      <c r="T132" s="2577" t="s">
        <v>294</v>
      </c>
      <c r="U132" s="2579" t="s">
        <v>295</v>
      </c>
      <c r="V132" s="325">
        <v>9500000</v>
      </c>
      <c r="W132" s="270">
        <v>20</v>
      </c>
      <c r="X132" s="287" t="s">
        <v>72</v>
      </c>
      <c r="Y132" s="2570">
        <v>294321</v>
      </c>
      <c r="Z132" s="2571">
        <v>283947</v>
      </c>
      <c r="AA132" s="2565">
        <v>135754</v>
      </c>
      <c r="AB132" s="2565">
        <v>44640</v>
      </c>
      <c r="AC132" s="2565">
        <v>308178</v>
      </c>
      <c r="AD132" s="2565">
        <v>89696</v>
      </c>
      <c r="AE132" s="2565">
        <v>2145</v>
      </c>
      <c r="AF132" s="2565">
        <v>12718</v>
      </c>
      <c r="AG132" s="2565">
        <v>26</v>
      </c>
      <c r="AH132" s="2565">
        <v>37</v>
      </c>
      <c r="AI132" s="2565"/>
      <c r="AJ132" s="2565"/>
      <c r="AK132" s="2565">
        <v>54612</v>
      </c>
      <c r="AL132" s="2565">
        <v>16982</v>
      </c>
      <c r="AM132" s="2566">
        <v>1010</v>
      </c>
      <c r="AN132" s="2565">
        <f>Y132+Z132</f>
        <v>578268</v>
      </c>
      <c r="AO132" s="2568">
        <v>43102</v>
      </c>
      <c r="AP132" s="2568">
        <v>43465</v>
      </c>
      <c r="AQ132" s="2550" t="s">
        <v>224</v>
      </c>
    </row>
    <row r="133" spans="1:43" ht="49.5" customHeight="1" x14ac:dyDescent="0.2">
      <c r="J133" s="2585"/>
      <c r="K133" s="2586"/>
      <c r="L133" s="2558"/>
      <c r="M133" s="2546"/>
      <c r="N133" s="2587"/>
      <c r="O133" s="2589"/>
      <c r="P133" s="2573"/>
      <c r="Q133" s="2549"/>
      <c r="R133" s="2575"/>
      <c r="S133" s="2559"/>
      <c r="T133" s="2578"/>
      <c r="U133" s="2579"/>
      <c r="V133" s="325">
        <f>0+15420000</f>
        <v>15420000</v>
      </c>
      <c r="W133" s="270">
        <v>88</v>
      </c>
      <c r="X133" s="209" t="s">
        <v>61</v>
      </c>
      <c r="Y133" s="2570"/>
      <c r="Z133" s="2571"/>
      <c r="AA133" s="2565"/>
      <c r="AB133" s="2565"/>
      <c r="AC133" s="2565"/>
      <c r="AD133" s="2565"/>
      <c r="AE133" s="2565"/>
      <c r="AF133" s="2565"/>
      <c r="AG133" s="2565"/>
      <c r="AH133" s="2565"/>
      <c r="AI133" s="2565"/>
      <c r="AJ133" s="2565"/>
      <c r="AK133" s="2565"/>
      <c r="AL133" s="2565"/>
      <c r="AM133" s="2567"/>
      <c r="AN133" s="2565"/>
      <c r="AO133" s="2568"/>
      <c r="AP133" s="2568"/>
      <c r="AQ133" s="2550"/>
    </row>
    <row r="134" spans="1:43" ht="49.5" customHeight="1" x14ac:dyDescent="0.2">
      <c r="A134" s="198"/>
      <c r="D134" s="199"/>
      <c r="G134" s="199"/>
      <c r="I134" s="327"/>
      <c r="J134" s="2552">
        <v>268</v>
      </c>
      <c r="K134" s="2554" t="s">
        <v>296</v>
      </c>
      <c r="L134" s="2556" t="s">
        <v>297</v>
      </c>
      <c r="M134" s="2544">
        <v>12</v>
      </c>
      <c r="N134" s="2587"/>
      <c r="O134" s="2589"/>
      <c r="P134" s="2573"/>
      <c r="Q134" s="2547">
        <f>SUM(V134:V136)/R132</f>
        <v>0.13075631753928807</v>
      </c>
      <c r="R134" s="2575"/>
      <c r="S134" s="2559"/>
      <c r="T134" s="2559" t="s">
        <v>298</v>
      </c>
      <c r="U134" s="2561" t="s">
        <v>299</v>
      </c>
      <c r="V134" s="328">
        <v>19720000</v>
      </c>
      <c r="W134" s="270">
        <v>20</v>
      </c>
      <c r="X134" s="287" t="s">
        <v>72</v>
      </c>
      <c r="Y134" s="2570"/>
      <c r="Z134" s="2571"/>
      <c r="AA134" s="2565"/>
      <c r="AB134" s="2565"/>
      <c r="AC134" s="2565"/>
      <c r="AD134" s="2565"/>
      <c r="AE134" s="2565"/>
      <c r="AF134" s="2565"/>
      <c r="AG134" s="2565"/>
      <c r="AH134" s="2565"/>
      <c r="AI134" s="2565"/>
      <c r="AJ134" s="2565"/>
      <c r="AK134" s="2565"/>
      <c r="AL134" s="2565"/>
      <c r="AM134" s="2567"/>
      <c r="AN134" s="2565"/>
      <c r="AO134" s="2568"/>
      <c r="AP134" s="2568"/>
      <c r="AQ134" s="2550"/>
    </row>
    <row r="135" spans="1:43" ht="49.5" customHeight="1" x14ac:dyDescent="0.2">
      <c r="A135" s="198"/>
      <c r="D135" s="199"/>
      <c r="G135" s="199"/>
      <c r="I135" s="327"/>
      <c r="J135" s="2552"/>
      <c r="K135" s="2554"/>
      <c r="L135" s="2557"/>
      <c r="M135" s="2545"/>
      <c r="N135" s="2587"/>
      <c r="O135" s="2589"/>
      <c r="P135" s="2573"/>
      <c r="Q135" s="2548"/>
      <c r="R135" s="2575"/>
      <c r="S135" s="2559"/>
      <c r="T135" s="2559"/>
      <c r="U135" s="2562"/>
      <c r="V135" s="325">
        <f>0+9860000</f>
        <v>9860000</v>
      </c>
      <c r="W135" s="92">
        <v>88</v>
      </c>
      <c r="X135" s="274" t="s">
        <v>61</v>
      </c>
      <c r="Y135" s="2570"/>
      <c r="Z135" s="2571"/>
      <c r="AA135" s="2565"/>
      <c r="AB135" s="2565"/>
      <c r="AC135" s="2565"/>
      <c r="AD135" s="2565"/>
      <c r="AE135" s="2565"/>
      <c r="AF135" s="2565"/>
      <c r="AG135" s="2565"/>
      <c r="AH135" s="2565"/>
      <c r="AI135" s="2565"/>
      <c r="AJ135" s="2565"/>
      <c r="AK135" s="2565"/>
      <c r="AL135" s="2565"/>
      <c r="AM135" s="2567"/>
      <c r="AN135" s="2565"/>
      <c r="AO135" s="2568"/>
      <c r="AP135" s="2568"/>
      <c r="AQ135" s="2550"/>
    </row>
    <row r="136" spans="1:43" ht="49.5" customHeight="1" x14ac:dyDescent="0.2">
      <c r="A136" s="198"/>
      <c r="D136" s="199"/>
      <c r="G136" s="199"/>
      <c r="I136" s="327"/>
      <c r="J136" s="2553"/>
      <c r="K136" s="2555"/>
      <c r="L136" s="2558"/>
      <c r="M136" s="2546"/>
      <c r="N136" s="2587"/>
      <c r="O136" s="2589"/>
      <c r="P136" s="2573"/>
      <c r="Q136" s="2549"/>
      <c r="R136" s="2575"/>
      <c r="S136" s="2559"/>
      <c r="T136" s="2559"/>
      <c r="U136" s="329" t="s">
        <v>300</v>
      </c>
      <c r="V136" s="306">
        <v>780000</v>
      </c>
      <c r="W136" s="270">
        <v>20</v>
      </c>
      <c r="X136" s="287" t="s">
        <v>72</v>
      </c>
      <c r="Y136" s="2565"/>
      <c r="Z136" s="2571"/>
      <c r="AA136" s="2565"/>
      <c r="AB136" s="2565"/>
      <c r="AC136" s="2565"/>
      <c r="AD136" s="2565"/>
      <c r="AE136" s="2565"/>
      <c r="AF136" s="2565"/>
      <c r="AG136" s="2565"/>
      <c r="AH136" s="2565"/>
      <c r="AI136" s="2565"/>
      <c r="AJ136" s="2565"/>
      <c r="AK136" s="2565"/>
      <c r="AL136" s="2565"/>
      <c r="AM136" s="2567"/>
      <c r="AN136" s="2565"/>
      <c r="AO136" s="2568"/>
      <c r="AP136" s="2568"/>
      <c r="AQ136" s="2550"/>
    </row>
    <row r="137" spans="1:43" ht="49.5" customHeight="1" x14ac:dyDescent="0.2">
      <c r="A137" s="198"/>
      <c r="D137" s="199"/>
      <c r="G137" s="199"/>
      <c r="I137" s="327"/>
      <c r="J137" s="2563">
        <v>269</v>
      </c>
      <c r="K137" s="2564" t="s">
        <v>301</v>
      </c>
      <c r="L137" s="2556" t="s">
        <v>302</v>
      </c>
      <c r="M137" s="2544">
        <v>12</v>
      </c>
      <c r="N137" s="2587"/>
      <c r="O137" s="2589"/>
      <c r="P137" s="2573"/>
      <c r="Q137" s="2547">
        <f>SUM(V137:V138)/R132</f>
        <v>9.0444093159586611E-2</v>
      </c>
      <c r="R137" s="2575"/>
      <c r="S137" s="2559"/>
      <c r="T137" s="2559"/>
      <c r="U137" s="329" t="s">
        <v>303</v>
      </c>
      <c r="V137" s="204">
        <v>20300000</v>
      </c>
      <c r="W137" s="270">
        <v>20</v>
      </c>
      <c r="X137" s="287" t="s">
        <v>72</v>
      </c>
      <c r="Y137" s="2565"/>
      <c r="Z137" s="2571"/>
      <c r="AA137" s="2565"/>
      <c r="AB137" s="2565"/>
      <c r="AC137" s="2565"/>
      <c r="AD137" s="2565"/>
      <c r="AE137" s="2565"/>
      <c r="AF137" s="2565"/>
      <c r="AG137" s="2565"/>
      <c r="AH137" s="2565"/>
      <c r="AI137" s="2565"/>
      <c r="AJ137" s="2565"/>
      <c r="AK137" s="2565"/>
      <c r="AL137" s="2565"/>
      <c r="AM137" s="2567"/>
      <c r="AN137" s="2565"/>
      <c r="AO137" s="2568"/>
      <c r="AP137" s="2568"/>
      <c r="AQ137" s="2550"/>
    </row>
    <row r="138" spans="1:43" ht="49.5" customHeight="1" x14ac:dyDescent="0.2">
      <c r="A138" s="198"/>
      <c r="D138" s="199"/>
      <c r="G138" s="199"/>
      <c r="I138" s="327"/>
      <c r="J138" s="2553"/>
      <c r="K138" s="2555"/>
      <c r="L138" s="2558"/>
      <c r="M138" s="2546"/>
      <c r="N138" s="2587"/>
      <c r="O138" s="2589"/>
      <c r="P138" s="2573"/>
      <c r="Q138" s="2549"/>
      <c r="R138" s="2575"/>
      <c r="S138" s="2559"/>
      <c r="T138" s="2559"/>
      <c r="U138" s="329" t="s">
        <v>300</v>
      </c>
      <c r="V138" s="204">
        <v>700000</v>
      </c>
      <c r="W138" s="270">
        <v>20</v>
      </c>
      <c r="X138" s="287" t="s">
        <v>72</v>
      </c>
      <c r="Y138" s="2565"/>
      <c r="Z138" s="2571"/>
      <c r="AA138" s="2565"/>
      <c r="AB138" s="2565"/>
      <c r="AC138" s="2565"/>
      <c r="AD138" s="2565"/>
      <c r="AE138" s="2565"/>
      <c r="AF138" s="2565"/>
      <c r="AG138" s="2565"/>
      <c r="AH138" s="2565"/>
      <c r="AI138" s="2565"/>
      <c r="AJ138" s="2565"/>
      <c r="AK138" s="2565"/>
      <c r="AL138" s="2565"/>
      <c r="AM138" s="2567"/>
      <c r="AN138" s="2565"/>
      <c r="AO138" s="2568"/>
      <c r="AP138" s="2568"/>
      <c r="AQ138" s="2550"/>
    </row>
    <row r="139" spans="1:43" ht="49.5" customHeight="1" x14ac:dyDescent="0.2">
      <c r="A139" s="198"/>
      <c r="D139" s="199"/>
      <c r="G139" s="199"/>
      <c r="I139" s="327"/>
      <c r="J139" s="2563">
        <v>270</v>
      </c>
      <c r="K139" s="2564" t="s">
        <v>304</v>
      </c>
      <c r="L139" s="2556" t="s">
        <v>305</v>
      </c>
      <c r="M139" s="2544">
        <v>12</v>
      </c>
      <c r="N139" s="2587"/>
      <c r="O139" s="2589"/>
      <c r="P139" s="2573"/>
      <c r="Q139" s="2547">
        <f>SUM(V139:V140)/R132</f>
        <v>9.0444093159586611E-2</v>
      </c>
      <c r="R139" s="2575"/>
      <c r="S139" s="2559"/>
      <c r="T139" s="2559"/>
      <c r="U139" s="329" t="s">
        <v>306</v>
      </c>
      <c r="V139" s="204">
        <v>20300000</v>
      </c>
      <c r="W139" s="270">
        <v>20</v>
      </c>
      <c r="X139" s="287" t="s">
        <v>72</v>
      </c>
      <c r="Y139" s="2565"/>
      <c r="Z139" s="2571"/>
      <c r="AA139" s="2565"/>
      <c r="AB139" s="2565"/>
      <c r="AC139" s="2565"/>
      <c r="AD139" s="2565"/>
      <c r="AE139" s="2565"/>
      <c r="AF139" s="2565"/>
      <c r="AG139" s="2565"/>
      <c r="AH139" s="2565"/>
      <c r="AI139" s="2565"/>
      <c r="AJ139" s="2565"/>
      <c r="AK139" s="2565"/>
      <c r="AL139" s="2565"/>
      <c r="AM139" s="2567"/>
      <c r="AN139" s="2565"/>
      <c r="AO139" s="2568"/>
      <c r="AP139" s="2568"/>
      <c r="AQ139" s="2550"/>
    </row>
    <row r="140" spans="1:43" ht="49.5" customHeight="1" x14ac:dyDescent="0.2">
      <c r="A140" s="198"/>
      <c r="D140" s="199"/>
      <c r="G140" s="199"/>
      <c r="I140" s="327"/>
      <c r="J140" s="2553"/>
      <c r="K140" s="2555"/>
      <c r="L140" s="2558"/>
      <c r="M140" s="2546"/>
      <c r="N140" s="2587"/>
      <c r="O140" s="2589"/>
      <c r="P140" s="2573"/>
      <c r="Q140" s="2549"/>
      <c r="R140" s="2575"/>
      <c r="S140" s="2559"/>
      <c r="T140" s="2559"/>
      <c r="U140" s="329" t="s">
        <v>300</v>
      </c>
      <c r="V140" s="204">
        <v>700000</v>
      </c>
      <c r="W140" s="270">
        <v>20</v>
      </c>
      <c r="X140" s="287" t="s">
        <v>72</v>
      </c>
      <c r="Y140" s="2565"/>
      <c r="Z140" s="2571"/>
      <c r="AA140" s="2565"/>
      <c r="AB140" s="2565"/>
      <c r="AC140" s="2565"/>
      <c r="AD140" s="2565"/>
      <c r="AE140" s="2565"/>
      <c r="AF140" s="2565"/>
      <c r="AG140" s="2565"/>
      <c r="AH140" s="2565"/>
      <c r="AI140" s="2565"/>
      <c r="AJ140" s="2565"/>
      <c r="AK140" s="2565"/>
      <c r="AL140" s="2565"/>
      <c r="AM140" s="2567"/>
      <c r="AN140" s="2565"/>
      <c r="AO140" s="2568"/>
      <c r="AP140" s="2568"/>
      <c r="AQ140" s="2550"/>
    </row>
    <row r="141" spans="1:43" ht="49.5" customHeight="1" x14ac:dyDescent="0.2">
      <c r="A141" s="198"/>
      <c r="D141" s="199"/>
      <c r="G141" s="199"/>
      <c r="I141" s="327"/>
      <c r="J141" s="2563">
        <v>271</v>
      </c>
      <c r="K141" s="2564" t="s">
        <v>307</v>
      </c>
      <c r="L141" s="2556" t="s">
        <v>305</v>
      </c>
      <c r="M141" s="2544">
        <v>12</v>
      </c>
      <c r="N141" s="2587"/>
      <c r="O141" s="2589"/>
      <c r="P141" s="2573"/>
      <c r="Q141" s="2547">
        <f>SUM(V141:V143)/R132</f>
        <v>0.17326504132429379</v>
      </c>
      <c r="R141" s="2575"/>
      <c r="S141" s="2559"/>
      <c r="T141" s="2559"/>
      <c r="U141" s="2580" t="s">
        <v>308</v>
      </c>
      <c r="V141" s="204">
        <v>37410000</v>
      </c>
      <c r="W141" s="270">
        <v>20</v>
      </c>
      <c r="X141" s="287" t="s">
        <v>72</v>
      </c>
      <c r="Y141" s="2565"/>
      <c r="Z141" s="2571"/>
      <c r="AA141" s="2565"/>
      <c r="AB141" s="2565"/>
      <c r="AC141" s="2565"/>
      <c r="AD141" s="2565"/>
      <c r="AE141" s="2565"/>
      <c r="AF141" s="2565"/>
      <c r="AG141" s="2565"/>
      <c r="AH141" s="2565"/>
      <c r="AI141" s="2565"/>
      <c r="AJ141" s="2565"/>
      <c r="AK141" s="2565"/>
      <c r="AL141" s="2565"/>
      <c r="AM141" s="2567"/>
      <c r="AN141" s="2565"/>
      <c r="AO141" s="2568"/>
      <c r="AP141" s="2568"/>
      <c r="AQ141" s="2550"/>
    </row>
    <row r="142" spans="1:43" ht="49.5" customHeight="1" x14ac:dyDescent="0.2">
      <c r="A142" s="198"/>
      <c r="D142" s="199"/>
      <c r="G142" s="199"/>
      <c r="I142" s="327"/>
      <c r="J142" s="2552"/>
      <c r="K142" s="2591"/>
      <c r="L142" s="2557"/>
      <c r="M142" s="2545"/>
      <c r="N142" s="2588"/>
      <c r="O142" s="2590"/>
      <c r="P142" s="2574"/>
      <c r="Q142" s="2548"/>
      <c r="R142" s="2576"/>
      <c r="S142" s="2560"/>
      <c r="T142" s="2560"/>
      <c r="U142" s="2581"/>
      <c r="V142" s="271">
        <f>0+2030000</f>
        <v>2030000</v>
      </c>
      <c r="W142" s="287">
        <v>88</v>
      </c>
      <c r="X142" s="287" t="s">
        <v>140</v>
      </c>
      <c r="Y142" s="2566"/>
      <c r="Z142" s="2572"/>
      <c r="AA142" s="2566"/>
      <c r="AB142" s="2566"/>
      <c r="AC142" s="2566"/>
      <c r="AD142" s="2566"/>
      <c r="AE142" s="2566"/>
      <c r="AF142" s="2566"/>
      <c r="AG142" s="2566"/>
      <c r="AH142" s="2566"/>
      <c r="AI142" s="2566"/>
      <c r="AJ142" s="2566"/>
      <c r="AK142" s="2566"/>
      <c r="AL142" s="2566"/>
      <c r="AM142" s="2567"/>
      <c r="AN142" s="2566"/>
      <c r="AO142" s="2569"/>
      <c r="AP142" s="2569"/>
      <c r="AQ142" s="2551"/>
    </row>
    <row r="143" spans="1:43" ht="49.5" customHeight="1" x14ac:dyDescent="0.2">
      <c r="A143" s="198"/>
      <c r="D143" s="199"/>
      <c r="G143" s="199"/>
      <c r="I143" s="327"/>
      <c r="J143" s="2553"/>
      <c r="K143" s="2555"/>
      <c r="L143" s="2558"/>
      <c r="M143" s="2546"/>
      <c r="N143" s="2588"/>
      <c r="O143" s="2590"/>
      <c r="P143" s="2574"/>
      <c r="Q143" s="2549"/>
      <c r="R143" s="2576"/>
      <c r="S143" s="2560"/>
      <c r="T143" s="2560"/>
      <c r="U143" s="329" t="s">
        <v>300</v>
      </c>
      <c r="V143" s="271">
        <v>790000</v>
      </c>
      <c r="W143" s="270">
        <v>20</v>
      </c>
      <c r="X143" s="287" t="s">
        <v>72</v>
      </c>
      <c r="Y143" s="2566"/>
      <c r="Z143" s="2572"/>
      <c r="AA143" s="2566"/>
      <c r="AB143" s="2566"/>
      <c r="AC143" s="2566"/>
      <c r="AD143" s="2566"/>
      <c r="AE143" s="2566"/>
      <c r="AF143" s="2566"/>
      <c r="AG143" s="2566"/>
      <c r="AH143" s="2566"/>
      <c r="AI143" s="2566"/>
      <c r="AJ143" s="2566"/>
      <c r="AK143" s="2566"/>
      <c r="AL143" s="2566"/>
      <c r="AM143" s="2567"/>
      <c r="AN143" s="2566"/>
      <c r="AO143" s="2569"/>
      <c r="AP143" s="2569"/>
      <c r="AQ143" s="2551"/>
    </row>
    <row r="144" spans="1:43" ht="49.5" customHeight="1" x14ac:dyDescent="0.2">
      <c r="A144" s="198"/>
      <c r="D144" s="199"/>
      <c r="G144" s="199"/>
      <c r="I144" s="327"/>
      <c r="J144" s="2563">
        <v>272</v>
      </c>
      <c r="K144" s="2564" t="s">
        <v>309</v>
      </c>
      <c r="L144" s="2556" t="s">
        <v>305</v>
      </c>
      <c r="M144" s="2544">
        <v>12</v>
      </c>
      <c r="N144" s="2588"/>
      <c r="O144" s="2590"/>
      <c r="P144" s="2574"/>
      <c r="Q144" s="2547">
        <f>SUM(V144:V146)/R132</f>
        <v>0.17326504132429379</v>
      </c>
      <c r="R144" s="2576"/>
      <c r="S144" s="2560"/>
      <c r="T144" s="2560"/>
      <c r="U144" s="2580" t="s">
        <v>310</v>
      </c>
      <c r="V144" s="271">
        <v>37410000</v>
      </c>
      <c r="W144" s="270">
        <v>20</v>
      </c>
      <c r="X144" s="287" t="s">
        <v>72</v>
      </c>
      <c r="Y144" s="2566"/>
      <c r="Z144" s="2572"/>
      <c r="AA144" s="2566"/>
      <c r="AB144" s="2566"/>
      <c r="AC144" s="2566"/>
      <c r="AD144" s="2566"/>
      <c r="AE144" s="2566"/>
      <c r="AF144" s="2566"/>
      <c r="AG144" s="2566"/>
      <c r="AH144" s="2566"/>
      <c r="AI144" s="2566"/>
      <c r="AJ144" s="2566"/>
      <c r="AK144" s="2566"/>
      <c r="AL144" s="2566"/>
      <c r="AM144" s="2567"/>
      <c r="AN144" s="2566"/>
      <c r="AO144" s="2569"/>
      <c r="AP144" s="2569"/>
      <c r="AQ144" s="2551"/>
    </row>
    <row r="145" spans="1:43" ht="49.5" customHeight="1" x14ac:dyDescent="0.2">
      <c r="A145" s="198"/>
      <c r="D145" s="199"/>
      <c r="G145" s="199"/>
      <c r="I145" s="327"/>
      <c r="J145" s="2552"/>
      <c r="K145" s="2591"/>
      <c r="L145" s="2557"/>
      <c r="M145" s="2545"/>
      <c r="N145" s="2588"/>
      <c r="O145" s="2590"/>
      <c r="P145" s="2574"/>
      <c r="Q145" s="2548"/>
      <c r="R145" s="2576"/>
      <c r="S145" s="2560"/>
      <c r="T145" s="2560"/>
      <c r="U145" s="2581"/>
      <c r="V145" s="271">
        <f>0+2030000</f>
        <v>2030000</v>
      </c>
      <c r="W145" s="287">
        <v>88</v>
      </c>
      <c r="X145" s="287" t="s">
        <v>61</v>
      </c>
      <c r="Y145" s="2566"/>
      <c r="Z145" s="2572"/>
      <c r="AA145" s="2566"/>
      <c r="AB145" s="2566"/>
      <c r="AC145" s="2566"/>
      <c r="AD145" s="2566"/>
      <c r="AE145" s="2566"/>
      <c r="AF145" s="2566"/>
      <c r="AG145" s="2566"/>
      <c r="AH145" s="2566"/>
      <c r="AI145" s="2566"/>
      <c r="AJ145" s="2566"/>
      <c r="AK145" s="2566"/>
      <c r="AL145" s="2566"/>
      <c r="AM145" s="2567"/>
      <c r="AN145" s="2566"/>
      <c r="AO145" s="2569"/>
      <c r="AP145" s="2569"/>
      <c r="AQ145" s="2551"/>
    </row>
    <row r="146" spans="1:43" ht="49.5" customHeight="1" x14ac:dyDescent="0.2">
      <c r="A146" s="198"/>
      <c r="D146" s="199"/>
      <c r="G146" s="199"/>
      <c r="I146" s="327"/>
      <c r="J146" s="2552"/>
      <c r="K146" s="2591"/>
      <c r="L146" s="2558"/>
      <c r="M146" s="2546"/>
      <c r="N146" s="2588"/>
      <c r="O146" s="2590"/>
      <c r="P146" s="2574"/>
      <c r="Q146" s="2549"/>
      <c r="R146" s="2576"/>
      <c r="S146" s="2560"/>
      <c r="T146" s="2560"/>
      <c r="U146" s="330" t="s">
        <v>300</v>
      </c>
      <c r="V146" s="271">
        <v>790000</v>
      </c>
      <c r="W146" s="287">
        <v>20</v>
      </c>
      <c r="X146" s="287" t="s">
        <v>72</v>
      </c>
      <c r="Y146" s="2566"/>
      <c r="Z146" s="2572"/>
      <c r="AA146" s="2566"/>
      <c r="AB146" s="2566"/>
      <c r="AC146" s="2566"/>
      <c r="AD146" s="2566"/>
      <c r="AE146" s="2566"/>
      <c r="AF146" s="2566"/>
      <c r="AG146" s="2566"/>
      <c r="AH146" s="2566"/>
      <c r="AI146" s="2566"/>
      <c r="AJ146" s="2566"/>
      <c r="AK146" s="2566"/>
      <c r="AL146" s="2566"/>
      <c r="AM146" s="2567"/>
      <c r="AN146" s="2566"/>
      <c r="AO146" s="2569"/>
      <c r="AP146" s="2569"/>
      <c r="AQ146" s="2551"/>
    </row>
    <row r="147" spans="1:43" ht="49.5" customHeight="1" x14ac:dyDescent="0.2">
      <c r="A147" s="198"/>
      <c r="D147" s="199"/>
      <c r="G147" s="199"/>
      <c r="J147" s="331">
        <v>273</v>
      </c>
      <c r="K147" s="332" t="s">
        <v>311</v>
      </c>
      <c r="L147" s="333" t="s">
        <v>302</v>
      </c>
      <c r="M147" s="334">
        <v>12</v>
      </c>
      <c r="N147" s="2588"/>
      <c r="O147" s="2590"/>
      <c r="P147" s="2574"/>
      <c r="Q147" s="335">
        <f>SUM(V147)/R132</f>
        <v>8.1830370001530744E-3</v>
      </c>
      <c r="R147" s="2576"/>
      <c r="S147" s="2560"/>
      <c r="T147" s="2560"/>
      <c r="U147" s="330" t="s">
        <v>300</v>
      </c>
      <c r="V147" s="271">
        <v>1900000</v>
      </c>
      <c r="W147" s="270">
        <v>20</v>
      </c>
      <c r="X147" s="287" t="s">
        <v>72</v>
      </c>
      <c r="Y147" s="2566"/>
      <c r="Z147" s="2572"/>
      <c r="AA147" s="2566"/>
      <c r="AB147" s="2566"/>
      <c r="AC147" s="2566"/>
      <c r="AD147" s="2566"/>
      <c r="AE147" s="2566"/>
      <c r="AF147" s="2566"/>
      <c r="AG147" s="2566"/>
      <c r="AH147" s="2566"/>
      <c r="AI147" s="2566"/>
      <c r="AJ147" s="2566"/>
      <c r="AK147" s="2566"/>
      <c r="AL147" s="2566"/>
      <c r="AM147" s="2567"/>
      <c r="AN147" s="2566"/>
      <c r="AO147" s="2569"/>
      <c r="AP147" s="2569"/>
      <c r="AQ147" s="2551"/>
    </row>
    <row r="148" spans="1:43" ht="49.5" customHeight="1" x14ac:dyDescent="0.2">
      <c r="A148" s="198"/>
      <c r="D148" s="199"/>
      <c r="G148" s="199"/>
      <c r="J148" s="2539">
        <v>274</v>
      </c>
      <c r="K148" s="2540" t="s">
        <v>312</v>
      </c>
      <c r="L148" s="2541" t="s">
        <v>302</v>
      </c>
      <c r="M148" s="2544">
        <v>12</v>
      </c>
      <c r="N148" s="2588"/>
      <c r="O148" s="2590"/>
      <c r="P148" s="2574"/>
      <c r="Q148" s="2547">
        <f>SUM(V148:V150)/R132</f>
        <v>0.15573611469765009</v>
      </c>
      <c r="R148" s="2576"/>
      <c r="S148" s="2560"/>
      <c r="T148" s="2560"/>
      <c r="U148" s="2582" t="s">
        <v>313</v>
      </c>
      <c r="V148" s="271">
        <v>20300000</v>
      </c>
      <c r="W148" s="287">
        <v>20</v>
      </c>
      <c r="X148" s="287" t="s">
        <v>72</v>
      </c>
      <c r="Y148" s="2566"/>
      <c r="Z148" s="2572"/>
      <c r="AA148" s="2566"/>
      <c r="AB148" s="2566"/>
      <c r="AC148" s="2566"/>
      <c r="AD148" s="2566"/>
      <c r="AE148" s="2566"/>
      <c r="AF148" s="2566"/>
      <c r="AG148" s="2566"/>
      <c r="AH148" s="2566"/>
      <c r="AI148" s="2566"/>
      <c r="AJ148" s="2566"/>
      <c r="AK148" s="2566"/>
      <c r="AL148" s="2566"/>
      <c r="AM148" s="2567"/>
      <c r="AN148" s="2566"/>
      <c r="AO148" s="2569"/>
      <c r="AP148" s="2569"/>
      <c r="AQ148" s="2551"/>
    </row>
    <row r="149" spans="1:43" ht="49.5" customHeight="1" x14ac:dyDescent="0.2">
      <c r="A149" s="198"/>
      <c r="D149" s="199"/>
      <c r="G149" s="199"/>
      <c r="J149" s="2539"/>
      <c r="K149" s="2540"/>
      <c r="L149" s="2542"/>
      <c r="M149" s="2545"/>
      <c r="N149" s="2588"/>
      <c r="O149" s="2590"/>
      <c r="P149" s="2574"/>
      <c r="Q149" s="2548"/>
      <c r="R149" s="2576"/>
      <c r="S149" s="2560"/>
      <c r="T149" s="2560"/>
      <c r="U149" s="2583"/>
      <c r="V149" s="271">
        <f>0+15660000</f>
        <v>15660000</v>
      </c>
      <c r="W149" s="287">
        <v>88</v>
      </c>
      <c r="X149" s="287" t="s">
        <v>140</v>
      </c>
      <c r="Y149" s="2566"/>
      <c r="Z149" s="2572"/>
      <c r="AA149" s="2566"/>
      <c r="AB149" s="2566"/>
      <c r="AC149" s="2566"/>
      <c r="AD149" s="2566"/>
      <c r="AE149" s="2566"/>
      <c r="AF149" s="2566"/>
      <c r="AG149" s="2566"/>
      <c r="AH149" s="2566"/>
      <c r="AI149" s="2566"/>
      <c r="AJ149" s="2566"/>
      <c r="AK149" s="2566"/>
      <c r="AL149" s="2566"/>
      <c r="AM149" s="2567"/>
      <c r="AN149" s="2566"/>
      <c r="AO149" s="2569"/>
      <c r="AP149" s="2569"/>
      <c r="AQ149" s="2551"/>
    </row>
    <row r="150" spans="1:43" ht="49.5" customHeight="1" x14ac:dyDescent="0.2">
      <c r="A150" s="198"/>
      <c r="D150" s="199"/>
      <c r="G150" s="199"/>
      <c r="J150" s="2539"/>
      <c r="K150" s="2540"/>
      <c r="L150" s="2543"/>
      <c r="M150" s="2546"/>
      <c r="N150" s="2588"/>
      <c r="O150" s="2590"/>
      <c r="P150" s="2574"/>
      <c r="Q150" s="2549"/>
      <c r="R150" s="2576"/>
      <c r="S150" s="2560"/>
      <c r="T150" s="2560"/>
      <c r="U150" s="329" t="s">
        <v>300</v>
      </c>
      <c r="V150" s="271">
        <v>200000</v>
      </c>
      <c r="W150" s="287">
        <v>20</v>
      </c>
      <c r="X150" s="287" t="s">
        <v>72</v>
      </c>
      <c r="Y150" s="2566"/>
      <c r="Z150" s="2572"/>
      <c r="AA150" s="2566"/>
      <c r="AB150" s="2566"/>
      <c r="AC150" s="2566"/>
      <c r="AD150" s="2566"/>
      <c r="AE150" s="2566"/>
      <c r="AF150" s="2566"/>
      <c r="AG150" s="2566"/>
      <c r="AH150" s="2566"/>
      <c r="AI150" s="2566"/>
      <c r="AJ150" s="2566"/>
      <c r="AK150" s="2566"/>
      <c r="AL150" s="2566"/>
      <c r="AM150" s="2567"/>
      <c r="AN150" s="2566"/>
      <c r="AO150" s="2569"/>
      <c r="AP150" s="2569"/>
      <c r="AQ150" s="2551"/>
    </row>
    <row r="151" spans="1:43" ht="49.5" customHeight="1" x14ac:dyDescent="0.2">
      <c r="A151" s="198"/>
      <c r="D151" s="199"/>
      <c r="G151" s="199"/>
      <c r="I151" s="327"/>
      <c r="J151" s="2552">
        <v>260</v>
      </c>
      <c r="K151" s="2591" t="s">
        <v>314</v>
      </c>
      <c r="L151" s="2556" t="s">
        <v>315</v>
      </c>
      <c r="M151" s="2544">
        <v>12</v>
      </c>
      <c r="N151" s="2588"/>
      <c r="O151" s="2590"/>
      <c r="P151" s="2574"/>
      <c r="Q151" s="2547">
        <f>SUM(V151:V152)/R132</f>
        <v>7.057927124577186E-2</v>
      </c>
      <c r="R151" s="2576"/>
      <c r="S151" s="2560"/>
      <c r="T151" s="2560"/>
      <c r="U151" s="329" t="s">
        <v>316</v>
      </c>
      <c r="V151" s="271">
        <v>15950000</v>
      </c>
      <c r="W151" s="287">
        <v>20</v>
      </c>
      <c r="X151" s="287" t="s">
        <v>72</v>
      </c>
      <c r="Y151" s="2566"/>
      <c r="Z151" s="2572"/>
      <c r="AA151" s="2566"/>
      <c r="AB151" s="2566"/>
      <c r="AC151" s="2566"/>
      <c r="AD151" s="2566"/>
      <c r="AE151" s="2566"/>
      <c r="AF151" s="2566"/>
      <c r="AG151" s="2566"/>
      <c r="AH151" s="2566"/>
      <c r="AI151" s="2566"/>
      <c r="AJ151" s="2566"/>
      <c r="AK151" s="2566"/>
      <c r="AL151" s="2566"/>
      <c r="AM151" s="2567"/>
      <c r="AN151" s="2566"/>
      <c r="AO151" s="2569"/>
      <c r="AP151" s="2569"/>
      <c r="AQ151" s="2551"/>
    </row>
    <row r="152" spans="1:43" ht="49.5" customHeight="1" thickBot="1" x14ac:dyDescent="0.25">
      <c r="A152" s="198"/>
      <c r="D152" s="199"/>
      <c r="G152" s="199"/>
      <c r="I152" s="327"/>
      <c r="J152" s="2592"/>
      <c r="K152" s="2593"/>
      <c r="L152" s="2594"/>
      <c r="M152" s="2595"/>
      <c r="N152" s="2588"/>
      <c r="O152" s="2590"/>
      <c r="P152" s="2574"/>
      <c r="Q152" s="2584"/>
      <c r="R152" s="2576"/>
      <c r="S152" s="2560"/>
      <c r="T152" s="2560"/>
      <c r="U152" s="329" t="s">
        <v>300</v>
      </c>
      <c r="V152" s="271">
        <v>437634</v>
      </c>
      <c r="W152" s="270">
        <v>20</v>
      </c>
      <c r="X152" s="287" t="s">
        <v>72</v>
      </c>
      <c r="Y152" s="2566"/>
      <c r="Z152" s="2572"/>
      <c r="AA152" s="2566"/>
      <c r="AB152" s="2566"/>
      <c r="AC152" s="2566"/>
      <c r="AD152" s="2566"/>
      <c r="AE152" s="2566"/>
      <c r="AF152" s="2566"/>
      <c r="AG152" s="2566"/>
      <c r="AH152" s="2566"/>
      <c r="AI152" s="2566"/>
      <c r="AJ152" s="2566"/>
      <c r="AK152" s="2566"/>
      <c r="AL152" s="2566"/>
      <c r="AM152" s="2567"/>
      <c r="AN152" s="2566"/>
      <c r="AO152" s="2569"/>
      <c r="AP152" s="2569"/>
      <c r="AQ152" s="2551"/>
    </row>
    <row r="153" spans="1:43" ht="24.75" customHeight="1" thickBot="1" x14ac:dyDescent="0.25">
      <c r="A153" s="336"/>
      <c r="B153" s="337"/>
      <c r="C153" s="337"/>
      <c r="D153" s="337"/>
      <c r="E153" s="337"/>
      <c r="F153" s="337"/>
      <c r="G153" s="337"/>
      <c r="H153" s="337"/>
      <c r="I153" s="337"/>
      <c r="J153" s="338"/>
      <c r="K153" s="339"/>
      <c r="L153" s="340"/>
      <c r="M153" s="340"/>
      <c r="N153" s="341" t="s">
        <v>88</v>
      </c>
      <c r="O153" s="342"/>
      <c r="P153" s="339"/>
      <c r="Q153" s="343"/>
      <c r="R153" s="344">
        <f>SUM(R8:R152)</f>
        <v>1489487634</v>
      </c>
      <c r="S153" s="345"/>
      <c r="T153" s="339"/>
      <c r="U153" s="346"/>
      <c r="V153" s="344">
        <f>SUM(V8:V152)</f>
        <v>1489487634</v>
      </c>
      <c r="W153" s="347"/>
      <c r="X153" s="348"/>
      <c r="Y153" s="349"/>
      <c r="Z153" s="349"/>
      <c r="AA153" s="349"/>
      <c r="AB153" s="349"/>
      <c r="AC153" s="349"/>
      <c r="AD153" s="349"/>
      <c r="AE153" s="349"/>
      <c r="AF153" s="349"/>
      <c r="AG153" s="349"/>
      <c r="AH153" s="349"/>
      <c r="AI153" s="349"/>
      <c r="AJ153" s="349"/>
      <c r="AK153" s="349"/>
      <c r="AL153" s="349"/>
      <c r="AM153" s="349"/>
      <c r="AN153" s="349"/>
      <c r="AO153" s="350"/>
      <c r="AP153" s="351"/>
      <c r="AQ153" s="352"/>
    </row>
    <row r="154" spans="1:43" ht="90" customHeight="1" x14ac:dyDescent="0.25">
      <c r="C154" s="353"/>
      <c r="D154" s="353"/>
      <c r="V154" s="358"/>
    </row>
    <row r="155" spans="1:43" s="354" customFormat="1" ht="24.75" customHeight="1" x14ac:dyDescent="0.2">
      <c r="A155" s="326"/>
      <c r="B155" s="186"/>
      <c r="C155" s="186"/>
      <c r="D155" s="186"/>
      <c r="E155" s="186"/>
      <c r="F155" s="186"/>
      <c r="G155" s="186"/>
      <c r="H155" s="186"/>
      <c r="I155" s="186"/>
      <c r="J155" s="128"/>
      <c r="L155" s="184"/>
      <c r="M155" s="184"/>
      <c r="N155" s="355"/>
      <c r="O155" s="114"/>
      <c r="P155" s="186"/>
      <c r="Q155" s="233"/>
      <c r="R155" s="363"/>
      <c r="S155" s="364"/>
      <c r="V155" s="365"/>
      <c r="W155" s="359"/>
      <c r="X155" s="360"/>
      <c r="Y155" s="2"/>
      <c r="Z155" s="2"/>
      <c r="AA155" s="2"/>
      <c r="AB155" s="2"/>
      <c r="AC155" s="2"/>
      <c r="AD155" s="2"/>
      <c r="AE155" s="2"/>
      <c r="AF155" s="2"/>
      <c r="AG155" s="2"/>
      <c r="AH155" s="2"/>
      <c r="AI155" s="2"/>
      <c r="AJ155" s="2"/>
      <c r="AK155" s="2"/>
      <c r="AL155" s="2"/>
      <c r="AM155" s="2"/>
      <c r="AN155" s="2"/>
      <c r="AO155" s="361"/>
      <c r="AP155" s="362"/>
      <c r="AQ155" s="233"/>
    </row>
    <row r="156" spans="1:43" s="354" customFormat="1" ht="24.75" customHeight="1" x14ac:dyDescent="0.25">
      <c r="A156" s="326"/>
      <c r="B156" s="186"/>
      <c r="C156" s="186"/>
      <c r="D156" s="186"/>
      <c r="E156" s="186"/>
      <c r="F156" s="186"/>
      <c r="G156" s="186"/>
      <c r="H156" s="186"/>
      <c r="I156" s="186"/>
      <c r="J156" s="128"/>
      <c r="L156" s="184"/>
      <c r="M156" s="184"/>
      <c r="N156" s="366" t="s">
        <v>317</v>
      </c>
      <c r="O156" s="119"/>
      <c r="P156" s="120"/>
      <c r="Q156" s="121"/>
      <c r="R156" s="122"/>
      <c r="S156" s="121"/>
      <c r="V156" s="365"/>
      <c r="W156" s="359"/>
      <c r="X156" s="360"/>
      <c r="Y156" s="2"/>
      <c r="Z156" s="2"/>
      <c r="AA156" s="2"/>
      <c r="AB156" s="2"/>
      <c r="AC156" s="2"/>
      <c r="AD156" s="2"/>
      <c r="AE156" s="2"/>
      <c r="AF156" s="2"/>
      <c r="AG156" s="2"/>
      <c r="AH156" s="2"/>
      <c r="AI156" s="2"/>
      <c r="AJ156" s="2"/>
      <c r="AK156" s="2"/>
      <c r="AL156" s="2"/>
      <c r="AM156" s="2"/>
      <c r="AN156" s="2"/>
      <c r="AO156" s="361"/>
      <c r="AP156" s="362"/>
      <c r="AQ156" s="233"/>
    </row>
    <row r="157" spans="1:43" s="354" customFormat="1" ht="24.75" customHeight="1" x14ac:dyDescent="0.25">
      <c r="A157" s="326"/>
      <c r="B157" s="186"/>
      <c r="C157" s="186"/>
      <c r="D157" s="186"/>
      <c r="E157" s="186"/>
      <c r="F157" s="186"/>
      <c r="G157" s="186"/>
      <c r="H157" s="186"/>
      <c r="I157" s="186"/>
      <c r="J157" s="128"/>
      <c r="L157" s="184"/>
      <c r="M157" s="184"/>
      <c r="N157" s="367" t="s">
        <v>318</v>
      </c>
      <c r="O157" s="122"/>
      <c r="P157" s="121"/>
      <c r="Q157" s="121"/>
      <c r="R157" s="122"/>
      <c r="S157" s="121"/>
      <c r="V157" s="365"/>
      <c r="W157" s="359"/>
      <c r="X157" s="360"/>
      <c r="Y157" s="2"/>
      <c r="Z157" s="2"/>
      <c r="AA157" s="2"/>
      <c r="AB157" s="2"/>
      <c r="AC157" s="2"/>
      <c r="AD157" s="2"/>
      <c r="AE157" s="2"/>
      <c r="AF157" s="2"/>
      <c r="AG157" s="2"/>
      <c r="AH157" s="2"/>
      <c r="AI157" s="2"/>
      <c r="AJ157" s="2"/>
      <c r="AK157" s="2"/>
      <c r="AL157" s="2"/>
      <c r="AM157" s="2"/>
      <c r="AN157" s="2"/>
      <c r="AO157" s="361"/>
      <c r="AP157" s="362"/>
      <c r="AQ157" s="233"/>
    </row>
  </sheetData>
  <sheetProtection password="A60F" sheet="1" objects="1" scenarios="1"/>
  <mergeCells count="396">
    <mergeCell ref="A1:AO4"/>
    <mergeCell ref="A5:M5"/>
    <mergeCell ref="A6:A7"/>
    <mergeCell ref="B6:C7"/>
    <mergeCell ref="D6:D7"/>
    <mergeCell ref="E6:F7"/>
    <mergeCell ref="G6:G7"/>
    <mergeCell ref="H6:I7"/>
    <mergeCell ref="J6:J7"/>
    <mergeCell ref="Q6:Q7"/>
    <mergeCell ref="R6:R7"/>
    <mergeCell ref="S6:S7"/>
    <mergeCell ref="T6:T7"/>
    <mergeCell ref="U6:U7"/>
    <mergeCell ref="V6:V7"/>
    <mergeCell ref="K6:K7"/>
    <mergeCell ref="L6:L7"/>
    <mergeCell ref="M6:M7"/>
    <mergeCell ref="N6:N7"/>
    <mergeCell ref="O6:O7"/>
    <mergeCell ref="P6:P7"/>
    <mergeCell ref="N5:X5"/>
    <mergeCell ref="AA6:AD6"/>
    <mergeCell ref="AE6:AJ6"/>
    <mergeCell ref="Y5:AN5"/>
    <mergeCell ref="AO5:AQ5"/>
    <mergeCell ref="AQ6:AQ7"/>
    <mergeCell ref="AP6:AP7"/>
    <mergeCell ref="AO11:AO32"/>
    <mergeCell ref="AP11:AP32"/>
    <mergeCell ref="Q11:Q32"/>
    <mergeCell ref="R11:R32"/>
    <mergeCell ref="S11:S32"/>
    <mergeCell ref="Y11:Y32"/>
    <mergeCell ref="T12:T32"/>
    <mergeCell ref="W6:W7"/>
    <mergeCell ref="X6:X7"/>
    <mergeCell ref="Y6:Z6"/>
    <mergeCell ref="AK6:AM6"/>
    <mergeCell ref="AQ11:AQ32"/>
    <mergeCell ref="AF11:AF32"/>
    <mergeCell ref="AG11:AG32"/>
    <mergeCell ref="AH11:AH32"/>
    <mergeCell ref="AI11:AI32"/>
    <mergeCell ref="AJ11:AJ32"/>
    <mergeCell ref="AK11:AK32"/>
    <mergeCell ref="AN6:AN7"/>
    <mergeCell ref="AO6:AO7"/>
    <mergeCell ref="B8:K8"/>
    <mergeCell ref="E9:K9"/>
    <mergeCell ref="O11:O32"/>
    <mergeCell ref="P11:P32"/>
    <mergeCell ref="AL11:AL32"/>
    <mergeCell ref="AM11:AM32"/>
    <mergeCell ref="AN11:AN32"/>
    <mergeCell ref="Z11:Z32"/>
    <mergeCell ref="AA11:AA32"/>
    <mergeCell ref="AB11:AB32"/>
    <mergeCell ref="AC11:AC32"/>
    <mergeCell ref="AD11:AD32"/>
    <mergeCell ref="AE11:AE32"/>
    <mergeCell ref="O34:O49"/>
    <mergeCell ref="P34:P49"/>
    <mergeCell ref="Q34:Q49"/>
    <mergeCell ref="R34:R49"/>
    <mergeCell ref="Y34:Y49"/>
    <mergeCell ref="Z34:Z49"/>
    <mergeCell ref="H33:K33"/>
    <mergeCell ref="H10:K10"/>
    <mergeCell ref="J11:J32"/>
    <mergeCell ref="K11:K32"/>
    <mergeCell ref="L11:L32"/>
    <mergeCell ref="M11:M32"/>
    <mergeCell ref="N11:N32"/>
    <mergeCell ref="E50:K50"/>
    <mergeCell ref="H51:K51"/>
    <mergeCell ref="J52:J64"/>
    <mergeCell ref="K52:K64"/>
    <mergeCell ref="L52:L64"/>
    <mergeCell ref="M52:M64"/>
    <mergeCell ref="N52:N64"/>
    <mergeCell ref="AK34:AK49"/>
    <mergeCell ref="AL34:AL49"/>
    <mergeCell ref="AE34:AE49"/>
    <mergeCell ref="AF34:AF49"/>
    <mergeCell ref="AG34:AG49"/>
    <mergeCell ref="AH34:AH49"/>
    <mergeCell ref="AI34:AI49"/>
    <mergeCell ref="AJ34:AJ49"/>
    <mergeCell ref="J34:J49"/>
    <mergeCell ref="K34:K49"/>
    <mergeCell ref="L34:L49"/>
    <mergeCell ref="M34:M49"/>
    <mergeCell ref="N34:N49"/>
    <mergeCell ref="O52:O64"/>
    <mergeCell ref="P52:P64"/>
    <mergeCell ref="Q52:Q64"/>
    <mergeCell ref="R52:R64"/>
    <mergeCell ref="S52:S64"/>
    <mergeCell ref="T52:T55"/>
    <mergeCell ref="AQ34:AQ49"/>
    <mergeCell ref="T44:T45"/>
    <mergeCell ref="T46:T49"/>
    <mergeCell ref="AM34:AM49"/>
    <mergeCell ref="AN34:AN49"/>
    <mergeCell ref="AO34:AO49"/>
    <mergeCell ref="AP34:AP49"/>
    <mergeCell ref="S34:S49"/>
    <mergeCell ref="T34:T43"/>
    <mergeCell ref="Z52:Z64"/>
    <mergeCell ref="AA52:AA64"/>
    <mergeCell ref="AB52:AB64"/>
    <mergeCell ref="AC52:AC64"/>
    <mergeCell ref="AD52:AD64"/>
    <mergeCell ref="AA34:AA49"/>
    <mergeCell ref="AB34:AB49"/>
    <mergeCell ref="AC34:AC49"/>
    <mergeCell ref="AD34:AD49"/>
    <mergeCell ref="U81:U82"/>
    <mergeCell ref="AQ52:AQ64"/>
    <mergeCell ref="T56:T62"/>
    <mergeCell ref="T63:T64"/>
    <mergeCell ref="F65:K65"/>
    <mergeCell ref="J67:J75"/>
    <mergeCell ref="K67:K75"/>
    <mergeCell ref="L67:L75"/>
    <mergeCell ref="M67:M75"/>
    <mergeCell ref="N67:N82"/>
    <mergeCell ref="O67:O82"/>
    <mergeCell ref="AK52:AK64"/>
    <mergeCell ref="AL52:AL64"/>
    <mergeCell ref="AM52:AM64"/>
    <mergeCell ref="AN52:AN64"/>
    <mergeCell ref="AO52:AO64"/>
    <mergeCell ref="AP52:AP64"/>
    <mergeCell ref="AE52:AE64"/>
    <mergeCell ref="AF52:AF64"/>
    <mergeCell ref="AG52:AG64"/>
    <mergeCell ref="AH52:AH64"/>
    <mergeCell ref="AI52:AI64"/>
    <mergeCell ref="AJ52:AJ64"/>
    <mergeCell ref="Y52:Y64"/>
    <mergeCell ref="AO67:AO82"/>
    <mergeCell ref="AP67:AP82"/>
    <mergeCell ref="AQ67:AQ82"/>
    <mergeCell ref="AF67:AF82"/>
    <mergeCell ref="AG67:AG82"/>
    <mergeCell ref="AH67:AH82"/>
    <mergeCell ref="AI67:AI82"/>
    <mergeCell ref="AJ67:AJ82"/>
    <mergeCell ref="AK67:AK82"/>
    <mergeCell ref="J79:J82"/>
    <mergeCell ref="K79:K82"/>
    <mergeCell ref="L79:L82"/>
    <mergeCell ref="M79:M82"/>
    <mergeCell ref="Q79:Q82"/>
    <mergeCell ref="T79:T82"/>
    <mergeCell ref="AL67:AL82"/>
    <mergeCell ref="AM67:AM82"/>
    <mergeCell ref="AN67:AN82"/>
    <mergeCell ref="Z67:Z82"/>
    <mergeCell ref="AA67:AA82"/>
    <mergeCell ref="AB67:AB82"/>
    <mergeCell ref="AC67:AC82"/>
    <mergeCell ref="AD67:AD82"/>
    <mergeCell ref="AE67:AE82"/>
    <mergeCell ref="P67:P82"/>
    <mergeCell ref="Q67:Q75"/>
    <mergeCell ref="R67:R82"/>
    <mergeCell ref="S67:S82"/>
    <mergeCell ref="T67:T75"/>
    <mergeCell ref="Y67:Y82"/>
    <mergeCell ref="U69:U70"/>
    <mergeCell ref="U71:U72"/>
    <mergeCell ref="U79:U80"/>
    <mergeCell ref="AQ83:AQ92"/>
    <mergeCell ref="U85:U86"/>
    <mergeCell ref="U87:U88"/>
    <mergeCell ref="U89:U90"/>
    <mergeCell ref="AH83:AH92"/>
    <mergeCell ref="AI83:AI92"/>
    <mergeCell ref="AJ83:AJ92"/>
    <mergeCell ref="AK83:AK92"/>
    <mergeCell ref="AL83:AL92"/>
    <mergeCell ref="AM83:AM92"/>
    <mergeCell ref="AB83:AB92"/>
    <mergeCell ref="AC83:AC92"/>
    <mergeCell ref="AD83:AD92"/>
    <mergeCell ref="AE83:AE92"/>
    <mergeCell ref="AF83:AF92"/>
    <mergeCell ref="AG83:AG92"/>
    <mergeCell ref="U83:U84"/>
    <mergeCell ref="Y83:Y92"/>
    <mergeCell ref="Z83:Z92"/>
    <mergeCell ref="AA83:AA92"/>
    <mergeCell ref="A93:C95"/>
    <mergeCell ref="D93:F95"/>
    <mergeCell ref="G93:I95"/>
    <mergeCell ref="J93:J95"/>
    <mergeCell ref="K93:K95"/>
    <mergeCell ref="L93:L95"/>
    <mergeCell ref="AN83:AN92"/>
    <mergeCell ref="AO83:AO92"/>
    <mergeCell ref="AP83:AP92"/>
    <mergeCell ref="S83:S92"/>
    <mergeCell ref="T83:T88"/>
    <mergeCell ref="T89:T92"/>
    <mergeCell ref="M83:M92"/>
    <mergeCell ref="N83:N92"/>
    <mergeCell ref="O83:O92"/>
    <mergeCell ref="P83:P92"/>
    <mergeCell ref="Q83:Q92"/>
    <mergeCell ref="R83:R92"/>
    <mergeCell ref="E83:F92"/>
    <mergeCell ref="G83:G92"/>
    <mergeCell ref="H83:I92"/>
    <mergeCell ref="J83:J92"/>
    <mergeCell ref="K83:K92"/>
    <mergeCell ref="L83:L92"/>
    <mergeCell ref="Y93:Y95"/>
    <mergeCell ref="Z93:Z95"/>
    <mergeCell ref="AA93:AA95"/>
    <mergeCell ref="AB93:AB95"/>
    <mergeCell ref="M93:M95"/>
    <mergeCell ref="N93:N95"/>
    <mergeCell ref="O93:O95"/>
    <mergeCell ref="P93:P95"/>
    <mergeCell ref="Q93:Q95"/>
    <mergeCell ref="R93:R95"/>
    <mergeCell ref="AO93:AO95"/>
    <mergeCell ref="AP93:AP95"/>
    <mergeCell ref="AQ93:AQ95"/>
    <mergeCell ref="A96:A119"/>
    <mergeCell ref="B96:C119"/>
    <mergeCell ref="D96:D119"/>
    <mergeCell ref="E96:F119"/>
    <mergeCell ref="G96:G119"/>
    <mergeCell ref="H96:I119"/>
    <mergeCell ref="J96:J119"/>
    <mergeCell ref="AI93:AI95"/>
    <mergeCell ref="AJ93:AJ95"/>
    <mergeCell ref="AK93:AK95"/>
    <mergeCell ref="AL93:AL95"/>
    <mergeCell ref="AM93:AM95"/>
    <mergeCell ref="AN93:AN95"/>
    <mergeCell ref="AC93:AC95"/>
    <mergeCell ref="AD93:AD95"/>
    <mergeCell ref="AE93:AE95"/>
    <mergeCell ref="AF93:AF95"/>
    <mergeCell ref="AG93:AG95"/>
    <mergeCell ref="AH93:AH95"/>
    <mergeCell ref="S93:S95"/>
    <mergeCell ref="T93:T95"/>
    <mergeCell ref="AM96:AM119"/>
    <mergeCell ref="AN96:AN119"/>
    <mergeCell ref="AO96:AO119"/>
    <mergeCell ref="AP96:AP119"/>
    <mergeCell ref="AQ96:AQ119"/>
    <mergeCell ref="U99:U100"/>
    <mergeCell ref="U102:U103"/>
    <mergeCell ref="U107:U108"/>
    <mergeCell ref="U109:U110"/>
    <mergeCell ref="U111:U112"/>
    <mergeCell ref="AG96:AG119"/>
    <mergeCell ref="AH96:AH119"/>
    <mergeCell ref="AI96:AI119"/>
    <mergeCell ref="AJ96:AJ119"/>
    <mergeCell ref="AK96:AK119"/>
    <mergeCell ref="AL96:AL119"/>
    <mergeCell ref="AA96:AA119"/>
    <mergeCell ref="AB96:AB119"/>
    <mergeCell ref="AC96:AC119"/>
    <mergeCell ref="AD96:AD119"/>
    <mergeCell ref="AE96:AE119"/>
    <mergeCell ref="AF96:AF119"/>
    <mergeCell ref="Y96:Y119"/>
    <mergeCell ref="Z96:Z119"/>
    <mergeCell ref="U117:U118"/>
    <mergeCell ref="V117:V118"/>
    <mergeCell ref="W117:W118"/>
    <mergeCell ref="X117:X118"/>
    <mergeCell ref="J120:J131"/>
    <mergeCell ref="K120:K131"/>
    <mergeCell ref="L120:L131"/>
    <mergeCell ref="M120:M131"/>
    <mergeCell ref="N120:N131"/>
    <mergeCell ref="O120:O131"/>
    <mergeCell ref="Q96:Q119"/>
    <mergeCell ref="R96:R119"/>
    <mergeCell ref="S96:S119"/>
    <mergeCell ref="T96:T103"/>
    <mergeCell ref="T104:T106"/>
    <mergeCell ref="T107:T119"/>
    <mergeCell ref="U113:U114"/>
    <mergeCell ref="U115:U116"/>
    <mergeCell ref="K96:K119"/>
    <mergeCell ref="L96:L119"/>
    <mergeCell ref="M96:M119"/>
    <mergeCell ref="N96:N119"/>
    <mergeCell ref="O96:O119"/>
    <mergeCell ref="P96:P119"/>
    <mergeCell ref="Z120:Z131"/>
    <mergeCell ref="AA120:AA131"/>
    <mergeCell ref="AB120:AB131"/>
    <mergeCell ref="AC120:AC131"/>
    <mergeCell ref="AD120:AD131"/>
    <mergeCell ref="AE120:AE131"/>
    <mergeCell ref="P120:P131"/>
    <mergeCell ref="Q120:Q131"/>
    <mergeCell ref="R120:R131"/>
    <mergeCell ref="S120:S131"/>
    <mergeCell ref="T120:T130"/>
    <mergeCell ref="Y120:Y131"/>
    <mergeCell ref="AL120:AL131"/>
    <mergeCell ref="AM120:AM131"/>
    <mergeCell ref="AN120:AN131"/>
    <mergeCell ref="AO120:AO131"/>
    <mergeCell ref="AP120:AP131"/>
    <mergeCell ref="AQ120:AQ131"/>
    <mergeCell ref="AF120:AF131"/>
    <mergeCell ref="AG120:AG131"/>
    <mergeCell ref="AH120:AH131"/>
    <mergeCell ref="AI120:AI131"/>
    <mergeCell ref="AJ120:AJ131"/>
    <mergeCell ref="AK120:AK131"/>
    <mergeCell ref="J132:J133"/>
    <mergeCell ref="K132:K133"/>
    <mergeCell ref="L132:L133"/>
    <mergeCell ref="M132:M133"/>
    <mergeCell ref="N132:N152"/>
    <mergeCell ref="O132:O152"/>
    <mergeCell ref="L137:L138"/>
    <mergeCell ref="M137:M138"/>
    <mergeCell ref="J139:J140"/>
    <mergeCell ref="K139:K140"/>
    <mergeCell ref="J144:J146"/>
    <mergeCell ref="K144:K146"/>
    <mergeCell ref="L144:L146"/>
    <mergeCell ref="M144:M146"/>
    <mergeCell ref="L139:L140"/>
    <mergeCell ref="M139:M140"/>
    <mergeCell ref="J141:J143"/>
    <mergeCell ref="K141:K143"/>
    <mergeCell ref="L141:L143"/>
    <mergeCell ref="M141:M143"/>
    <mergeCell ref="J151:J152"/>
    <mergeCell ref="K151:K152"/>
    <mergeCell ref="L151:L152"/>
    <mergeCell ref="M151:M152"/>
    <mergeCell ref="P132:P152"/>
    <mergeCell ref="Q132:Q133"/>
    <mergeCell ref="R132:R152"/>
    <mergeCell ref="S132:S152"/>
    <mergeCell ref="T132:T133"/>
    <mergeCell ref="U132:U133"/>
    <mergeCell ref="Q137:Q138"/>
    <mergeCell ref="U141:U142"/>
    <mergeCell ref="U148:U149"/>
    <mergeCell ref="Q144:Q146"/>
    <mergeCell ref="U144:U145"/>
    <mergeCell ref="Q139:Q140"/>
    <mergeCell ref="Q141:Q143"/>
    <mergeCell ref="Q151:Q152"/>
    <mergeCell ref="AH132:AH152"/>
    <mergeCell ref="AI132:AI152"/>
    <mergeCell ref="AJ132:AJ152"/>
    <mergeCell ref="Y132:Y152"/>
    <mergeCell ref="Z132:Z152"/>
    <mergeCell ref="AA132:AA152"/>
    <mergeCell ref="AB132:AB152"/>
    <mergeCell ref="AC132:AC152"/>
    <mergeCell ref="AD132:AD152"/>
    <mergeCell ref="J148:J150"/>
    <mergeCell ref="K148:K150"/>
    <mergeCell ref="L148:L150"/>
    <mergeCell ref="M148:M150"/>
    <mergeCell ref="Q148:Q150"/>
    <mergeCell ref="AQ132:AQ152"/>
    <mergeCell ref="J134:J136"/>
    <mergeCell ref="K134:K136"/>
    <mergeCell ref="L134:L136"/>
    <mergeCell ref="M134:M136"/>
    <mergeCell ref="Q134:Q136"/>
    <mergeCell ref="T134:T152"/>
    <mergeCell ref="U134:U135"/>
    <mergeCell ref="J137:J138"/>
    <mergeCell ref="K137:K138"/>
    <mergeCell ref="AK132:AK152"/>
    <mergeCell ref="AL132:AL152"/>
    <mergeCell ref="AM132:AM152"/>
    <mergeCell ref="AN132:AN152"/>
    <mergeCell ref="AO132:AO152"/>
    <mergeCell ref="AP132:AP152"/>
    <mergeCell ref="AE132:AE152"/>
    <mergeCell ref="AF132:AF152"/>
    <mergeCell ref="AG132:AG152"/>
  </mergeCells>
  <pageMargins left="1.1023622047244095" right="0.11811023622047245" top="0.35433070866141736" bottom="0.35433070866141736" header="0.31496062992125984" footer="0.31496062992125984"/>
  <pageSetup paperSize="5"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9"/>
  <sheetViews>
    <sheetView showGridLines="0" zoomScale="60" zoomScaleNormal="60" workbookViewId="0">
      <selection sqref="A1:AO4"/>
    </sheetView>
  </sheetViews>
  <sheetFormatPr baseColWidth="10" defaultColWidth="11.42578125" defaultRowHeight="15.75" x14ac:dyDescent="0.25"/>
  <cols>
    <col min="1" max="1" width="12.5703125" style="850" customWidth="1"/>
    <col min="2" max="2" width="10.140625" style="2" customWidth="1"/>
    <col min="3" max="3" width="8.7109375" style="2" customWidth="1"/>
    <col min="4" max="4" width="12.7109375" style="2" customWidth="1"/>
    <col min="5" max="5" width="12" style="2" customWidth="1"/>
    <col min="6" max="6" width="9.42578125" style="2" customWidth="1"/>
    <col min="7" max="7" width="14" style="2" customWidth="1"/>
    <col min="8" max="8" width="5.28515625" style="2" customWidth="1"/>
    <col min="9" max="9" width="20.28515625" style="2" customWidth="1"/>
    <col min="10" max="10" width="14.5703125" style="2" customWidth="1"/>
    <col min="11" max="11" width="50.5703125" style="354" customWidth="1"/>
    <col min="12" max="12" width="28.7109375" style="184" customWidth="1"/>
    <col min="13" max="13" width="25.140625" style="820" customWidth="1"/>
    <col min="14" max="14" width="36.7109375" style="184" customWidth="1"/>
    <col min="15" max="15" width="24.5703125" style="184" customWidth="1"/>
    <col min="16" max="16" width="29.5703125" style="354" customWidth="1"/>
    <col min="17" max="17" width="17.85546875" style="851" customWidth="1"/>
    <col min="18" max="18" width="27.5703125" style="910" bestFit="1" customWidth="1"/>
    <col min="19" max="19" width="37.28515625" style="354" customWidth="1"/>
    <col min="20" max="20" width="48.42578125" style="354" customWidth="1"/>
    <col min="21" max="21" width="36.140625" style="354" customWidth="1"/>
    <col min="22" max="22" width="32.7109375" style="911" customWidth="1"/>
    <col min="23" max="23" width="18.5703125" style="359" customWidth="1"/>
    <col min="24" max="24" width="20.42578125" style="354" customWidth="1"/>
    <col min="25" max="25" width="10.42578125" style="2" customWidth="1"/>
    <col min="26" max="26" width="10.5703125" style="2" customWidth="1"/>
    <col min="27" max="30" width="13.140625" style="2" customWidth="1"/>
    <col min="31" max="31" width="9.28515625" style="2" customWidth="1"/>
    <col min="32" max="32" width="8.85546875" style="2" customWidth="1"/>
    <col min="33" max="35" width="8" style="2" customWidth="1"/>
    <col min="36" max="36" width="8.7109375" style="2" customWidth="1"/>
    <col min="37" max="37" width="9.85546875" style="2" customWidth="1"/>
    <col min="38" max="38" width="10.5703125" style="2" customWidth="1"/>
    <col min="39" max="39" width="9.85546875" style="2" customWidth="1"/>
    <col min="40" max="40" width="13.140625" style="2" customWidth="1"/>
    <col min="41" max="41" width="25.42578125" style="361" customWidth="1"/>
    <col min="42" max="42" width="23" style="362" customWidth="1"/>
    <col min="43" max="43" width="27.42578125" style="233" customWidth="1"/>
    <col min="44" max="254" width="11.42578125" style="2"/>
    <col min="257" max="257" width="13" bestFit="1" customWidth="1"/>
    <col min="258" max="258" width="6.85546875" customWidth="1"/>
    <col min="259" max="259" width="14.28515625" customWidth="1"/>
    <col min="260" max="260" width="14" customWidth="1"/>
    <col min="261" max="261" width="17.85546875" customWidth="1"/>
    <col min="262" max="262" width="3.5703125" customWidth="1"/>
    <col min="263" max="263" width="13.28515625" customWidth="1"/>
    <col min="264" max="264" width="5.85546875" customWidth="1"/>
    <col min="265" max="265" width="23.28515625" customWidth="1"/>
    <col min="266" max="266" width="17.140625" customWidth="1"/>
    <col min="267" max="267" width="50.5703125" customWidth="1"/>
    <col min="268" max="268" width="28.7109375" customWidth="1"/>
    <col min="269" max="269" width="25.140625" customWidth="1"/>
    <col min="270" max="270" width="36.7109375" customWidth="1"/>
    <col min="271" max="272" width="24.5703125" customWidth="1"/>
    <col min="273" max="273" width="17.85546875" customWidth="1"/>
    <col min="274" max="274" width="27.5703125" bestFit="1" customWidth="1"/>
    <col min="275" max="275" width="37.28515625" customWidth="1"/>
    <col min="276" max="276" width="48.42578125" customWidth="1"/>
    <col min="277" max="277" width="32" customWidth="1"/>
    <col min="278" max="278" width="32.7109375" customWidth="1"/>
    <col min="279" max="279" width="18.5703125" customWidth="1"/>
    <col min="280" max="280" width="16.7109375" customWidth="1"/>
    <col min="281" max="281" width="10.42578125" customWidth="1"/>
    <col min="282" max="282" width="10.5703125" customWidth="1"/>
    <col min="283" max="283" width="9.28515625" customWidth="1"/>
    <col min="284" max="284" width="10.140625" customWidth="1"/>
    <col min="285" max="285" width="8.42578125" customWidth="1"/>
    <col min="286" max="286" width="9.5703125" customWidth="1"/>
    <col min="287" max="287" width="9.28515625" customWidth="1"/>
    <col min="288" max="288" width="8.85546875" customWidth="1"/>
    <col min="289" max="291" width="8" customWidth="1"/>
    <col min="292" max="292" width="8.7109375" customWidth="1"/>
    <col min="293" max="293" width="8.140625" customWidth="1"/>
    <col min="294" max="294" width="10.5703125" customWidth="1"/>
    <col min="295" max="295" width="9.85546875" customWidth="1"/>
    <col min="296" max="296" width="13.140625" customWidth="1"/>
    <col min="297" max="297" width="25.42578125" customWidth="1"/>
    <col min="298" max="298" width="30.85546875" customWidth="1"/>
    <col min="299" max="299" width="27.42578125" customWidth="1"/>
    <col min="513" max="513" width="13" bestFit="1" customWidth="1"/>
    <col min="514" max="514" width="6.85546875" customWidth="1"/>
    <col min="515" max="515" width="14.28515625" customWidth="1"/>
    <col min="516" max="516" width="14" customWidth="1"/>
    <col min="517" max="517" width="17.85546875" customWidth="1"/>
    <col min="518" max="518" width="3.5703125" customWidth="1"/>
    <col min="519" max="519" width="13.28515625" customWidth="1"/>
    <col min="520" max="520" width="5.85546875" customWidth="1"/>
    <col min="521" max="521" width="23.28515625" customWidth="1"/>
    <col min="522" max="522" width="17.140625" customWidth="1"/>
    <col min="523" max="523" width="50.5703125" customWidth="1"/>
    <col min="524" max="524" width="28.7109375" customWidth="1"/>
    <col min="525" max="525" width="25.140625" customWidth="1"/>
    <col min="526" max="526" width="36.7109375" customWidth="1"/>
    <col min="527" max="528" width="24.5703125" customWidth="1"/>
    <col min="529" max="529" width="17.85546875" customWidth="1"/>
    <col min="530" max="530" width="27.5703125" bestFit="1" customWidth="1"/>
    <col min="531" max="531" width="37.28515625" customWidth="1"/>
    <col min="532" max="532" width="48.42578125" customWidth="1"/>
    <col min="533" max="533" width="32" customWidth="1"/>
    <col min="534" max="534" width="32.7109375" customWidth="1"/>
    <col min="535" max="535" width="18.5703125" customWidth="1"/>
    <col min="536" max="536" width="16.7109375" customWidth="1"/>
    <col min="537" max="537" width="10.42578125" customWidth="1"/>
    <col min="538" max="538" width="10.5703125" customWidth="1"/>
    <col min="539" max="539" width="9.28515625" customWidth="1"/>
    <col min="540" max="540" width="10.140625" customWidth="1"/>
    <col min="541" max="541" width="8.42578125" customWidth="1"/>
    <col min="542" max="542" width="9.5703125" customWidth="1"/>
    <col min="543" max="543" width="9.28515625" customWidth="1"/>
    <col min="544" max="544" width="8.85546875" customWidth="1"/>
    <col min="545" max="547" width="8" customWidth="1"/>
    <col min="548" max="548" width="8.7109375" customWidth="1"/>
    <col min="549" max="549" width="8.140625" customWidth="1"/>
    <col min="550" max="550" width="10.5703125" customWidth="1"/>
    <col min="551" max="551" width="9.85546875" customWidth="1"/>
    <col min="552" max="552" width="13.140625" customWidth="1"/>
    <col min="553" max="553" width="25.42578125" customWidth="1"/>
    <col min="554" max="554" width="30.85546875" customWidth="1"/>
    <col min="555" max="555" width="27.42578125" customWidth="1"/>
    <col min="769" max="769" width="13" bestFit="1" customWidth="1"/>
    <col min="770" max="770" width="6.85546875" customWidth="1"/>
    <col min="771" max="771" width="14.28515625" customWidth="1"/>
    <col min="772" max="772" width="14" customWidth="1"/>
    <col min="773" max="773" width="17.85546875" customWidth="1"/>
    <col min="774" max="774" width="3.5703125" customWidth="1"/>
    <col min="775" max="775" width="13.28515625" customWidth="1"/>
    <col min="776" max="776" width="5.85546875" customWidth="1"/>
    <col min="777" max="777" width="23.28515625" customWidth="1"/>
    <col min="778" max="778" width="17.140625" customWidth="1"/>
    <col min="779" max="779" width="50.5703125" customWidth="1"/>
    <col min="780" max="780" width="28.7109375" customWidth="1"/>
    <col min="781" max="781" width="25.140625" customWidth="1"/>
    <col min="782" max="782" width="36.7109375" customWidth="1"/>
    <col min="783" max="784" width="24.5703125" customWidth="1"/>
    <col min="785" max="785" width="17.85546875" customWidth="1"/>
    <col min="786" max="786" width="27.5703125" bestFit="1" customWidth="1"/>
    <col min="787" max="787" width="37.28515625" customWidth="1"/>
    <col min="788" max="788" width="48.42578125" customWidth="1"/>
    <col min="789" max="789" width="32" customWidth="1"/>
    <col min="790" max="790" width="32.7109375" customWidth="1"/>
    <col min="791" max="791" width="18.5703125" customWidth="1"/>
    <col min="792" max="792" width="16.7109375" customWidth="1"/>
    <col min="793" max="793" width="10.42578125" customWidth="1"/>
    <col min="794" max="794" width="10.5703125" customWidth="1"/>
    <col min="795" max="795" width="9.28515625" customWidth="1"/>
    <col min="796" max="796" width="10.140625" customWidth="1"/>
    <col min="797" max="797" width="8.42578125" customWidth="1"/>
    <col min="798" max="798" width="9.5703125" customWidth="1"/>
    <col min="799" max="799" width="9.28515625" customWidth="1"/>
    <col min="800" max="800" width="8.85546875" customWidth="1"/>
    <col min="801" max="803" width="8" customWidth="1"/>
    <col min="804" max="804" width="8.7109375" customWidth="1"/>
    <col min="805" max="805" width="8.140625" customWidth="1"/>
    <col min="806" max="806" width="10.5703125" customWidth="1"/>
    <col min="807" max="807" width="9.85546875" customWidth="1"/>
    <col min="808" max="808" width="13.140625" customWidth="1"/>
    <col min="809" max="809" width="25.42578125" customWidth="1"/>
    <col min="810" max="810" width="30.85546875" customWidth="1"/>
    <col min="811" max="811" width="27.42578125" customWidth="1"/>
    <col min="1025" max="1025" width="13" bestFit="1" customWidth="1"/>
    <col min="1026" max="1026" width="6.85546875" customWidth="1"/>
    <col min="1027" max="1027" width="14.28515625" customWidth="1"/>
    <col min="1028" max="1028" width="14" customWidth="1"/>
    <col min="1029" max="1029" width="17.85546875" customWidth="1"/>
    <col min="1030" max="1030" width="3.5703125" customWidth="1"/>
    <col min="1031" max="1031" width="13.28515625" customWidth="1"/>
    <col min="1032" max="1032" width="5.85546875" customWidth="1"/>
    <col min="1033" max="1033" width="23.28515625" customWidth="1"/>
    <col min="1034" max="1034" width="17.140625" customWidth="1"/>
    <col min="1035" max="1035" width="50.5703125" customWidth="1"/>
    <col min="1036" max="1036" width="28.7109375" customWidth="1"/>
    <col min="1037" max="1037" width="25.140625" customWidth="1"/>
    <col min="1038" max="1038" width="36.7109375" customWidth="1"/>
    <col min="1039" max="1040" width="24.5703125" customWidth="1"/>
    <col min="1041" max="1041" width="17.85546875" customWidth="1"/>
    <col min="1042" max="1042" width="27.5703125" bestFit="1" customWidth="1"/>
    <col min="1043" max="1043" width="37.28515625" customWidth="1"/>
    <col min="1044" max="1044" width="48.42578125" customWidth="1"/>
    <col min="1045" max="1045" width="32" customWidth="1"/>
    <col min="1046" max="1046" width="32.7109375" customWidth="1"/>
    <col min="1047" max="1047" width="18.5703125" customWidth="1"/>
    <col min="1048" max="1048" width="16.7109375" customWidth="1"/>
    <col min="1049" max="1049" width="10.42578125" customWidth="1"/>
    <col min="1050" max="1050" width="10.5703125" customWidth="1"/>
    <col min="1051" max="1051" width="9.28515625" customWidth="1"/>
    <col min="1052" max="1052" width="10.140625" customWidth="1"/>
    <col min="1053" max="1053" width="8.42578125" customWidth="1"/>
    <col min="1054" max="1054" width="9.5703125" customWidth="1"/>
    <col min="1055" max="1055" width="9.28515625" customWidth="1"/>
    <col min="1056" max="1056" width="8.85546875" customWidth="1"/>
    <col min="1057" max="1059" width="8" customWidth="1"/>
    <col min="1060" max="1060" width="8.7109375" customWidth="1"/>
    <col min="1061" max="1061" width="8.140625" customWidth="1"/>
    <col min="1062" max="1062" width="10.5703125" customWidth="1"/>
    <col min="1063" max="1063" width="9.85546875" customWidth="1"/>
    <col min="1064" max="1064" width="13.140625" customWidth="1"/>
    <col min="1065" max="1065" width="25.42578125" customWidth="1"/>
    <col min="1066" max="1066" width="30.85546875" customWidth="1"/>
    <col min="1067" max="1067" width="27.42578125" customWidth="1"/>
    <col min="1281" max="1281" width="13" bestFit="1" customWidth="1"/>
    <col min="1282" max="1282" width="6.85546875" customWidth="1"/>
    <col min="1283" max="1283" width="14.28515625" customWidth="1"/>
    <col min="1284" max="1284" width="14" customWidth="1"/>
    <col min="1285" max="1285" width="17.85546875" customWidth="1"/>
    <col min="1286" max="1286" width="3.5703125" customWidth="1"/>
    <col min="1287" max="1287" width="13.28515625" customWidth="1"/>
    <col min="1288" max="1288" width="5.85546875" customWidth="1"/>
    <col min="1289" max="1289" width="23.28515625" customWidth="1"/>
    <col min="1290" max="1290" width="17.140625" customWidth="1"/>
    <col min="1291" max="1291" width="50.5703125" customWidth="1"/>
    <col min="1292" max="1292" width="28.7109375" customWidth="1"/>
    <col min="1293" max="1293" width="25.140625" customWidth="1"/>
    <col min="1294" max="1294" width="36.7109375" customWidth="1"/>
    <col min="1295" max="1296" width="24.5703125" customWidth="1"/>
    <col min="1297" max="1297" width="17.85546875" customWidth="1"/>
    <col min="1298" max="1298" width="27.5703125" bestFit="1" customWidth="1"/>
    <col min="1299" max="1299" width="37.28515625" customWidth="1"/>
    <col min="1300" max="1300" width="48.42578125" customWidth="1"/>
    <col min="1301" max="1301" width="32" customWidth="1"/>
    <col min="1302" max="1302" width="32.7109375" customWidth="1"/>
    <col min="1303" max="1303" width="18.5703125" customWidth="1"/>
    <col min="1304" max="1304" width="16.7109375" customWidth="1"/>
    <col min="1305" max="1305" width="10.42578125" customWidth="1"/>
    <col min="1306" max="1306" width="10.5703125" customWidth="1"/>
    <col min="1307" max="1307" width="9.28515625" customWidth="1"/>
    <col min="1308" max="1308" width="10.140625" customWidth="1"/>
    <col min="1309" max="1309" width="8.42578125" customWidth="1"/>
    <col min="1310" max="1310" width="9.5703125" customWidth="1"/>
    <col min="1311" max="1311" width="9.28515625" customWidth="1"/>
    <col min="1312" max="1312" width="8.85546875" customWidth="1"/>
    <col min="1313" max="1315" width="8" customWidth="1"/>
    <col min="1316" max="1316" width="8.7109375" customWidth="1"/>
    <col min="1317" max="1317" width="8.140625" customWidth="1"/>
    <col min="1318" max="1318" width="10.5703125" customWidth="1"/>
    <col min="1319" max="1319" width="9.85546875" customWidth="1"/>
    <col min="1320" max="1320" width="13.140625" customWidth="1"/>
    <col min="1321" max="1321" width="25.42578125" customWidth="1"/>
    <col min="1322" max="1322" width="30.85546875" customWidth="1"/>
    <col min="1323" max="1323" width="27.42578125" customWidth="1"/>
    <col min="1537" max="1537" width="13" bestFit="1" customWidth="1"/>
    <col min="1538" max="1538" width="6.85546875" customWidth="1"/>
    <col min="1539" max="1539" width="14.28515625" customWidth="1"/>
    <col min="1540" max="1540" width="14" customWidth="1"/>
    <col min="1541" max="1541" width="17.85546875" customWidth="1"/>
    <col min="1542" max="1542" width="3.5703125" customWidth="1"/>
    <col min="1543" max="1543" width="13.28515625" customWidth="1"/>
    <col min="1544" max="1544" width="5.85546875" customWidth="1"/>
    <col min="1545" max="1545" width="23.28515625" customWidth="1"/>
    <col min="1546" max="1546" width="17.140625" customWidth="1"/>
    <col min="1547" max="1547" width="50.5703125" customWidth="1"/>
    <col min="1548" max="1548" width="28.7109375" customWidth="1"/>
    <col min="1549" max="1549" width="25.140625" customWidth="1"/>
    <col min="1550" max="1550" width="36.7109375" customWidth="1"/>
    <col min="1551" max="1552" width="24.5703125" customWidth="1"/>
    <col min="1553" max="1553" width="17.85546875" customWidth="1"/>
    <col min="1554" max="1554" width="27.5703125" bestFit="1" customWidth="1"/>
    <col min="1555" max="1555" width="37.28515625" customWidth="1"/>
    <col min="1556" max="1556" width="48.42578125" customWidth="1"/>
    <col min="1557" max="1557" width="32" customWidth="1"/>
    <col min="1558" max="1558" width="32.7109375" customWidth="1"/>
    <col min="1559" max="1559" width="18.5703125" customWidth="1"/>
    <col min="1560" max="1560" width="16.7109375" customWidth="1"/>
    <col min="1561" max="1561" width="10.42578125" customWidth="1"/>
    <col min="1562" max="1562" width="10.5703125" customWidth="1"/>
    <col min="1563" max="1563" width="9.28515625" customWidth="1"/>
    <col min="1564" max="1564" width="10.140625" customWidth="1"/>
    <col min="1565" max="1565" width="8.42578125" customWidth="1"/>
    <col min="1566" max="1566" width="9.5703125" customWidth="1"/>
    <col min="1567" max="1567" width="9.28515625" customWidth="1"/>
    <col min="1568" max="1568" width="8.85546875" customWidth="1"/>
    <col min="1569" max="1571" width="8" customWidth="1"/>
    <col min="1572" max="1572" width="8.7109375" customWidth="1"/>
    <col min="1573" max="1573" width="8.140625" customWidth="1"/>
    <col min="1574" max="1574" width="10.5703125" customWidth="1"/>
    <col min="1575" max="1575" width="9.85546875" customWidth="1"/>
    <col min="1576" max="1576" width="13.140625" customWidth="1"/>
    <col min="1577" max="1577" width="25.42578125" customWidth="1"/>
    <col min="1578" max="1578" width="30.85546875" customWidth="1"/>
    <col min="1579" max="1579" width="27.42578125" customWidth="1"/>
    <col min="1793" max="1793" width="13" bestFit="1" customWidth="1"/>
    <col min="1794" max="1794" width="6.85546875" customWidth="1"/>
    <col min="1795" max="1795" width="14.28515625" customWidth="1"/>
    <col min="1796" max="1796" width="14" customWidth="1"/>
    <col min="1797" max="1797" width="17.85546875" customWidth="1"/>
    <col min="1798" max="1798" width="3.5703125" customWidth="1"/>
    <col min="1799" max="1799" width="13.28515625" customWidth="1"/>
    <col min="1800" max="1800" width="5.85546875" customWidth="1"/>
    <col min="1801" max="1801" width="23.28515625" customWidth="1"/>
    <col min="1802" max="1802" width="17.140625" customWidth="1"/>
    <col min="1803" max="1803" width="50.5703125" customWidth="1"/>
    <col min="1804" max="1804" width="28.7109375" customWidth="1"/>
    <col min="1805" max="1805" width="25.140625" customWidth="1"/>
    <col min="1806" max="1806" width="36.7109375" customWidth="1"/>
    <col min="1807" max="1808" width="24.5703125" customWidth="1"/>
    <col min="1809" max="1809" width="17.85546875" customWidth="1"/>
    <col min="1810" max="1810" width="27.5703125" bestFit="1" customWidth="1"/>
    <col min="1811" max="1811" width="37.28515625" customWidth="1"/>
    <col min="1812" max="1812" width="48.42578125" customWidth="1"/>
    <col min="1813" max="1813" width="32" customWidth="1"/>
    <col min="1814" max="1814" width="32.7109375" customWidth="1"/>
    <col min="1815" max="1815" width="18.5703125" customWidth="1"/>
    <col min="1816" max="1816" width="16.7109375" customWidth="1"/>
    <col min="1817" max="1817" width="10.42578125" customWidth="1"/>
    <col min="1818" max="1818" width="10.5703125" customWidth="1"/>
    <col min="1819" max="1819" width="9.28515625" customWidth="1"/>
    <col min="1820" max="1820" width="10.140625" customWidth="1"/>
    <col min="1821" max="1821" width="8.42578125" customWidth="1"/>
    <col min="1822" max="1822" width="9.5703125" customWidth="1"/>
    <col min="1823" max="1823" width="9.28515625" customWidth="1"/>
    <col min="1824" max="1824" width="8.85546875" customWidth="1"/>
    <col min="1825" max="1827" width="8" customWidth="1"/>
    <col min="1828" max="1828" width="8.7109375" customWidth="1"/>
    <col min="1829" max="1829" width="8.140625" customWidth="1"/>
    <col min="1830" max="1830" width="10.5703125" customWidth="1"/>
    <col min="1831" max="1831" width="9.85546875" customWidth="1"/>
    <col min="1832" max="1832" width="13.140625" customWidth="1"/>
    <col min="1833" max="1833" width="25.42578125" customWidth="1"/>
    <col min="1834" max="1834" width="30.85546875" customWidth="1"/>
    <col min="1835" max="1835" width="27.42578125" customWidth="1"/>
    <col min="2049" max="2049" width="13" bestFit="1" customWidth="1"/>
    <col min="2050" max="2050" width="6.85546875" customWidth="1"/>
    <col min="2051" max="2051" width="14.28515625" customWidth="1"/>
    <col min="2052" max="2052" width="14" customWidth="1"/>
    <col min="2053" max="2053" width="17.85546875" customWidth="1"/>
    <col min="2054" max="2054" width="3.5703125" customWidth="1"/>
    <col min="2055" max="2055" width="13.28515625" customWidth="1"/>
    <col min="2056" max="2056" width="5.85546875" customWidth="1"/>
    <col min="2057" max="2057" width="23.28515625" customWidth="1"/>
    <col min="2058" max="2058" width="17.140625" customWidth="1"/>
    <col min="2059" max="2059" width="50.5703125" customWidth="1"/>
    <col min="2060" max="2060" width="28.7109375" customWidth="1"/>
    <col min="2061" max="2061" width="25.140625" customWidth="1"/>
    <col min="2062" max="2062" width="36.7109375" customWidth="1"/>
    <col min="2063" max="2064" width="24.5703125" customWidth="1"/>
    <col min="2065" max="2065" width="17.85546875" customWidth="1"/>
    <col min="2066" max="2066" width="27.5703125" bestFit="1" customWidth="1"/>
    <col min="2067" max="2067" width="37.28515625" customWidth="1"/>
    <col min="2068" max="2068" width="48.42578125" customWidth="1"/>
    <col min="2069" max="2069" width="32" customWidth="1"/>
    <col min="2070" max="2070" width="32.7109375" customWidth="1"/>
    <col min="2071" max="2071" width="18.5703125" customWidth="1"/>
    <col min="2072" max="2072" width="16.7109375" customWidth="1"/>
    <col min="2073" max="2073" width="10.42578125" customWidth="1"/>
    <col min="2074" max="2074" width="10.5703125" customWidth="1"/>
    <col min="2075" max="2075" width="9.28515625" customWidth="1"/>
    <col min="2076" max="2076" width="10.140625" customWidth="1"/>
    <col min="2077" max="2077" width="8.42578125" customWidth="1"/>
    <col min="2078" max="2078" width="9.5703125" customWidth="1"/>
    <col min="2079" max="2079" width="9.28515625" customWidth="1"/>
    <col min="2080" max="2080" width="8.85546875" customWidth="1"/>
    <col min="2081" max="2083" width="8" customWidth="1"/>
    <col min="2084" max="2084" width="8.7109375" customWidth="1"/>
    <col min="2085" max="2085" width="8.140625" customWidth="1"/>
    <col min="2086" max="2086" width="10.5703125" customWidth="1"/>
    <col min="2087" max="2087" width="9.85546875" customWidth="1"/>
    <col min="2088" max="2088" width="13.140625" customWidth="1"/>
    <col min="2089" max="2089" width="25.42578125" customWidth="1"/>
    <col min="2090" max="2090" width="30.85546875" customWidth="1"/>
    <col min="2091" max="2091" width="27.42578125" customWidth="1"/>
    <col min="2305" max="2305" width="13" bestFit="1" customWidth="1"/>
    <col min="2306" max="2306" width="6.85546875" customWidth="1"/>
    <col min="2307" max="2307" width="14.28515625" customWidth="1"/>
    <col min="2308" max="2308" width="14" customWidth="1"/>
    <col min="2309" max="2309" width="17.85546875" customWidth="1"/>
    <col min="2310" max="2310" width="3.5703125" customWidth="1"/>
    <col min="2311" max="2311" width="13.28515625" customWidth="1"/>
    <col min="2312" max="2312" width="5.85546875" customWidth="1"/>
    <col min="2313" max="2313" width="23.28515625" customWidth="1"/>
    <col min="2314" max="2314" width="17.140625" customWidth="1"/>
    <col min="2315" max="2315" width="50.5703125" customWidth="1"/>
    <col min="2316" max="2316" width="28.7109375" customWidth="1"/>
    <col min="2317" max="2317" width="25.140625" customWidth="1"/>
    <col min="2318" max="2318" width="36.7109375" customWidth="1"/>
    <col min="2319" max="2320" width="24.5703125" customWidth="1"/>
    <col min="2321" max="2321" width="17.85546875" customWidth="1"/>
    <col min="2322" max="2322" width="27.5703125" bestFit="1" customWidth="1"/>
    <col min="2323" max="2323" width="37.28515625" customWidth="1"/>
    <col min="2324" max="2324" width="48.42578125" customWidth="1"/>
    <col min="2325" max="2325" width="32" customWidth="1"/>
    <col min="2326" max="2326" width="32.7109375" customWidth="1"/>
    <col min="2327" max="2327" width="18.5703125" customWidth="1"/>
    <col min="2328" max="2328" width="16.7109375" customWidth="1"/>
    <col min="2329" max="2329" width="10.42578125" customWidth="1"/>
    <col min="2330" max="2330" width="10.5703125" customWidth="1"/>
    <col min="2331" max="2331" width="9.28515625" customWidth="1"/>
    <col min="2332" max="2332" width="10.140625" customWidth="1"/>
    <col min="2333" max="2333" width="8.42578125" customWidth="1"/>
    <col min="2334" max="2334" width="9.5703125" customWidth="1"/>
    <col min="2335" max="2335" width="9.28515625" customWidth="1"/>
    <col min="2336" max="2336" width="8.85546875" customWidth="1"/>
    <col min="2337" max="2339" width="8" customWidth="1"/>
    <col min="2340" max="2340" width="8.7109375" customWidth="1"/>
    <col min="2341" max="2341" width="8.140625" customWidth="1"/>
    <col min="2342" max="2342" width="10.5703125" customWidth="1"/>
    <col min="2343" max="2343" width="9.85546875" customWidth="1"/>
    <col min="2344" max="2344" width="13.140625" customWidth="1"/>
    <col min="2345" max="2345" width="25.42578125" customWidth="1"/>
    <col min="2346" max="2346" width="30.85546875" customWidth="1"/>
    <col min="2347" max="2347" width="27.42578125" customWidth="1"/>
    <col min="2561" max="2561" width="13" bestFit="1" customWidth="1"/>
    <col min="2562" max="2562" width="6.85546875" customWidth="1"/>
    <col min="2563" max="2563" width="14.28515625" customWidth="1"/>
    <col min="2564" max="2564" width="14" customWidth="1"/>
    <col min="2565" max="2565" width="17.85546875" customWidth="1"/>
    <col min="2566" max="2566" width="3.5703125" customWidth="1"/>
    <col min="2567" max="2567" width="13.28515625" customWidth="1"/>
    <col min="2568" max="2568" width="5.85546875" customWidth="1"/>
    <col min="2569" max="2569" width="23.28515625" customWidth="1"/>
    <col min="2570" max="2570" width="17.140625" customWidth="1"/>
    <col min="2571" max="2571" width="50.5703125" customWidth="1"/>
    <col min="2572" max="2572" width="28.7109375" customWidth="1"/>
    <col min="2573" max="2573" width="25.140625" customWidth="1"/>
    <col min="2574" max="2574" width="36.7109375" customWidth="1"/>
    <col min="2575" max="2576" width="24.5703125" customWidth="1"/>
    <col min="2577" max="2577" width="17.85546875" customWidth="1"/>
    <col min="2578" max="2578" width="27.5703125" bestFit="1" customWidth="1"/>
    <col min="2579" max="2579" width="37.28515625" customWidth="1"/>
    <col min="2580" max="2580" width="48.42578125" customWidth="1"/>
    <col min="2581" max="2581" width="32" customWidth="1"/>
    <col min="2582" max="2582" width="32.7109375" customWidth="1"/>
    <col min="2583" max="2583" width="18.5703125" customWidth="1"/>
    <col min="2584" max="2584" width="16.7109375" customWidth="1"/>
    <col min="2585" max="2585" width="10.42578125" customWidth="1"/>
    <col min="2586" max="2586" width="10.5703125" customWidth="1"/>
    <col min="2587" max="2587" width="9.28515625" customWidth="1"/>
    <col min="2588" max="2588" width="10.140625" customWidth="1"/>
    <col min="2589" max="2589" width="8.42578125" customWidth="1"/>
    <col min="2590" max="2590" width="9.5703125" customWidth="1"/>
    <col min="2591" max="2591" width="9.28515625" customWidth="1"/>
    <col min="2592" max="2592" width="8.85546875" customWidth="1"/>
    <col min="2593" max="2595" width="8" customWidth="1"/>
    <col min="2596" max="2596" width="8.7109375" customWidth="1"/>
    <col min="2597" max="2597" width="8.140625" customWidth="1"/>
    <col min="2598" max="2598" width="10.5703125" customWidth="1"/>
    <col min="2599" max="2599" width="9.85546875" customWidth="1"/>
    <col min="2600" max="2600" width="13.140625" customWidth="1"/>
    <col min="2601" max="2601" width="25.42578125" customWidth="1"/>
    <col min="2602" max="2602" width="30.85546875" customWidth="1"/>
    <col min="2603" max="2603" width="27.42578125" customWidth="1"/>
    <col min="2817" max="2817" width="13" bestFit="1" customWidth="1"/>
    <col min="2818" max="2818" width="6.85546875" customWidth="1"/>
    <col min="2819" max="2819" width="14.28515625" customWidth="1"/>
    <col min="2820" max="2820" width="14" customWidth="1"/>
    <col min="2821" max="2821" width="17.85546875" customWidth="1"/>
    <col min="2822" max="2822" width="3.5703125" customWidth="1"/>
    <col min="2823" max="2823" width="13.28515625" customWidth="1"/>
    <col min="2824" max="2824" width="5.85546875" customWidth="1"/>
    <col min="2825" max="2825" width="23.28515625" customWidth="1"/>
    <col min="2826" max="2826" width="17.140625" customWidth="1"/>
    <col min="2827" max="2827" width="50.5703125" customWidth="1"/>
    <col min="2828" max="2828" width="28.7109375" customWidth="1"/>
    <col min="2829" max="2829" width="25.140625" customWidth="1"/>
    <col min="2830" max="2830" width="36.7109375" customWidth="1"/>
    <col min="2831" max="2832" width="24.5703125" customWidth="1"/>
    <col min="2833" max="2833" width="17.85546875" customWidth="1"/>
    <col min="2834" max="2834" width="27.5703125" bestFit="1" customWidth="1"/>
    <col min="2835" max="2835" width="37.28515625" customWidth="1"/>
    <col min="2836" max="2836" width="48.42578125" customWidth="1"/>
    <col min="2837" max="2837" width="32" customWidth="1"/>
    <col min="2838" max="2838" width="32.7109375" customWidth="1"/>
    <col min="2839" max="2839" width="18.5703125" customWidth="1"/>
    <col min="2840" max="2840" width="16.7109375" customWidth="1"/>
    <col min="2841" max="2841" width="10.42578125" customWidth="1"/>
    <col min="2842" max="2842" width="10.5703125" customWidth="1"/>
    <col min="2843" max="2843" width="9.28515625" customWidth="1"/>
    <col min="2844" max="2844" width="10.140625" customWidth="1"/>
    <col min="2845" max="2845" width="8.42578125" customWidth="1"/>
    <col min="2846" max="2846" width="9.5703125" customWidth="1"/>
    <col min="2847" max="2847" width="9.28515625" customWidth="1"/>
    <col min="2848" max="2848" width="8.85546875" customWidth="1"/>
    <col min="2849" max="2851" width="8" customWidth="1"/>
    <col min="2852" max="2852" width="8.7109375" customWidth="1"/>
    <col min="2853" max="2853" width="8.140625" customWidth="1"/>
    <col min="2854" max="2854" width="10.5703125" customWidth="1"/>
    <col min="2855" max="2855" width="9.85546875" customWidth="1"/>
    <col min="2856" max="2856" width="13.140625" customWidth="1"/>
    <col min="2857" max="2857" width="25.42578125" customWidth="1"/>
    <col min="2858" max="2858" width="30.85546875" customWidth="1"/>
    <col min="2859" max="2859" width="27.42578125" customWidth="1"/>
    <col min="3073" max="3073" width="13" bestFit="1" customWidth="1"/>
    <col min="3074" max="3074" width="6.85546875" customWidth="1"/>
    <col min="3075" max="3075" width="14.28515625" customWidth="1"/>
    <col min="3076" max="3076" width="14" customWidth="1"/>
    <col min="3077" max="3077" width="17.85546875" customWidth="1"/>
    <col min="3078" max="3078" width="3.5703125" customWidth="1"/>
    <col min="3079" max="3079" width="13.28515625" customWidth="1"/>
    <col min="3080" max="3080" width="5.85546875" customWidth="1"/>
    <col min="3081" max="3081" width="23.28515625" customWidth="1"/>
    <col min="3082" max="3082" width="17.140625" customWidth="1"/>
    <col min="3083" max="3083" width="50.5703125" customWidth="1"/>
    <col min="3084" max="3084" width="28.7109375" customWidth="1"/>
    <col min="3085" max="3085" width="25.140625" customWidth="1"/>
    <col min="3086" max="3086" width="36.7109375" customWidth="1"/>
    <col min="3087" max="3088" width="24.5703125" customWidth="1"/>
    <col min="3089" max="3089" width="17.85546875" customWidth="1"/>
    <col min="3090" max="3090" width="27.5703125" bestFit="1" customWidth="1"/>
    <col min="3091" max="3091" width="37.28515625" customWidth="1"/>
    <col min="3092" max="3092" width="48.42578125" customWidth="1"/>
    <col min="3093" max="3093" width="32" customWidth="1"/>
    <col min="3094" max="3094" width="32.7109375" customWidth="1"/>
    <col min="3095" max="3095" width="18.5703125" customWidth="1"/>
    <col min="3096" max="3096" width="16.7109375" customWidth="1"/>
    <col min="3097" max="3097" width="10.42578125" customWidth="1"/>
    <col min="3098" max="3098" width="10.5703125" customWidth="1"/>
    <col min="3099" max="3099" width="9.28515625" customWidth="1"/>
    <col min="3100" max="3100" width="10.140625" customWidth="1"/>
    <col min="3101" max="3101" width="8.42578125" customWidth="1"/>
    <col min="3102" max="3102" width="9.5703125" customWidth="1"/>
    <col min="3103" max="3103" width="9.28515625" customWidth="1"/>
    <col min="3104" max="3104" width="8.85546875" customWidth="1"/>
    <col min="3105" max="3107" width="8" customWidth="1"/>
    <col min="3108" max="3108" width="8.7109375" customWidth="1"/>
    <col min="3109" max="3109" width="8.140625" customWidth="1"/>
    <col min="3110" max="3110" width="10.5703125" customWidth="1"/>
    <col min="3111" max="3111" width="9.85546875" customWidth="1"/>
    <col min="3112" max="3112" width="13.140625" customWidth="1"/>
    <col min="3113" max="3113" width="25.42578125" customWidth="1"/>
    <col min="3114" max="3114" width="30.85546875" customWidth="1"/>
    <col min="3115" max="3115" width="27.42578125" customWidth="1"/>
    <col min="3329" max="3329" width="13" bestFit="1" customWidth="1"/>
    <col min="3330" max="3330" width="6.85546875" customWidth="1"/>
    <col min="3331" max="3331" width="14.28515625" customWidth="1"/>
    <col min="3332" max="3332" width="14" customWidth="1"/>
    <col min="3333" max="3333" width="17.85546875" customWidth="1"/>
    <col min="3334" max="3334" width="3.5703125" customWidth="1"/>
    <col min="3335" max="3335" width="13.28515625" customWidth="1"/>
    <col min="3336" max="3336" width="5.85546875" customWidth="1"/>
    <col min="3337" max="3337" width="23.28515625" customWidth="1"/>
    <col min="3338" max="3338" width="17.140625" customWidth="1"/>
    <col min="3339" max="3339" width="50.5703125" customWidth="1"/>
    <col min="3340" max="3340" width="28.7109375" customWidth="1"/>
    <col min="3341" max="3341" width="25.140625" customWidth="1"/>
    <col min="3342" max="3342" width="36.7109375" customWidth="1"/>
    <col min="3343" max="3344" width="24.5703125" customWidth="1"/>
    <col min="3345" max="3345" width="17.85546875" customWidth="1"/>
    <col min="3346" max="3346" width="27.5703125" bestFit="1" customWidth="1"/>
    <col min="3347" max="3347" width="37.28515625" customWidth="1"/>
    <col min="3348" max="3348" width="48.42578125" customWidth="1"/>
    <col min="3349" max="3349" width="32" customWidth="1"/>
    <col min="3350" max="3350" width="32.7109375" customWidth="1"/>
    <col min="3351" max="3351" width="18.5703125" customWidth="1"/>
    <col min="3352" max="3352" width="16.7109375" customWidth="1"/>
    <col min="3353" max="3353" width="10.42578125" customWidth="1"/>
    <col min="3354" max="3354" width="10.5703125" customWidth="1"/>
    <col min="3355" max="3355" width="9.28515625" customWidth="1"/>
    <col min="3356" max="3356" width="10.140625" customWidth="1"/>
    <col min="3357" max="3357" width="8.42578125" customWidth="1"/>
    <col min="3358" max="3358" width="9.5703125" customWidth="1"/>
    <col min="3359" max="3359" width="9.28515625" customWidth="1"/>
    <col min="3360" max="3360" width="8.85546875" customWidth="1"/>
    <col min="3361" max="3363" width="8" customWidth="1"/>
    <col min="3364" max="3364" width="8.7109375" customWidth="1"/>
    <col min="3365" max="3365" width="8.140625" customWidth="1"/>
    <col min="3366" max="3366" width="10.5703125" customWidth="1"/>
    <col min="3367" max="3367" width="9.85546875" customWidth="1"/>
    <col min="3368" max="3368" width="13.140625" customWidth="1"/>
    <col min="3369" max="3369" width="25.42578125" customWidth="1"/>
    <col min="3370" max="3370" width="30.85546875" customWidth="1"/>
    <col min="3371" max="3371" width="27.42578125" customWidth="1"/>
    <col min="3585" max="3585" width="13" bestFit="1" customWidth="1"/>
    <col min="3586" max="3586" width="6.85546875" customWidth="1"/>
    <col min="3587" max="3587" width="14.28515625" customWidth="1"/>
    <col min="3588" max="3588" width="14" customWidth="1"/>
    <col min="3589" max="3589" width="17.85546875" customWidth="1"/>
    <col min="3590" max="3590" width="3.5703125" customWidth="1"/>
    <col min="3591" max="3591" width="13.28515625" customWidth="1"/>
    <col min="3592" max="3592" width="5.85546875" customWidth="1"/>
    <col min="3593" max="3593" width="23.28515625" customWidth="1"/>
    <col min="3594" max="3594" width="17.140625" customWidth="1"/>
    <col min="3595" max="3595" width="50.5703125" customWidth="1"/>
    <col min="3596" max="3596" width="28.7109375" customWidth="1"/>
    <col min="3597" max="3597" width="25.140625" customWidth="1"/>
    <col min="3598" max="3598" width="36.7109375" customWidth="1"/>
    <col min="3599" max="3600" width="24.5703125" customWidth="1"/>
    <col min="3601" max="3601" width="17.85546875" customWidth="1"/>
    <col min="3602" max="3602" width="27.5703125" bestFit="1" customWidth="1"/>
    <col min="3603" max="3603" width="37.28515625" customWidth="1"/>
    <col min="3604" max="3604" width="48.42578125" customWidth="1"/>
    <col min="3605" max="3605" width="32" customWidth="1"/>
    <col min="3606" max="3606" width="32.7109375" customWidth="1"/>
    <col min="3607" max="3607" width="18.5703125" customWidth="1"/>
    <col min="3608" max="3608" width="16.7109375" customWidth="1"/>
    <col min="3609" max="3609" width="10.42578125" customWidth="1"/>
    <col min="3610" max="3610" width="10.5703125" customWidth="1"/>
    <col min="3611" max="3611" width="9.28515625" customWidth="1"/>
    <col min="3612" max="3612" width="10.140625" customWidth="1"/>
    <col min="3613" max="3613" width="8.42578125" customWidth="1"/>
    <col min="3614" max="3614" width="9.5703125" customWidth="1"/>
    <col min="3615" max="3615" width="9.28515625" customWidth="1"/>
    <col min="3616" max="3616" width="8.85546875" customWidth="1"/>
    <col min="3617" max="3619" width="8" customWidth="1"/>
    <col min="3620" max="3620" width="8.7109375" customWidth="1"/>
    <col min="3621" max="3621" width="8.140625" customWidth="1"/>
    <col min="3622" max="3622" width="10.5703125" customWidth="1"/>
    <col min="3623" max="3623" width="9.85546875" customWidth="1"/>
    <col min="3624" max="3624" width="13.140625" customWidth="1"/>
    <col min="3625" max="3625" width="25.42578125" customWidth="1"/>
    <col min="3626" max="3626" width="30.85546875" customWidth="1"/>
    <col min="3627" max="3627" width="27.42578125" customWidth="1"/>
    <col min="3841" max="3841" width="13" bestFit="1" customWidth="1"/>
    <col min="3842" max="3842" width="6.85546875" customWidth="1"/>
    <col min="3843" max="3843" width="14.28515625" customWidth="1"/>
    <col min="3844" max="3844" width="14" customWidth="1"/>
    <col min="3845" max="3845" width="17.85546875" customWidth="1"/>
    <col min="3846" max="3846" width="3.5703125" customWidth="1"/>
    <col min="3847" max="3847" width="13.28515625" customWidth="1"/>
    <col min="3848" max="3848" width="5.85546875" customWidth="1"/>
    <col min="3849" max="3849" width="23.28515625" customWidth="1"/>
    <col min="3850" max="3850" width="17.140625" customWidth="1"/>
    <col min="3851" max="3851" width="50.5703125" customWidth="1"/>
    <col min="3852" max="3852" width="28.7109375" customWidth="1"/>
    <col min="3853" max="3853" width="25.140625" customWidth="1"/>
    <col min="3854" max="3854" width="36.7109375" customWidth="1"/>
    <col min="3855" max="3856" width="24.5703125" customWidth="1"/>
    <col min="3857" max="3857" width="17.85546875" customWidth="1"/>
    <col min="3858" max="3858" width="27.5703125" bestFit="1" customWidth="1"/>
    <col min="3859" max="3859" width="37.28515625" customWidth="1"/>
    <col min="3860" max="3860" width="48.42578125" customWidth="1"/>
    <col min="3861" max="3861" width="32" customWidth="1"/>
    <col min="3862" max="3862" width="32.7109375" customWidth="1"/>
    <col min="3863" max="3863" width="18.5703125" customWidth="1"/>
    <col min="3864" max="3864" width="16.7109375" customWidth="1"/>
    <col min="3865" max="3865" width="10.42578125" customWidth="1"/>
    <col min="3866" max="3866" width="10.5703125" customWidth="1"/>
    <col min="3867" max="3867" width="9.28515625" customWidth="1"/>
    <col min="3868" max="3868" width="10.140625" customWidth="1"/>
    <col min="3869" max="3869" width="8.42578125" customWidth="1"/>
    <col min="3870" max="3870" width="9.5703125" customWidth="1"/>
    <col min="3871" max="3871" width="9.28515625" customWidth="1"/>
    <col min="3872" max="3872" width="8.85546875" customWidth="1"/>
    <col min="3873" max="3875" width="8" customWidth="1"/>
    <col min="3876" max="3876" width="8.7109375" customWidth="1"/>
    <col min="3877" max="3877" width="8.140625" customWidth="1"/>
    <col min="3878" max="3878" width="10.5703125" customWidth="1"/>
    <col min="3879" max="3879" width="9.85546875" customWidth="1"/>
    <col min="3880" max="3880" width="13.140625" customWidth="1"/>
    <col min="3881" max="3881" width="25.42578125" customWidth="1"/>
    <col min="3882" max="3882" width="30.85546875" customWidth="1"/>
    <col min="3883" max="3883" width="27.42578125" customWidth="1"/>
    <col min="4097" max="4097" width="13" bestFit="1" customWidth="1"/>
    <col min="4098" max="4098" width="6.85546875" customWidth="1"/>
    <col min="4099" max="4099" width="14.28515625" customWidth="1"/>
    <col min="4100" max="4100" width="14" customWidth="1"/>
    <col min="4101" max="4101" width="17.85546875" customWidth="1"/>
    <col min="4102" max="4102" width="3.5703125" customWidth="1"/>
    <col min="4103" max="4103" width="13.28515625" customWidth="1"/>
    <col min="4104" max="4104" width="5.85546875" customWidth="1"/>
    <col min="4105" max="4105" width="23.28515625" customWidth="1"/>
    <col min="4106" max="4106" width="17.140625" customWidth="1"/>
    <col min="4107" max="4107" width="50.5703125" customWidth="1"/>
    <col min="4108" max="4108" width="28.7109375" customWidth="1"/>
    <col min="4109" max="4109" width="25.140625" customWidth="1"/>
    <col min="4110" max="4110" width="36.7109375" customWidth="1"/>
    <col min="4111" max="4112" width="24.5703125" customWidth="1"/>
    <col min="4113" max="4113" width="17.85546875" customWidth="1"/>
    <col min="4114" max="4114" width="27.5703125" bestFit="1" customWidth="1"/>
    <col min="4115" max="4115" width="37.28515625" customWidth="1"/>
    <col min="4116" max="4116" width="48.42578125" customWidth="1"/>
    <col min="4117" max="4117" width="32" customWidth="1"/>
    <col min="4118" max="4118" width="32.7109375" customWidth="1"/>
    <col min="4119" max="4119" width="18.5703125" customWidth="1"/>
    <col min="4120" max="4120" width="16.7109375" customWidth="1"/>
    <col min="4121" max="4121" width="10.42578125" customWidth="1"/>
    <col min="4122" max="4122" width="10.5703125" customWidth="1"/>
    <col min="4123" max="4123" width="9.28515625" customWidth="1"/>
    <col min="4124" max="4124" width="10.140625" customWidth="1"/>
    <col min="4125" max="4125" width="8.42578125" customWidth="1"/>
    <col min="4126" max="4126" width="9.5703125" customWidth="1"/>
    <col min="4127" max="4127" width="9.28515625" customWidth="1"/>
    <col min="4128" max="4128" width="8.85546875" customWidth="1"/>
    <col min="4129" max="4131" width="8" customWidth="1"/>
    <col min="4132" max="4132" width="8.7109375" customWidth="1"/>
    <col min="4133" max="4133" width="8.140625" customWidth="1"/>
    <col min="4134" max="4134" width="10.5703125" customWidth="1"/>
    <col min="4135" max="4135" width="9.85546875" customWidth="1"/>
    <col min="4136" max="4136" width="13.140625" customWidth="1"/>
    <col min="4137" max="4137" width="25.42578125" customWidth="1"/>
    <col min="4138" max="4138" width="30.85546875" customWidth="1"/>
    <col min="4139" max="4139" width="27.42578125" customWidth="1"/>
    <col min="4353" max="4353" width="13" bestFit="1" customWidth="1"/>
    <col min="4354" max="4354" width="6.85546875" customWidth="1"/>
    <col min="4355" max="4355" width="14.28515625" customWidth="1"/>
    <col min="4356" max="4356" width="14" customWidth="1"/>
    <col min="4357" max="4357" width="17.85546875" customWidth="1"/>
    <col min="4358" max="4358" width="3.5703125" customWidth="1"/>
    <col min="4359" max="4359" width="13.28515625" customWidth="1"/>
    <col min="4360" max="4360" width="5.85546875" customWidth="1"/>
    <col min="4361" max="4361" width="23.28515625" customWidth="1"/>
    <col min="4362" max="4362" width="17.140625" customWidth="1"/>
    <col min="4363" max="4363" width="50.5703125" customWidth="1"/>
    <col min="4364" max="4364" width="28.7109375" customWidth="1"/>
    <col min="4365" max="4365" width="25.140625" customWidth="1"/>
    <col min="4366" max="4366" width="36.7109375" customWidth="1"/>
    <col min="4367" max="4368" width="24.5703125" customWidth="1"/>
    <col min="4369" max="4369" width="17.85546875" customWidth="1"/>
    <col min="4370" max="4370" width="27.5703125" bestFit="1" customWidth="1"/>
    <col min="4371" max="4371" width="37.28515625" customWidth="1"/>
    <col min="4372" max="4372" width="48.42578125" customWidth="1"/>
    <col min="4373" max="4373" width="32" customWidth="1"/>
    <col min="4374" max="4374" width="32.7109375" customWidth="1"/>
    <col min="4375" max="4375" width="18.5703125" customWidth="1"/>
    <col min="4376" max="4376" width="16.7109375" customWidth="1"/>
    <col min="4377" max="4377" width="10.42578125" customWidth="1"/>
    <col min="4378" max="4378" width="10.5703125" customWidth="1"/>
    <col min="4379" max="4379" width="9.28515625" customWidth="1"/>
    <col min="4380" max="4380" width="10.140625" customWidth="1"/>
    <col min="4381" max="4381" width="8.42578125" customWidth="1"/>
    <col min="4382" max="4382" width="9.5703125" customWidth="1"/>
    <col min="4383" max="4383" width="9.28515625" customWidth="1"/>
    <col min="4384" max="4384" width="8.85546875" customWidth="1"/>
    <col min="4385" max="4387" width="8" customWidth="1"/>
    <col min="4388" max="4388" width="8.7109375" customWidth="1"/>
    <col min="4389" max="4389" width="8.140625" customWidth="1"/>
    <col min="4390" max="4390" width="10.5703125" customWidth="1"/>
    <col min="4391" max="4391" width="9.85546875" customWidth="1"/>
    <col min="4392" max="4392" width="13.140625" customWidth="1"/>
    <col min="4393" max="4393" width="25.42578125" customWidth="1"/>
    <col min="4394" max="4394" width="30.85546875" customWidth="1"/>
    <col min="4395" max="4395" width="27.42578125" customWidth="1"/>
    <col min="4609" max="4609" width="13" bestFit="1" customWidth="1"/>
    <col min="4610" max="4610" width="6.85546875" customWidth="1"/>
    <col min="4611" max="4611" width="14.28515625" customWidth="1"/>
    <col min="4612" max="4612" width="14" customWidth="1"/>
    <col min="4613" max="4613" width="17.85546875" customWidth="1"/>
    <col min="4614" max="4614" width="3.5703125" customWidth="1"/>
    <col min="4615" max="4615" width="13.28515625" customWidth="1"/>
    <col min="4616" max="4616" width="5.85546875" customWidth="1"/>
    <col min="4617" max="4617" width="23.28515625" customWidth="1"/>
    <col min="4618" max="4618" width="17.140625" customWidth="1"/>
    <col min="4619" max="4619" width="50.5703125" customWidth="1"/>
    <col min="4620" max="4620" width="28.7109375" customWidth="1"/>
    <col min="4621" max="4621" width="25.140625" customWidth="1"/>
    <col min="4622" max="4622" width="36.7109375" customWidth="1"/>
    <col min="4623" max="4624" width="24.5703125" customWidth="1"/>
    <col min="4625" max="4625" width="17.85546875" customWidth="1"/>
    <col min="4626" max="4626" width="27.5703125" bestFit="1" customWidth="1"/>
    <col min="4627" max="4627" width="37.28515625" customWidth="1"/>
    <col min="4628" max="4628" width="48.42578125" customWidth="1"/>
    <col min="4629" max="4629" width="32" customWidth="1"/>
    <col min="4630" max="4630" width="32.7109375" customWidth="1"/>
    <col min="4631" max="4631" width="18.5703125" customWidth="1"/>
    <col min="4632" max="4632" width="16.7109375" customWidth="1"/>
    <col min="4633" max="4633" width="10.42578125" customWidth="1"/>
    <col min="4634" max="4634" width="10.5703125" customWidth="1"/>
    <col min="4635" max="4635" width="9.28515625" customWidth="1"/>
    <col min="4636" max="4636" width="10.140625" customWidth="1"/>
    <col min="4637" max="4637" width="8.42578125" customWidth="1"/>
    <col min="4638" max="4638" width="9.5703125" customWidth="1"/>
    <col min="4639" max="4639" width="9.28515625" customWidth="1"/>
    <col min="4640" max="4640" width="8.85546875" customWidth="1"/>
    <col min="4641" max="4643" width="8" customWidth="1"/>
    <col min="4644" max="4644" width="8.7109375" customWidth="1"/>
    <col min="4645" max="4645" width="8.140625" customWidth="1"/>
    <col min="4646" max="4646" width="10.5703125" customWidth="1"/>
    <col min="4647" max="4647" width="9.85546875" customWidth="1"/>
    <col min="4648" max="4648" width="13.140625" customWidth="1"/>
    <col min="4649" max="4649" width="25.42578125" customWidth="1"/>
    <col min="4650" max="4650" width="30.85546875" customWidth="1"/>
    <col min="4651" max="4651" width="27.42578125" customWidth="1"/>
    <col min="4865" max="4865" width="13" bestFit="1" customWidth="1"/>
    <col min="4866" max="4866" width="6.85546875" customWidth="1"/>
    <col min="4867" max="4867" width="14.28515625" customWidth="1"/>
    <col min="4868" max="4868" width="14" customWidth="1"/>
    <col min="4869" max="4869" width="17.85546875" customWidth="1"/>
    <col min="4870" max="4870" width="3.5703125" customWidth="1"/>
    <col min="4871" max="4871" width="13.28515625" customWidth="1"/>
    <col min="4872" max="4872" width="5.85546875" customWidth="1"/>
    <col min="4873" max="4873" width="23.28515625" customWidth="1"/>
    <col min="4874" max="4874" width="17.140625" customWidth="1"/>
    <col min="4875" max="4875" width="50.5703125" customWidth="1"/>
    <col min="4876" max="4876" width="28.7109375" customWidth="1"/>
    <col min="4877" max="4877" width="25.140625" customWidth="1"/>
    <col min="4878" max="4878" width="36.7109375" customWidth="1"/>
    <col min="4879" max="4880" width="24.5703125" customWidth="1"/>
    <col min="4881" max="4881" width="17.85546875" customWidth="1"/>
    <col min="4882" max="4882" width="27.5703125" bestFit="1" customWidth="1"/>
    <col min="4883" max="4883" width="37.28515625" customWidth="1"/>
    <col min="4884" max="4884" width="48.42578125" customWidth="1"/>
    <col min="4885" max="4885" width="32" customWidth="1"/>
    <col min="4886" max="4886" width="32.7109375" customWidth="1"/>
    <col min="4887" max="4887" width="18.5703125" customWidth="1"/>
    <col min="4888" max="4888" width="16.7109375" customWidth="1"/>
    <col min="4889" max="4889" width="10.42578125" customWidth="1"/>
    <col min="4890" max="4890" width="10.5703125" customWidth="1"/>
    <col min="4891" max="4891" width="9.28515625" customWidth="1"/>
    <col min="4892" max="4892" width="10.140625" customWidth="1"/>
    <col min="4893" max="4893" width="8.42578125" customWidth="1"/>
    <col min="4894" max="4894" width="9.5703125" customWidth="1"/>
    <col min="4895" max="4895" width="9.28515625" customWidth="1"/>
    <col min="4896" max="4896" width="8.85546875" customWidth="1"/>
    <col min="4897" max="4899" width="8" customWidth="1"/>
    <col min="4900" max="4900" width="8.7109375" customWidth="1"/>
    <col min="4901" max="4901" width="8.140625" customWidth="1"/>
    <col min="4902" max="4902" width="10.5703125" customWidth="1"/>
    <col min="4903" max="4903" width="9.85546875" customWidth="1"/>
    <col min="4904" max="4904" width="13.140625" customWidth="1"/>
    <col min="4905" max="4905" width="25.42578125" customWidth="1"/>
    <col min="4906" max="4906" width="30.85546875" customWidth="1"/>
    <col min="4907" max="4907" width="27.42578125" customWidth="1"/>
    <col min="5121" max="5121" width="13" bestFit="1" customWidth="1"/>
    <col min="5122" max="5122" width="6.85546875" customWidth="1"/>
    <col min="5123" max="5123" width="14.28515625" customWidth="1"/>
    <col min="5124" max="5124" width="14" customWidth="1"/>
    <col min="5125" max="5125" width="17.85546875" customWidth="1"/>
    <col min="5126" max="5126" width="3.5703125" customWidth="1"/>
    <col min="5127" max="5127" width="13.28515625" customWidth="1"/>
    <col min="5128" max="5128" width="5.85546875" customWidth="1"/>
    <col min="5129" max="5129" width="23.28515625" customWidth="1"/>
    <col min="5130" max="5130" width="17.140625" customWidth="1"/>
    <col min="5131" max="5131" width="50.5703125" customWidth="1"/>
    <col min="5132" max="5132" width="28.7109375" customWidth="1"/>
    <col min="5133" max="5133" width="25.140625" customWidth="1"/>
    <col min="5134" max="5134" width="36.7109375" customWidth="1"/>
    <col min="5135" max="5136" width="24.5703125" customWidth="1"/>
    <col min="5137" max="5137" width="17.85546875" customWidth="1"/>
    <col min="5138" max="5138" width="27.5703125" bestFit="1" customWidth="1"/>
    <col min="5139" max="5139" width="37.28515625" customWidth="1"/>
    <col min="5140" max="5140" width="48.42578125" customWidth="1"/>
    <col min="5141" max="5141" width="32" customWidth="1"/>
    <col min="5142" max="5142" width="32.7109375" customWidth="1"/>
    <col min="5143" max="5143" width="18.5703125" customWidth="1"/>
    <col min="5144" max="5144" width="16.7109375" customWidth="1"/>
    <col min="5145" max="5145" width="10.42578125" customWidth="1"/>
    <col min="5146" max="5146" width="10.5703125" customWidth="1"/>
    <col min="5147" max="5147" width="9.28515625" customWidth="1"/>
    <col min="5148" max="5148" width="10.140625" customWidth="1"/>
    <col min="5149" max="5149" width="8.42578125" customWidth="1"/>
    <col min="5150" max="5150" width="9.5703125" customWidth="1"/>
    <col min="5151" max="5151" width="9.28515625" customWidth="1"/>
    <col min="5152" max="5152" width="8.85546875" customWidth="1"/>
    <col min="5153" max="5155" width="8" customWidth="1"/>
    <col min="5156" max="5156" width="8.7109375" customWidth="1"/>
    <col min="5157" max="5157" width="8.140625" customWidth="1"/>
    <col min="5158" max="5158" width="10.5703125" customWidth="1"/>
    <col min="5159" max="5159" width="9.85546875" customWidth="1"/>
    <col min="5160" max="5160" width="13.140625" customWidth="1"/>
    <col min="5161" max="5161" width="25.42578125" customWidth="1"/>
    <col min="5162" max="5162" width="30.85546875" customWidth="1"/>
    <col min="5163" max="5163" width="27.42578125" customWidth="1"/>
    <col min="5377" max="5377" width="13" bestFit="1" customWidth="1"/>
    <col min="5378" max="5378" width="6.85546875" customWidth="1"/>
    <col min="5379" max="5379" width="14.28515625" customWidth="1"/>
    <col min="5380" max="5380" width="14" customWidth="1"/>
    <col min="5381" max="5381" width="17.85546875" customWidth="1"/>
    <col min="5382" max="5382" width="3.5703125" customWidth="1"/>
    <col min="5383" max="5383" width="13.28515625" customWidth="1"/>
    <col min="5384" max="5384" width="5.85546875" customWidth="1"/>
    <col min="5385" max="5385" width="23.28515625" customWidth="1"/>
    <col min="5386" max="5386" width="17.140625" customWidth="1"/>
    <col min="5387" max="5387" width="50.5703125" customWidth="1"/>
    <col min="5388" max="5388" width="28.7109375" customWidth="1"/>
    <col min="5389" max="5389" width="25.140625" customWidth="1"/>
    <col min="5390" max="5390" width="36.7109375" customWidth="1"/>
    <col min="5391" max="5392" width="24.5703125" customWidth="1"/>
    <col min="5393" max="5393" width="17.85546875" customWidth="1"/>
    <col min="5394" max="5394" width="27.5703125" bestFit="1" customWidth="1"/>
    <col min="5395" max="5395" width="37.28515625" customWidth="1"/>
    <col min="5396" max="5396" width="48.42578125" customWidth="1"/>
    <col min="5397" max="5397" width="32" customWidth="1"/>
    <col min="5398" max="5398" width="32.7109375" customWidth="1"/>
    <col min="5399" max="5399" width="18.5703125" customWidth="1"/>
    <col min="5400" max="5400" width="16.7109375" customWidth="1"/>
    <col min="5401" max="5401" width="10.42578125" customWidth="1"/>
    <col min="5402" max="5402" width="10.5703125" customWidth="1"/>
    <col min="5403" max="5403" width="9.28515625" customWidth="1"/>
    <col min="5404" max="5404" width="10.140625" customWidth="1"/>
    <col min="5405" max="5405" width="8.42578125" customWidth="1"/>
    <col min="5406" max="5406" width="9.5703125" customWidth="1"/>
    <col min="5407" max="5407" width="9.28515625" customWidth="1"/>
    <col min="5408" max="5408" width="8.85546875" customWidth="1"/>
    <col min="5409" max="5411" width="8" customWidth="1"/>
    <col min="5412" max="5412" width="8.7109375" customWidth="1"/>
    <col min="5413" max="5413" width="8.140625" customWidth="1"/>
    <col min="5414" max="5414" width="10.5703125" customWidth="1"/>
    <col min="5415" max="5415" width="9.85546875" customWidth="1"/>
    <col min="5416" max="5416" width="13.140625" customWidth="1"/>
    <col min="5417" max="5417" width="25.42578125" customWidth="1"/>
    <col min="5418" max="5418" width="30.85546875" customWidth="1"/>
    <col min="5419" max="5419" width="27.42578125" customWidth="1"/>
    <col min="5633" max="5633" width="13" bestFit="1" customWidth="1"/>
    <col min="5634" max="5634" width="6.85546875" customWidth="1"/>
    <col min="5635" max="5635" width="14.28515625" customWidth="1"/>
    <col min="5636" max="5636" width="14" customWidth="1"/>
    <col min="5637" max="5637" width="17.85546875" customWidth="1"/>
    <col min="5638" max="5638" width="3.5703125" customWidth="1"/>
    <col min="5639" max="5639" width="13.28515625" customWidth="1"/>
    <col min="5640" max="5640" width="5.85546875" customWidth="1"/>
    <col min="5641" max="5641" width="23.28515625" customWidth="1"/>
    <col min="5642" max="5642" width="17.140625" customWidth="1"/>
    <col min="5643" max="5643" width="50.5703125" customWidth="1"/>
    <col min="5644" max="5644" width="28.7109375" customWidth="1"/>
    <col min="5645" max="5645" width="25.140625" customWidth="1"/>
    <col min="5646" max="5646" width="36.7109375" customWidth="1"/>
    <col min="5647" max="5648" width="24.5703125" customWidth="1"/>
    <col min="5649" max="5649" width="17.85546875" customWidth="1"/>
    <col min="5650" max="5650" width="27.5703125" bestFit="1" customWidth="1"/>
    <col min="5651" max="5651" width="37.28515625" customWidth="1"/>
    <col min="5652" max="5652" width="48.42578125" customWidth="1"/>
    <col min="5653" max="5653" width="32" customWidth="1"/>
    <col min="5654" max="5654" width="32.7109375" customWidth="1"/>
    <col min="5655" max="5655" width="18.5703125" customWidth="1"/>
    <col min="5656" max="5656" width="16.7109375" customWidth="1"/>
    <col min="5657" max="5657" width="10.42578125" customWidth="1"/>
    <col min="5658" max="5658" width="10.5703125" customWidth="1"/>
    <col min="5659" max="5659" width="9.28515625" customWidth="1"/>
    <col min="5660" max="5660" width="10.140625" customWidth="1"/>
    <col min="5661" max="5661" width="8.42578125" customWidth="1"/>
    <col min="5662" max="5662" width="9.5703125" customWidth="1"/>
    <col min="5663" max="5663" width="9.28515625" customWidth="1"/>
    <col min="5664" max="5664" width="8.85546875" customWidth="1"/>
    <col min="5665" max="5667" width="8" customWidth="1"/>
    <col min="5668" max="5668" width="8.7109375" customWidth="1"/>
    <col min="5669" max="5669" width="8.140625" customWidth="1"/>
    <col min="5670" max="5670" width="10.5703125" customWidth="1"/>
    <col min="5671" max="5671" width="9.85546875" customWidth="1"/>
    <col min="5672" max="5672" width="13.140625" customWidth="1"/>
    <col min="5673" max="5673" width="25.42578125" customWidth="1"/>
    <col min="5674" max="5674" width="30.85546875" customWidth="1"/>
    <col min="5675" max="5675" width="27.42578125" customWidth="1"/>
    <col min="5889" max="5889" width="13" bestFit="1" customWidth="1"/>
    <col min="5890" max="5890" width="6.85546875" customWidth="1"/>
    <col min="5891" max="5891" width="14.28515625" customWidth="1"/>
    <col min="5892" max="5892" width="14" customWidth="1"/>
    <col min="5893" max="5893" width="17.85546875" customWidth="1"/>
    <col min="5894" max="5894" width="3.5703125" customWidth="1"/>
    <col min="5895" max="5895" width="13.28515625" customWidth="1"/>
    <col min="5896" max="5896" width="5.85546875" customWidth="1"/>
    <col min="5897" max="5897" width="23.28515625" customWidth="1"/>
    <col min="5898" max="5898" width="17.140625" customWidth="1"/>
    <col min="5899" max="5899" width="50.5703125" customWidth="1"/>
    <col min="5900" max="5900" width="28.7109375" customWidth="1"/>
    <col min="5901" max="5901" width="25.140625" customWidth="1"/>
    <col min="5902" max="5902" width="36.7109375" customWidth="1"/>
    <col min="5903" max="5904" width="24.5703125" customWidth="1"/>
    <col min="5905" max="5905" width="17.85546875" customWidth="1"/>
    <col min="5906" max="5906" width="27.5703125" bestFit="1" customWidth="1"/>
    <col min="5907" max="5907" width="37.28515625" customWidth="1"/>
    <col min="5908" max="5908" width="48.42578125" customWidth="1"/>
    <col min="5909" max="5909" width="32" customWidth="1"/>
    <col min="5910" max="5910" width="32.7109375" customWidth="1"/>
    <col min="5911" max="5911" width="18.5703125" customWidth="1"/>
    <col min="5912" max="5912" width="16.7109375" customWidth="1"/>
    <col min="5913" max="5913" width="10.42578125" customWidth="1"/>
    <col min="5914" max="5914" width="10.5703125" customWidth="1"/>
    <col min="5915" max="5915" width="9.28515625" customWidth="1"/>
    <col min="5916" max="5916" width="10.140625" customWidth="1"/>
    <col min="5917" max="5917" width="8.42578125" customWidth="1"/>
    <col min="5918" max="5918" width="9.5703125" customWidth="1"/>
    <col min="5919" max="5919" width="9.28515625" customWidth="1"/>
    <col min="5920" max="5920" width="8.85546875" customWidth="1"/>
    <col min="5921" max="5923" width="8" customWidth="1"/>
    <col min="5924" max="5924" width="8.7109375" customWidth="1"/>
    <col min="5925" max="5925" width="8.140625" customWidth="1"/>
    <col min="5926" max="5926" width="10.5703125" customWidth="1"/>
    <col min="5927" max="5927" width="9.85546875" customWidth="1"/>
    <col min="5928" max="5928" width="13.140625" customWidth="1"/>
    <col min="5929" max="5929" width="25.42578125" customWidth="1"/>
    <col min="5930" max="5930" width="30.85546875" customWidth="1"/>
    <col min="5931" max="5931" width="27.42578125" customWidth="1"/>
    <col min="6145" max="6145" width="13" bestFit="1" customWidth="1"/>
    <col min="6146" max="6146" width="6.85546875" customWidth="1"/>
    <col min="6147" max="6147" width="14.28515625" customWidth="1"/>
    <col min="6148" max="6148" width="14" customWidth="1"/>
    <col min="6149" max="6149" width="17.85546875" customWidth="1"/>
    <col min="6150" max="6150" width="3.5703125" customWidth="1"/>
    <col min="6151" max="6151" width="13.28515625" customWidth="1"/>
    <col min="6152" max="6152" width="5.85546875" customWidth="1"/>
    <col min="6153" max="6153" width="23.28515625" customWidth="1"/>
    <col min="6154" max="6154" width="17.140625" customWidth="1"/>
    <col min="6155" max="6155" width="50.5703125" customWidth="1"/>
    <col min="6156" max="6156" width="28.7109375" customWidth="1"/>
    <col min="6157" max="6157" width="25.140625" customWidth="1"/>
    <col min="6158" max="6158" width="36.7109375" customWidth="1"/>
    <col min="6159" max="6160" width="24.5703125" customWidth="1"/>
    <col min="6161" max="6161" width="17.85546875" customWidth="1"/>
    <col min="6162" max="6162" width="27.5703125" bestFit="1" customWidth="1"/>
    <col min="6163" max="6163" width="37.28515625" customWidth="1"/>
    <col min="6164" max="6164" width="48.42578125" customWidth="1"/>
    <col min="6165" max="6165" width="32" customWidth="1"/>
    <col min="6166" max="6166" width="32.7109375" customWidth="1"/>
    <col min="6167" max="6167" width="18.5703125" customWidth="1"/>
    <col min="6168" max="6168" width="16.7109375" customWidth="1"/>
    <col min="6169" max="6169" width="10.42578125" customWidth="1"/>
    <col min="6170" max="6170" width="10.5703125" customWidth="1"/>
    <col min="6171" max="6171" width="9.28515625" customWidth="1"/>
    <col min="6172" max="6172" width="10.140625" customWidth="1"/>
    <col min="6173" max="6173" width="8.42578125" customWidth="1"/>
    <col min="6174" max="6174" width="9.5703125" customWidth="1"/>
    <col min="6175" max="6175" width="9.28515625" customWidth="1"/>
    <col min="6176" max="6176" width="8.85546875" customWidth="1"/>
    <col min="6177" max="6179" width="8" customWidth="1"/>
    <col min="6180" max="6180" width="8.7109375" customWidth="1"/>
    <col min="6181" max="6181" width="8.140625" customWidth="1"/>
    <col min="6182" max="6182" width="10.5703125" customWidth="1"/>
    <col min="6183" max="6183" width="9.85546875" customWidth="1"/>
    <col min="6184" max="6184" width="13.140625" customWidth="1"/>
    <col min="6185" max="6185" width="25.42578125" customWidth="1"/>
    <col min="6186" max="6186" width="30.85546875" customWidth="1"/>
    <col min="6187" max="6187" width="27.42578125" customWidth="1"/>
    <col min="6401" max="6401" width="13" bestFit="1" customWidth="1"/>
    <col min="6402" max="6402" width="6.85546875" customWidth="1"/>
    <col min="6403" max="6403" width="14.28515625" customWidth="1"/>
    <col min="6404" max="6404" width="14" customWidth="1"/>
    <col min="6405" max="6405" width="17.85546875" customWidth="1"/>
    <col min="6406" max="6406" width="3.5703125" customWidth="1"/>
    <col min="6407" max="6407" width="13.28515625" customWidth="1"/>
    <col min="6408" max="6408" width="5.85546875" customWidth="1"/>
    <col min="6409" max="6409" width="23.28515625" customWidth="1"/>
    <col min="6410" max="6410" width="17.140625" customWidth="1"/>
    <col min="6411" max="6411" width="50.5703125" customWidth="1"/>
    <col min="6412" max="6412" width="28.7109375" customWidth="1"/>
    <col min="6413" max="6413" width="25.140625" customWidth="1"/>
    <col min="6414" max="6414" width="36.7109375" customWidth="1"/>
    <col min="6415" max="6416" width="24.5703125" customWidth="1"/>
    <col min="6417" max="6417" width="17.85546875" customWidth="1"/>
    <col min="6418" max="6418" width="27.5703125" bestFit="1" customWidth="1"/>
    <col min="6419" max="6419" width="37.28515625" customWidth="1"/>
    <col min="6420" max="6420" width="48.42578125" customWidth="1"/>
    <col min="6421" max="6421" width="32" customWidth="1"/>
    <col min="6422" max="6422" width="32.7109375" customWidth="1"/>
    <col min="6423" max="6423" width="18.5703125" customWidth="1"/>
    <col min="6424" max="6424" width="16.7109375" customWidth="1"/>
    <col min="6425" max="6425" width="10.42578125" customWidth="1"/>
    <col min="6426" max="6426" width="10.5703125" customWidth="1"/>
    <col min="6427" max="6427" width="9.28515625" customWidth="1"/>
    <col min="6428" max="6428" width="10.140625" customWidth="1"/>
    <col min="6429" max="6429" width="8.42578125" customWidth="1"/>
    <col min="6430" max="6430" width="9.5703125" customWidth="1"/>
    <col min="6431" max="6431" width="9.28515625" customWidth="1"/>
    <col min="6432" max="6432" width="8.85546875" customWidth="1"/>
    <col min="6433" max="6435" width="8" customWidth="1"/>
    <col min="6436" max="6436" width="8.7109375" customWidth="1"/>
    <col min="6437" max="6437" width="8.140625" customWidth="1"/>
    <col min="6438" max="6438" width="10.5703125" customWidth="1"/>
    <col min="6439" max="6439" width="9.85546875" customWidth="1"/>
    <col min="6440" max="6440" width="13.140625" customWidth="1"/>
    <col min="6441" max="6441" width="25.42578125" customWidth="1"/>
    <col min="6442" max="6442" width="30.85546875" customWidth="1"/>
    <col min="6443" max="6443" width="27.42578125" customWidth="1"/>
    <col min="6657" max="6657" width="13" bestFit="1" customWidth="1"/>
    <col min="6658" max="6658" width="6.85546875" customWidth="1"/>
    <col min="6659" max="6659" width="14.28515625" customWidth="1"/>
    <col min="6660" max="6660" width="14" customWidth="1"/>
    <col min="6661" max="6661" width="17.85546875" customWidth="1"/>
    <col min="6662" max="6662" width="3.5703125" customWidth="1"/>
    <col min="6663" max="6663" width="13.28515625" customWidth="1"/>
    <col min="6664" max="6664" width="5.85546875" customWidth="1"/>
    <col min="6665" max="6665" width="23.28515625" customWidth="1"/>
    <col min="6666" max="6666" width="17.140625" customWidth="1"/>
    <col min="6667" max="6667" width="50.5703125" customWidth="1"/>
    <col min="6668" max="6668" width="28.7109375" customWidth="1"/>
    <col min="6669" max="6669" width="25.140625" customWidth="1"/>
    <col min="6670" max="6670" width="36.7109375" customWidth="1"/>
    <col min="6671" max="6672" width="24.5703125" customWidth="1"/>
    <col min="6673" max="6673" width="17.85546875" customWidth="1"/>
    <col min="6674" max="6674" width="27.5703125" bestFit="1" customWidth="1"/>
    <col min="6675" max="6675" width="37.28515625" customWidth="1"/>
    <col min="6676" max="6676" width="48.42578125" customWidth="1"/>
    <col min="6677" max="6677" width="32" customWidth="1"/>
    <col min="6678" max="6678" width="32.7109375" customWidth="1"/>
    <col min="6679" max="6679" width="18.5703125" customWidth="1"/>
    <col min="6680" max="6680" width="16.7109375" customWidth="1"/>
    <col min="6681" max="6681" width="10.42578125" customWidth="1"/>
    <col min="6682" max="6682" width="10.5703125" customWidth="1"/>
    <col min="6683" max="6683" width="9.28515625" customWidth="1"/>
    <col min="6684" max="6684" width="10.140625" customWidth="1"/>
    <col min="6685" max="6685" width="8.42578125" customWidth="1"/>
    <col min="6686" max="6686" width="9.5703125" customWidth="1"/>
    <col min="6687" max="6687" width="9.28515625" customWidth="1"/>
    <col min="6688" max="6688" width="8.85546875" customWidth="1"/>
    <col min="6689" max="6691" width="8" customWidth="1"/>
    <col min="6692" max="6692" width="8.7109375" customWidth="1"/>
    <col min="6693" max="6693" width="8.140625" customWidth="1"/>
    <col min="6694" max="6694" width="10.5703125" customWidth="1"/>
    <col min="6695" max="6695" width="9.85546875" customWidth="1"/>
    <col min="6696" max="6696" width="13.140625" customWidth="1"/>
    <col min="6697" max="6697" width="25.42578125" customWidth="1"/>
    <col min="6698" max="6698" width="30.85546875" customWidth="1"/>
    <col min="6699" max="6699" width="27.42578125" customWidth="1"/>
    <col min="6913" max="6913" width="13" bestFit="1" customWidth="1"/>
    <col min="6914" max="6914" width="6.85546875" customWidth="1"/>
    <col min="6915" max="6915" width="14.28515625" customWidth="1"/>
    <col min="6916" max="6916" width="14" customWidth="1"/>
    <col min="6917" max="6917" width="17.85546875" customWidth="1"/>
    <col min="6918" max="6918" width="3.5703125" customWidth="1"/>
    <col min="6919" max="6919" width="13.28515625" customWidth="1"/>
    <col min="6920" max="6920" width="5.85546875" customWidth="1"/>
    <col min="6921" max="6921" width="23.28515625" customWidth="1"/>
    <col min="6922" max="6922" width="17.140625" customWidth="1"/>
    <col min="6923" max="6923" width="50.5703125" customWidth="1"/>
    <col min="6924" max="6924" width="28.7109375" customWidth="1"/>
    <col min="6925" max="6925" width="25.140625" customWidth="1"/>
    <col min="6926" max="6926" width="36.7109375" customWidth="1"/>
    <col min="6927" max="6928" width="24.5703125" customWidth="1"/>
    <col min="6929" max="6929" width="17.85546875" customWidth="1"/>
    <col min="6930" max="6930" width="27.5703125" bestFit="1" customWidth="1"/>
    <col min="6931" max="6931" width="37.28515625" customWidth="1"/>
    <col min="6932" max="6932" width="48.42578125" customWidth="1"/>
    <col min="6933" max="6933" width="32" customWidth="1"/>
    <col min="6934" max="6934" width="32.7109375" customWidth="1"/>
    <col min="6935" max="6935" width="18.5703125" customWidth="1"/>
    <col min="6936" max="6936" width="16.7109375" customWidth="1"/>
    <col min="6937" max="6937" width="10.42578125" customWidth="1"/>
    <col min="6938" max="6938" width="10.5703125" customWidth="1"/>
    <col min="6939" max="6939" width="9.28515625" customWidth="1"/>
    <col min="6940" max="6940" width="10.140625" customWidth="1"/>
    <col min="6941" max="6941" width="8.42578125" customWidth="1"/>
    <col min="6942" max="6942" width="9.5703125" customWidth="1"/>
    <col min="6943" max="6943" width="9.28515625" customWidth="1"/>
    <col min="6944" max="6944" width="8.85546875" customWidth="1"/>
    <col min="6945" max="6947" width="8" customWidth="1"/>
    <col min="6948" max="6948" width="8.7109375" customWidth="1"/>
    <col min="6949" max="6949" width="8.140625" customWidth="1"/>
    <col min="6950" max="6950" width="10.5703125" customWidth="1"/>
    <col min="6951" max="6951" width="9.85546875" customWidth="1"/>
    <col min="6952" max="6952" width="13.140625" customWidth="1"/>
    <col min="6953" max="6953" width="25.42578125" customWidth="1"/>
    <col min="6954" max="6954" width="30.85546875" customWidth="1"/>
    <col min="6955" max="6955" width="27.42578125" customWidth="1"/>
    <col min="7169" max="7169" width="13" bestFit="1" customWidth="1"/>
    <col min="7170" max="7170" width="6.85546875" customWidth="1"/>
    <col min="7171" max="7171" width="14.28515625" customWidth="1"/>
    <col min="7172" max="7172" width="14" customWidth="1"/>
    <col min="7173" max="7173" width="17.85546875" customWidth="1"/>
    <col min="7174" max="7174" width="3.5703125" customWidth="1"/>
    <col min="7175" max="7175" width="13.28515625" customWidth="1"/>
    <col min="7176" max="7176" width="5.85546875" customWidth="1"/>
    <col min="7177" max="7177" width="23.28515625" customWidth="1"/>
    <col min="7178" max="7178" width="17.140625" customWidth="1"/>
    <col min="7179" max="7179" width="50.5703125" customWidth="1"/>
    <col min="7180" max="7180" width="28.7109375" customWidth="1"/>
    <col min="7181" max="7181" width="25.140625" customWidth="1"/>
    <col min="7182" max="7182" width="36.7109375" customWidth="1"/>
    <col min="7183" max="7184" width="24.5703125" customWidth="1"/>
    <col min="7185" max="7185" width="17.85546875" customWidth="1"/>
    <col min="7186" max="7186" width="27.5703125" bestFit="1" customWidth="1"/>
    <col min="7187" max="7187" width="37.28515625" customWidth="1"/>
    <col min="7188" max="7188" width="48.42578125" customWidth="1"/>
    <col min="7189" max="7189" width="32" customWidth="1"/>
    <col min="7190" max="7190" width="32.7109375" customWidth="1"/>
    <col min="7191" max="7191" width="18.5703125" customWidth="1"/>
    <col min="7192" max="7192" width="16.7109375" customWidth="1"/>
    <col min="7193" max="7193" width="10.42578125" customWidth="1"/>
    <col min="7194" max="7194" width="10.5703125" customWidth="1"/>
    <col min="7195" max="7195" width="9.28515625" customWidth="1"/>
    <col min="7196" max="7196" width="10.140625" customWidth="1"/>
    <col min="7197" max="7197" width="8.42578125" customWidth="1"/>
    <col min="7198" max="7198" width="9.5703125" customWidth="1"/>
    <col min="7199" max="7199" width="9.28515625" customWidth="1"/>
    <col min="7200" max="7200" width="8.85546875" customWidth="1"/>
    <col min="7201" max="7203" width="8" customWidth="1"/>
    <col min="7204" max="7204" width="8.7109375" customWidth="1"/>
    <col min="7205" max="7205" width="8.140625" customWidth="1"/>
    <col min="7206" max="7206" width="10.5703125" customWidth="1"/>
    <col min="7207" max="7207" width="9.85546875" customWidth="1"/>
    <col min="7208" max="7208" width="13.140625" customWidth="1"/>
    <col min="7209" max="7209" width="25.42578125" customWidth="1"/>
    <col min="7210" max="7210" width="30.85546875" customWidth="1"/>
    <col min="7211" max="7211" width="27.42578125" customWidth="1"/>
    <col min="7425" max="7425" width="13" bestFit="1" customWidth="1"/>
    <col min="7426" max="7426" width="6.85546875" customWidth="1"/>
    <col min="7427" max="7427" width="14.28515625" customWidth="1"/>
    <col min="7428" max="7428" width="14" customWidth="1"/>
    <col min="7429" max="7429" width="17.85546875" customWidth="1"/>
    <col min="7430" max="7430" width="3.5703125" customWidth="1"/>
    <col min="7431" max="7431" width="13.28515625" customWidth="1"/>
    <col min="7432" max="7432" width="5.85546875" customWidth="1"/>
    <col min="7433" max="7433" width="23.28515625" customWidth="1"/>
    <col min="7434" max="7434" width="17.140625" customWidth="1"/>
    <col min="7435" max="7435" width="50.5703125" customWidth="1"/>
    <col min="7436" max="7436" width="28.7109375" customWidth="1"/>
    <col min="7437" max="7437" width="25.140625" customWidth="1"/>
    <col min="7438" max="7438" width="36.7109375" customWidth="1"/>
    <col min="7439" max="7440" width="24.5703125" customWidth="1"/>
    <col min="7441" max="7441" width="17.85546875" customWidth="1"/>
    <col min="7442" max="7442" width="27.5703125" bestFit="1" customWidth="1"/>
    <col min="7443" max="7443" width="37.28515625" customWidth="1"/>
    <col min="7444" max="7444" width="48.42578125" customWidth="1"/>
    <col min="7445" max="7445" width="32" customWidth="1"/>
    <col min="7446" max="7446" width="32.7109375" customWidth="1"/>
    <col min="7447" max="7447" width="18.5703125" customWidth="1"/>
    <col min="7448" max="7448" width="16.7109375" customWidth="1"/>
    <col min="7449" max="7449" width="10.42578125" customWidth="1"/>
    <col min="7450" max="7450" width="10.5703125" customWidth="1"/>
    <col min="7451" max="7451" width="9.28515625" customWidth="1"/>
    <col min="7452" max="7452" width="10.140625" customWidth="1"/>
    <col min="7453" max="7453" width="8.42578125" customWidth="1"/>
    <col min="7454" max="7454" width="9.5703125" customWidth="1"/>
    <col min="7455" max="7455" width="9.28515625" customWidth="1"/>
    <col min="7456" max="7456" width="8.85546875" customWidth="1"/>
    <col min="7457" max="7459" width="8" customWidth="1"/>
    <col min="7460" max="7460" width="8.7109375" customWidth="1"/>
    <col min="7461" max="7461" width="8.140625" customWidth="1"/>
    <col min="7462" max="7462" width="10.5703125" customWidth="1"/>
    <col min="7463" max="7463" width="9.85546875" customWidth="1"/>
    <col min="7464" max="7464" width="13.140625" customWidth="1"/>
    <col min="7465" max="7465" width="25.42578125" customWidth="1"/>
    <col min="7466" max="7466" width="30.85546875" customWidth="1"/>
    <col min="7467" max="7467" width="27.42578125" customWidth="1"/>
    <col min="7681" max="7681" width="13" bestFit="1" customWidth="1"/>
    <col min="7682" max="7682" width="6.85546875" customWidth="1"/>
    <col min="7683" max="7683" width="14.28515625" customWidth="1"/>
    <col min="7684" max="7684" width="14" customWidth="1"/>
    <col min="7685" max="7685" width="17.85546875" customWidth="1"/>
    <col min="7686" max="7686" width="3.5703125" customWidth="1"/>
    <col min="7687" max="7687" width="13.28515625" customWidth="1"/>
    <col min="7688" max="7688" width="5.85546875" customWidth="1"/>
    <col min="7689" max="7689" width="23.28515625" customWidth="1"/>
    <col min="7690" max="7690" width="17.140625" customWidth="1"/>
    <col min="7691" max="7691" width="50.5703125" customWidth="1"/>
    <col min="7692" max="7692" width="28.7109375" customWidth="1"/>
    <col min="7693" max="7693" width="25.140625" customWidth="1"/>
    <col min="7694" max="7694" width="36.7109375" customWidth="1"/>
    <col min="7695" max="7696" width="24.5703125" customWidth="1"/>
    <col min="7697" max="7697" width="17.85546875" customWidth="1"/>
    <col min="7698" max="7698" width="27.5703125" bestFit="1" customWidth="1"/>
    <col min="7699" max="7699" width="37.28515625" customWidth="1"/>
    <col min="7700" max="7700" width="48.42578125" customWidth="1"/>
    <col min="7701" max="7701" width="32" customWidth="1"/>
    <col min="7702" max="7702" width="32.7109375" customWidth="1"/>
    <col min="7703" max="7703" width="18.5703125" customWidth="1"/>
    <col min="7704" max="7704" width="16.7109375" customWidth="1"/>
    <col min="7705" max="7705" width="10.42578125" customWidth="1"/>
    <col min="7706" max="7706" width="10.5703125" customWidth="1"/>
    <col min="7707" max="7707" width="9.28515625" customWidth="1"/>
    <col min="7708" max="7708" width="10.140625" customWidth="1"/>
    <col min="7709" max="7709" width="8.42578125" customWidth="1"/>
    <col min="7710" max="7710" width="9.5703125" customWidth="1"/>
    <col min="7711" max="7711" width="9.28515625" customWidth="1"/>
    <col min="7712" max="7712" width="8.85546875" customWidth="1"/>
    <col min="7713" max="7715" width="8" customWidth="1"/>
    <col min="7716" max="7716" width="8.7109375" customWidth="1"/>
    <col min="7717" max="7717" width="8.140625" customWidth="1"/>
    <col min="7718" max="7718" width="10.5703125" customWidth="1"/>
    <col min="7719" max="7719" width="9.85546875" customWidth="1"/>
    <col min="7720" max="7720" width="13.140625" customWidth="1"/>
    <col min="7721" max="7721" width="25.42578125" customWidth="1"/>
    <col min="7722" max="7722" width="30.85546875" customWidth="1"/>
    <col min="7723" max="7723" width="27.42578125" customWidth="1"/>
    <col min="7937" max="7937" width="13" bestFit="1" customWidth="1"/>
    <col min="7938" max="7938" width="6.85546875" customWidth="1"/>
    <col min="7939" max="7939" width="14.28515625" customWidth="1"/>
    <col min="7940" max="7940" width="14" customWidth="1"/>
    <col min="7941" max="7941" width="17.85546875" customWidth="1"/>
    <col min="7942" max="7942" width="3.5703125" customWidth="1"/>
    <col min="7943" max="7943" width="13.28515625" customWidth="1"/>
    <col min="7944" max="7944" width="5.85546875" customWidth="1"/>
    <col min="7945" max="7945" width="23.28515625" customWidth="1"/>
    <col min="7946" max="7946" width="17.140625" customWidth="1"/>
    <col min="7947" max="7947" width="50.5703125" customWidth="1"/>
    <col min="7948" max="7948" width="28.7109375" customWidth="1"/>
    <col min="7949" max="7949" width="25.140625" customWidth="1"/>
    <col min="7950" max="7950" width="36.7109375" customWidth="1"/>
    <col min="7951" max="7952" width="24.5703125" customWidth="1"/>
    <col min="7953" max="7953" width="17.85546875" customWidth="1"/>
    <col min="7954" max="7954" width="27.5703125" bestFit="1" customWidth="1"/>
    <col min="7955" max="7955" width="37.28515625" customWidth="1"/>
    <col min="7956" max="7956" width="48.42578125" customWidth="1"/>
    <col min="7957" max="7957" width="32" customWidth="1"/>
    <col min="7958" max="7958" width="32.7109375" customWidth="1"/>
    <col min="7959" max="7959" width="18.5703125" customWidth="1"/>
    <col min="7960" max="7960" width="16.7109375" customWidth="1"/>
    <col min="7961" max="7961" width="10.42578125" customWidth="1"/>
    <col min="7962" max="7962" width="10.5703125" customWidth="1"/>
    <col min="7963" max="7963" width="9.28515625" customWidth="1"/>
    <col min="7964" max="7964" width="10.140625" customWidth="1"/>
    <col min="7965" max="7965" width="8.42578125" customWidth="1"/>
    <col min="7966" max="7966" width="9.5703125" customWidth="1"/>
    <col min="7967" max="7967" width="9.28515625" customWidth="1"/>
    <col min="7968" max="7968" width="8.85546875" customWidth="1"/>
    <col min="7969" max="7971" width="8" customWidth="1"/>
    <col min="7972" max="7972" width="8.7109375" customWidth="1"/>
    <col min="7973" max="7973" width="8.140625" customWidth="1"/>
    <col min="7974" max="7974" width="10.5703125" customWidth="1"/>
    <col min="7975" max="7975" width="9.85546875" customWidth="1"/>
    <col min="7976" max="7976" width="13.140625" customWidth="1"/>
    <col min="7977" max="7977" width="25.42578125" customWidth="1"/>
    <col min="7978" max="7978" width="30.85546875" customWidth="1"/>
    <col min="7979" max="7979" width="27.42578125" customWidth="1"/>
    <col min="8193" max="8193" width="13" bestFit="1" customWidth="1"/>
    <col min="8194" max="8194" width="6.85546875" customWidth="1"/>
    <col min="8195" max="8195" width="14.28515625" customWidth="1"/>
    <col min="8196" max="8196" width="14" customWidth="1"/>
    <col min="8197" max="8197" width="17.85546875" customWidth="1"/>
    <col min="8198" max="8198" width="3.5703125" customWidth="1"/>
    <col min="8199" max="8199" width="13.28515625" customWidth="1"/>
    <col min="8200" max="8200" width="5.85546875" customWidth="1"/>
    <col min="8201" max="8201" width="23.28515625" customWidth="1"/>
    <col min="8202" max="8202" width="17.140625" customWidth="1"/>
    <col min="8203" max="8203" width="50.5703125" customWidth="1"/>
    <col min="8204" max="8204" width="28.7109375" customWidth="1"/>
    <col min="8205" max="8205" width="25.140625" customWidth="1"/>
    <col min="8206" max="8206" width="36.7109375" customWidth="1"/>
    <col min="8207" max="8208" width="24.5703125" customWidth="1"/>
    <col min="8209" max="8209" width="17.85546875" customWidth="1"/>
    <col min="8210" max="8210" width="27.5703125" bestFit="1" customWidth="1"/>
    <col min="8211" max="8211" width="37.28515625" customWidth="1"/>
    <col min="8212" max="8212" width="48.42578125" customWidth="1"/>
    <col min="8213" max="8213" width="32" customWidth="1"/>
    <col min="8214" max="8214" width="32.7109375" customWidth="1"/>
    <col min="8215" max="8215" width="18.5703125" customWidth="1"/>
    <col min="8216" max="8216" width="16.7109375" customWidth="1"/>
    <col min="8217" max="8217" width="10.42578125" customWidth="1"/>
    <col min="8218" max="8218" width="10.5703125" customWidth="1"/>
    <col min="8219" max="8219" width="9.28515625" customWidth="1"/>
    <col min="8220" max="8220" width="10.140625" customWidth="1"/>
    <col min="8221" max="8221" width="8.42578125" customWidth="1"/>
    <col min="8222" max="8222" width="9.5703125" customWidth="1"/>
    <col min="8223" max="8223" width="9.28515625" customWidth="1"/>
    <col min="8224" max="8224" width="8.85546875" customWidth="1"/>
    <col min="8225" max="8227" width="8" customWidth="1"/>
    <col min="8228" max="8228" width="8.7109375" customWidth="1"/>
    <col min="8229" max="8229" width="8.140625" customWidth="1"/>
    <col min="8230" max="8230" width="10.5703125" customWidth="1"/>
    <col min="8231" max="8231" width="9.85546875" customWidth="1"/>
    <col min="8232" max="8232" width="13.140625" customWidth="1"/>
    <col min="8233" max="8233" width="25.42578125" customWidth="1"/>
    <col min="8234" max="8234" width="30.85546875" customWidth="1"/>
    <col min="8235" max="8235" width="27.42578125" customWidth="1"/>
    <col min="8449" max="8449" width="13" bestFit="1" customWidth="1"/>
    <col min="8450" max="8450" width="6.85546875" customWidth="1"/>
    <col min="8451" max="8451" width="14.28515625" customWidth="1"/>
    <col min="8452" max="8452" width="14" customWidth="1"/>
    <col min="8453" max="8453" width="17.85546875" customWidth="1"/>
    <col min="8454" max="8454" width="3.5703125" customWidth="1"/>
    <col min="8455" max="8455" width="13.28515625" customWidth="1"/>
    <col min="8456" max="8456" width="5.85546875" customWidth="1"/>
    <col min="8457" max="8457" width="23.28515625" customWidth="1"/>
    <col min="8458" max="8458" width="17.140625" customWidth="1"/>
    <col min="8459" max="8459" width="50.5703125" customWidth="1"/>
    <col min="8460" max="8460" width="28.7109375" customWidth="1"/>
    <col min="8461" max="8461" width="25.140625" customWidth="1"/>
    <col min="8462" max="8462" width="36.7109375" customWidth="1"/>
    <col min="8463" max="8464" width="24.5703125" customWidth="1"/>
    <col min="8465" max="8465" width="17.85546875" customWidth="1"/>
    <col min="8466" max="8466" width="27.5703125" bestFit="1" customWidth="1"/>
    <col min="8467" max="8467" width="37.28515625" customWidth="1"/>
    <col min="8468" max="8468" width="48.42578125" customWidth="1"/>
    <col min="8469" max="8469" width="32" customWidth="1"/>
    <col min="8470" max="8470" width="32.7109375" customWidth="1"/>
    <col min="8471" max="8471" width="18.5703125" customWidth="1"/>
    <col min="8472" max="8472" width="16.7109375" customWidth="1"/>
    <col min="8473" max="8473" width="10.42578125" customWidth="1"/>
    <col min="8474" max="8474" width="10.5703125" customWidth="1"/>
    <col min="8475" max="8475" width="9.28515625" customWidth="1"/>
    <col min="8476" max="8476" width="10.140625" customWidth="1"/>
    <col min="8477" max="8477" width="8.42578125" customWidth="1"/>
    <col min="8478" max="8478" width="9.5703125" customWidth="1"/>
    <col min="8479" max="8479" width="9.28515625" customWidth="1"/>
    <col min="8480" max="8480" width="8.85546875" customWidth="1"/>
    <col min="8481" max="8483" width="8" customWidth="1"/>
    <col min="8484" max="8484" width="8.7109375" customWidth="1"/>
    <col min="8485" max="8485" width="8.140625" customWidth="1"/>
    <col min="8486" max="8486" width="10.5703125" customWidth="1"/>
    <col min="8487" max="8487" width="9.85546875" customWidth="1"/>
    <col min="8488" max="8488" width="13.140625" customWidth="1"/>
    <col min="8489" max="8489" width="25.42578125" customWidth="1"/>
    <col min="8490" max="8490" width="30.85546875" customWidth="1"/>
    <col min="8491" max="8491" width="27.42578125" customWidth="1"/>
    <col min="8705" max="8705" width="13" bestFit="1" customWidth="1"/>
    <col min="8706" max="8706" width="6.85546875" customWidth="1"/>
    <col min="8707" max="8707" width="14.28515625" customWidth="1"/>
    <col min="8708" max="8708" width="14" customWidth="1"/>
    <col min="8709" max="8709" width="17.85546875" customWidth="1"/>
    <col min="8710" max="8710" width="3.5703125" customWidth="1"/>
    <col min="8711" max="8711" width="13.28515625" customWidth="1"/>
    <col min="8712" max="8712" width="5.85546875" customWidth="1"/>
    <col min="8713" max="8713" width="23.28515625" customWidth="1"/>
    <col min="8714" max="8714" width="17.140625" customWidth="1"/>
    <col min="8715" max="8715" width="50.5703125" customWidth="1"/>
    <col min="8716" max="8716" width="28.7109375" customWidth="1"/>
    <col min="8717" max="8717" width="25.140625" customWidth="1"/>
    <col min="8718" max="8718" width="36.7109375" customWidth="1"/>
    <col min="8719" max="8720" width="24.5703125" customWidth="1"/>
    <col min="8721" max="8721" width="17.85546875" customWidth="1"/>
    <col min="8722" max="8722" width="27.5703125" bestFit="1" customWidth="1"/>
    <col min="8723" max="8723" width="37.28515625" customWidth="1"/>
    <col min="8724" max="8724" width="48.42578125" customWidth="1"/>
    <col min="8725" max="8725" width="32" customWidth="1"/>
    <col min="8726" max="8726" width="32.7109375" customWidth="1"/>
    <col min="8727" max="8727" width="18.5703125" customWidth="1"/>
    <col min="8728" max="8728" width="16.7109375" customWidth="1"/>
    <col min="8729" max="8729" width="10.42578125" customWidth="1"/>
    <col min="8730" max="8730" width="10.5703125" customWidth="1"/>
    <col min="8731" max="8731" width="9.28515625" customWidth="1"/>
    <col min="8732" max="8732" width="10.140625" customWidth="1"/>
    <col min="8733" max="8733" width="8.42578125" customWidth="1"/>
    <col min="8734" max="8734" width="9.5703125" customWidth="1"/>
    <col min="8735" max="8735" width="9.28515625" customWidth="1"/>
    <col min="8736" max="8736" width="8.85546875" customWidth="1"/>
    <col min="8737" max="8739" width="8" customWidth="1"/>
    <col min="8740" max="8740" width="8.7109375" customWidth="1"/>
    <col min="8741" max="8741" width="8.140625" customWidth="1"/>
    <col min="8742" max="8742" width="10.5703125" customWidth="1"/>
    <col min="8743" max="8743" width="9.85546875" customWidth="1"/>
    <col min="8744" max="8744" width="13.140625" customWidth="1"/>
    <col min="8745" max="8745" width="25.42578125" customWidth="1"/>
    <col min="8746" max="8746" width="30.85546875" customWidth="1"/>
    <col min="8747" max="8747" width="27.42578125" customWidth="1"/>
    <col min="8961" max="8961" width="13" bestFit="1" customWidth="1"/>
    <col min="8962" max="8962" width="6.85546875" customWidth="1"/>
    <col min="8963" max="8963" width="14.28515625" customWidth="1"/>
    <col min="8964" max="8964" width="14" customWidth="1"/>
    <col min="8965" max="8965" width="17.85546875" customWidth="1"/>
    <col min="8966" max="8966" width="3.5703125" customWidth="1"/>
    <col min="8967" max="8967" width="13.28515625" customWidth="1"/>
    <col min="8968" max="8968" width="5.85546875" customWidth="1"/>
    <col min="8969" max="8969" width="23.28515625" customWidth="1"/>
    <col min="8970" max="8970" width="17.140625" customWidth="1"/>
    <col min="8971" max="8971" width="50.5703125" customWidth="1"/>
    <col min="8972" max="8972" width="28.7109375" customWidth="1"/>
    <col min="8973" max="8973" width="25.140625" customWidth="1"/>
    <col min="8974" max="8974" width="36.7109375" customWidth="1"/>
    <col min="8975" max="8976" width="24.5703125" customWidth="1"/>
    <col min="8977" max="8977" width="17.85546875" customWidth="1"/>
    <col min="8978" max="8978" width="27.5703125" bestFit="1" customWidth="1"/>
    <col min="8979" max="8979" width="37.28515625" customWidth="1"/>
    <col min="8980" max="8980" width="48.42578125" customWidth="1"/>
    <col min="8981" max="8981" width="32" customWidth="1"/>
    <col min="8982" max="8982" width="32.7109375" customWidth="1"/>
    <col min="8983" max="8983" width="18.5703125" customWidth="1"/>
    <col min="8984" max="8984" width="16.7109375" customWidth="1"/>
    <col min="8985" max="8985" width="10.42578125" customWidth="1"/>
    <col min="8986" max="8986" width="10.5703125" customWidth="1"/>
    <col min="8987" max="8987" width="9.28515625" customWidth="1"/>
    <col min="8988" max="8988" width="10.140625" customWidth="1"/>
    <col min="8989" max="8989" width="8.42578125" customWidth="1"/>
    <col min="8990" max="8990" width="9.5703125" customWidth="1"/>
    <col min="8991" max="8991" width="9.28515625" customWidth="1"/>
    <col min="8992" max="8992" width="8.85546875" customWidth="1"/>
    <col min="8993" max="8995" width="8" customWidth="1"/>
    <col min="8996" max="8996" width="8.7109375" customWidth="1"/>
    <col min="8997" max="8997" width="8.140625" customWidth="1"/>
    <col min="8998" max="8998" width="10.5703125" customWidth="1"/>
    <col min="8999" max="8999" width="9.85546875" customWidth="1"/>
    <col min="9000" max="9000" width="13.140625" customWidth="1"/>
    <col min="9001" max="9001" width="25.42578125" customWidth="1"/>
    <col min="9002" max="9002" width="30.85546875" customWidth="1"/>
    <col min="9003" max="9003" width="27.42578125" customWidth="1"/>
    <col min="9217" max="9217" width="13" bestFit="1" customWidth="1"/>
    <col min="9218" max="9218" width="6.85546875" customWidth="1"/>
    <col min="9219" max="9219" width="14.28515625" customWidth="1"/>
    <col min="9220" max="9220" width="14" customWidth="1"/>
    <col min="9221" max="9221" width="17.85546875" customWidth="1"/>
    <col min="9222" max="9222" width="3.5703125" customWidth="1"/>
    <col min="9223" max="9223" width="13.28515625" customWidth="1"/>
    <col min="9224" max="9224" width="5.85546875" customWidth="1"/>
    <col min="9225" max="9225" width="23.28515625" customWidth="1"/>
    <col min="9226" max="9226" width="17.140625" customWidth="1"/>
    <col min="9227" max="9227" width="50.5703125" customWidth="1"/>
    <col min="9228" max="9228" width="28.7109375" customWidth="1"/>
    <col min="9229" max="9229" width="25.140625" customWidth="1"/>
    <col min="9230" max="9230" width="36.7109375" customWidth="1"/>
    <col min="9231" max="9232" width="24.5703125" customWidth="1"/>
    <col min="9233" max="9233" width="17.85546875" customWidth="1"/>
    <col min="9234" max="9234" width="27.5703125" bestFit="1" customWidth="1"/>
    <col min="9235" max="9235" width="37.28515625" customWidth="1"/>
    <col min="9236" max="9236" width="48.42578125" customWidth="1"/>
    <col min="9237" max="9237" width="32" customWidth="1"/>
    <col min="9238" max="9238" width="32.7109375" customWidth="1"/>
    <col min="9239" max="9239" width="18.5703125" customWidth="1"/>
    <col min="9240" max="9240" width="16.7109375" customWidth="1"/>
    <col min="9241" max="9241" width="10.42578125" customWidth="1"/>
    <col min="9242" max="9242" width="10.5703125" customWidth="1"/>
    <col min="9243" max="9243" width="9.28515625" customWidth="1"/>
    <col min="9244" max="9244" width="10.140625" customWidth="1"/>
    <col min="9245" max="9245" width="8.42578125" customWidth="1"/>
    <col min="9246" max="9246" width="9.5703125" customWidth="1"/>
    <col min="9247" max="9247" width="9.28515625" customWidth="1"/>
    <col min="9248" max="9248" width="8.85546875" customWidth="1"/>
    <col min="9249" max="9251" width="8" customWidth="1"/>
    <col min="9252" max="9252" width="8.7109375" customWidth="1"/>
    <col min="9253" max="9253" width="8.140625" customWidth="1"/>
    <col min="9254" max="9254" width="10.5703125" customWidth="1"/>
    <col min="9255" max="9255" width="9.85546875" customWidth="1"/>
    <col min="9256" max="9256" width="13.140625" customWidth="1"/>
    <col min="9257" max="9257" width="25.42578125" customWidth="1"/>
    <col min="9258" max="9258" width="30.85546875" customWidth="1"/>
    <col min="9259" max="9259" width="27.42578125" customWidth="1"/>
    <col min="9473" max="9473" width="13" bestFit="1" customWidth="1"/>
    <col min="9474" max="9474" width="6.85546875" customWidth="1"/>
    <col min="9475" max="9475" width="14.28515625" customWidth="1"/>
    <col min="9476" max="9476" width="14" customWidth="1"/>
    <col min="9477" max="9477" width="17.85546875" customWidth="1"/>
    <col min="9478" max="9478" width="3.5703125" customWidth="1"/>
    <col min="9479" max="9479" width="13.28515625" customWidth="1"/>
    <col min="9480" max="9480" width="5.85546875" customWidth="1"/>
    <col min="9481" max="9481" width="23.28515625" customWidth="1"/>
    <col min="9482" max="9482" width="17.140625" customWidth="1"/>
    <col min="9483" max="9483" width="50.5703125" customWidth="1"/>
    <col min="9484" max="9484" width="28.7109375" customWidth="1"/>
    <col min="9485" max="9485" width="25.140625" customWidth="1"/>
    <col min="9486" max="9486" width="36.7109375" customWidth="1"/>
    <col min="9487" max="9488" width="24.5703125" customWidth="1"/>
    <col min="9489" max="9489" width="17.85546875" customWidth="1"/>
    <col min="9490" max="9490" width="27.5703125" bestFit="1" customWidth="1"/>
    <col min="9491" max="9491" width="37.28515625" customWidth="1"/>
    <col min="9492" max="9492" width="48.42578125" customWidth="1"/>
    <col min="9493" max="9493" width="32" customWidth="1"/>
    <col min="9494" max="9494" width="32.7109375" customWidth="1"/>
    <col min="9495" max="9495" width="18.5703125" customWidth="1"/>
    <col min="9496" max="9496" width="16.7109375" customWidth="1"/>
    <col min="9497" max="9497" width="10.42578125" customWidth="1"/>
    <col min="9498" max="9498" width="10.5703125" customWidth="1"/>
    <col min="9499" max="9499" width="9.28515625" customWidth="1"/>
    <col min="9500" max="9500" width="10.140625" customWidth="1"/>
    <col min="9501" max="9501" width="8.42578125" customWidth="1"/>
    <col min="9502" max="9502" width="9.5703125" customWidth="1"/>
    <col min="9503" max="9503" width="9.28515625" customWidth="1"/>
    <col min="9504" max="9504" width="8.85546875" customWidth="1"/>
    <col min="9505" max="9507" width="8" customWidth="1"/>
    <col min="9508" max="9508" width="8.7109375" customWidth="1"/>
    <col min="9509" max="9509" width="8.140625" customWidth="1"/>
    <col min="9510" max="9510" width="10.5703125" customWidth="1"/>
    <col min="9511" max="9511" width="9.85546875" customWidth="1"/>
    <col min="9512" max="9512" width="13.140625" customWidth="1"/>
    <col min="9513" max="9513" width="25.42578125" customWidth="1"/>
    <col min="9514" max="9514" width="30.85546875" customWidth="1"/>
    <col min="9515" max="9515" width="27.42578125" customWidth="1"/>
    <col min="9729" max="9729" width="13" bestFit="1" customWidth="1"/>
    <col min="9730" max="9730" width="6.85546875" customWidth="1"/>
    <col min="9731" max="9731" width="14.28515625" customWidth="1"/>
    <col min="9732" max="9732" width="14" customWidth="1"/>
    <col min="9733" max="9733" width="17.85546875" customWidth="1"/>
    <col min="9734" max="9734" width="3.5703125" customWidth="1"/>
    <col min="9735" max="9735" width="13.28515625" customWidth="1"/>
    <col min="9736" max="9736" width="5.85546875" customWidth="1"/>
    <col min="9737" max="9737" width="23.28515625" customWidth="1"/>
    <col min="9738" max="9738" width="17.140625" customWidth="1"/>
    <col min="9739" max="9739" width="50.5703125" customWidth="1"/>
    <col min="9740" max="9740" width="28.7109375" customWidth="1"/>
    <col min="9741" max="9741" width="25.140625" customWidth="1"/>
    <col min="9742" max="9742" width="36.7109375" customWidth="1"/>
    <col min="9743" max="9744" width="24.5703125" customWidth="1"/>
    <col min="9745" max="9745" width="17.85546875" customWidth="1"/>
    <col min="9746" max="9746" width="27.5703125" bestFit="1" customWidth="1"/>
    <col min="9747" max="9747" width="37.28515625" customWidth="1"/>
    <col min="9748" max="9748" width="48.42578125" customWidth="1"/>
    <col min="9749" max="9749" width="32" customWidth="1"/>
    <col min="9750" max="9750" width="32.7109375" customWidth="1"/>
    <col min="9751" max="9751" width="18.5703125" customWidth="1"/>
    <col min="9752" max="9752" width="16.7109375" customWidth="1"/>
    <col min="9753" max="9753" width="10.42578125" customWidth="1"/>
    <col min="9754" max="9754" width="10.5703125" customWidth="1"/>
    <col min="9755" max="9755" width="9.28515625" customWidth="1"/>
    <col min="9756" max="9756" width="10.140625" customWidth="1"/>
    <col min="9757" max="9757" width="8.42578125" customWidth="1"/>
    <col min="9758" max="9758" width="9.5703125" customWidth="1"/>
    <col min="9759" max="9759" width="9.28515625" customWidth="1"/>
    <col min="9760" max="9760" width="8.85546875" customWidth="1"/>
    <col min="9761" max="9763" width="8" customWidth="1"/>
    <col min="9764" max="9764" width="8.7109375" customWidth="1"/>
    <col min="9765" max="9765" width="8.140625" customWidth="1"/>
    <col min="9766" max="9766" width="10.5703125" customWidth="1"/>
    <col min="9767" max="9767" width="9.85546875" customWidth="1"/>
    <col min="9768" max="9768" width="13.140625" customWidth="1"/>
    <col min="9769" max="9769" width="25.42578125" customWidth="1"/>
    <col min="9770" max="9770" width="30.85546875" customWidth="1"/>
    <col min="9771" max="9771" width="27.42578125" customWidth="1"/>
    <col min="9985" max="9985" width="13" bestFit="1" customWidth="1"/>
    <col min="9986" max="9986" width="6.85546875" customWidth="1"/>
    <col min="9987" max="9987" width="14.28515625" customWidth="1"/>
    <col min="9988" max="9988" width="14" customWidth="1"/>
    <col min="9989" max="9989" width="17.85546875" customWidth="1"/>
    <col min="9990" max="9990" width="3.5703125" customWidth="1"/>
    <col min="9991" max="9991" width="13.28515625" customWidth="1"/>
    <col min="9992" max="9992" width="5.85546875" customWidth="1"/>
    <col min="9993" max="9993" width="23.28515625" customWidth="1"/>
    <col min="9994" max="9994" width="17.140625" customWidth="1"/>
    <col min="9995" max="9995" width="50.5703125" customWidth="1"/>
    <col min="9996" max="9996" width="28.7109375" customWidth="1"/>
    <col min="9997" max="9997" width="25.140625" customWidth="1"/>
    <col min="9998" max="9998" width="36.7109375" customWidth="1"/>
    <col min="9999" max="10000" width="24.5703125" customWidth="1"/>
    <col min="10001" max="10001" width="17.85546875" customWidth="1"/>
    <col min="10002" max="10002" width="27.5703125" bestFit="1" customWidth="1"/>
    <col min="10003" max="10003" width="37.28515625" customWidth="1"/>
    <col min="10004" max="10004" width="48.42578125" customWidth="1"/>
    <col min="10005" max="10005" width="32" customWidth="1"/>
    <col min="10006" max="10006" width="32.7109375" customWidth="1"/>
    <col min="10007" max="10007" width="18.5703125" customWidth="1"/>
    <col min="10008" max="10008" width="16.7109375" customWidth="1"/>
    <col min="10009" max="10009" width="10.42578125" customWidth="1"/>
    <col min="10010" max="10010" width="10.5703125" customWidth="1"/>
    <col min="10011" max="10011" width="9.28515625" customWidth="1"/>
    <col min="10012" max="10012" width="10.140625" customWidth="1"/>
    <col min="10013" max="10013" width="8.42578125" customWidth="1"/>
    <col min="10014" max="10014" width="9.5703125" customWidth="1"/>
    <col min="10015" max="10015" width="9.28515625" customWidth="1"/>
    <col min="10016" max="10016" width="8.85546875" customWidth="1"/>
    <col min="10017" max="10019" width="8" customWidth="1"/>
    <col min="10020" max="10020" width="8.7109375" customWidth="1"/>
    <col min="10021" max="10021" width="8.140625" customWidth="1"/>
    <col min="10022" max="10022" width="10.5703125" customWidth="1"/>
    <col min="10023" max="10023" width="9.85546875" customWidth="1"/>
    <col min="10024" max="10024" width="13.140625" customWidth="1"/>
    <col min="10025" max="10025" width="25.42578125" customWidth="1"/>
    <col min="10026" max="10026" width="30.85546875" customWidth="1"/>
    <col min="10027" max="10027" width="27.42578125" customWidth="1"/>
    <col min="10241" max="10241" width="13" bestFit="1" customWidth="1"/>
    <col min="10242" max="10242" width="6.85546875" customWidth="1"/>
    <col min="10243" max="10243" width="14.28515625" customWidth="1"/>
    <col min="10244" max="10244" width="14" customWidth="1"/>
    <col min="10245" max="10245" width="17.85546875" customWidth="1"/>
    <col min="10246" max="10246" width="3.5703125" customWidth="1"/>
    <col min="10247" max="10247" width="13.28515625" customWidth="1"/>
    <col min="10248" max="10248" width="5.85546875" customWidth="1"/>
    <col min="10249" max="10249" width="23.28515625" customWidth="1"/>
    <col min="10250" max="10250" width="17.140625" customWidth="1"/>
    <col min="10251" max="10251" width="50.5703125" customWidth="1"/>
    <col min="10252" max="10252" width="28.7109375" customWidth="1"/>
    <col min="10253" max="10253" width="25.140625" customWidth="1"/>
    <col min="10254" max="10254" width="36.7109375" customWidth="1"/>
    <col min="10255" max="10256" width="24.5703125" customWidth="1"/>
    <col min="10257" max="10257" width="17.85546875" customWidth="1"/>
    <col min="10258" max="10258" width="27.5703125" bestFit="1" customWidth="1"/>
    <col min="10259" max="10259" width="37.28515625" customWidth="1"/>
    <col min="10260" max="10260" width="48.42578125" customWidth="1"/>
    <col min="10261" max="10261" width="32" customWidth="1"/>
    <col min="10262" max="10262" width="32.7109375" customWidth="1"/>
    <col min="10263" max="10263" width="18.5703125" customWidth="1"/>
    <col min="10264" max="10264" width="16.7109375" customWidth="1"/>
    <col min="10265" max="10265" width="10.42578125" customWidth="1"/>
    <col min="10266" max="10266" width="10.5703125" customWidth="1"/>
    <col min="10267" max="10267" width="9.28515625" customWidth="1"/>
    <col min="10268" max="10268" width="10.140625" customWidth="1"/>
    <col min="10269" max="10269" width="8.42578125" customWidth="1"/>
    <col min="10270" max="10270" width="9.5703125" customWidth="1"/>
    <col min="10271" max="10271" width="9.28515625" customWidth="1"/>
    <col min="10272" max="10272" width="8.85546875" customWidth="1"/>
    <col min="10273" max="10275" width="8" customWidth="1"/>
    <col min="10276" max="10276" width="8.7109375" customWidth="1"/>
    <col min="10277" max="10277" width="8.140625" customWidth="1"/>
    <col min="10278" max="10278" width="10.5703125" customWidth="1"/>
    <col min="10279" max="10279" width="9.85546875" customWidth="1"/>
    <col min="10280" max="10280" width="13.140625" customWidth="1"/>
    <col min="10281" max="10281" width="25.42578125" customWidth="1"/>
    <col min="10282" max="10282" width="30.85546875" customWidth="1"/>
    <col min="10283" max="10283" width="27.42578125" customWidth="1"/>
    <col min="10497" max="10497" width="13" bestFit="1" customWidth="1"/>
    <col min="10498" max="10498" width="6.85546875" customWidth="1"/>
    <col min="10499" max="10499" width="14.28515625" customWidth="1"/>
    <col min="10500" max="10500" width="14" customWidth="1"/>
    <col min="10501" max="10501" width="17.85546875" customWidth="1"/>
    <col min="10502" max="10502" width="3.5703125" customWidth="1"/>
    <col min="10503" max="10503" width="13.28515625" customWidth="1"/>
    <col min="10504" max="10504" width="5.85546875" customWidth="1"/>
    <col min="10505" max="10505" width="23.28515625" customWidth="1"/>
    <col min="10506" max="10506" width="17.140625" customWidth="1"/>
    <col min="10507" max="10507" width="50.5703125" customWidth="1"/>
    <col min="10508" max="10508" width="28.7109375" customWidth="1"/>
    <col min="10509" max="10509" width="25.140625" customWidth="1"/>
    <col min="10510" max="10510" width="36.7109375" customWidth="1"/>
    <col min="10511" max="10512" width="24.5703125" customWidth="1"/>
    <col min="10513" max="10513" width="17.85546875" customWidth="1"/>
    <col min="10514" max="10514" width="27.5703125" bestFit="1" customWidth="1"/>
    <col min="10515" max="10515" width="37.28515625" customWidth="1"/>
    <col min="10516" max="10516" width="48.42578125" customWidth="1"/>
    <col min="10517" max="10517" width="32" customWidth="1"/>
    <col min="10518" max="10518" width="32.7109375" customWidth="1"/>
    <col min="10519" max="10519" width="18.5703125" customWidth="1"/>
    <col min="10520" max="10520" width="16.7109375" customWidth="1"/>
    <col min="10521" max="10521" width="10.42578125" customWidth="1"/>
    <col min="10522" max="10522" width="10.5703125" customWidth="1"/>
    <col min="10523" max="10523" width="9.28515625" customWidth="1"/>
    <col min="10524" max="10524" width="10.140625" customWidth="1"/>
    <col min="10525" max="10525" width="8.42578125" customWidth="1"/>
    <col min="10526" max="10526" width="9.5703125" customWidth="1"/>
    <col min="10527" max="10527" width="9.28515625" customWidth="1"/>
    <col min="10528" max="10528" width="8.85546875" customWidth="1"/>
    <col min="10529" max="10531" width="8" customWidth="1"/>
    <col min="10532" max="10532" width="8.7109375" customWidth="1"/>
    <col min="10533" max="10533" width="8.140625" customWidth="1"/>
    <col min="10534" max="10534" width="10.5703125" customWidth="1"/>
    <col min="10535" max="10535" width="9.85546875" customWidth="1"/>
    <col min="10536" max="10536" width="13.140625" customWidth="1"/>
    <col min="10537" max="10537" width="25.42578125" customWidth="1"/>
    <col min="10538" max="10538" width="30.85546875" customWidth="1"/>
    <col min="10539" max="10539" width="27.42578125" customWidth="1"/>
    <col min="10753" max="10753" width="13" bestFit="1" customWidth="1"/>
    <col min="10754" max="10754" width="6.85546875" customWidth="1"/>
    <col min="10755" max="10755" width="14.28515625" customWidth="1"/>
    <col min="10756" max="10756" width="14" customWidth="1"/>
    <col min="10757" max="10757" width="17.85546875" customWidth="1"/>
    <col min="10758" max="10758" width="3.5703125" customWidth="1"/>
    <col min="10759" max="10759" width="13.28515625" customWidth="1"/>
    <col min="10760" max="10760" width="5.85546875" customWidth="1"/>
    <col min="10761" max="10761" width="23.28515625" customWidth="1"/>
    <col min="10762" max="10762" width="17.140625" customWidth="1"/>
    <col min="10763" max="10763" width="50.5703125" customWidth="1"/>
    <col min="10764" max="10764" width="28.7109375" customWidth="1"/>
    <col min="10765" max="10765" width="25.140625" customWidth="1"/>
    <col min="10766" max="10766" width="36.7109375" customWidth="1"/>
    <col min="10767" max="10768" width="24.5703125" customWidth="1"/>
    <col min="10769" max="10769" width="17.85546875" customWidth="1"/>
    <col min="10770" max="10770" width="27.5703125" bestFit="1" customWidth="1"/>
    <col min="10771" max="10771" width="37.28515625" customWidth="1"/>
    <col min="10772" max="10772" width="48.42578125" customWidth="1"/>
    <col min="10773" max="10773" width="32" customWidth="1"/>
    <col min="10774" max="10774" width="32.7109375" customWidth="1"/>
    <col min="10775" max="10775" width="18.5703125" customWidth="1"/>
    <col min="10776" max="10776" width="16.7109375" customWidth="1"/>
    <col min="10777" max="10777" width="10.42578125" customWidth="1"/>
    <col min="10778" max="10778" width="10.5703125" customWidth="1"/>
    <col min="10779" max="10779" width="9.28515625" customWidth="1"/>
    <col min="10780" max="10780" width="10.140625" customWidth="1"/>
    <col min="10781" max="10781" width="8.42578125" customWidth="1"/>
    <col min="10782" max="10782" width="9.5703125" customWidth="1"/>
    <col min="10783" max="10783" width="9.28515625" customWidth="1"/>
    <col min="10784" max="10784" width="8.85546875" customWidth="1"/>
    <col min="10785" max="10787" width="8" customWidth="1"/>
    <col min="10788" max="10788" width="8.7109375" customWidth="1"/>
    <col min="10789" max="10789" width="8.140625" customWidth="1"/>
    <col min="10790" max="10790" width="10.5703125" customWidth="1"/>
    <col min="10791" max="10791" width="9.85546875" customWidth="1"/>
    <col min="10792" max="10792" width="13.140625" customWidth="1"/>
    <col min="10793" max="10793" width="25.42578125" customWidth="1"/>
    <col min="10794" max="10794" width="30.85546875" customWidth="1"/>
    <col min="10795" max="10795" width="27.42578125" customWidth="1"/>
    <col min="11009" max="11009" width="13" bestFit="1" customWidth="1"/>
    <col min="11010" max="11010" width="6.85546875" customWidth="1"/>
    <col min="11011" max="11011" width="14.28515625" customWidth="1"/>
    <col min="11012" max="11012" width="14" customWidth="1"/>
    <col min="11013" max="11013" width="17.85546875" customWidth="1"/>
    <col min="11014" max="11014" width="3.5703125" customWidth="1"/>
    <col min="11015" max="11015" width="13.28515625" customWidth="1"/>
    <col min="11016" max="11016" width="5.85546875" customWidth="1"/>
    <col min="11017" max="11017" width="23.28515625" customWidth="1"/>
    <col min="11018" max="11018" width="17.140625" customWidth="1"/>
    <col min="11019" max="11019" width="50.5703125" customWidth="1"/>
    <col min="11020" max="11020" width="28.7109375" customWidth="1"/>
    <col min="11021" max="11021" width="25.140625" customWidth="1"/>
    <col min="11022" max="11022" width="36.7109375" customWidth="1"/>
    <col min="11023" max="11024" width="24.5703125" customWidth="1"/>
    <col min="11025" max="11025" width="17.85546875" customWidth="1"/>
    <col min="11026" max="11026" width="27.5703125" bestFit="1" customWidth="1"/>
    <col min="11027" max="11027" width="37.28515625" customWidth="1"/>
    <col min="11028" max="11028" width="48.42578125" customWidth="1"/>
    <col min="11029" max="11029" width="32" customWidth="1"/>
    <col min="11030" max="11030" width="32.7109375" customWidth="1"/>
    <col min="11031" max="11031" width="18.5703125" customWidth="1"/>
    <col min="11032" max="11032" width="16.7109375" customWidth="1"/>
    <col min="11033" max="11033" width="10.42578125" customWidth="1"/>
    <col min="11034" max="11034" width="10.5703125" customWidth="1"/>
    <col min="11035" max="11035" width="9.28515625" customWidth="1"/>
    <col min="11036" max="11036" width="10.140625" customWidth="1"/>
    <col min="11037" max="11037" width="8.42578125" customWidth="1"/>
    <col min="11038" max="11038" width="9.5703125" customWidth="1"/>
    <col min="11039" max="11039" width="9.28515625" customWidth="1"/>
    <col min="11040" max="11040" width="8.85546875" customWidth="1"/>
    <col min="11041" max="11043" width="8" customWidth="1"/>
    <col min="11044" max="11044" width="8.7109375" customWidth="1"/>
    <col min="11045" max="11045" width="8.140625" customWidth="1"/>
    <col min="11046" max="11046" width="10.5703125" customWidth="1"/>
    <col min="11047" max="11047" width="9.85546875" customWidth="1"/>
    <col min="11048" max="11048" width="13.140625" customWidth="1"/>
    <col min="11049" max="11049" width="25.42578125" customWidth="1"/>
    <col min="11050" max="11050" width="30.85546875" customWidth="1"/>
    <col min="11051" max="11051" width="27.42578125" customWidth="1"/>
    <col min="11265" max="11265" width="13" bestFit="1" customWidth="1"/>
    <col min="11266" max="11266" width="6.85546875" customWidth="1"/>
    <col min="11267" max="11267" width="14.28515625" customWidth="1"/>
    <col min="11268" max="11268" width="14" customWidth="1"/>
    <col min="11269" max="11269" width="17.85546875" customWidth="1"/>
    <col min="11270" max="11270" width="3.5703125" customWidth="1"/>
    <col min="11271" max="11271" width="13.28515625" customWidth="1"/>
    <col min="11272" max="11272" width="5.85546875" customWidth="1"/>
    <col min="11273" max="11273" width="23.28515625" customWidth="1"/>
    <col min="11274" max="11274" width="17.140625" customWidth="1"/>
    <col min="11275" max="11275" width="50.5703125" customWidth="1"/>
    <col min="11276" max="11276" width="28.7109375" customWidth="1"/>
    <col min="11277" max="11277" width="25.140625" customWidth="1"/>
    <col min="11278" max="11278" width="36.7109375" customWidth="1"/>
    <col min="11279" max="11280" width="24.5703125" customWidth="1"/>
    <col min="11281" max="11281" width="17.85546875" customWidth="1"/>
    <col min="11282" max="11282" width="27.5703125" bestFit="1" customWidth="1"/>
    <col min="11283" max="11283" width="37.28515625" customWidth="1"/>
    <col min="11284" max="11284" width="48.42578125" customWidth="1"/>
    <col min="11285" max="11285" width="32" customWidth="1"/>
    <col min="11286" max="11286" width="32.7109375" customWidth="1"/>
    <col min="11287" max="11287" width="18.5703125" customWidth="1"/>
    <col min="11288" max="11288" width="16.7109375" customWidth="1"/>
    <col min="11289" max="11289" width="10.42578125" customWidth="1"/>
    <col min="11290" max="11290" width="10.5703125" customWidth="1"/>
    <col min="11291" max="11291" width="9.28515625" customWidth="1"/>
    <col min="11292" max="11292" width="10.140625" customWidth="1"/>
    <col min="11293" max="11293" width="8.42578125" customWidth="1"/>
    <col min="11294" max="11294" width="9.5703125" customWidth="1"/>
    <col min="11295" max="11295" width="9.28515625" customWidth="1"/>
    <col min="11296" max="11296" width="8.85546875" customWidth="1"/>
    <col min="11297" max="11299" width="8" customWidth="1"/>
    <col min="11300" max="11300" width="8.7109375" customWidth="1"/>
    <col min="11301" max="11301" width="8.140625" customWidth="1"/>
    <col min="11302" max="11302" width="10.5703125" customWidth="1"/>
    <col min="11303" max="11303" width="9.85546875" customWidth="1"/>
    <col min="11304" max="11304" width="13.140625" customWidth="1"/>
    <col min="11305" max="11305" width="25.42578125" customWidth="1"/>
    <col min="11306" max="11306" width="30.85546875" customWidth="1"/>
    <col min="11307" max="11307" width="27.42578125" customWidth="1"/>
    <col min="11521" max="11521" width="13" bestFit="1" customWidth="1"/>
    <col min="11522" max="11522" width="6.85546875" customWidth="1"/>
    <col min="11523" max="11523" width="14.28515625" customWidth="1"/>
    <col min="11524" max="11524" width="14" customWidth="1"/>
    <col min="11525" max="11525" width="17.85546875" customWidth="1"/>
    <col min="11526" max="11526" width="3.5703125" customWidth="1"/>
    <col min="11527" max="11527" width="13.28515625" customWidth="1"/>
    <col min="11528" max="11528" width="5.85546875" customWidth="1"/>
    <col min="11529" max="11529" width="23.28515625" customWidth="1"/>
    <col min="11530" max="11530" width="17.140625" customWidth="1"/>
    <col min="11531" max="11531" width="50.5703125" customWidth="1"/>
    <col min="11532" max="11532" width="28.7109375" customWidth="1"/>
    <col min="11533" max="11533" width="25.140625" customWidth="1"/>
    <col min="11534" max="11534" width="36.7109375" customWidth="1"/>
    <col min="11535" max="11536" width="24.5703125" customWidth="1"/>
    <col min="11537" max="11537" width="17.85546875" customWidth="1"/>
    <col min="11538" max="11538" width="27.5703125" bestFit="1" customWidth="1"/>
    <col min="11539" max="11539" width="37.28515625" customWidth="1"/>
    <col min="11540" max="11540" width="48.42578125" customWidth="1"/>
    <col min="11541" max="11541" width="32" customWidth="1"/>
    <col min="11542" max="11542" width="32.7109375" customWidth="1"/>
    <col min="11543" max="11543" width="18.5703125" customWidth="1"/>
    <col min="11544" max="11544" width="16.7109375" customWidth="1"/>
    <col min="11545" max="11545" width="10.42578125" customWidth="1"/>
    <col min="11546" max="11546" width="10.5703125" customWidth="1"/>
    <col min="11547" max="11547" width="9.28515625" customWidth="1"/>
    <col min="11548" max="11548" width="10.140625" customWidth="1"/>
    <col min="11549" max="11549" width="8.42578125" customWidth="1"/>
    <col min="11550" max="11550" width="9.5703125" customWidth="1"/>
    <col min="11551" max="11551" width="9.28515625" customWidth="1"/>
    <col min="11552" max="11552" width="8.85546875" customWidth="1"/>
    <col min="11553" max="11555" width="8" customWidth="1"/>
    <col min="11556" max="11556" width="8.7109375" customWidth="1"/>
    <col min="11557" max="11557" width="8.140625" customWidth="1"/>
    <col min="11558" max="11558" width="10.5703125" customWidth="1"/>
    <col min="11559" max="11559" width="9.85546875" customWidth="1"/>
    <col min="11560" max="11560" width="13.140625" customWidth="1"/>
    <col min="11561" max="11561" width="25.42578125" customWidth="1"/>
    <col min="11562" max="11562" width="30.85546875" customWidth="1"/>
    <col min="11563" max="11563" width="27.42578125" customWidth="1"/>
    <col min="11777" max="11777" width="13" bestFit="1" customWidth="1"/>
    <col min="11778" max="11778" width="6.85546875" customWidth="1"/>
    <col min="11779" max="11779" width="14.28515625" customWidth="1"/>
    <col min="11780" max="11780" width="14" customWidth="1"/>
    <col min="11781" max="11781" width="17.85546875" customWidth="1"/>
    <col min="11782" max="11782" width="3.5703125" customWidth="1"/>
    <col min="11783" max="11783" width="13.28515625" customWidth="1"/>
    <col min="11784" max="11784" width="5.85546875" customWidth="1"/>
    <col min="11785" max="11785" width="23.28515625" customWidth="1"/>
    <col min="11786" max="11786" width="17.140625" customWidth="1"/>
    <col min="11787" max="11787" width="50.5703125" customWidth="1"/>
    <col min="11788" max="11788" width="28.7109375" customWidth="1"/>
    <col min="11789" max="11789" width="25.140625" customWidth="1"/>
    <col min="11790" max="11790" width="36.7109375" customWidth="1"/>
    <col min="11791" max="11792" width="24.5703125" customWidth="1"/>
    <col min="11793" max="11793" width="17.85546875" customWidth="1"/>
    <col min="11794" max="11794" width="27.5703125" bestFit="1" customWidth="1"/>
    <col min="11795" max="11795" width="37.28515625" customWidth="1"/>
    <col min="11796" max="11796" width="48.42578125" customWidth="1"/>
    <col min="11797" max="11797" width="32" customWidth="1"/>
    <col min="11798" max="11798" width="32.7109375" customWidth="1"/>
    <col min="11799" max="11799" width="18.5703125" customWidth="1"/>
    <col min="11800" max="11800" width="16.7109375" customWidth="1"/>
    <col min="11801" max="11801" width="10.42578125" customWidth="1"/>
    <col min="11802" max="11802" width="10.5703125" customWidth="1"/>
    <col min="11803" max="11803" width="9.28515625" customWidth="1"/>
    <col min="11804" max="11804" width="10.140625" customWidth="1"/>
    <col min="11805" max="11805" width="8.42578125" customWidth="1"/>
    <col min="11806" max="11806" width="9.5703125" customWidth="1"/>
    <col min="11807" max="11807" width="9.28515625" customWidth="1"/>
    <col min="11808" max="11808" width="8.85546875" customWidth="1"/>
    <col min="11809" max="11811" width="8" customWidth="1"/>
    <col min="11812" max="11812" width="8.7109375" customWidth="1"/>
    <col min="11813" max="11813" width="8.140625" customWidth="1"/>
    <col min="11814" max="11814" width="10.5703125" customWidth="1"/>
    <col min="11815" max="11815" width="9.85546875" customWidth="1"/>
    <col min="11816" max="11816" width="13.140625" customWidth="1"/>
    <col min="11817" max="11817" width="25.42578125" customWidth="1"/>
    <col min="11818" max="11818" width="30.85546875" customWidth="1"/>
    <col min="11819" max="11819" width="27.42578125" customWidth="1"/>
    <col min="12033" max="12033" width="13" bestFit="1" customWidth="1"/>
    <col min="12034" max="12034" width="6.85546875" customWidth="1"/>
    <col min="12035" max="12035" width="14.28515625" customWidth="1"/>
    <col min="12036" max="12036" width="14" customWidth="1"/>
    <col min="12037" max="12037" width="17.85546875" customWidth="1"/>
    <col min="12038" max="12038" width="3.5703125" customWidth="1"/>
    <col min="12039" max="12039" width="13.28515625" customWidth="1"/>
    <col min="12040" max="12040" width="5.85546875" customWidth="1"/>
    <col min="12041" max="12041" width="23.28515625" customWidth="1"/>
    <col min="12042" max="12042" width="17.140625" customWidth="1"/>
    <col min="12043" max="12043" width="50.5703125" customWidth="1"/>
    <col min="12044" max="12044" width="28.7109375" customWidth="1"/>
    <col min="12045" max="12045" width="25.140625" customWidth="1"/>
    <col min="12046" max="12046" width="36.7109375" customWidth="1"/>
    <col min="12047" max="12048" width="24.5703125" customWidth="1"/>
    <col min="12049" max="12049" width="17.85546875" customWidth="1"/>
    <col min="12050" max="12050" width="27.5703125" bestFit="1" customWidth="1"/>
    <col min="12051" max="12051" width="37.28515625" customWidth="1"/>
    <col min="12052" max="12052" width="48.42578125" customWidth="1"/>
    <col min="12053" max="12053" width="32" customWidth="1"/>
    <col min="12054" max="12054" width="32.7109375" customWidth="1"/>
    <col min="12055" max="12055" width="18.5703125" customWidth="1"/>
    <col min="12056" max="12056" width="16.7109375" customWidth="1"/>
    <col min="12057" max="12057" width="10.42578125" customWidth="1"/>
    <col min="12058" max="12058" width="10.5703125" customWidth="1"/>
    <col min="12059" max="12059" width="9.28515625" customWidth="1"/>
    <col min="12060" max="12060" width="10.140625" customWidth="1"/>
    <col min="12061" max="12061" width="8.42578125" customWidth="1"/>
    <col min="12062" max="12062" width="9.5703125" customWidth="1"/>
    <col min="12063" max="12063" width="9.28515625" customWidth="1"/>
    <col min="12064" max="12064" width="8.85546875" customWidth="1"/>
    <col min="12065" max="12067" width="8" customWidth="1"/>
    <col min="12068" max="12068" width="8.7109375" customWidth="1"/>
    <col min="12069" max="12069" width="8.140625" customWidth="1"/>
    <col min="12070" max="12070" width="10.5703125" customWidth="1"/>
    <col min="12071" max="12071" width="9.85546875" customWidth="1"/>
    <col min="12072" max="12072" width="13.140625" customWidth="1"/>
    <col min="12073" max="12073" width="25.42578125" customWidth="1"/>
    <col min="12074" max="12074" width="30.85546875" customWidth="1"/>
    <col min="12075" max="12075" width="27.42578125" customWidth="1"/>
    <col min="12289" max="12289" width="13" bestFit="1" customWidth="1"/>
    <col min="12290" max="12290" width="6.85546875" customWidth="1"/>
    <col min="12291" max="12291" width="14.28515625" customWidth="1"/>
    <col min="12292" max="12292" width="14" customWidth="1"/>
    <col min="12293" max="12293" width="17.85546875" customWidth="1"/>
    <col min="12294" max="12294" width="3.5703125" customWidth="1"/>
    <col min="12295" max="12295" width="13.28515625" customWidth="1"/>
    <col min="12296" max="12296" width="5.85546875" customWidth="1"/>
    <col min="12297" max="12297" width="23.28515625" customWidth="1"/>
    <col min="12298" max="12298" width="17.140625" customWidth="1"/>
    <col min="12299" max="12299" width="50.5703125" customWidth="1"/>
    <col min="12300" max="12300" width="28.7109375" customWidth="1"/>
    <col min="12301" max="12301" width="25.140625" customWidth="1"/>
    <col min="12302" max="12302" width="36.7109375" customWidth="1"/>
    <col min="12303" max="12304" width="24.5703125" customWidth="1"/>
    <col min="12305" max="12305" width="17.85546875" customWidth="1"/>
    <col min="12306" max="12306" width="27.5703125" bestFit="1" customWidth="1"/>
    <col min="12307" max="12307" width="37.28515625" customWidth="1"/>
    <col min="12308" max="12308" width="48.42578125" customWidth="1"/>
    <col min="12309" max="12309" width="32" customWidth="1"/>
    <col min="12310" max="12310" width="32.7109375" customWidth="1"/>
    <col min="12311" max="12311" width="18.5703125" customWidth="1"/>
    <col min="12312" max="12312" width="16.7109375" customWidth="1"/>
    <col min="12313" max="12313" width="10.42578125" customWidth="1"/>
    <col min="12314" max="12314" width="10.5703125" customWidth="1"/>
    <col min="12315" max="12315" width="9.28515625" customWidth="1"/>
    <col min="12316" max="12316" width="10.140625" customWidth="1"/>
    <col min="12317" max="12317" width="8.42578125" customWidth="1"/>
    <col min="12318" max="12318" width="9.5703125" customWidth="1"/>
    <col min="12319" max="12319" width="9.28515625" customWidth="1"/>
    <col min="12320" max="12320" width="8.85546875" customWidth="1"/>
    <col min="12321" max="12323" width="8" customWidth="1"/>
    <col min="12324" max="12324" width="8.7109375" customWidth="1"/>
    <col min="12325" max="12325" width="8.140625" customWidth="1"/>
    <col min="12326" max="12326" width="10.5703125" customWidth="1"/>
    <col min="12327" max="12327" width="9.85546875" customWidth="1"/>
    <col min="12328" max="12328" width="13.140625" customWidth="1"/>
    <col min="12329" max="12329" width="25.42578125" customWidth="1"/>
    <col min="12330" max="12330" width="30.85546875" customWidth="1"/>
    <col min="12331" max="12331" width="27.42578125" customWidth="1"/>
    <col min="12545" max="12545" width="13" bestFit="1" customWidth="1"/>
    <col min="12546" max="12546" width="6.85546875" customWidth="1"/>
    <col min="12547" max="12547" width="14.28515625" customWidth="1"/>
    <col min="12548" max="12548" width="14" customWidth="1"/>
    <col min="12549" max="12549" width="17.85546875" customWidth="1"/>
    <col min="12550" max="12550" width="3.5703125" customWidth="1"/>
    <col min="12551" max="12551" width="13.28515625" customWidth="1"/>
    <col min="12552" max="12552" width="5.85546875" customWidth="1"/>
    <col min="12553" max="12553" width="23.28515625" customWidth="1"/>
    <col min="12554" max="12554" width="17.140625" customWidth="1"/>
    <col min="12555" max="12555" width="50.5703125" customWidth="1"/>
    <col min="12556" max="12556" width="28.7109375" customWidth="1"/>
    <col min="12557" max="12557" width="25.140625" customWidth="1"/>
    <col min="12558" max="12558" width="36.7109375" customWidth="1"/>
    <col min="12559" max="12560" width="24.5703125" customWidth="1"/>
    <col min="12561" max="12561" width="17.85546875" customWidth="1"/>
    <col min="12562" max="12562" width="27.5703125" bestFit="1" customWidth="1"/>
    <col min="12563" max="12563" width="37.28515625" customWidth="1"/>
    <col min="12564" max="12564" width="48.42578125" customWidth="1"/>
    <col min="12565" max="12565" width="32" customWidth="1"/>
    <col min="12566" max="12566" width="32.7109375" customWidth="1"/>
    <col min="12567" max="12567" width="18.5703125" customWidth="1"/>
    <col min="12568" max="12568" width="16.7109375" customWidth="1"/>
    <col min="12569" max="12569" width="10.42578125" customWidth="1"/>
    <col min="12570" max="12570" width="10.5703125" customWidth="1"/>
    <col min="12571" max="12571" width="9.28515625" customWidth="1"/>
    <col min="12572" max="12572" width="10.140625" customWidth="1"/>
    <col min="12573" max="12573" width="8.42578125" customWidth="1"/>
    <col min="12574" max="12574" width="9.5703125" customWidth="1"/>
    <col min="12575" max="12575" width="9.28515625" customWidth="1"/>
    <col min="12576" max="12576" width="8.85546875" customWidth="1"/>
    <col min="12577" max="12579" width="8" customWidth="1"/>
    <col min="12580" max="12580" width="8.7109375" customWidth="1"/>
    <col min="12581" max="12581" width="8.140625" customWidth="1"/>
    <col min="12582" max="12582" width="10.5703125" customWidth="1"/>
    <col min="12583" max="12583" width="9.85546875" customWidth="1"/>
    <col min="12584" max="12584" width="13.140625" customWidth="1"/>
    <col min="12585" max="12585" width="25.42578125" customWidth="1"/>
    <col min="12586" max="12586" width="30.85546875" customWidth="1"/>
    <col min="12587" max="12587" width="27.42578125" customWidth="1"/>
    <col min="12801" max="12801" width="13" bestFit="1" customWidth="1"/>
    <col min="12802" max="12802" width="6.85546875" customWidth="1"/>
    <col min="12803" max="12803" width="14.28515625" customWidth="1"/>
    <col min="12804" max="12804" width="14" customWidth="1"/>
    <col min="12805" max="12805" width="17.85546875" customWidth="1"/>
    <col min="12806" max="12806" width="3.5703125" customWidth="1"/>
    <col min="12807" max="12807" width="13.28515625" customWidth="1"/>
    <col min="12808" max="12808" width="5.85546875" customWidth="1"/>
    <col min="12809" max="12809" width="23.28515625" customWidth="1"/>
    <col min="12810" max="12810" width="17.140625" customWidth="1"/>
    <col min="12811" max="12811" width="50.5703125" customWidth="1"/>
    <col min="12812" max="12812" width="28.7109375" customWidth="1"/>
    <col min="12813" max="12813" width="25.140625" customWidth="1"/>
    <col min="12814" max="12814" width="36.7109375" customWidth="1"/>
    <col min="12815" max="12816" width="24.5703125" customWidth="1"/>
    <col min="12817" max="12817" width="17.85546875" customWidth="1"/>
    <col min="12818" max="12818" width="27.5703125" bestFit="1" customWidth="1"/>
    <col min="12819" max="12819" width="37.28515625" customWidth="1"/>
    <col min="12820" max="12820" width="48.42578125" customWidth="1"/>
    <col min="12821" max="12821" width="32" customWidth="1"/>
    <col min="12822" max="12822" width="32.7109375" customWidth="1"/>
    <col min="12823" max="12823" width="18.5703125" customWidth="1"/>
    <col min="12824" max="12824" width="16.7109375" customWidth="1"/>
    <col min="12825" max="12825" width="10.42578125" customWidth="1"/>
    <col min="12826" max="12826" width="10.5703125" customWidth="1"/>
    <col min="12827" max="12827" width="9.28515625" customWidth="1"/>
    <col min="12828" max="12828" width="10.140625" customWidth="1"/>
    <col min="12829" max="12829" width="8.42578125" customWidth="1"/>
    <col min="12830" max="12830" width="9.5703125" customWidth="1"/>
    <col min="12831" max="12831" width="9.28515625" customWidth="1"/>
    <col min="12832" max="12832" width="8.85546875" customWidth="1"/>
    <col min="12833" max="12835" width="8" customWidth="1"/>
    <col min="12836" max="12836" width="8.7109375" customWidth="1"/>
    <col min="12837" max="12837" width="8.140625" customWidth="1"/>
    <col min="12838" max="12838" width="10.5703125" customWidth="1"/>
    <col min="12839" max="12839" width="9.85546875" customWidth="1"/>
    <col min="12840" max="12840" width="13.140625" customWidth="1"/>
    <col min="12841" max="12841" width="25.42578125" customWidth="1"/>
    <col min="12842" max="12842" width="30.85546875" customWidth="1"/>
    <col min="12843" max="12843" width="27.42578125" customWidth="1"/>
    <col min="13057" max="13057" width="13" bestFit="1" customWidth="1"/>
    <col min="13058" max="13058" width="6.85546875" customWidth="1"/>
    <col min="13059" max="13059" width="14.28515625" customWidth="1"/>
    <col min="13060" max="13060" width="14" customWidth="1"/>
    <col min="13061" max="13061" width="17.85546875" customWidth="1"/>
    <col min="13062" max="13062" width="3.5703125" customWidth="1"/>
    <col min="13063" max="13063" width="13.28515625" customWidth="1"/>
    <col min="13064" max="13064" width="5.85546875" customWidth="1"/>
    <col min="13065" max="13065" width="23.28515625" customWidth="1"/>
    <col min="13066" max="13066" width="17.140625" customWidth="1"/>
    <col min="13067" max="13067" width="50.5703125" customWidth="1"/>
    <col min="13068" max="13068" width="28.7109375" customWidth="1"/>
    <col min="13069" max="13069" width="25.140625" customWidth="1"/>
    <col min="13070" max="13070" width="36.7109375" customWidth="1"/>
    <col min="13071" max="13072" width="24.5703125" customWidth="1"/>
    <col min="13073" max="13073" width="17.85546875" customWidth="1"/>
    <col min="13074" max="13074" width="27.5703125" bestFit="1" customWidth="1"/>
    <col min="13075" max="13075" width="37.28515625" customWidth="1"/>
    <col min="13076" max="13076" width="48.42578125" customWidth="1"/>
    <col min="13077" max="13077" width="32" customWidth="1"/>
    <col min="13078" max="13078" width="32.7109375" customWidth="1"/>
    <col min="13079" max="13079" width="18.5703125" customWidth="1"/>
    <col min="13080" max="13080" width="16.7109375" customWidth="1"/>
    <col min="13081" max="13081" width="10.42578125" customWidth="1"/>
    <col min="13082" max="13082" width="10.5703125" customWidth="1"/>
    <col min="13083" max="13083" width="9.28515625" customWidth="1"/>
    <col min="13084" max="13084" width="10.140625" customWidth="1"/>
    <col min="13085" max="13085" width="8.42578125" customWidth="1"/>
    <col min="13086" max="13086" width="9.5703125" customWidth="1"/>
    <col min="13087" max="13087" width="9.28515625" customWidth="1"/>
    <col min="13088" max="13088" width="8.85546875" customWidth="1"/>
    <col min="13089" max="13091" width="8" customWidth="1"/>
    <col min="13092" max="13092" width="8.7109375" customWidth="1"/>
    <col min="13093" max="13093" width="8.140625" customWidth="1"/>
    <col min="13094" max="13094" width="10.5703125" customWidth="1"/>
    <col min="13095" max="13095" width="9.85546875" customWidth="1"/>
    <col min="13096" max="13096" width="13.140625" customWidth="1"/>
    <col min="13097" max="13097" width="25.42578125" customWidth="1"/>
    <col min="13098" max="13098" width="30.85546875" customWidth="1"/>
    <col min="13099" max="13099" width="27.42578125" customWidth="1"/>
    <col min="13313" max="13313" width="13" bestFit="1" customWidth="1"/>
    <col min="13314" max="13314" width="6.85546875" customWidth="1"/>
    <col min="13315" max="13315" width="14.28515625" customWidth="1"/>
    <col min="13316" max="13316" width="14" customWidth="1"/>
    <col min="13317" max="13317" width="17.85546875" customWidth="1"/>
    <col min="13318" max="13318" width="3.5703125" customWidth="1"/>
    <col min="13319" max="13319" width="13.28515625" customWidth="1"/>
    <col min="13320" max="13320" width="5.85546875" customWidth="1"/>
    <col min="13321" max="13321" width="23.28515625" customWidth="1"/>
    <col min="13322" max="13322" width="17.140625" customWidth="1"/>
    <col min="13323" max="13323" width="50.5703125" customWidth="1"/>
    <col min="13324" max="13324" width="28.7109375" customWidth="1"/>
    <col min="13325" max="13325" width="25.140625" customWidth="1"/>
    <col min="13326" max="13326" width="36.7109375" customWidth="1"/>
    <col min="13327" max="13328" width="24.5703125" customWidth="1"/>
    <col min="13329" max="13329" width="17.85546875" customWidth="1"/>
    <col min="13330" max="13330" width="27.5703125" bestFit="1" customWidth="1"/>
    <col min="13331" max="13331" width="37.28515625" customWidth="1"/>
    <col min="13332" max="13332" width="48.42578125" customWidth="1"/>
    <col min="13333" max="13333" width="32" customWidth="1"/>
    <col min="13334" max="13334" width="32.7109375" customWidth="1"/>
    <col min="13335" max="13335" width="18.5703125" customWidth="1"/>
    <col min="13336" max="13336" width="16.7109375" customWidth="1"/>
    <col min="13337" max="13337" width="10.42578125" customWidth="1"/>
    <col min="13338" max="13338" width="10.5703125" customWidth="1"/>
    <col min="13339" max="13339" width="9.28515625" customWidth="1"/>
    <col min="13340" max="13340" width="10.140625" customWidth="1"/>
    <col min="13341" max="13341" width="8.42578125" customWidth="1"/>
    <col min="13342" max="13342" width="9.5703125" customWidth="1"/>
    <col min="13343" max="13343" width="9.28515625" customWidth="1"/>
    <col min="13344" max="13344" width="8.85546875" customWidth="1"/>
    <col min="13345" max="13347" width="8" customWidth="1"/>
    <col min="13348" max="13348" width="8.7109375" customWidth="1"/>
    <col min="13349" max="13349" width="8.140625" customWidth="1"/>
    <col min="13350" max="13350" width="10.5703125" customWidth="1"/>
    <col min="13351" max="13351" width="9.85546875" customWidth="1"/>
    <col min="13352" max="13352" width="13.140625" customWidth="1"/>
    <col min="13353" max="13353" width="25.42578125" customWidth="1"/>
    <col min="13354" max="13354" width="30.85546875" customWidth="1"/>
    <col min="13355" max="13355" width="27.42578125" customWidth="1"/>
    <col min="13569" max="13569" width="13" bestFit="1" customWidth="1"/>
    <col min="13570" max="13570" width="6.85546875" customWidth="1"/>
    <col min="13571" max="13571" width="14.28515625" customWidth="1"/>
    <col min="13572" max="13572" width="14" customWidth="1"/>
    <col min="13573" max="13573" width="17.85546875" customWidth="1"/>
    <col min="13574" max="13574" width="3.5703125" customWidth="1"/>
    <col min="13575" max="13575" width="13.28515625" customWidth="1"/>
    <col min="13576" max="13576" width="5.85546875" customWidth="1"/>
    <col min="13577" max="13577" width="23.28515625" customWidth="1"/>
    <col min="13578" max="13578" width="17.140625" customWidth="1"/>
    <col min="13579" max="13579" width="50.5703125" customWidth="1"/>
    <col min="13580" max="13580" width="28.7109375" customWidth="1"/>
    <col min="13581" max="13581" width="25.140625" customWidth="1"/>
    <col min="13582" max="13582" width="36.7109375" customWidth="1"/>
    <col min="13583" max="13584" width="24.5703125" customWidth="1"/>
    <col min="13585" max="13585" width="17.85546875" customWidth="1"/>
    <col min="13586" max="13586" width="27.5703125" bestFit="1" customWidth="1"/>
    <col min="13587" max="13587" width="37.28515625" customWidth="1"/>
    <col min="13588" max="13588" width="48.42578125" customWidth="1"/>
    <col min="13589" max="13589" width="32" customWidth="1"/>
    <col min="13590" max="13590" width="32.7109375" customWidth="1"/>
    <col min="13591" max="13591" width="18.5703125" customWidth="1"/>
    <col min="13592" max="13592" width="16.7109375" customWidth="1"/>
    <col min="13593" max="13593" width="10.42578125" customWidth="1"/>
    <col min="13594" max="13594" width="10.5703125" customWidth="1"/>
    <col min="13595" max="13595" width="9.28515625" customWidth="1"/>
    <col min="13596" max="13596" width="10.140625" customWidth="1"/>
    <col min="13597" max="13597" width="8.42578125" customWidth="1"/>
    <col min="13598" max="13598" width="9.5703125" customWidth="1"/>
    <col min="13599" max="13599" width="9.28515625" customWidth="1"/>
    <col min="13600" max="13600" width="8.85546875" customWidth="1"/>
    <col min="13601" max="13603" width="8" customWidth="1"/>
    <col min="13604" max="13604" width="8.7109375" customWidth="1"/>
    <col min="13605" max="13605" width="8.140625" customWidth="1"/>
    <col min="13606" max="13606" width="10.5703125" customWidth="1"/>
    <col min="13607" max="13607" width="9.85546875" customWidth="1"/>
    <col min="13608" max="13608" width="13.140625" customWidth="1"/>
    <col min="13609" max="13609" width="25.42578125" customWidth="1"/>
    <col min="13610" max="13610" width="30.85546875" customWidth="1"/>
    <col min="13611" max="13611" width="27.42578125" customWidth="1"/>
    <col min="13825" max="13825" width="13" bestFit="1" customWidth="1"/>
    <col min="13826" max="13826" width="6.85546875" customWidth="1"/>
    <col min="13827" max="13827" width="14.28515625" customWidth="1"/>
    <col min="13828" max="13828" width="14" customWidth="1"/>
    <col min="13829" max="13829" width="17.85546875" customWidth="1"/>
    <col min="13830" max="13830" width="3.5703125" customWidth="1"/>
    <col min="13831" max="13831" width="13.28515625" customWidth="1"/>
    <col min="13832" max="13832" width="5.85546875" customWidth="1"/>
    <col min="13833" max="13833" width="23.28515625" customWidth="1"/>
    <col min="13834" max="13834" width="17.140625" customWidth="1"/>
    <col min="13835" max="13835" width="50.5703125" customWidth="1"/>
    <col min="13836" max="13836" width="28.7109375" customWidth="1"/>
    <col min="13837" max="13837" width="25.140625" customWidth="1"/>
    <col min="13838" max="13838" width="36.7109375" customWidth="1"/>
    <col min="13839" max="13840" width="24.5703125" customWidth="1"/>
    <col min="13841" max="13841" width="17.85546875" customWidth="1"/>
    <col min="13842" max="13842" width="27.5703125" bestFit="1" customWidth="1"/>
    <col min="13843" max="13843" width="37.28515625" customWidth="1"/>
    <col min="13844" max="13844" width="48.42578125" customWidth="1"/>
    <col min="13845" max="13845" width="32" customWidth="1"/>
    <col min="13846" max="13846" width="32.7109375" customWidth="1"/>
    <col min="13847" max="13847" width="18.5703125" customWidth="1"/>
    <col min="13848" max="13848" width="16.7109375" customWidth="1"/>
    <col min="13849" max="13849" width="10.42578125" customWidth="1"/>
    <col min="13850" max="13850" width="10.5703125" customWidth="1"/>
    <col min="13851" max="13851" width="9.28515625" customWidth="1"/>
    <col min="13852" max="13852" width="10.140625" customWidth="1"/>
    <col min="13853" max="13853" width="8.42578125" customWidth="1"/>
    <col min="13854" max="13854" width="9.5703125" customWidth="1"/>
    <col min="13855" max="13855" width="9.28515625" customWidth="1"/>
    <col min="13856" max="13856" width="8.85546875" customWidth="1"/>
    <col min="13857" max="13859" width="8" customWidth="1"/>
    <col min="13860" max="13860" width="8.7109375" customWidth="1"/>
    <col min="13861" max="13861" width="8.140625" customWidth="1"/>
    <col min="13862" max="13862" width="10.5703125" customWidth="1"/>
    <col min="13863" max="13863" width="9.85546875" customWidth="1"/>
    <col min="13864" max="13864" width="13.140625" customWidth="1"/>
    <col min="13865" max="13865" width="25.42578125" customWidth="1"/>
    <col min="13866" max="13866" width="30.85546875" customWidth="1"/>
    <col min="13867" max="13867" width="27.42578125" customWidth="1"/>
    <col min="14081" max="14081" width="13" bestFit="1" customWidth="1"/>
    <col min="14082" max="14082" width="6.85546875" customWidth="1"/>
    <col min="14083" max="14083" width="14.28515625" customWidth="1"/>
    <col min="14084" max="14084" width="14" customWidth="1"/>
    <col min="14085" max="14085" width="17.85546875" customWidth="1"/>
    <col min="14086" max="14086" width="3.5703125" customWidth="1"/>
    <col min="14087" max="14087" width="13.28515625" customWidth="1"/>
    <col min="14088" max="14088" width="5.85546875" customWidth="1"/>
    <col min="14089" max="14089" width="23.28515625" customWidth="1"/>
    <col min="14090" max="14090" width="17.140625" customWidth="1"/>
    <col min="14091" max="14091" width="50.5703125" customWidth="1"/>
    <col min="14092" max="14092" width="28.7109375" customWidth="1"/>
    <col min="14093" max="14093" width="25.140625" customWidth="1"/>
    <col min="14094" max="14094" width="36.7109375" customWidth="1"/>
    <col min="14095" max="14096" width="24.5703125" customWidth="1"/>
    <col min="14097" max="14097" width="17.85546875" customWidth="1"/>
    <col min="14098" max="14098" width="27.5703125" bestFit="1" customWidth="1"/>
    <col min="14099" max="14099" width="37.28515625" customWidth="1"/>
    <col min="14100" max="14100" width="48.42578125" customWidth="1"/>
    <col min="14101" max="14101" width="32" customWidth="1"/>
    <col min="14102" max="14102" width="32.7109375" customWidth="1"/>
    <col min="14103" max="14103" width="18.5703125" customWidth="1"/>
    <col min="14104" max="14104" width="16.7109375" customWidth="1"/>
    <col min="14105" max="14105" width="10.42578125" customWidth="1"/>
    <col min="14106" max="14106" width="10.5703125" customWidth="1"/>
    <col min="14107" max="14107" width="9.28515625" customWidth="1"/>
    <col min="14108" max="14108" width="10.140625" customWidth="1"/>
    <col min="14109" max="14109" width="8.42578125" customWidth="1"/>
    <col min="14110" max="14110" width="9.5703125" customWidth="1"/>
    <col min="14111" max="14111" width="9.28515625" customWidth="1"/>
    <col min="14112" max="14112" width="8.85546875" customWidth="1"/>
    <col min="14113" max="14115" width="8" customWidth="1"/>
    <col min="14116" max="14116" width="8.7109375" customWidth="1"/>
    <col min="14117" max="14117" width="8.140625" customWidth="1"/>
    <col min="14118" max="14118" width="10.5703125" customWidth="1"/>
    <col min="14119" max="14119" width="9.85546875" customWidth="1"/>
    <col min="14120" max="14120" width="13.140625" customWidth="1"/>
    <col min="14121" max="14121" width="25.42578125" customWidth="1"/>
    <col min="14122" max="14122" width="30.85546875" customWidth="1"/>
    <col min="14123" max="14123" width="27.42578125" customWidth="1"/>
    <col min="14337" max="14337" width="13" bestFit="1" customWidth="1"/>
    <col min="14338" max="14338" width="6.85546875" customWidth="1"/>
    <col min="14339" max="14339" width="14.28515625" customWidth="1"/>
    <col min="14340" max="14340" width="14" customWidth="1"/>
    <col min="14341" max="14341" width="17.85546875" customWidth="1"/>
    <col min="14342" max="14342" width="3.5703125" customWidth="1"/>
    <col min="14343" max="14343" width="13.28515625" customWidth="1"/>
    <col min="14344" max="14344" width="5.85546875" customWidth="1"/>
    <col min="14345" max="14345" width="23.28515625" customWidth="1"/>
    <col min="14346" max="14346" width="17.140625" customWidth="1"/>
    <col min="14347" max="14347" width="50.5703125" customWidth="1"/>
    <col min="14348" max="14348" width="28.7109375" customWidth="1"/>
    <col min="14349" max="14349" width="25.140625" customWidth="1"/>
    <col min="14350" max="14350" width="36.7109375" customWidth="1"/>
    <col min="14351" max="14352" width="24.5703125" customWidth="1"/>
    <col min="14353" max="14353" width="17.85546875" customWidth="1"/>
    <col min="14354" max="14354" width="27.5703125" bestFit="1" customWidth="1"/>
    <col min="14355" max="14355" width="37.28515625" customWidth="1"/>
    <col min="14356" max="14356" width="48.42578125" customWidth="1"/>
    <col min="14357" max="14357" width="32" customWidth="1"/>
    <col min="14358" max="14358" width="32.7109375" customWidth="1"/>
    <col min="14359" max="14359" width="18.5703125" customWidth="1"/>
    <col min="14360" max="14360" width="16.7109375" customWidth="1"/>
    <col min="14361" max="14361" width="10.42578125" customWidth="1"/>
    <col min="14362" max="14362" width="10.5703125" customWidth="1"/>
    <col min="14363" max="14363" width="9.28515625" customWidth="1"/>
    <col min="14364" max="14364" width="10.140625" customWidth="1"/>
    <col min="14365" max="14365" width="8.42578125" customWidth="1"/>
    <col min="14366" max="14366" width="9.5703125" customWidth="1"/>
    <col min="14367" max="14367" width="9.28515625" customWidth="1"/>
    <col min="14368" max="14368" width="8.85546875" customWidth="1"/>
    <col min="14369" max="14371" width="8" customWidth="1"/>
    <col min="14372" max="14372" width="8.7109375" customWidth="1"/>
    <col min="14373" max="14373" width="8.140625" customWidth="1"/>
    <col min="14374" max="14374" width="10.5703125" customWidth="1"/>
    <col min="14375" max="14375" width="9.85546875" customWidth="1"/>
    <col min="14376" max="14376" width="13.140625" customWidth="1"/>
    <col min="14377" max="14377" width="25.42578125" customWidth="1"/>
    <col min="14378" max="14378" width="30.85546875" customWidth="1"/>
    <col min="14379" max="14379" width="27.42578125" customWidth="1"/>
    <col min="14593" max="14593" width="13" bestFit="1" customWidth="1"/>
    <col min="14594" max="14594" width="6.85546875" customWidth="1"/>
    <col min="14595" max="14595" width="14.28515625" customWidth="1"/>
    <col min="14596" max="14596" width="14" customWidth="1"/>
    <col min="14597" max="14597" width="17.85546875" customWidth="1"/>
    <col min="14598" max="14598" width="3.5703125" customWidth="1"/>
    <col min="14599" max="14599" width="13.28515625" customWidth="1"/>
    <col min="14600" max="14600" width="5.85546875" customWidth="1"/>
    <col min="14601" max="14601" width="23.28515625" customWidth="1"/>
    <col min="14602" max="14602" width="17.140625" customWidth="1"/>
    <col min="14603" max="14603" width="50.5703125" customWidth="1"/>
    <col min="14604" max="14604" width="28.7109375" customWidth="1"/>
    <col min="14605" max="14605" width="25.140625" customWidth="1"/>
    <col min="14606" max="14606" width="36.7109375" customWidth="1"/>
    <col min="14607" max="14608" width="24.5703125" customWidth="1"/>
    <col min="14609" max="14609" width="17.85546875" customWidth="1"/>
    <col min="14610" max="14610" width="27.5703125" bestFit="1" customWidth="1"/>
    <col min="14611" max="14611" width="37.28515625" customWidth="1"/>
    <col min="14612" max="14612" width="48.42578125" customWidth="1"/>
    <col min="14613" max="14613" width="32" customWidth="1"/>
    <col min="14614" max="14614" width="32.7109375" customWidth="1"/>
    <col min="14615" max="14615" width="18.5703125" customWidth="1"/>
    <col min="14616" max="14616" width="16.7109375" customWidth="1"/>
    <col min="14617" max="14617" width="10.42578125" customWidth="1"/>
    <col min="14618" max="14618" width="10.5703125" customWidth="1"/>
    <col min="14619" max="14619" width="9.28515625" customWidth="1"/>
    <col min="14620" max="14620" width="10.140625" customWidth="1"/>
    <col min="14621" max="14621" width="8.42578125" customWidth="1"/>
    <col min="14622" max="14622" width="9.5703125" customWidth="1"/>
    <col min="14623" max="14623" width="9.28515625" customWidth="1"/>
    <col min="14624" max="14624" width="8.85546875" customWidth="1"/>
    <col min="14625" max="14627" width="8" customWidth="1"/>
    <col min="14628" max="14628" width="8.7109375" customWidth="1"/>
    <col min="14629" max="14629" width="8.140625" customWidth="1"/>
    <col min="14630" max="14630" width="10.5703125" customWidth="1"/>
    <col min="14631" max="14631" width="9.85546875" customWidth="1"/>
    <col min="14632" max="14632" width="13.140625" customWidth="1"/>
    <col min="14633" max="14633" width="25.42578125" customWidth="1"/>
    <col min="14634" max="14634" width="30.85546875" customWidth="1"/>
    <col min="14635" max="14635" width="27.42578125" customWidth="1"/>
    <col min="14849" max="14849" width="13" bestFit="1" customWidth="1"/>
    <col min="14850" max="14850" width="6.85546875" customWidth="1"/>
    <col min="14851" max="14851" width="14.28515625" customWidth="1"/>
    <col min="14852" max="14852" width="14" customWidth="1"/>
    <col min="14853" max="14853" width="17.85546875" customWidth="1"/>
    <col min="14854" max="14854" width="3.5703125" customWidth="1"/>
    <col min="14855" max="14855" width="13.28515625" customWidth="1"/>
    <col min="14856" max="14856" width="5.85546875" customWidth="1"/>
    <col min="14857" max="14857" width="23.28515625" customWidth="1"/>
    <col min="14858" max="14858" width="17.140625" customWidth="1"/>
    <col min="14859" max="14859" width="50.5703125" customWidth="1"/>
    <col min="14860" max="14860" width="28.7109375" customWidth="1"/>
    <col min="14861" max="14861" width="25.140625" customWidth="1"/>
    <col min="14862" max="14862" width="36.7109375" customWidth="1"/>
    <col min="14863" max="14864" width="24.5703125" customWidth="1"/>
    <col min="14865" max="14865" width="17.85546875" customWidth="1"/>
    <col min="14866" max="14866" width="27.5703125" bestFit="1" customWidth="1"/>
    <col min="14867" max="14867" width="37.28515625" customWidth="1"/>
    <col min="14868" max="14868" width="48.42578125" customWidth="1"/>
    <col min="14869" max="14869" width="32" customWidth="1"/>
    <col min="14870" max="14870" width="32.7109375" customWidth="1"/>
    <col min="14871" max="14871" width="18.5703125" customWidth="1"/>
    <col min="14872" max="14872" width="16.7109375" customWidth="1"/>
    <col min="14873" max="14873" width="10.42578125" customWidth="1"/>
    <col min="14874" max="14874" width="10.5703125" customWidth="1"/>
    <col min="14875" max="14875" width="9.28515625" customWidth="1"/>
    <col min="14876" max="14876" width="10.140625" customWidth="1"/>
    <col min="14877" max="14877" width="8.42578125" customWidth="1"/>
    <col min="14878" max="14878" width="9.5703125" customWidth="1"/>
    <col min="14879" max="14879" width="9.28515625" customWidth="1"/>
    <col min="14880" max="14880" width="8.85546875" customWidth="1"/>
    <col min="14881" max="14883" width="8" customWidth="1"/>
    <col min="14884" max="14884" width="8.7109375" customWidth="1"/>
    <col min="14885" max="14885" width="8.140625" customWidth="1"/>
    <col min="14886" max="14886" width="10.5703125" customWidth="1"/>
    <col min="14887" max="14887" width="9.85546875" customWidth="1"/>
    <col min="14888" max="14888" width="13.140625" customWidth="1"/>
    <col min="14889" max="14889" width="25.42578125" customWidth="1"/>
    <col min="14890" max="14890" width="30.85546875" customWidth="1"/>
    <col min="14891" max="14891" width="27.42578125" customWidth="1"/>
    <col min="15105" max="15105" width="13" bestFit="1" customWidth="1"/>
    <col min="15106" max="15106" width="6.85546875" customWidth="1"/>
    <col min="15107" max="15107" width="14.28515625" customWidth="1"/>
    <col min="15108" max="15108" width="14" customWidth="1"/>
    <col min="15109" max="15109" width="17.85546875" customWidth="1"/>
    <col min="15110" max="15110" width="3.5703125" customWidth="1"/>
    <col min="15111" max="15111" width="13.28515625" customWidth="1"/>
    <col min="15112" max="15112" width="5.85546875" customWidth="1"/>
    <col min="15113" max="15113" width="23.28515625" customWidth="1"/>
    <col min="15114" max="15114" width="17.140625" customWidth="1"/>
    <col min="15115" max="15115" width="50.5703125" customWidth="1"/>
    <col min="15116" max="15116" width="28.7109375" customWidth="1"/>
    <col min="15117" max="15117" width="25.140625" customWidth="1"/>
    <col min="15118" max="15118" width="36.7109375" customWidth="1"/>
    <col min="15119" max="15120" width="24.5703125" customWidth="1"/>
    <col min="15121" max="15121" width="17.85546875" customWidth="1"/>
    <col min="15122" max="15122" width="27.5703125" bestFit="1" customWidth="1"/>
    <col min="15123" max="15123" width="37.28515625" customWidth="1"/>
    <col min="15124" max="15124" width="48.42578125" customWidth="1"/>
    <col min="15125" max="15125" width="32" customWidth="1"/>
    <col min="15126" max="15126" width="32.7109375" customWidth="1"/>
    <col min="15127" max="15127" width="18.5703125" customWidth="1"/>
    <col min="15128" max="15128" width="16.7109375" customWidth="1"/>
    <col min="15129" max="15129" width="10.42578125" customWidth="1"/>
    <col min="15130" max="15130" width="10.5703125" customWidth="1"/>
    <col min="15131" max="15131" width="9.28515625" customWidth="1"/>
    <col min="15132" max="15132" width="10.140625" customWidth="1"/>
    <col min="15133" max="15133" width="8.42578125" customWidth="1"/>
    <col min="15134" max="15134" width="9.5703125" customWidth="1"/>
    <col min="15135" max="15135" width="9.28515625" customWidth="1"/>
    <col min="15136" max="15136" width="8.85546875" customWidth="1"/>
    <col min="15137" max="15139" width="8" customWidth="1"/>
    <col min="15140" max="15140" width="8.7109375" customWidth="1"/>
    <col min="15141" max="15141" width="8.140625" customWidth="1"/>
    <col min="15142" max="15142" width="10.5703125" customWidth="1"/>
    <col min="15143" max="15143" width="9.85546875" customWidth="1"/>
    <col min="15144" max="15144" width="13.140625" customWidth="1"/>
    <col min="15145" max="15145" width="25.42578125" customWidth="1"/>
    <col min="15146" max="15146" width="30.85546875" customWidth="1"/>
    <col min="15147" max="15147" width="27.42578125" customWidth="1"/>
    <col min="15361" max="15361" width="13" bestFit="1" customWidth="1"/>
    <col min="15362" max="15362" width="6.85546875" customWidth="1"/>
    <col min="15363" max="15363" width="14.28515625" customWidth="1"/>
    <col min="15364" max="15364" width="14" customWidth="1"/>
    <col min="15365" max="15365" width="17.85546875" customWidth="1"/>
    <col min="15366" max="15366" width="3.5703125" customWidth="1"/>
    <col min="15367" max="15367" width="13.28515625" customWidth="1"/>
    <col min="15368" max="15368" width="5.85546875" customWidth="1"/>
    <col min="15369" max="15369" width="23.28515625" customWidth="1"/>
    <col min="15370" max="15370" width="17.140625" customWidth="1"/>
    <col min="15371" max="15371" width="50.5703125" customWidth="1"/>
    <col min="15372" max="15372" width="28.7109375" customWidth="1"/>
    <col min="15373" max="15373" width="25.140625" customWidth="1"/>
    <col min="15374" max="15374" width="36.7109375" customWidth="1"/>
    <col min="15375" max="15376" width="24.5703125" customWidth="1"/>
    <col min="15377" max="15377" width="17.85546875" customWidth="1"/>
    <col min="15378" max="15378" width="27.5703125" bestFit="1" customWidth="1"/>
    <col min="15379" max="15379" width="37.28515625" customWidth="1"/>
    <col min="15380" max="15380" width="48.42578125" customWidth="1"/>
    <col min="15381" max="15381" width="32" customWidth="1"/>
    <col min="15382" max="15382" width="32.7109375" customWidth="1"/>
    <col min="15383" max="15383" width="18.5703125" customWidth="1"/>
    <col min="15384" max="15384" width="16.7109375" customWidth="1"/>
    <col min="15385" max="15385" width="10.42578125" customWidth="1"/>
    <col min="15386" max="15386" width="10.5703125" customWidth="1"/>
    <col min="15387" max="15387" width="9.28515625" customWidth="1"/>
    <col min="15388" max="15388" width="10.140625" customWidth="1"/>
    <col min="15389" max="15389" width="8.42578125" customWidth="1"/>
    <col min="15390" max="15390" width="9.5703125" customWidth="1"/>
    <col min="15391" max="15391" width="9.28515625" customWidth="1"/>
    <col min="15392" max="15392" width="8.85546875" customWidth="1"/>
    <col min="15393" max="15395" width="8" customWidth="1"/>
    <col min="15396" max="15396" width="8.7109375" customWidth="1"/>
    <col min="15397" max="15397" width="8.140625" customWidth="1"/>
    <col min="15398" max="15398" width="10.5703125" customWidth="1"/>
    <col min="15399" max="15399" width="9.85546875" customWidth="1"/>
    <col min="15400" max="15400" width="13.140625" customWidth="1"/>
    <col min="15401" max="15401" width="25.42578125" customWidth="1"/>
    <col min="15402" max="15402" width="30.85546875" customWidth="1"/>
    <col min="15403" max="15403" width="27.42578125" customWidth="1"/>
    <col min="15617" max="15617" width="13" bestFit="1" customWidth="1"/>
    <col min="15618" max="15618" width="6.85546875" customWidth="1"/>
    <col min="15619" max="15619" width="14.28515625" customWidth="1"/>
    <col min="15620" max="15620" width="14" customWidth="1"/>
    <col min="15621" max="15621" width="17.85546875" customWidth="1"/>
    <col min="15622" max="15622" width="3.5703125" customWidth="1"/>
    <col min="15623" max="15623" width="13.28515625" customWidth="1"/>
    <col min="15624" max="15624" width="5.85546875" customWidth="1"/>
    <col min="15625" max="15625" width="23.28515625" customWidth="1"/>
    <col min="15626" max="15626" width="17.140625" customWidth="1"/>
    <col min="15627" max="15627" width="50.5703125" customWidth="1"/>
    <col min="15628" max="15628" width="28.7109375" customWidth="1"/>
    <col min="15629" max="15629" width="25.140625" customWidth="1"/>
    <col min="15630" max="15630" width="36.7109375" customWidth="1"/>
    <col min="15631" max="15632" width="24.5703125" customWidth="1"/>
    <col min="15633" max="15633" width="17.85546875" customWidth="1"/>
    <col min="15634" max="15634" width="27.5703125" bestFit="1" customWidth="1"/>
    <col min="15635" max="15635" width="37.28515625" customWidth="1"/>
    <col min="15636" max="15636" width="48.42578125" customWidth="1"/>
    <col min="15637" max="15637" width="32" customWidth="1"/>
    <col min="15638" max="15638" width="32.7109375" customWidth="1"/>
    <col min="15639" max="15639" width="18.5703125" customWidth="1"/>
    <col min="15640" max="15640" width="16.7109375" customWidth="1"/>
    <col min="15641" max="15641" width="10.42578125" customWidth="1"/>
    <col min="15642" max="15642" width="10.5703125" customWidth="1"/>
    <col min="15643" max="15643" width="9.28515625" customWidth="1"/>
    <col min="15644" max="15644" width="10.140625" customWidth="1"/>
    <col min="15645" max="15645" width="8.42578125" customWidth="1"/>
    <col min="15646" max="15646" width="9.5703125" customWidth="1"/>
    <col min="15647" max="15647" width="9.28515625" customWidth="1"/>
    <col min="15648" max="15648" width="8.85546875" customWidth="1"/>
    <col min="15649" max="15651" width="8" customWidth="1"/>
    <col min="15652" max="15652" width="8.7109375" customWidth="1"/>
    <col min="15653" max="15653" width="8.140625" customWidth="1"/>
    <col min="15654" max="15654" width="10.5703125" customWidth="1"/>
    <col min="15655" max="15655" width="9.85546875" customWidth="1"/>
    <col min="15656" max="15656" width="13.140625" customWidth="1"/>
    <col min="15657" max="15657" width="25.42578125" customWidth="1"/>
    <col min="15658" max="15658" width="30.85546875" customWidth="1"/>
    <col min="15659" max="15659" width="27.42578125" customWidth="1"/>
    <col min="15873" max="15873" width="13" bestFit="1" customWidth="1"/>
    <col min="15874" max="15874" width="6.85546875" customWidth="1"/>
    <col min="15875" max="15875" width="14.28515625" customWidth="1"/>
    <col min="15876" max="15876" width="14" customWidth="1"/>
    <col min="15877" max="15877" width="17.85546875" customWidth="1"/>
    <col min="15878" max="15878" width="3.5703125" customWidth="1"/>
    <col min="15879" max="15879" width="13.28515625" customWidth="1"/>
    <col min="15880" max="15880" width="5.85546875" customWidth="1"/>
    <col min="15881" max="15881" width="23.28515625" customWidth="1"/>
    <col min="15882" max="15882" width="17.140625" customWidth="1"/>
    <col min="15883" max="15883" width="50.5703125" customWidth="1"/>
    <col min="15884" max="15884" width="28.7109375" customWidth="1"/>
    <col min="15885" max="15885" width="25.140625" customWidth="1"/>
    <col min="15886" max="15886" width="36.7109375" customWidth="1"/>
    <col min="15887" max="15888" width="24.5703125" customWidth="1"/>
    <col min="15889" max="15889" width="17.85546875" customWidth="1"/>
    <col min="15890" max="15890" width="27.5703125" bestFit="1" customWidth="1"/>
    <col min="15891" max="15891" width="37.28515625" customWidth="1"/>
    <col min="15892" max="15892" width="48.42578125" customWidth="1"/>
    <col min="15893" max="15893" width="32" customWidth="1"/>
    <col min="15894" max="15894" width="32.7109375" customWidth="1"/>
    <col min="15895" max="15895" width="18.5703125" customWidth="1"/>
    <col min="15896" max="15896" width="16.7109375" customWidth="1"/>
    <col min="15897" max="15897" width="10.42578125" customWidth="1"/>
    <col min="15898" max="15898" width="10.5703125" customWidth="1"/>
    <col min="15899" max="15899" width="9.28515625" customWidth="1"/>
    <col min="15900" max="15900" width="10.140625" customWidth="1"/>
    <col min="15901" max="15901" width="8.42578125" customWidth="1"/>
    <col min="15902" max="15902" width="9.5703125" customWidth="1"/>
    <col min="15903" max="15903" width="9.28515625" customWidth="1"/>
    <col min="15904" max="15904" width="8.85546875" customWidth="1"/>
    <col min="15905" max="15907" width="8" customWidth="1"/>
    <col min="15908" max="15908" width="8.7109375" customWidth="1"/>
    <col min="15909" max="15909" width="8.140625" customWidth="1"/>
    <col min="15910" max="15910" width="10.5703125" customWidth="1"/>
    <col min="15911" max="15911" width="9.85546875" customWidth="1"/>
    <col min="15912" max="15912" width="13.140625" customWidth="1"/>
    <col min="15913" max="15913" width="25.42578125" customWidth="1"/>
    <col min="15914" max="15914" width="30.85546875" customWidth="1"/>
    <col min="15915" max="15915" width="27.42578125" customWidth="1"/>
    <col min="16129" max="16129" width="13" bestFit="1" customWidth="1"/>
    <col min="16130" max="16130" width="6.85546875" customWidth="1"/>
    <col min="16131" max="16131" width="14.28515625" customWidth="1"/>
    <col min="16132" max="16132" width="14" customWidth="1"/>
    <col min="16133" max="16133" width="17.85546875" customWidth="1"/>
    <col min="16134" max="16134" width="3.5703125" customWidth="1"/>
    <col min="16135" max="16135" width="13.28515625" customWidth="1"/>
    <col min="16136" max="16136" width="5.85546875" customWidth="1"/>
    <col min="16137" max="16137" width="23.28515625" customWidth="1"/>
    <col min="16138" max="16138" width="17.140625" customWidth="1"/>
    <col min="16139" max="16139" width="50.5703125" customWidth="1"/>
    <col min="16140" max="16140" width="28.7109375" customWidth="1"/>
    <col min="16141" max="16141" width="25.140625" customWidth="1"/>
    <col min="16142" max="16142" width="36.7109375" customWidth="1"/>
    <col min="16143" max="16144" width="24.5703125" customWidth="1"/>
    <col min="16145" max="16145" width="17.85546875" customWidth="1"/>
    <col min="16146" max="16146" width="27.5703125" bestFit="1" customWidth="1"/>
    <col min="16147" max="16147" width="37.28515625" customWidth="1"/>
    <col min="16148" max="16148" width="48.42578125" customWidth="1"/>
    <col min="16149" max="16149" width="32" customWidth="1"/>
    <col min="16150" max="16150" width="32.7109375" customWidth="1"/>
    <col min="16151" max="16151" width="18.5703125" customWidth="1"/>
    <col min="16152" max="16152" width="16.7109375" customWidth="1"/>
    <col min="16153" max="16153" width="10.42578125" customWidth="1"/>
    <col min="16154" max="16154" width="10.5703125" customWidth="1"/>
    <col min="16155" max="16155" width="9.28515625" customWidth="1"/>
    <col min="16156" max="16156" width="10.140625" customWidth="1"/>
    <col min="16157" max="16157" width="8.42578125" customWidth="1"/>
    <col min="16158" max="16158" width="9.5703125" customWidth="1"/>
    <col min="16159" max="16159" width="9.28515625" customWidth="1"/>
    <col min="16160" max="16160" width="8.85546875" customWidth="1"/>
    <col min="16161" max="16163" width="8" customWidth="1"/>
    <col min="16164" max="16164" width="8.7109375" customWidth="1"/>
    <col min="16165" max="16165" width="8.140625" customWidth="1"/>
    <col min="16166" max="16166" width="10.5703125" customWidth="1"/>
    <col min="16167" max="16167" width="9.85546875" customWidth="1"/>
    <col min="16168" max="16168" width="13.140625" customWidth="1"/>
    <col min="16169" max="16169" width="25.42578125" customWidth="1"/>
    <col min="16170" max="16170" width="30.85546875" customWidth="1"/>
    <col min="16171" max="16171" width="27.42578125" customWidth="1"/>
  </cols>
  <sheetData>
    <row r="1" spans="1:254" ht="17.25" customHeight="1" x14ac:dyDescent="0.25">
      <c r="A1" s="2851" t="s">
        <v>2232</v>
      </c>
      <c r="B1" s="2852"/>
      <c r="C1" s="2852"/>
      <c r="D1" s="2852"/>
      <c r="E1" s="2852"/>
      <c r="F1" s="2852"/>
      <c r="G1" s="2852"/>
      <c r="H1" s="2852"/>
      <c r="I1" s="2852"/>
      <c r="J1" s="2852"/>
      <c r="K1" s="2852"/>
      <c r="L1" s="2852"/>
      <c r="M1" s="2852"/>
      <c r="N1" s="2852"/>
      <c r="O1" s="2852"/>
      <c r="P1" s="2852"/>
      <c r="Q1" s="2852"/>
      <c r="R1" s="2852"/>
      <c r="S1" s="2852"/>
      <c r="T1" s="2852"/>
      <c r="U1" s="2852"/>
      <c r="V1" s="2852"/>
      <c r="W1" s="2852"/>
      <c r="X1" s="2852"/>
      <c r="Y1" s="2852"/>
      <c r="Z1" s="2852"/>
      <c r="AA1" s="2852"/>
      <c r="AB1" s="2852"/>
      <c r="AC1" s="2852"/>
      <c r="AD1" s="2852"/>
      <c r="AE1" s="2852"/>
      <c r="AF1" s="2852"/>
      <c r="AG1" s="2852"/>
      <c r="AH1" s="2852"/>
      <c r="AI1" s="2852"/>
      <c r="AJ1" s="2852"/>
      <c r="AK1" s="2852"/>
      <c r="AL1" s="2852"/>
      <c r="AM1" s="2852"/>
      <c r="AN1" s="2852"/>
      <c r="AO1" s="2852"/>
      <c r="AP1" s="579" t="s">
        <v>0</v>
      </c>
      <c r="AQ1" s="580" t="s">
        <v>637</v>
      </c>
      <c r="AR1" s="38"/>
      <c r="AS1" s="38"/>
      <c r="AV1" s="38"/>
      <c r="AW1" s="38"/>
      <c r="AX1" s="38"/>
      <c r="AY1" s="38"/>
      <c r="AZ1" s="38"/>
      <c r="BA1" s="38"/>
      <c r="BB1" s="38"/>
      <c r="BC1" s="38"/>
      <c r="BD1" s="38"/>
      <c r="BE1" s="38"/>
      <c r="BF1" s="38"/>
      <c r="BG1" s="38"/>
      <c r="BH1" s="38"/>
      <c r="BI1" s="38"/>
      <c r="BJ1" s="38"/>
      <c r="BK1" s="38"/>
    </row>
    <row r="2" spans="1:254" ht="17.25" customHeight="1" x14ac:dyDescent="0.25">
      <c r="A2" s="2853"/>
      <c r="B2" s="2778"/>
      <c r="C2" s="2778"/>
      <c r="D2" s="2778"/>
      <c r="E2" s="2778"/>
      <c r="F2" s="2778"/>
      <c r="G2" s="2778"/>
      <c r="H2" s="2778"/>
      <c r="I2" s="2778"/>
      <c r="J2" s="2778"/>
      <c r="K2" s="2778"/>
      <c r="L2" s="2778"/>
      <c r="M2" s="2778"/>
      <c r="N2" s="2778"/>
      <c r="O2" s="2778"/>
      <c r="P2" s="2778"/>
      <c r="Q2" s="2778"/>
      <c r="R2" s="2778"/>
      <c r="S2" s="2778"/>
      <c r="T2" s="2778"/>
      <c r="U2" s="2778"/>
      <c r="V2" s="2778"/>
      <c r="W2" s="2778"/>
      <c r="X2" s="2778"/>
      <c r="Y2" s="2778"/>
      <c r="Z2" s="2778"/>
      <c r="AA2" s="2778"/>
      <c r="AB2" s="2778"/>
      <c r="AC2" s="2778"/>
      <c r="AD2" s="2778"/>
      <c r="AE2" s="2778"/>
      <c r="AF2" s="2778"/>
      <c r="AG2" s="2778"/>
      <c r="AH2" s="2778"/>
      <c r="AI2" s="2778"/>
      <c r="AJ2" s="2778"/>
      <c r="AK2" s="2778"/>
      <c r="AL2" s="2778"/>
      <c r="AM2" s="2778"/>
      <c r="AN2" s="2778"/>
      <c r="AO2" s="2778"/>
      <c r="AP2" s="123" t="s">
        <v>2</v>
      </c>
      <c r="AQ2" s="857" t="s">
        <v>92</v>
      </c>
      <c r="AR2" s="38"/>
      <c r="AS2" s="38"/>
      <c r="AV2" s="38"/>
      <c r="AW2" s="38"/>
      <c r="AX2" s="38"/>
      <c r="AY2" s="38"/>
      <c r="AZ2" s="38"/>
      <c r="BA2" s="38"/>
      <c r="BB2" s="38"/>
      <c r="BC2" s="38"/>
      <c r="BD2" s="38"/>
      <c r="BE2" s="38"/>
      <c r="BF2" s="38"/>
      <c r="BG2" s="38"/>
      <c r="BH2" s="38"/>
      <c r="BI2" s="38"/>
      <c r="BJ2" s="38"/>
      <c r="BK2" s="38"/>
    </row>
    <row r="3" spans="1:254" ht="21.75" customHeight="1" x14ac:dyDescent="0.25">
      <c r="A3" s="2853"/>
      <c r="B3" s="2778"/>
      <c r="C3" s="2778"/>
      <c r="D3" s="2778"/>
      <c r="E3" s="2778"/>
      <c r="F3" s="2778"/>
      <c r="G3" s="2778"/>
      <c r="H3" s="2778"/>
      <c r="I3" s="2778"/>
      <c r="J3" s="2778"/>
      <c r="K3" s="2778"/>
      <c r="L3" s="2778"/>
      <c r="M3" s="2778"/>
      <c r="N3" s="2778"/>
      <c r="O3" s="2778"/>
      <c r="P3" s="2778"/>
      <c r="Q3" s="2778"/>
      <c r="R3" s="2778"/>
      <c r="S3" s="2778"/>
      <c r="T3" s="2778"/>
      <c r="U3" s="2778"/>
      <c r="V3" s="2778"/>
      <c r="W3" s="2778"/>
      <c r="X3" s="2778"/>
      <c r="Y3" s="2778"/>
      <c r="Z3" s="2778"/>
      <c r="AA3" s="2778"/>
      <c r="AB3" s="2778"/>
      <c r="AC3" s="2778"/>
      <c r="AD3" s="2778"/>
      <c r="AE3" s="2778"/>
      <c r="AF3" s="2778"/>
      <c r="AG3" s="2778"/>
      <c r="AH3" s="2778"/>
      <c r="AI3" s="2778"/>
      <c r="AJ3" s="2778"/>
      <c r="AK3" s="2778"/>
      <c r="AL3" s="2778"/>
      <c r="AM3" s="2778"/>
      <c r="AN3" s="2778"/>
      <c r="AO3" s="2778"/>
      <c r="AP3" s="6" t="s">
        <v>3</v>
      </c>
      <c r="AQ3" s="858" t="s">
        <v>4</v>
      </c>
      <c r="AR3" s="38"/>
      <c r="AS3" s="38"/>
      <c r="AV3" s="38"/>
      <c r="AW3" s="38"/>
      <c r="AX3" s="38"/>
      <c r="AY3" s="38"/>
      <c r="AZ3" s="38"/>
      <c r="BA3" s="38"/>
      <c r="BB3" s="38"/>
      <c r="BC3" s="38"/>
      <c r="BD3" s="38"/>
      <c r="BE3" s="38"/>
      <c r="BF3" s="38"/>
      <c r="BG3" s="38"/>
      <c r="BH3" s="38"/>
      <c r="BI3" s="38"/>
      <c r="BJ3" s="38"/>
      <c r="BK3" s="38"/>
    </row>
    <row r="4" spans="1:254" ht="28.5" customHeight="1" x14ac:dyDescent="0.25">
      <c r="A4" s="2854"/>
      <c r="B4" s="2779"/>
      <c r="C4" s="2779"/>
      <c r="D4" s="2779"/>
      <c r="E4" s="2779"/>
      <c r="F4" s="2779"/>
      <c r="G4" s="2779"/>
      <c r="H4" s="2779"/>
      <c r="I4" s="2779"/>
      <c r="J4" s="2779"/>
      <c r="K4" s="2779"/>
      <c r="L4" s="2779"/>
      <c r="M4" s="2779"/>
      <c r="N4" s="2779"/>
      <c r="O4" s="2779"/>
      <c r="P4" s="2779"/>
      <c r="Q4" s="2779"/>
      <c r="R4" s="2779"/>
      <c r="S4" s="2779"/>
      <c r="T4" s="2779"/>
      <c r="U4" s="2779"/>
      <c r="V4" s="2779"/>
      <c r="W4" s="2779"/>
      <c r="X4" s="2779"/>
      <c r="Y4" s="2779"/>
      <c r="Z4" s="2779"/>
      <c r="AA4" s="2779"/>
      <c r="AB4" s="2779"/>
      <c r="AC4" s="2779"/>
      <c r="AD4" s="2779"/>
      <c r="AE4" s="2779"/>
      <c r="AF4" s="2779"/>
      <c r="AG4" s="2779"/>
      <c r="AH4" s="2779"/>
      <c r="AI4" s="2779"/>
      <c r="AJ4" s="2779"/>
      <c r="AK4" s="2779"/>
      <c r="AL4" s="2779"/>
      <c r="AM4" s="2779"/>
      <c r="AN4" s="2779"/>
      <c r="AO4" s="2779"/>
      <c r="AP4" s="6" t="s">
        <v>5</v>
      </c>
      <c r="AQ4" s="532" t="s">
        <v>93</v>
      </c>
      <c r="AR4" s="38"/>
      <c r="AS4" s="38"/>
      <c r="AV4" s="38"/>
      <c r="AW4" s="38"/>
      <c r="AX4" s="38"/>
      <c r="AY4" s="38"/>
      <c r="AZ4" s="38"/>
      <c r="BA4" s="38"/>
      <c r="BB4" s="38"/>
      <c r="BC4" s="38"/>
      <c r="BD4" s="38"/>
      <c r="BE4" s="38"/>
      <c r="BF4" s="38"/>
      <c r="BG4" s="38"/>
      <c r="BH4" s="38"/>
      <c r="BI4" s="38"/>
      <c r="BJ4" s="38"/>
      <c r="BK4" s="38"/>
    </row>
    <row r="5" spans="1:254" ht="27" customHeight="1" x14ac:dyDescent="0.25">
      <c r="A5" s="2855" t="s">
        <v>7</v>
      </c>
      <c r="B5" s="2780"/>
      <c r="C5" s="2780"/>
      <c r="D5" s="2780"/>
      <c r="E5" s="2780"/>
      <c r="F5" s="2780"/>
      <c r="G5" s="2780"/>
      <c r="H5" s="2780"/>
      <c r="I5" s="2780"/>
      <c r="J5" s="2780"/>
      <c r="K5" s="2780"/>
      <c r="L5" s="2780"/>
      <c r="M5" s="2780"/>
      <c r="N5" s="2858" t="s">
        <v>638</v>
      </c>
      <c r="O5" s="2858"/>
      <c r="P5" s="2858"/>
      <c r="Q5" s="2858"/>
      <c r="R5" s="2858"/>
      <c r="S5" s="2858"/>
      <c r="T5" s="2858"/>
      <c r="U5" s="2858"/>
      <c r="V5" s="2858"/>
      <c r="W5" s="2858"/>
      <c r="X5" s="2858"/>
      <c r="Y5" s="2858"/>
      <c r="Z5" s="2858"/>
      <c r="AA5" s="2858"/>
      <c r="AB5" s="2858"/>
      <c r="AC5" s="2858"/>
      <c r="AD5" s="2858"/>
      <c r="AE5" s="2858"/>
      <c r="AF5" s="2858"/>
      <c r="AG5" s="2858"/>
      <c r="AH5" s="2858"/>
      <c r="AI5" s="2858"/>
      <c r="AJ5" s="2858"/>
      <c r="AK5" s="2858"/>
      <c r="AL5" s="2858"/>
      <c r="AM5" s="2858"/>
      <c r="AN5" s="2858"/>
      <c r="AO5" s="2858"/>
      <c r="AP5" s="2858"/>
      <c r="AQ5" s="2859"/>
      <c r="AR5" s="38"/>
      <c r="AS5" s="38"/>
      <c r="AT5" s="38"/>
      <c r="AU5" s="38"/>
      <c r="AV5" s="38"/>
      <c r="AW5" s="38"/>
      <c r="AX5" s="38"/>
      <c r="AY5" s="38"/>
      <c r="AZ5" s="38"/>
      <c r="BA5" s="38"/>
      <c r="BB5" s="38"/>
      <c r="BC5" s="38"/>
      <c r="BD5" s="38"/>
      <c r="BE5" s="38"/>
      <c r="BF5" s="38"/>
      <c r="BG5" s="38"/>
      <c r="BH5" s="38"/>
      <c r="BI5" s="38"/>
      <c r="BJ5" s="38"/>
      <c r="BK5" s="38"/>
    </row>
    <row r="6" spans="1:254" ht="35.25" customHeight="1" x14ac:dyDescent="0.25">
      <c r="A6" s="2856"/>
      <c r="B6" s="2857"/>
      <c r="C6" s="2857"/>
      <c r="D6" s="2857"/>
      <c r="E6" s="2857"/>
      <c r="F6" s="2857"/>
      <c r="G6" s="2857"/>
      <c r="H6" s="2857"/>
      <c r="I6" s="2857"/>
      <c r="J6" s="2857"/>
      <c r="K6" s="2857"/>
      <c r="L6" s="2857"/>
      <c r="M6" s="2857"/>
      <c r="N6" s="859"/>
      <c r="O6" s="763"/>
      <c r="P6" s="763"/>
      <c r="Q6" s="756"/>
      <c r="R6" s="860"/>
      <c r="S6" s="763"/>
      <c r="T6" s="763"/>
      <c r="U6" s="763"/>
      <c r="V6" s="861"/>
      <c r="W6" s="764"/>
      <c r="X6" s="763"/>
      <c r="Y6" s="2762" t="s">
        <v>320</v>
      </c>
      <c r="Z6" s="2763"/>
      <c r="AA6" s="2763"/>
      <c r="AB6" s="2763"/>
      <c r="AC6" s="2763"/>
      <c r="AD6" s="2763"/>
      <c r="AE6" s="2763"/>
      <c r="AF6" s="2763"/>
      <c r="AG6" s="2763"/>
      <c r="AH6" s="2763"/>
      <c r="AI6" s="2763"/>
      <c r="AJ6" s="2763"/>
      <c r="AK6" s="2763"/>
      <c r="AL6" s="2763"/>
      <c r="AM6" s="2763"/>
      <c r="AN6" s="2763"/>
      <c r="AO6" s="113"/>
      <c r="AP6" s="113"/>
      <c r="AQ6" s="862"/>
      <c r="AR6" s="38"/>
      <c r="AS6" s="38"/>
      <c r="AT6" s="38"/>
      <c r="AU6" s="38"/>
      <c r="AV6" s="38"/>
      <c r="AW6" s="38"/>
      <c r="AX6" s="38"/>
      <c r="AY6" s="38"/>
      <c r="AZ6" s="38"/>
      <c r="BA6" s="38"/>
      <c r="BB6" s="38"/>
      <c r="BC6" s="38"/>
      <c r="BD6" s="38"/>
      <c r="BE6" s="38"/>
      <c r="BF6" s="38"/>
      <c r="BG6" s="38"/>
      <c r="BH6" s="38"/>
      <c r="BI6" s="38"/>
      <c r="BJ6" s="38"/>
      <c r="BK6" s="38"/>
    </row>
    <row r="7" spans="1:254" x14ac:dyDescent="0.25">
      <c r="A7" s="2860" t="s">
        <v>9</v>
      </c>
      <c r="B7" s="2843" t="s">
        <v>10</v>
      </c>
      <c r="C7" s="2843"/>
      <c r="D7" s="2843" t="s">
        <v>9</v>
      </c>
      <c r="E7" s="2843" t="s">
        <v>11</v>
      </c>
      <c r="F7" s="2843"/>
      <c r="G7" s="2843" t="s">
        <v>9</v>
      </c>
      <c r="H7" s="2843" t="s">
        <v>12</v>
      </c>
      <c r="I7" s="2843"/>
      <c r="J7" s="2843" t="s">
        <v>9</v>
      </c>
      <c r="K7" s="2843" t="s">
        <v>13</v>
      </c>
      <c r="L7" s="2843" t="s">
        <v>14</v>
      </c>
      <c r="M7" s="2843" t="s">
        <v>15</v>
      </c>
      <c r="N7" s="2843" t="s">
        <v>16</v>
      </c>
      <c r="O7" s="2843" t="s">
        <v>94</v>
      </c>
      <c r="P7" s="2843" t="s">
        <v>8</v>
      </c>
      <c r="Q7" s="2845" t="s">
        <v>18</v>
      </c>
      <c r="R7" s="2847" t="s">
        <v>19</v>
      </c>
      <c r="S7" s="2849" t="s">
        <v>20</v>
      </c>
      <c r="T7" s="2849" t="s">
        <v>21</v>
      </c>
      <c r="U7" s="2843" t="s">
        <v>22</v>
      </c>
      <c r="V7" s="2872" t="s">
        <v>19</v>
      </c>
      <c r="W7" s="863"/>
      <c r="X7" s="2839" t="s">
        <v>23</v>
      </c>
      <c r="Y7" s="2841" t="s">
        <v>24</v>
      </c>
      <c r="Z7" s="2842"/>
      <c r="AA7" s="2865" t="s">
        <v>25</v>
      </c>
      <c r="AB7" s="2866"/>
      <c r="AC7" s="2866"/>
      <c r="AD7" s="2866"/>
      <c r="AE7" s="2867" t="s">
        <v>26</v>
      </c>
      <c r="AF7" s="2868"/>
      <c r="AG7" s="2868"/>
      <c r="AH7" s="2868"/>
      <c r="AI7" s="2868"/>
      <c r="AJ7" s="2868"/>
      <c r="AK7" s="2865" t="s">
        <v>27</v>
      </c>
      <c r="AL7" s="2866"/>
      <c r="AM7" s="2866"/>
      <c r="AN7" s="2869" t="s">
        <v>28</v>
      </c>
      <c r="AO7" s="2862" t="s">
        <v>29</v>
      </c>
      <c r="AP7" s="2862" t="s">
        <v>30</v>
      </c>
      <c r="AQ7" s="2863" t="s">
        <v>31</v>
      </c>
      <c r="AR7" s="38"/>
      <c r="AS7" s="38"/>
      <c r="AT7" s="38"/>
      <c r="AU7" s="38"/>
      <c r="AV7" s="38"/>
      <c r="AW7" s="38"/>
      <c r="AX7" s="38"/>
      <c r="AY7" s="38"/>
      <c r="AZ7" s="38"/>
      <c r="BA7" s="38"/>
      <c r="BB7" s="38"/>
      <c r="BC7" s="38"/>
      <c r="BD7" s="38"/>
      <c r="BE7" s="38"/>
      <c r="BF7" s="38"/>
      <c r="BG7" s="38"/>
      <c r="BH7" s="38"/>
      <c r="BI7" s="38"/>
      <c r="BJ7" s="38"/>
      <c r="BK7" s="38"/>
    </row>
    <row r="8" spans="1:254" ht="122.25" x14ac:dyDescent="0.25">
      <c r="A8" s="2861"/>
      <c r="B8" s="2844"/>
      <c r="C8" s="2844"/>
      <c r="D8" s="2844"/>
      <c r="E8" s="2844"/>
      <c r="F8" s="2844"/>
      <c r="G8" s="2844"/>
      <c r="H8" s="2844"/>
      <c r="I8" s="2844"/>
      <c r="J8" s="2844"/>
      <c r="K8" s="2844"/>
      <c r="L8" s="2844"/>
      <c r="M8" s="2871"/>
      <c r="N8" s="2840"/>
      <c r="O8" s="2844"/>
      <c r="P8" s="2844"/>
      <c r="Q8" s="2846"/>
      <c r="R8" s="2848"/>
      <c r="S8" s="2850"/>
      <c r="T8" s="2850"/>
      <c r="U8" s="2844"/>
      <c r="V8" s="2873"/>
      <c r="W8" s="864" t="s">
        <v>9</v>
      </c>
      <c r="X8" s="2840"/>
      <c r="Y8" s="865" t="s">
        <v>32</v>
      </c>
      <c r="Z8" s="866" t="s">
        <v>33</v>
      </c>
      <c r="AA8" s="865" t="s">
        <v>34</v>
      </c>
      <c r="AB8" s="865" t="s">
        <v>35</v>
      </c>
      <c r="AC8" s="865" t="s">
        <v>95</v>
      </c>
      <c r="AD8" s="865" t="s">
        <v>37</v>
      </c>
      <c r="AE8" s="865" t="s">
        <v>38</v>
      </c>
      <c r="AF8" s="865" t="s">
        <v>39</v>
      </c>
      <c r="AG8" s="865" t="s">
        <v>40</v>
      </c>
      <c r="AH8" s="865" t="s">
        <v>41</v>
      </c>
      <c r="AI8" s="865" t="s">
        <v>42</v>
      </c>
      <c r="AJ8" s="865" t="s">
        <v>43</v>
      </c>
      <c r="AK8" s="865" t="s">
        <v>44</v>
      </c>
      <c r="AL8" s="865" t="s">
        <v>45</v>
      </c>
      <c r="AM8" s="865" t="s">
        <v>46</v>
      </c>
      <c r="AN8" s="2870"/>
      <c r="AO8" s="2862"/>
      <c r="AP8" s="2862"/>
      <c r="AQ8" s="2864"/>
      <c r="AR8" s="38"/>
      <c r="AS8" s="38"/>
      <c r="AT8" s="38"/>
      <c r="AU8" s="38"/>
      <c r="AV8" s="38"/>
      <c r="AW8" s="38"/>
      <c r="AX8" s="38"/>
      <c r="AY8" s="38"/>
      <c r="AZ8" s="38"/>
      <c r="BA8" s="38"/>
      <c r="BB8" s="38"/>
      <c r="BC8" s="38"/>
      <c r="BD8" s="38"/>
      <c r="BE8" s="38"/>
      <c r="BF8" s="38"/>
      <c r="BG8" s="38"/>
      <c r="BH8" s="38"/>
      <c r="BI8" s="38"/>
      <c r="BJ8" s="38"/>
      <c r="BK8" s="38"/>
    </row>
    <row r="9" spans="1:254" x14ac:dyDescent="0.25">
      <c r="A9" s="867">
        <v>5</v>
      </c>
      <c r="B9" s="137" t="s">
        <v>47</v>
      </c>
      <c r="C9" s="137"/>
      <c r="D9" s="755"/>
      <c r="E9" s="755"/>
      <c r="F9" s="137"/>
      <c r="G9" s="137"/>
      <c r="H9" s="137"/>
      <c r="I9" s="137"/>
      <c r="J9" s="137"/>
      <c r="K9" s="130"/>
      <c r="L9" s="130"/>
      <c r="M9" s="131"/>
      <c r="N9" s="130"/>
      <c r="O9" s="130"/>
      <c r="P9" s="130"/>
      <c r="Q9" s="772"/>
      <c r="R9" s="868"/>
      <c r="S9" s="130"/>
      <c r="T9" s="130"/>
      <c r="U9" s="130"/>
      <c r="V9" s="869"/>
      <c r="W9" s="136"/>
      <c r="X9" s="130"/>
      <c r="Y9" s="137"/>
      <c r="Z9" s="137"/>
      <c r="AA9" s="137"/>
      <c r="AB9" s="137"/>
      <c r="AC9" s="137"/>
      <c r="AD9" s="137"/>
      <c r="AE9" s="137"/>
      <c r="AF9" s="137"/>
      <c r="AG9" s="137"/>
      <c r="AH9" s="137"/>
      <c r="AI9" s="137"/>
      <c r="AJ9" s="137"/>
      <c r="AK9" s="137"/>
      <c r="AL9" s="137"/>
      <c r="AM9" s="137"/>
      <c r="AN9" s="137"/>
      <c r="AO9" s="870"/>
      <c r="AP9" s="870"/>
      <c r="AQ9" s="871"/>
      <c r="AR9" s="38"/>
      <c r="AS9" s="38"/>
      <c r="AT9" s="38"/>
      <c r="AU9" s="38"/>
      <c r="AV9" s="38"/>
      <c r="AW9" s="38"/>
      <c r="AX9" s="38"/>
      <c r="AY9" s="38"/>
      <c r="AZ9" s="38"/>
      <c r="BA9" s="38"/>
      <c r="BB9" s="38"/>
      <c r="BC9" s="38"/>
      <c r="BD9" s="38"/>
      <c r="BE9" s="38"/>
      <c r="BF9" s="38"/>
      <c r="BG9" s="38"/>
      <c r="BH9" s="38"/>
      <c r="BI9" s="38"/>
      <c r="BJ9" s="38"/>
      <c r="BK9" s="38"/>
    </row>
    <row r="10" spans="1:254" x14ac:dyDescent="0.25">
      <c r="A10" s="786"/>
      <c r="B10" s="794"/>
      <c r="C10" s="794"/>
      <c r="D10" s="872">
        <v>28</v>
      </c>
      <c r="E10" s="151" t="s">
        <v>639</v>
      </c>
      <c r="F10" s="151"/>
      <c r="G10" s="151"/>
      <c r="H10" s="151"/>
      <c r="I10" s="151"/>
      <c r="J10" s="151"/>
      <c r="K10" s="144"/>
      <c r="L10" s="144"/>
      <c r="M10" s="145"/>
      <c r="N10" s="873"/>
      <c r="O10" s="144"/>
      <c r="P10" s="144"/>
      <c r="Q10" s="780"/>
      <c r="R10" s="874"/>
      <c r="S10" s="144"/>
      <c r="T10" s="144"/>
      <c r="U10" s="144"/>
      <c r="V10" s="875"/>
      <c r="W10" s="150"/>
      <c r="X10" s="144"/>
      <c r="Y10" s="151"/>
      <c r="Z10" s="151"/>
      <c r="AA10" s="151"/>
      <c r="AB10" s="151"/>
      <c r="AC10" s="151"/>
      <c r="AD10" s="151"/>
      <c r="AE10" s="151"/>
      <c r="AF10" s="151"/>
      <c r="AG10" s="151"/>
      <c r="AH10" s="151"/>
      <c r="AI10" s="151"/>
      <c r="AJ10" s="151"/>
      <c r="AK10" s="151"/>
      <c r="AL10" s="151"/>
      <c r="AM10" s="151"/>
      <c r="AN10" s="151"/>
      <c r="AO10" s="152"/>
      <c r="AP10" s="152"/>
      <c r="AQ10" s="876"/>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row>
    <row r="11" spans="1:254" x14ac:dyDescent="0.25">
      <c r="A11" s="786"/>
      <c r="B11" s="794"/>
      <c r="C11" s="794"/>
      <c r="D11" s="810"/>
      <c r="E11" s="794"/>
      <c r="F11" s="794"/>
      <c r="G11" s="609">
        <v>89</v>
      </c>
      <c r="H11" s="165" t="s">
        <v>325</v>
      </c>
      <c r="I11" s="165"/>
      <c r="J11" s="165"/>
      <c r="K11" s="805"/>
      <c r="L11" s="805"/>
      <c r="M11" s="260"/>
      <c r="N11" s="877"/>
      <c r="O11" s="805"/>
      <c r="P11" s="805"/>
      <c r="Q11" s="804"/>
      <c r="R11" s="878"/>
      <c r="S11" s="805"/>
      <c r="T11" s="805"/>
      <c r="U11" s="805"/>
      <c r="V11" s="879"/>
      <c r="W11" s="807"/>
      <c r="X11" s="805"/>
      <c r="Y11" s="787"/>
      <c r="Z11" s="787"/>
      <c r="AA11" s="787"/>
      <c r="AB11" s="787"/>
      <c r="AC11" s="787"/>
      <c r="AD11" s="787"/>
      <c r="AE11" s="787"/>
      <c r="AF11" s="787"/>
      <c r="AG11" s="787"/>
      <c r="AH11" s="787"/>
      <c r="AI11" s="787"/>
      <c r="AJ11" s="787"/>
      <c r="AK11" s="787"/>
      <c r="AL11" s="787"/>
      <c r="AM11" s="787"/>
      <c r="AN11" s="787"/>
      <c r="AO11" s="880"/>
      <c r="AP11" s="880"/>
      <c r="AQ11" s="881"/>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row>
    <row r="12" spans="1:254" ht="71.25" customHeight="1" x14ac:dyDescent="0.25">
      <c r="A12" s="882"/>
      <c r="B12" s="797"/>
      <c r="C12" s="797"/>
      <c r="D12" s="801"/>
      <c r="E12" s="797"/>
      <c r="F12" s="797"/>
      <c r="G12" s="825"/>
      <c r="H12" s="797"/>
      <c r="I12" s="797"/>
      <c r="J12" s="2588">
        <v>275</v>
      </c>
      <c r="K12" s="2802" t="s">
        <v>640</v>
      </c>
      <c r="L12" s="754" t="s">
        <v>641</v>
      </c>
      <c r="M12" s="752">
        <v>4</v>
      </c>
      <c r="N12" s="2588" t="s">
        <v>642</v>
      </c>
      <c r="O12" s="2817" t="s">
        <v>643</v>
      </c>
      <c r="P12" s="2607" t="s">
        <v>644</v>
      </c>
      <c r="Q12" s="2804">
        <f>+SUM(V12:V13)/R12</f>
        <v>0.65186261775872112</v>
      </c>
      <c r="R12" s="2818">
        <f>SUM(V12:V18)</f>
        <v>1905945991</v>
      </c>
      <c r="S12" s="2607" t="s">
        <v>645</v>
      </c>
      <c r="T12" s="2802" t="s">
        <v>646</v>
      </c>
      <c r="U12" s="2837" t="s">
        <v>647</v>
      </c>
      <c r="V12" s="883">
        <f>952473039-25058096</f>
        <v>927414943</v>
      </c>
      <c r="W12" s="884">
        <v>20</v>
      </c>
      <c r="X12" s="839" t="s">
        <v>648</v>
      </c>
      <c r="Y12" s="2819">
        <v>294321</v>
      </c>
      <c r="Z12" s="2823">
        <v>283947</v>
      </c>
      <c r="AA12" s="2823">
        <v>135754</v>
      </c>
      <c r="AB12" s="2823">
        <v>44640</v>
      </c>
      <c r="AC12" s="2823">
        <v>308178</v>
      </c>
      <c r="AD12" s="2823">
        <v>89696</v>
      </c>
      <c r="AE12" s="2823">
        <v>2145</v>
      </c>
      <c r="AF12" s="2823">
        <v>12718</v>
      </c>
      <c r="AG12" s="2823">
        <v>26</v>
      </c>
      <c r="AH12" s="2823">
        <v>37</v>
      </c>
      <c r="AI12" s="2823"/>
      <c r="AJ12" s="2823"/>
      <c r="AK12" s="2823">
        <v>54612</v>
      </c>
      <c r="AL12" s="2823">
        <v>21944</v>
      </c>
      <c r="AM12" s="2823">
        <v>1010</v>
      </c>
      <c r="AN12" s="2823">
        <f>+Y12+Z12</f>
        <v>578268</v>
      </c>
      <c r="AO12" s="2828">
        <v>43473</v>
      </c>
      <c r="AP12" s="2831">
        <v>43830</v>
      </c>
      <c r="AQ12" s="2800" t="s">
        <v>649</v>
      </c>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row>
    <row r="13" spans="1:254" ht="71.25" customHeight="1" x14ac:dyDescent="0.25">
      <c r="A13" s="882"/>
      <c r="B13" s="797"/>
      <c r="C13" s="797"/>
      <c r="D13" s="801"/>
      <c r="E13" s="797"/>
      <c r="F13" s="797"/>
      <c r="G13" s="801"/>
      <c r="H13" s="797"/>
      <c r="I13" s="797"/>
      <c r="J13" s="2609"/>
      <c r="K13" s="2835"/>
      <c r="L13" s="754"/>
      <c r="M13" s="885"/>
      <c r="N13" s="2608"/>
      <c r="O13" s="2817"/>
      <c r="P13" s="2607"/>
      <c r="Q13" s="2834"/>
      <c r="R13" s="2818"/>
      <c r="S13" s="2607"/>
      <c r="T13" s="2835"/>
      <c r="U13" s="2838"/>
      <c r="V13" s="883">
        <f>0+359941904-44941904</f>
        <v>315000000</v>
      </c>
      <c r="W13" s="884">
        <v>88</v>
      </c>
      <c r="X13" s="839" t="s">
        <v>61</v>
      </c>
      <c r="Y13" s="2820"/>
      <c r="Z13" s="2821"/>
      <c r="AA13" s="2821"/>
      <c r="AB13" s="2821"/>
      <c r="AC13" s="2821"/>
      <c r="AD13" s="2821"/>
      <c r="AE13" s="2821"/>
      <c r="AF13" s="2821"/>
      <c r="AG13" s="2821"/>
      <c r="AH13" s="2821"/>
      <c r="AI13" s="2821"/>
      <c r="AJ13" s="2821"/>
      <c r="AK13" s="2821"/>
      <c r="AL13" s="2821"/>
      <c r="AM13" s="2821"/>
      <c r="AN13" s="2821"/>
      <c r="AO13" s="2829"/>
      <c r="AP13" s="2832"/>
      <c r="AQ13" s="2800"/>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row>
    <row r="14" spans="1:254" ht="76.5" customHeight="1" x14ac:dyDescent="0.25">
      <c r="A14" s="882"/>
      <c r="B14" s="2816"/>
      <c r="C14" s="2816"/>
      <c r="D14" s="801"/>
      <c r="E14" s="2816"/>
      <c r="F14" s="2816"/>
      <c r="G14" s="801"/>
      <c r="H14" s="2816"/>
      <c r="I14" s="2816"/>
      <c r="J14" s="2588">
        <v>276</v>
      </c>
      <c r="K14" s="2836" t="s">
        <v>650</v>
      </c>
      <c r="L14" s="2607" t="s">
        <v>651</v>
      </c>
      <c r="M14" s="2826">
        <v>1</v>
      </c>
      <c r="N14" s="2608"/>
      <c r="O14" s="2817"/>
      <c r="P14" s="2607"/>
      <c r="Q14" s="2827">
        <f>+SUM(V14:V15)/R12</f>
        <v>0.21696892249450944</v>
      </c>
      <c r="R14" s="2818"/>
      <c r="S14" s="2607"/>
      <c r="T14" s="2607" t="s">
        <v>652</v>
      </c>
      <c r="U14" s="2607" t="s">
        <v>653</v>
      </c>
      <c r="V14" s="886">
        <f>240000000+25058096</f>
        <v>265058096</v>
      </c>
      <c r="W14" s="884">
        <v>20</v>
      </c>
      <c r="X14" s="839" t="s">
        <v>648</v>
      </c>
      <c r="Y14" s="2820"/>
      <c r="Z14" s="2821"/>
      <c r="AA14" s="2821"/>
      <c r="AB14" s="2821"/>
      <c r="AC14" s="2821"/>
      <c r="AD14" s="2821"/>
      <c r="AE14" s="2821"/>
      <c r="AF14" s="2821"/>
      <c r="AG14" s="2821"/>
      <c r="AH14" s="2821"/>
      <c r="AI14" s="2821"/>
      <c r="AJ14" s="2821"/>
      <c r="AK14" s="2821"/>
      <c r="AL14" s="2821"/>
      <c r="AM14" s="2821"/>
      <c r="AN14" s="2821"/>
      <c r="AO14" s="2829"/>
      <c r="AP14" s="2832"/>
      <c r="AQ14" s="2800"/>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row>
    <row r="15" spans="1:254" ht="76.5" customHeight="1" x14ac:dyDescent="0.25">
      <c r="A15" s="882"/>
      <c r="B15" s="797"/>
      <c r="C15" s="797"/>
      <c r="D15" s="801"/>
      <c r="E15" s="797"/>
      <c r="F15" s="797"/>
      <c r="G15" s="801"/>
      <c r="H15" s="797"/>
      <c r="I15" s="797"/>
      <c r="J15" s="2609"/>
      <c r="K15" s="2836"/>
      <c r="L15" s="2607"/>
      <c r="M15" s="2826"/>
      <c r="N15" s="2608"/>
      <c r="O15" s="2817"/>
      <c r="P15" s="2607"/>
      <c r="Q15" s="2827"/>
      <c r="R15" s="2818"/>
      <c r="S15" s="2607"/>
      <c r="T15" s="2607"/>
      <c r="U15" s="2607"/>
      <c r="V15" s="886">
        <f>0+103531048+44941904</f>
        <v>148472952</v>
      </c>
      <c r="W15" s="884">
        <v>88</v>
      </c>
      <c r="X15" s="839" t="s">
        <v>61</v>
      </c>
      <c r="Y15" s="2820"/>
      <c r="Z15" s="2821"/>
      <c r="AA15" s="2821"/>
      <c r="AB15" s="2821"/>
      <c r="AC15" s="2821"/>
      <c r="AD15" s="2821"/>
      <c r="AE15" s="2821"/>
      <c r="AF15" s="2821"/>
      <c r="AG15" s="2821"/>
      <c r="AH15" s="2821"/>
      <c r="AI15" s="2821"/>
      <c r="AJ15" s="2821"/>
      <c r="AK15" s="2821"/>
      <c r="AL15" s="2821"/>
      <c r="AM15" s="2821"/>
      <c r="AN15" s="2821"/>
      <c r="AO15" s="2829"/>
      <c r="AP15" s="2832"/>
      <c r="AQ15" s="2800"/>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row>
    <row r="16" spans="1:254" x14ac:dyDescent="0.25">
      <c r="A16" s="882"/>
      <c r="B16" s="797"/>
      <c r="C16" s="797"/>
      <c r="D16" s="801"/>
      <c r="E16" s="797"/>
      <c r="F16" s="797"/>
      <c r="G16" s="801"/>
      <c r="H16" s="797"/>
      <c r="I16" s="797"/>
      <c r="J16" s="2608">
        <v>277</v>
      </c>
      <c r="K16" s="2607" t="s">
        <v>654</v>
      </c>
      <c r="L16" s="2607" t="s">
        <v>655</v>
      </c>
      <c r="M16" s="2826">
        <v>1</v>
      </c>
      <c r="N16" s="2608"/>
      <c r="O16" s="2817"/>
      <c r="P16" s="2607"/>
      <c r="Q16" s="2827">
        <f>+V16/R12</f>
        <v>0.13116845974676938</v>
      </c>
      <c r="R16" s="2818"/>
      <c r="S16" s="2607"/>
      <c r="T16" s="2607" t="s">
        <v>656</v>
      </c>
      <c r="U16" s="2607" t="s">
        <v>657</v>
      </c>
      <c r="V16" s="2824">
        <v>250000000</v>
      </c>
      <c r="W16" s="2825">
        <v>56</v>
      </c>
      <c r="X16" s="2608" t="s">
        <v>658</v>
      </c>
      <c r="Y16" s="2821"/>
      <c r="Z16" s="2821"/>
      <c r="AA16" s="2821"/>
      <c r="AB16" s="2821"/>
      <c r="AC16" s="2821"/>
      <c r="AD16" s="2821"/>
      <c r="AE16" s="2821"/>
      <c r="AF16" s="2821"/>
      <c r="AG16" s="2821"/>
      <c r="AH16" s="2821"/>
      <c r="AI16" s="2821"/>
      <c r="AJ16" s="2821"/>
      <c r="AK16" s="2821"/>
      <c r="AL16" s="2821"/>
      <c r="AM16" s="2821"/>
      <c r="AN16" s="2821"/>
      <c r="AO16" s="2829"/>
      <c r="AP16" s="2832"/>
      <c r="AQ16" s="2800"/>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row>
    <row r="17" spans="1:254" x14ac:dyDescent="0.25">
      <c r="A17" s="882"/>
      <c r="B17" s="797"/>
      <c r="C17" s="797"/>
      <c r="D17" s="801"/>
      <c r="E17" s="797"/>
      <c r="F17" s="797"/>
      <c r="G17" s="801"/>
      <c r="H17" s="797"/>
      <c r="I17" s="797"/>
      <c r="J17" s="2608"/>
      <c r="K17" s="2607"/>
      <c r="L17" s="2607"/>
      <c r="M17" s="2826"/>
      <c r="N17" s="2608"/>
      <c r="O17" s="2817"/>
      <c r="P17" s="2607"/>
      <c r="Q17" s="2827"/>
      <c r="R17" s="2818"/>
      <c r="S17" s="2607"/>
      <c r="T17" s="2607"/>
      <c r="U17" s="2607"/>
      <c r="V17" s="2824"/>
      <c r="W17" s="2825"/>
      <c r="X17" s="2608"/>
      <c r="Y17" s="2821"/>
      <c r="Z17" s="2821"/>
      <c r="AA17" s="2821"/>
      <c r="AB17" s="2821"/>
      <c r="AC17" s="2821"/>
      <c r="AD17" s="2821"/>
      <c r="AE17" s="2821"/>
      <c r="AF17" s="2821"/>
      <c r="AG17" s="2821"/>
      <c r="AH17" s="2821"/>
      <c r="AI17" s="2821"/>
      <c r="AJ17" s="2821"/>
      <c r="AK17" s="2821"/>
      <c r="AL17" s="2821"/>
      <c r="AM17" s="2821"/>
      <c r="AN17" s="2821"/>
      <c r="AO17" s="2829"/>
      <c r="AP17" s="2832"/>
      <c r="AQ17" s="2800"/>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row>
    <row r="18" spans="1:254" ht="56.25" customHeight="1" x14ac:dyDescent="0.25">
      <c r="A18" s="882"/>
      <c r="B18" s="797"/>
      <c r="C18" s="797"/>
      <c r="D18" s="801"/>
      <c r="E18" s="797"/>
      <c r="F18" s="797"/>
      <c r="G18" s="801"/>
      <c r="H18" s="797"/>
      <c r="I18" s="797"/>
      <c r="J18" s="2608"/>
      <c r="K18" s="2607"/>
      <c r="L18" s="2607"/>
      <c r="M18" s="2826"/>
      <c r="N18" s="2609"/>
      <c r="O18" s="2817"/>
      <c r="P18" s="2607"/>
      <c r="Q18" s="2827"/>
      <c r="R18" s="2818"/>
      <c r="S18" s="2607"/>
      <c r="T18" s="2607"/>
      <c r="U18" s="2607"/>
      <c r="V18" s="2824"/>
      <c r="W18" s="2825"/>
      <c r="X18" s="2608"/>
      <c r="Y18" s="2822"/>
      <c r="Z18" s="2822"/>
      <c r="AA18" s="2822"/>
      <c r="AB18" s="2822"/>
      <c r="AC18" s="2822"/>
      <c r="AD18" s="2822"/>
      <c r="AE18" s="2822"/>
      <c r="AF18" s="2822"/>
      <c r="AG18" s="2822"/>
      <c r="AH18" s="2822"/>
      <c r="AI18" s="2822"/>
      <c r="AJ18" s="2822"/>
      <c r="AK18" s="2822"/>
      <c r="AL18" s="2822"/>
      <c r="AM18" s="2822"/>
      <c r="AN18" s="2822"/>
      <c r="AO18" s="2830"/>
      <c r="AP18" s="2833"/>
      <c r="AQ18" s="2800"/>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row>
    <row r="19" spans="1:254" ht="90" x14ac:dyDescent="0.25">
      <c r="A19" s="882"/>
      <c r="B19" s="2816"/>
      <c r="C19" s="2816"/>
      <c r="D19" s="801"/>
      <c r="E19" s="2816"/>
      <c r="F19" s="2816"/>
      <c r="G19" s="801"/>
      <c r="H19" s="2816"/>
      <c r="I19" s="2816"/>
      <c r="J19" s="751">
        <v>278</v>
      </c>
      <c r="K19" s="753" t="s">
        <v>659</v>
      </c>
      <c r="L19" s="753" t="s">
        <v>660</v>
      </c>
      <c r="M19" s="887">
        <v>1</v>
      </c>
      <c r="N19" s="2588" t="s">
        <v>661</v>
      </c>
      <c r="O19" s="2817" t="s">
        <v>662</v>
      </c>
      <c r="P19" s="2607" t="s">
        <v>663</v>
      </c>
      <c r="Q19" s="888">
        <f>+V19/R19</f>
        <v>2.3035344376974434E-2</v>
      </c>
      <c r="R19" s="2818">
        <f>SUM(V19:V21)</f>
        <v>477527048</v>
      </c>
      <c r="S19" s="2607" t="s">
        <v>664</v>
      </c>
      <c r="T19" s="750" t="s">
        <v>665</v>
      </c>
      <c r="U19" s="750" t="s">
        <v>666</v>
      </c>
      <c r="V19" s="883">
        <f>10000000+1000000</f>
        <v>11000000</v>
      </c>
      <c r="W19" s="884">
        <v>20</v>
      </c>
      <c r="X19" s="889" t="s">
        <v>667</v>
      </c>
      <c r="Y19" s="2814">
        <v>294321</v>
      </c>
      <c r="Z19" s="2810">
        <v>283947</v>
      </c>
      <c r="AA19" s="2810">
        <v>135754</v>
      </c>
      <c r="AB19" s="2810">
        <v>44640</v>
      </c>
      <c r="AC19" s="2810">
        <v>308178</v>
      </c>
      <c r="AD19" s="2810">
        <v>89696</v>
      </c>
      <c r="AE19" s="2810">
        <v>2145</v>
      </c>
      <c r="AF19" s="2810">
        <v>12718</v>
      </c>
      <c r="AG19" s="2810">
        <v>26</v>
      </c>
      <c r="AH19" s="2810">
        <v>37</v>
      </c>
      <c r="AI19" s="2810">
        <v>0</v>
      </c>
      <c r="AJ19" s="2810">
        <v>0</v>
      </c>
      <c r="AK19" s="2810">
        <v>54612</v>
      </c>
      <c r="AL19" s="2810">
        <v>21944</v>
      </c>
      <c r="AM19" s="2810">
        <v>1010</v>
      </c>
      <c r="AN19" s="2810">
        <f>+Y19+Z19</f>
        <v>578268</v>
      </c>
      <c r="AO19" s="2812">
        <v>43473</v>
      </c>
      <c r="AP19" s="2813">
        <v>43830</v>
      </c>
      <c r="AQ19" s="2800" t="s">
        <v>668</v>
      </c>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row>
    <row r="20" spans="1:254" ht="73.5" customHeight="1" x14ac:dyDescent="0.25">
      <c r="A20" s="882"/>
      <c r="B20" s="797"/>
      <c r="C20" s="797"/>
      <c r="D20" s="801"/>
      <c r="E20" s="797"/>
      <c r="F20" s="797"/>
      <c r="G20" s="801"/>
      <c r="H20" s="797"/>
      <c r="I20" s="797"/>
      <c r="J20" s="2588">
        <v>279</v>
      </c>
      <c r="K20" s="2802" t="s">
        <v>669</v>
      </c>
      <c r="L20" s="2588" t="s">
        <v>670</v>
      </c>
      <c r="M20" s="2588">
        <v>1</v>
      </c>
      <c r="N20" s="2608"/>
      <c r="O20" s="2817"/>
      <c r="P20" s="2607"/>
      <c r="Q20" s="2804">
        <f>+SUM(V20:V21)/R19</f>
        <v>0.97696465562302559</v>
      </c>
      <c r="R20" s="2818"/>
      <c r="S20" s="2607"/>
      <c r="T20" s="2806" t="s">
        <v>671</v>
      </c>
      <c r="U20" s="2808" t="s">
        <v>672</v>
      </c>
      <c r="V20" s="883">
        <f>306000000+34000000</f>
        <v>340000000</v>
      </c>
      <c r="W20" s="884">
        <v>20</v>
      </c>
      <c r="X20" s="889" t="s">
        <v>667</v>
      </c>
      <c r="Y20" s="2815"/>
      <c r="Z20" s="2811"/>
      <c r="AA20" s="2811"/>
      <c r="AB20" s="2811"/>
      <c r="AC20" s="2811"/>
      <c r="AD20" s="2811"/>
      <c r="AE20" s="2811"/>
      <c r="AF20" s="2811"/>
      <c r="AG20" s="2811"/>
      <c r="AH20" s="2811"/>
      <c r="AI20" s="2811"/>
      <c r="AJ20" s="2811"/>
      <c r="AK20" s="2811"/>
      <c r="AL20" s="2811"/>
      <c r="AM20" s="2811"/>
      <c r="AN20" s="2811"/>
      <c r="AO20" s="2812"/>
      <c r="AP20" s="2813"/>
      <c r="AQ20" s="2800"/>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row>
    <row r="21" spans="1:254" ht="73.5" customHeight="1" thickBot="1" x14ac:dyDescent="0.3">
      <c r="A21" s="882"/>
      <c r="B21" s="797"/>
      <c r="C21" s="797"/>
      <c r="D21" s="801"/>
      <c r="E21" s="797"/>
      <c r="F21" s="797"/>
      <c r="G21" s="801"/>
      <c r="H21" s="797"/>
      <c r="I21" s="797"/>
      <c r="J21" s="2801"/>
      <c r="K21" s="2803"/>
      <c r="L21" s="2801"/>
      <c r="M21" s="2801"/>
      <c r="N21" s="2608"/>
      <c r="O21" s="2587"/>
      <c r="P21" s="2607"/>
      <c r="Q21" s="2805"/>
      <c r="R21" s="2818"/>
      <c r="S21" s="2607"/>
      <c r="T21" s="2807"/>
      <c r="U21" s="2809"/>
      <c r="V21" s="883">
        <f>0+126527048</f>
        <v>126527048</v>
      </c>
      <c r="W21" s="884">
        <v>88</v>
      </c>
      <c r="X21" s="889" t="s">
        <v>61</v>
      </c>
      <c r="Y21" s="2815"/>
      <c r="Z21" s="2811"/>
      <c r="AA21" s="2811"/>
      <c r="AB21" s="2811"/>
      <c r="AC21" s="2811"/>
      <c r="AD21" s="2811"/>
      <c r="AE21" s="2811"/>
      <c r="AF21" s="2811"/>
      <c r="AG21" s="2811"/>
      <c r="AH21" s="2811"/>
      <c r="AI21" s="2811"/>
      <c r="AJ21" s="2811"/>
      <c r="AK21" s="2811"/>
      <c r="AL21" s="2811"/>
      <c r="AM21" s="2811"/>
      <c r="AN21" s="2811"/>
      <c r="AO21" s="2812"/>
      <c r="AP21" s="2813"/>
      <c r="AQ21" s="2800"/>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row>
    <row r="22" spans="1:254" ht="16.5" thickBot="1" x14ac:dyDescent="0.3">
      <c r="A22" s="890"/>
      <c r="B22" s="891"/>
      <c r="C22" s="891"/>
      <c r="D22" s="891"/>
      <c r="E22" s="891"/>
      <c r="F22" s="891"/>
      <c r="G22" s="891"/>
      <c r="H22" s="891"/>
      <c r="I22" s="891"/>
      <c r="J22" s="892"/>
      <c r="K22" s="893"/>
      <c r="L22" s="893"/>
      <c r="M22" s="338"/>
      <c r="N22" s="893"/>
      <c r="O22" s="893"/>
      <c r="P22" s="893"/>
      <c r="Q22" s="894"/>
      <c r="R22" s="895">
        <f>SUM(R12:R21)</f>
        <v>2383473039</v>
      </c>
      <c r="S22" s="896"/>
      <c r="T22" s="893"/>
      <c r="U22" s="352"/>
      <c r="V22" s="897">
        <f>SUM(V12:V21)</f>
        <v>2383473039</v>
      </c>
      <c r="W22" s="846"/>
      <c r="X22" s="898"/>
      <c r="Y22" s="891"/>
      <c r="Z22" s="891"/>
      <c r="AA22" s="891"/>
      <c r="AB22" s="891"/>
      <c r="AC22" s="891"/>
      <c r="AD22" s="891"/>
      <c r="AE22" s="891"/>
      <c r="AF22" s="891"/>
      <c r="AG22" s="891"/>
      <c r="AH22" s="891"/>
      <c r="AI22" s="891"/>
      <c r="AJ22" s="891"/>
      <c r="AK22" s="891"/>
      <c r="AL22" s="891"/>
      <c r="AM22" s="891"/>
      <c r="AN22" s="891"/>
      <c r="AO22" s="350"/>
      <c r="AP22" s="899"/>
      <c r="AQ22" s="352"/>
      <c r="AR22" s="716"/>
      <c r="AS22" s="716"/>
      <c r="AT22" s="716"/>
      <c r="AU22" s="716"/>
      <c r="AV22" s="716"/>
      <c r="AW22" s="716"/>
      <c r="AX22" s="716"/>
      <c r="AY22" s="716"/>
      <c r="AZ22" s="716"/>
      <c r="BA22" s="716"/>
      <c r="BB22" s="716"/>
      <c r="BC22" s="716"/>
      <c r="BD22" s="716"/>
      <c r="BE22" s="716"/>
      <c r="BF22" s="716"/>
      <c r="BG22" s="716"/>
      <c r="BH22" s="716"/>
      <c r="BI22" s="716"/>
      <c r="BJ22" s="716"/>
      <c r="BK22" s="716"/>
      <c r="BL22" s="716"/>
      <c r="BM22" s="716"/>
      <c r="BN22" s="716"/>
      <c r="BO22" s="716"/>
      <c r="BP22" s="716"/>
      <c r="BQ22" s="716"/>
      <c r="BR22" s="716"/>
      <c r="BS22" s="716"/>
      <c r="BT22" s="716"/>
      <c r="BU22" s="716"/>
      <c r="BV22" s="716"/>
      <c r="BW22" s="716"/>
      <c r="BX22" s="716"/>
      <c r="BY22" s="716"/>
      <c r="BZ22" s="716"/>
      <c r="CA22" s="716"/>
      <c r="CB22" s="716"/>
      <c r="CC22" s="716"/>
      <c r="CD22" s="716"/>
      <c r="CE22" s="716"/>
      <c r="CF22" s="716"/>
      <c r="CG22" s="716"/>
      <c r="CH22" s="716"/>
      <c r="CI22" s="716"/>
      <c r="CJ22" s="716"/>
      <c r="CK22" s="716"/>
      <c r="CL22" s="716"/>
      <c r="CM22" s="716"/>
      <c r="CN22" s="716"/>
      <c r="CO22" s="716"/>
      <c r="CP22" s="716"/>
      <c r="CQ22" s="716"/>
      <c r="CR22" s="716"/>
      <c r="CS22" s="716"/>
      <c r="CT22" s="716"/>
      <c r="CU22" s="716"/>
      <c r="CV22" s="716"/>
      <c r="CW22" s="716"/>
      <c r="CX22" s="716"/>
      <c r="CY22" s="716"/>
      <c r="CZ22" s="716"/>
      <c r="DA22" s="716"/>
      <c r="DB22" s="716"/>
      <c r="DC22" s="716"/>
      <c r="DD22" s="716"/>
      <c r="DE22" s="716"/>
      <c r="DF22" s="716"/>
      <c r="DG22" s="716"/>
      <c r="DH22" s="716"/>
      <c r="DI22" s="716"/>
      <c r="DJ22" s="716"/>
      <c r="DK22" s="716"/>
      <c r="DL22" s="716"/>
      <c r="DM22" s="716"/>
      <c r="DN22" s="716"/>
      <c r="DO22" s="716"/>
      <c r="DP22" s="716"/>
      <c r="DQ22" s="716"/>
      <c r="DR22" s="716"/>
      <c r="DS22" s="716"/>
      <c r="DT22" s="716"/>
      <c r="DU22" s="716"/>
      <c r="DV22" s="716"/>
      <c r="DW22" s="716"/>
      <c r="DX22" s="716"/>
      <c r="DY22" s="716"/>
      <c r="DZ22" s="716"/>
      <c r="EA22" s="716"/>
      <c r="EB22" s="716"/>
      <c r="EC22" s="716"/>
      <c r="ED22" s="716"/>
      <c r="EE22" s="716"/>
      <c r="EF22" s="716"/>
      <c r="EG22" s="716"/>
      <c r="EH22" s="716"/>
      <c r="EI22" s="716"/>
      <c r="EJ22" s="716"/>
      <c r="EK22" s="716"/>
      <c r="EL22" s="716"/>
      <c r="EM22" s="716"/>
      <c r="EN22" s="716"/>
      <c r="EO22" s="716"/>
      <c r="EP22" s="716"/>
      <c r="EQ22" s="716"/>
      <c r="ER22" s="716"/>
      <c r="ES22" s="716"/>
      <c r="ET22" s="716"/>
      <c r="EU22" s="716"/>
      <c r="EV22" s="716"/>
      <c r="EW22" s="716"/>
      <c r="EX22" s="716"/>
      <c r="EY22" s="716"/>
      <c r="EZ22" s="716"/>
      <c r="FA22" s="716"/>
      <c r="FB22" s="716"/>
      <c r="FC22" s="716"/>
      <c r="FD22" s="716"/>
      <c r="FE22" s="716"/>
      <c r="FF22" s="716"/>
      <c r="FG22" s="716"/>
      <c r="FH22" s="716"/>
      <c r="FI22" s="716"/>
      <c r="FJ22" s="716"/>
      <c r="FK22" s="716"/>
      <c r="FL22" s="716"/>
      <c r="FM22" s="716"/>
      <c r="FN22" s="716"/>
      <c r="FO22" s="716"/>
      <c r="FP22" s="716"/>
      <c r="FQ22" s="716"/>
      <c r="FR22" s="716"/>
      <c r="FS22" s="716"/>
      <c r="FT22" s="716"/>
      <c r="FU22" s="716"/>
      <c r="FV22" s="716"/>
      <c r="FW22" s="716"/>
      <c r="FX22" s="716"/>
      <c r="FY22" s="716"/>
      <c r="FZ22" s="716"/>
      <c r="GA22" s="716"/>
      <c r="GB22" s="716"/>
      <c r="GC22" s="716"/>
      <c r="GD22" s="716"/>
      <c r="GE22" s="716"/>
      <c r="GF22" s="716"/>
      <c r="GG22" s="716"/>
      <c r="GH22" s="716"/>
      <c r="GI22" s="716"/>
      <c r="GJ22" s="716"/>
      <c r="GK22" s="716"/>
      <c r="GL22" s="716"/>
      <c r="GM22" s="716"/>
      <c r="GN22" s="716"/>
      <c r="GO22" s="716"/>
      <c r="GP22" s="716"/>
      <c r="GQ22" s="716"/>
      <c r="GR22" s="716"/>
      <c r="GS22" s="716"/>
      <c r="GT22" s="716"/>
      <c r="GU22" s="716"/>
      <c r="GV22" s="716"/>
      <c r="GW22" s="716"/>
      <c r="GX22" s="716"/>
      <c r="GY22" s="716"/>
      <c r="GZ22" s="716"/>
      <c r="HA22" s="716"/>
      <c r="HB22" s="716"/>
      <c r="HC22" s="716"/>
      <c r="HD22" s="716"/>
      <c r="HE22" s="716"/>
      <c r="HF22" s="716"/>
      <c r="HG22" s="716"/>
      <c r="HH22" s="716"/>
      <c r="HI22" s="716"/>
      <c r="HJ22" s="716"/>
      <c r="HK22" s="716"/>
      <c r="HL22" s="716"/>
      <c r="HM22" s="716"/>
      <c r="HN22" s="716"/>
      <c r="HO22" s="716"/>
      <c r="HP22" s="716"/>
      <c r="HQ22" s="716"/>
      <c r="HR22" s="716"/>
      <c r="HS22" s="716"/>
      <c r="HT22" s="716"/>
      <c r="HU22" s="716"/>
      <c r="HV22" s="716"/>
      <c r="HW22" s="716"/>
      <c r="HX22" s="716"/>
      <c r="HY22" s="716"/>
      <c r="HZ22" s="716"/>
      <c r="IA22" s="716"/>
      <c r="IB22" s="716"/>
      <c r="IC22" s="716"/>
      <c r="ID22" s="716"/>
      <c r="IE22" s="716"/>
      <c r="IF22" s="716"/>
      <c r="IG22" s="716"/>
      <c r="IH22" s="716"/>
      <c r="II22" s="716"/>
      <c r="IJ22" s="716"/>
      <c r="IK22" s="716"/>
      <c r="IL22" s="716"/>
      <c r="IM22" s="716"/>
      <c r="IN22" s="716"/>
      <c r="IO22" s="716"/>
      <c r="IP22" s="716"/>
      <c r="IQ22" s="716"/>
      <c r="IR22" s="716"/>
      <c r="IS22" s="716"/>
      <c r="IT22" s="716"/>
    </row>
    <row r="23" spans="1:254" x14ac:dyDescent="0.25">
      <c r="A23" s="2796"/>
      <c r="B23" s="2796"/>
      <c r="C23" s="2796"/>
      <c r="D23" s="2796"/>
      <c r="E23" s="2796"/>
      <c r="F23" s="2796"/>
      <c r="G23" s="2796"/>
      <c r="H23" s="2796"/>
      <c r="I23" s="2796"/>
      <c r="J23" s="2796"/>
      <c r="K23" s="2796"/>
      <c r="L23" s="2796"/>
      <c r="M23" s="2796"/>
      <c r="N23" s="2796"/>
      <c r="O23" s="2796"/>
      <c r="P23" s="2796"/>
      <c r="Q23" s="2796"/>
      <c r="R23" s="900" t="s">
        <v>673</v>
      </c>
      <c r="S23" s="2797"/>
      <c r="T23" s="2797"/>
      <c r="U23" s="2797"/>
      <c r="V23" s="901"/>
      <c r="W23" s="902"/>
      <c r="X23" s="184"/>
      <c r="Y23" s="38"/>
      <c r="Z23" s="903"/>
      <c r="AA23" s="903"/>
      <c r="AB23" s="903"/>
      <c r="AC23" s="904"/>
      <c r="AD23" s="904"/>
      <c r="AE23" s="904"/>
      <c r="AF23" s="904"/>
      <c r="AG23" s="904"/>
      <c r="AH23" s="904"/>
      <c r="AI23" s="904"/>
      <c r="AJ23" s="904"/>
      <c r="AK23" s="904"/>
      <c r="AL23" s="904"/>
      <c r="AM23" s="904"/>
      <c r="AN23" s="904"/>
      <c r="AO23" s="904"/>
      <c r="AP23" s="904"/>
      <c r="AQ23" s="904"/>
      <c r="AR23" s="904"/>
      <c r="AS23" s="904"/>
      <c r="AT23" s="904"/>
      <c r="AU23" s="904"/>
      <c r="AV23" s="904"/>
      <c r="AW23" s="904"/>
      <c r="AX23" s="904"/>
      <c r="AY23" s="904"/>
      <c r="AZ23" s="904"/>
      <c r="BA23" s="904"/>
      <c r="BB23" s="904"/>
      <c r="BC23" s="904"/>
      <c r="BD23" s="903"/>
      <c r="BE23" s="903"/>
      <c r="BF23" s="904"/>
      <c r="BG23" s="904"/>
      <c r="BH23" s="904"/>
      <c r="BI23" s="904"/>
      <c r="BJ23" s="904"/>
      <c r="BK23" s="904"/>
      <c r="BL23" s="904"/>
      <c r="BM23" s="904"/>
    </row>
    <row r="24" spans="1:254" x14ac:dyDescent="0.25">
      <c r="A24" s="584"/>
      <c r="B24" s="584"/>
      <c r="C24" s="584"/>
      <c r="D24" s="584"/>
      <c r="E24" s="584"/>
      <c r="F24" s="584"/>
      <c r="G24" s="584"/>
      <c r="H24" s="584"/>
      <c r="I24" s="584"/>
      <c r="J24" s="584"/>
      <c r="K24" s="584"/>
      <c r="L24" s="584"/>
      <c r="M24" s="584"/>
      <c r="N24" s="584"/>
      <c r="O24" s="584"/>
      <c r="P24" s="584"/>
      <c r="Q24" s="584"/>
      <c r="R24" s="900"/>
      <c r="S24" s="905"/>
      <c r="T24" s="905"/>
      <c r="U24" s="905"/>
      <c r="V24" s="901"/>
      <c r="W24" s="902"/>
      <c r="X24" s="184"/>
      <c r="Y24" s="906"/>
      <c r="Z24" s="906"/>
      <c r="AA24" s="906"/>
      <c r="AB24" s="906"/>
      <c r="AC24" s="906"/>
      <c r="AD24" s="906"/>
      <c r="AE24" s="906"/>
      <c r="AF24" s="906"/>
      <c r="AG24" s="906"/>
      <c r="AH24" s="906"/>
      <c r="AI24" s="906"/>
      <c r="AJ24" s="906"/>
      <c r="AK24" s="906"/>
      <c r="AL24" s="906"/>
      <c r="AM24" s="906"/>
      <c r="AN24" s="906"/>
      <c r="AO24" s="904"/>
      <c r="AP24" s="904"/>
      <c r="AQ24" s="904"/>
      <c r="AR24" s="904"/>
      <c r="AS24" s="904"/>
      <c r="AT24" s="904"/>
      <c r="AU24" s="904"/>
      <c r="AV24" s="904"/>
      <c r="AW24" s="904"/>
      <c r="AX24" s="904"/>
      <c r="AY24" s="904"/>
      <c r="AZ24" s="904"/>
      <c r="BA24" s="904"/>
      <c r="BB24" s="904"/>
      <c r="BC24" s="904"/>
      <c r="BD24" s="903"/>
      <c r="BE24" s="903"/>
      <c r="BF24" s="904"/>
      <c r="BG24" s="904"/>
      <c r="BH24" s="904"/>
      <c r="BI24" s="904"/>
      <c r="BJ24" s="904"/>
      <c r="BK24" s="904"/>
      <c r="BL24" s="904"/>
      <c r="BM24" s="904"/>
    </row>
    <row r="25" spans="1:254" x14ac:dyDescent="0.25">
      <c r="A25" s="584"/>
      <c r="B25" s="584"/>
      <c r="C25" s="584"/>
      <c r="D25" s="584"/>
      <c r="E25" s="584"/>
      <c r="F25" s="584"/>
      <c r="G25" s="584"/>
      <c r="H25" s="584"/>
      <c r="I25" s="584"/>
      <c r="J25" s="584"/>
      <c r="K25" s="584"/>
      <c r="L25" s="584"/>
      <c r="M25" s="584"/>
      <c r="N25" s="584"/>
      <c r="O25" s="584"/>
      <c r="P25" s="584"/>
      <c r="Q25" s="584"/>
      <c r="R25" s="900"/>
      <c r="S25" s="905"/>
      <c r="T25" s="905"/>
      <c r="U25" s="905"/>
      <c r="V25" s="901"/>
      <c r="W25" s="902"/>
      <c r="X25" s="184"/>
      <c r="Y25" s="38"/>
      <c r="Z25" s="903"/>
      <c r="AA25" s="903"/>
      <c r="AB25" s="903"/>
      <c r="AC25" s="904"/>
      <c r="AD25" s="904"/>
      <c r="AE25" s="904"/>
      <c r="AF25" s="904"/>
      <c r="AG25" s="904"/>
      <c r="AH25" s="904"/>
      <c r="AI25" s="904"/>
      <c r="AJ25" s="904"/>
      <c r="AK25" s="904"/>
      <c r="AL25" s="904"/>
      <c r="AM25" s="904"/>
      <c r="AN25" s="904"/>
      <c r="AO25" s="904"/>
      <c r="AP25" s="904"/>
      <c r="AQ25" s="904"/>
      <c r="AR25" s="904"/>
      <c r="AS25" s="904"/>
      <c r="AT25" s="904"/>
      <c r="AU25" s="904"/>
      <c r="AV25" s="904"/>
      <c r="AW25" s="904"/>
      <c r="AX25" s="904"/>
      <c r="AY25" s="904"/>
      <c r="AZ25" s="904"/>
      <c r="BA25" s="904"/>
      <c r="BB25" s="904"/>
      <c r="BC25" s="904"/>
      <c r="BD25" s="903"/>
      <c r="BE25" s="903"/>
      <c r="BF25" s="904"/>
      <c r="BG25" s="904"/>
      <c r="BH25" s="904"/>
      <c r="BI25" s="904"/>
      <c r="BJ25" s="904"/>
      <c r="BK25" s="904"/>
      <c r="BL25" s="904"/>
      <c r="BM25" s="904"/>
    </row>
    <row r="26" spans="1:254" x14ac:dyDescent="0.25">
      <c r="A26" s="584"/>
      <c r="B26" s="584"/>
      <c r="C26" s="584"/>
      <c r="D26" s="584"/>
      <c r="E26" s="584"/>
      <c r="F26" s="584"/>
      <c r="G26" s="584"/>
      <c r="H26" s="584"/>
      <c r="I26" s="584"/>
      <c r="J26" s="584"/>
      <c r="K26" s="584"/>
      <c r="L26" s="584"/>
      <c r="M26" s="584"/>
      <c r="N26" s="584"/>
      <c r="O26" s="584"/>
      <c r="P26" s="584"/>
      <c r="Q26" s="584"/>
      <c r="R26" s="900"/>
      <c r="S26" s="905"/>
      <c r="T26" s="905"/>
      <c r="U26" s="905"/>
      <c r="V26" s="901"/>
      <c r="W26" s="902"/>
      <c r="X26" s="184"/>
      <c r="Y26" s="906"/>
      <c r="Z26" s="906"/>
      <c r="AA26" s="906"/>
      <c r="AB26" s="906"/>
      <c r="AC26" s="906"/>
      <c r="AD26" s="906"/>
      <c r="AE26" s="906"/>
      <c r="AF26" s="906"/>
      <c r="AG26" s="906"/>
      <c r="AH26" s="906"/>
      <c r="AI26" s="906"/>
      <c r="AJ26" s="906"/>
      <c r="AK26" s="906"/>
      <c r="AL26" s="906"/>
      <c r="AM26" s="906"/>
      <c r="AN26" s="906"/>
      <c r="AO26" s="906"/>
      <c r="AP26" s="904"/>
      <c r="AQ26" s="904"/>
      <c r="AR26" s="904"/>
      <c r="AS26" s="904"/>
      <c r="AT26" s="904"/>
      <c r="AU26" s="904"/>
      <c r="AV26" s="904"/>
      <c r="AW26" s="904"/>
      <c r="AX26" s="904"/>
      <c r="AY26" s="904"/>
      <c r="AZ26" s="904"/>
      <c r="BA26" s="904"/>
      <c r="BB26" s="904"/>
      <c r="BC26" s="904"/>
      <c r="BD26" s="903"/>
      <c r="BE26" s="903"/>
      <c r="BF26" s="904"/>
      <c r="BG26" s="904"/>
      <c r="BH26" s="904"/>
      <c r="BI26" s="904"/>
      <c r="BJ26" s="904"/>
      <c r="BK26" s="904"/>
      <c r="BL26" s="904"/>
      <c r="BM26" s="904"/>
    </row>
    <row r="27" spans="1:254" x14ac:dyDescent="0.25">
      <c r="J27" s="907"/>
      <c r="K27" s="233"/>
      <c r="L27" s="186"/>
      <c r="M27" s="824"/>
      <c r="N27" s="186"/>
      <c r="O27" s="186"/>
      <c r="P27" s="186"/>
      <c r="Q27" s="824"/>
      <c r="R27" s="908"/>
      <c r="S27" s="186"/>
      <c r="T27" s="233"/>
      <c r="U27" s="233"/>
      <c r="V27" s="909"/>
    </row>
    <row r="28" spans="1:254" x14ac:dyDescent="0.25">
      <c r="J28" s="907"/>
      <c r="K28" s="233"/>
      <c r="L28" s="186"/>
      <c r="M28" s="2798" t="s">
        <v>674</v>
      </c>
      <c r="N28" s="2798"/>
      <c r="O28" s="2798"/>
      <c r="P28" s="2798"/>
      <c r="Q28" s="2798"/>
      <c r="R28" s="2798"/>
      <c r="S28" s="2798"/>
      <c r="T28" s="233"/>
      <c r="U28" s="233"/>
      <c r="V28" s="909"/>
    </row>
    <row r="29" spans="1:254" x14ac:dyDescent="0.25">
      <c r="J29" s="907"/>
      <c r="K29" s="233"/>
      <c r="L29" s="186"/>
      <c r="M29" s="2799" t="s">
        <v>675</v>
      </c>
      <c r="N29" s="2799"/>
      <c r="O29" s="2799"/>
      <c r="P29" s="2799"/>
      <c r="Q29" s="2799"/>
      <c r="R29" s="2799"/>
      <c r="S29" s="2799"/>
      <c r="T29" s="233"/>
      <c r="U29" s="233"/>
      <c r="V29" s="909"/>
    </row>
  </sheetData>
  <sheetProtection password="A60F" sheet="1" objects="1" scenarios="1"/>
  <mergeCells count="119">
    <mergeCell ref="Y6:AN6"/>
    <mergeCell ref="A1:AO4"/>
    <mergeCell ref="A5:M6"/>
    <mergeCell ref="N5:AQ5"/>
    <mergeCell ref="A7:A8"/>
    <mergeCell ref="B7:C8"/>
    <mergeCell ref="D7:D8"/>
    <mergeCell ref="E7:F8"/>
    <mergeCell ref="G7:G8"/>
    <mergeCell ref="H7:I8"/>
    <mergeCell ref="AO7:AO8"/>
    <mergeCell ref="AP7:AP8"/>
    <mergeCell ref="AQ7:AQ8"/>
    <mergeCell ref="AA7:AD7"/>
    <mergeCell ref="AE7:AJ7"/>
    <mergeCell ref="AK7:AM7"/>
    <mergeCell ref="J7:J8"/>
    <mergeCell ref="K7:K8"/>
    <mergeCell ref="L7:L8"/>
    <mergeCell ref="AN7:AN8"/>
    <mergeCell ref="M7:M8"/>
    <mergeCell ref="N7:N8"/>
    <mergeCell ref="O7:O8"/>
    <mergeCell ref="V7:V8"/>
    <mergeCell ref="X7:X8"/>
    <mergeCell ref="Y7:Z7"/>
    <mergeCell ref="P7:P8"/>
    <mergeCell ref="Q7:Q8"/>
    <mergeCell ref="R7:R8"/>
    <mergeCell ref="S7:S8"/>
    <mergeCell ref="T7:T8"/>
    <mergeCell ref="U7:U8"/>
    <mergeCell ref="AM12:AM18"/>
    <mergeCell ref="B14:C14"/>
    <mergeCell ref="E14:F14"/>
    <mergeCell ref="H14:I14"/>
    <mergeCell ref="J14:J15"/>
    <mergeCell ref="K14:K15"/>
    <mergeCell ref="AG12:AG18"/>
    <mergeCell ref="AH12:AH18"/>
    <mergeCell ref="AI12:AI18"/>
    <mergeCell ref="AJ12:AJ18"/>
    <mergeCell ref="AA12:AA18"/>
    <mergeCell ref="AB12:AB18"/>
    <mergeCell ref="AC12:AC18"/>
    <mergeCell ref="AD12:AD18"/>
    <mergeCell ref="AE12:AE18"/>
    <mergeCell ref="J12:J13"/>
    <mergeCell ref="K12:K13"/>
    <mergeCell ref="AF12:AF18"/>
    <mergeCell ref="L14:L15"/>
    <mergeCell ref="U12:U13"/>
    <mergeCell ref="T16:T18"/>
    <mergeCell ref="U16:U18"/>
    <mergeCell ref="R12:R18"/>
    <mergeCell ref="S12:S18"/>
    <mergeCell ref="AN12:AN18"/>
    <mergeCell ref="AO12:AO18"/>
    <mergeCell ref="AP12:AP18"/>
    <mergeCell ref="AQ12:AQ18"/>
    <mergeCell ref="AK12:AK18"/>
    <mergeCell ref="AL12:AL18"/>
    <mergeCell ref="K16:K18"/>
    <mergeCell ref="L16:L18"/>
    <mergeCell ref="M16:M18"/>
    <mergeCell ref="Q16:Q18"/>
    <mergeCell ref="N12:N18"/>
    <mergeCell ref="O12:O18"/>
    <mergeCell ref="P12:P18"/>
    <mergeCell ref="Q12:Q13"/>
    <mergeCell ref="T12:T13"/>
    <mergeCell ref="Y19:Y21"/>
    <mergeCell ref="Z19:Z21"/>
    <mergeCell ref="AA19:AA21"/>
    <mergeCell ref="AB19:AB21"/>
    <mergeCell ref="AC19:AC21"/>
    <mergeCell ref="AD19:AD21"/>
    <mergeCell ref="X16:X18"/>
    <mergeCell ref="B19:C19"/>
    <mergeCell ref="E19:F19"/>
    <mergeCell ref="H19:I19"/>
    <mergeCell ref="N19:N21"/>
    <mergeCell ref="O19:O21"/>
    <mergeCell ref="P19:P21"/>
    <mergeCell ref="R19:R21"/>
    <mergeCell ref="S19:S21"/>
    <mergeCell ref="Y12:Y18"/>
    <mergeCell ref="Z12:Z18"/>
    <mergeCell ref="V16:V18"/>
    <mergeCell ref="W16:W18"/>
    <mergeCell ref="M14:M15"/>
    <mergeCell ref="Q14:Q15"/>
    <mergeCell ref="T14:T15"/>
    <mergeCell ref="U14:U15"/>
    <mergeCell ref="J16:J18"/>
    <mergeCell ref="A23:Q23"/>
    <mergeCell ref="S23:U23"/>
    <mergeCell ref="M28:S28"/>
    <mergeCell ref="M29:S29"/>
    <mergeCell ref="AQ19:AQ21"/>
    <mergeCell ref="J20:J21"/>
    <mergeCell ref="K20:K21"/>
    <mergeCell ref="L20:L21"/>
    <mergeCell ref="M20:M21"/>
    <mergeCell ref="Q20:Q21"/>
    <mergeCell ref="T20:T21"/>
    <mergeCell ref="U20:U21"/>
    <mergeCell ref="AK19:AK21"/>
    <mergeCell ref="AL19:AL21"/>
    <mergeCell ref="AM19:AM21"/>
    <mergeCell ref="AN19:AN21"/>
    <mergeCell ref="AO19:AO21"/>
    <mergeCell ref="AP19:AP21"/>
    <mergeCell ref="AE19:AE21"/>
    <mergeCell ref="AF19:AF21"/>
    <mergeCell ref="AG19:AG21"/>
    <mergeCell ref="AH19:AH21"/>
    <mergeCell ref="AI19:AI21"/>
    <mergeCell ref="AJ19:AJ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0"/>
  <sheetViews>
    <sheetView showGridLines="0" zoomScale="60" zoomScaleNormal="60" workbookViewId="0">
      <selection sqref="A1:AO4"/>
    </sheetView>
  </sheetViews>
  <sheetFormatPr baseColWidth="10" defaultColWidth="11.42578125" defaultRowHeight="14.25" x14ac:dyDescent="0.2"/>
  <cols>
    <col min="1" max="1" width="15.28515625" style="702" customWidth="1"/>
    <col min="2" max="2" width="10" style="638" customWidth="1"/>
    <col min="3" max="3" width="16.42578125" style="638" customWidth="1"/>
    <col min="4" max="4" width="14.28515625" style="638" customWidth="1"/>
    <col min="5" max="5" width="15" style="638" customWidth="1"/>
    <col min="6" max="6" width="10.7109375" style="638" customWidth="1"/>
    <col min="7" max="7" width="23.85546875" style="638" customWidth="1"/>
    <col min="8" max="8" width="12.5703125" style="638" customWidth="1"/>
    <col min="9" max="9" width="15.7109375" style="638" customWidth="1"/>
    <col min="10" max="10" width="15.5703125" style="638" customWidth="1"/>
    <col min="11" max="11" width="44.42578125" style="703" customWidth="1"/>
    <col min="12" max="12" width="38.28515625" style="620" customWidth="1"/>
    <col min="13" max="13" width="24.42578125" style="620" customWidth="1"/>
    <col min="14" max="14" width="46.140625" style="620" customWidth="1"/>
    <col min="15" max="15" width="25.7109375" style="704" customWidth="1"/>
    <col min="16" max="16" width="30.85546875" style="703" customWidth="1"/>
    <col min="17" max="17" width="24.140625" style="705" customWidth="1"/>
    <col min="18" max="18" width="31.5703125" style="706" customWidth="1"/>
    <col min="19" max="19" width="34.7109375" style="703" customWidth="1"/>
    <col min="20" max="20" width="46.85546875" style="703" customWidth="1"/>
    <col min="21" max="21" width="54.42578125" style="703" customWidth="1"/>
    <col min="22" max="22" width="32" style="1098" customWidth="1"/>
    <col min="23" max="23" width="28.28515625" style="708" customWidth="1"/>
    <col min="24" max="24" width="39.42578125" style="916" customWidth="1"/>
    <col min="25" max="25" width="12" style="638" customWidth="1"/>
    <col min="26" max="26" width="10.85546875" style="638" bestFit="1" customWidth="1"/>
    <col min="27" max="27" width="36.28515625" style="638" customWidth="1"/>
    <col min="28" max="28" width="34.85546875" style="638" customWidth="1"/>
    <col min="29" max="29" width="39.42578125" style="638" customWidth="1"/>
    <col min="30" max="30" width="9.85546875" style="638" customWidth="1"/>
    <col min="31" max="31" width="7.5703125" style="638" bestFit="1" customWidth="1"/>
    <col min="32" max="32" width="8.42578125" style="638" bestFit="1" customWidth="1"/>
    <col min="33" max="35" width="4.42578125" style="638" customWidth="1"/>
    <col min="36" max="36" width="4.42578125" style="638" bestFit="1" customWidth="1"/>
    <col min="37" max="38" width="9" style="638" bestFit="1" customWidth="1"/>
    <col min="39" max="39" width="8.85546875" style="638" customWidth="1"/>
    <col min="40" max="40" width="10.85546875" style="638" bestFit="1" customWidth="1"/>
    <col min="41" max="41" width="19.140625" style="709" customWidth="1"/>
    <col min="42" max="42" width="20.42578125" style="710" customWidth="1"/>
    <col min="43" max="43" width="24.85546875" style="711" customWidth="1"/>
    <col min="44" max="44" width="28.140625" style="638" customWidth="1"/>
    <col min="45" max="49" width="11.42578125" style="638"/>
    <col min="50" max="50" width="28" style="638" customWidth="1"/>
    <col min="51" max="16384" width="11.42578125" style="638"/>
  </cols>
  <sheetData>
    <row r="1" spans="1:63" ht="21.75" customHeight="1" x14ac:dyDescent="0.2">
      <c r="A1" s="2851" t="s">
        <v>676</v>
      </c>
      <c r="B1" s="2852"/>
      <c r="C1" s="2852"/>
      <c r="D1" s="2852"/>
      <c r="E1" s="2852"/>
      <c r="F1" s="2852"/>
      <c r="G1" s="2852"/>
      <c r="H1" s="2852"/>
      <c r="I1" s="2852"/>
      <c r="J1" s="2852"/>
      <c r="K1" s="2852"/>
      <c r="L1" s="2852"/>
      <c r="M1" s="2852"/>
      <c r="N1" s="2852"/>
      <c r="O1" s="2852"/>
      <c r="P1" s="2852"/>
      <c r="Q1" s="2852"/>
      <c r="R1" s="2852"/>
      <c r="S1" s="2852"/>
      <c r="T1" s="2852"/>
      <c r="U1" s="2852"/>
      <c r="V1" s="2852"/>
      <c r="W1" s="2852"/>
      <c r="X1" s="2852"/>
      <c r="Y1" s="2852"/>
      <c r="Z1" s="2852"/>
      <c r="AA1" s="2852"/>
      <c r="AB1" s="2852"/>
      <c r="AC1" s="2852"/>
      <c r="AD1" s="2852"/>
      <c r="AE1" s="2852"/>
      <c r="AF1" s="2852"/>
      <c r="AG1" s="2852"/>
      <c r="AH1" s="2852"/>
      <c r="AI1" s="2852"/>
      <c r="AJ1" s="2852"/>
      <c r="AK1" s="2852"/>
      <c r="AL1" s="2852"/>
      <c r="AM1" s="2852"/>
      <c r="AN1" s="2852"/>
      <c r="AO1" s="2852"/>
      <c r="AP1" s="723" t="s">
        <v>0</v>
      </c>
      <c r="AQ1" s="723" t="s">
        <v>637</v>
      </c>
      <c r="AR1" s="620"/>
      <c r="AS1" s="620"/>
      <c r="AT1" s="620"/>
      <c r="AU1" s="620"/>
      <c r="AV1" s="620"/>
      <c r="AW1" s="620"/>
      <c r="AX1" s="620"/>
      <c r="AY1" s="620"/>
      <c r="AZ1" s="620"/>
      <c r="BA1" s="620"/>
      <c r="BB1" s="620"/>
      <c r="BC1" s="620"/>
      <c r="BD1" s="620"/>
      <c r="BE1" s="620"/>
      <c r="BF1" s="620"/>
      <c r="BG1" s="620"/>
      <c r="BH1" s="620"/>
      <c r="BI1" s="620"/>
      <c r="BJ1" s="620"/>
      <c r="BK1" s="620"/>
    </row>
    <row r="2" spans="1:63" ht="21.75" customHeight="1" x14ac:dyDescent="0.2">
      <c r="A2" s="2853"/>
      <c r="B2" s="2778"/>
      <c r="C2" s="2778"/>
      <c r="D2" s="2778"/>
      <c r="E2" s="2778"/>
      <c r="F2" s="2778"/>
      <c r="G2" s="2778"/>
      <c r="H2" s="2778"/>
      <c r="I2" s="2778"/>
      <c r="J2" s="2778"/>
      <c r="K2" s="2778"/>
      <c r="L2" s="2778"/>
      <c r="M2" s="2778"/>
      <c r="N2" s="2778"/>
      <c r="O2" s="2778"/>
      <c r="P2" s="2778"/>
      <c r="Q2" s="2778"/>
      <c r="R2" s="2778"/>
      <c r="S2" s="2778"/>
      <c r="T2" s="2778"/>
      <c r="U2" s="2778"/>
      <c r="V2" s="2778"/>
      <c r="W2" s="2778"/>
      <c r="X2" s="2778"/>
      <c r="Y2" s="2778"/>
      <c r="Z2" s="2778"/>
      <c r="AA2" s="2778"/>
      <c r="AB2" s="2778"/>
      <c r="AC2" s="2778"/>
      <c r="AD2" s="2778"/>
      <c r="AE2" s="2778"/>
      <c r="AF2" s="2778"/>
      <c r="AG2" s="2778"/>
      <c r="AH2" s="2778"/>
      <c r="AI2" s="2778"/>
      <c r="AJ2" s="2778"/>
      <c r="AK2" s="2778"/>
      <c r="AL2" s="2778"/>
      <c r="AM2" s="2778"/>
      <c r="AN2" s="2778"/>
      <c r="AO2" s="2778"/>
      <c r="AP2" s="721" t="s">
        <v>2</v>
      </c>
      <c r="AQ2" s="723" t="s">
        <v>92</v>
      </c>
      <c r="AR2" s="620"/>
      <c r="AS2" s="620"/>
      <c r="AT2" s="620"/>
      <c r="AU2" s="620"/>
      <c r="AV2" s="620"/>
      <c r="AW2" s="620"/>
      <c r="AX2" s="620"/>
      <c r="AY2" s="620"/>
      <c r="AZ2" s="620"/>
      <c r="BA2" s="620"/>
      <c r="BB2" s="620"/>
      <c r="BC2" s="620"/>
      <c r="BD2" s="620"/>
      <c r="BE2" s="620"/>
      <c r="BF2" s="620"/>
      <c r="BG2" s="620"/>
      <c r="BH2" s="620"/>
      <c r="BI2" s="620"/>
      <c r="BJ2" s="620"/>
      <c r="BK2" s="620"/>
    </row>
    <row r="3" spans="1:63" ht="21.75" customHeight="1" x14ac:dyDescent="0.2">
      <c r="A3" s="2853"/>
      <c r="B3" s="2778"/>
      <c r="C3" s="2778"/>
      <c r="D3" s="2778"/>
      <c r="E3" s="2778"/>
      <c r="F3" s="2778"/>
      <c r="G3" s="2778"/>
      <c r="H3" s="2778"/>
      <c r="I3" s="2778"/>
      <c r="J3" s="2778"/>
      <c r="K3" s="2778"/>
      <c r="L3" s="2778"/>
      <c r="M3" s="2778"/>
      <c r="N3" s="2778"/>
      <c r="O3" s="2778"/>
      <c r="P3" s="2778"/>
      <c r="Q3" s="2778"/>
      <c r="R3" s="2778"/>
      <c r="S3" s="2778"/>
      <c r="T3" s="2778"/>
      <c r="U3" s="2778"/>
      <c r="V3" s="2778"/>
      <c r="W3" s="2778"/>
      <c r="X3" s="2778"/>
      <c r="Y3" s="2778"/>
      <c r="Z3" s="2778"/>
      <c r="AA3" s="2778"/>
      <c r="AB3" s="2778"/>
      <c r="AC3" s="2778"/>
      <c r="AD3" s="2778"/>
      <c r="AE3" s="2778"/>
      <c r="AF3" s="2778"/>
      <c r="AG3" s="2778"/>
      <c r="AH3" s="2778"/>
      <c r="AI3" s="2778"/>
      <c r="AJ3" s="2778"/>
      <c r="AK3" s="2778"/>
      <c r="AL3" s="2778"/>
      <c r="AM3" s="2778"/>
      <c r="AN3" s="2778"/>
      <c r="AO3" s="2778"/>
      <c r="AP3" s="723" t="s">
        <v>3</v>
      </c>
      <c r="AQ3" s="938" t="s">
        <v>4</v>
      </c>
      <c r="AR3" s="620"/>
      <c r="AS3" s="620"/>
      <c r="AT3" s="620"/>
      <c r="AU3" s="620"/>
      <c r="AV3" s="620"/>
      <c r="AW3" s="620"/>
      <c r="AX3" s="620"/>
      <c r="AY3" s="620"/>
      <c r="AZ3" s="620"/>
      <c r="BA3" s="620"/>
      <c r="BB3" s="620"/>
      <c r="BC3" s="620"/>
      <c r="BD3" s="620"/>
      <c r="BE3" s="620"/>
      <c r="BF3" s="620"/>
      <c r="BG3" s="620"/>
      <c r="BH3" s="620"/>
      <c r="BI3" s="620"/>
      <c r="BJ3" s="620"/>
      <c r="BK3" s="620"/>
    </row>
    <row r="4" spans="1:63" ht="21.75" customHeight="1" x14ac:dyDescent="0.2">
      <c r="A4" s="2854"/>
      <c r="B4" s="2779"/>
      <c r="C4" s="2779"/>
      <c r="D4" s="2779"/>
      <c r="E4" s="2779"/>
      <c r="F4" s="2779"/>
      <c r="G4" s="2779"/>
      <c r="H4" s="2779"/>
      <c r="I4" s="2779"/>
      <c r="J4" s="2779"/>
      <c r="K4" s="2779"/>
      <c r="L4" s="2779"/>
      <c r="M4" s="2779"/>
      <c r="N4" s="2779"/>
      <c r="O4" s="2779"/>
      <c r="P4" s="2779"/>
      <c r="Q4" s="2779"/>
      <c r="R4" s="2779"/>
      <c r="S4" s="2779"/>
      <c r="T4" s="2779"/>
      <c r="U4" s="2779"/>
      <c r="V4" s="2779"/>
      <c r="W4" s="2779"/>
      <c r="X4" s="2779"/>
      <c r="Y4" s="2779"/>
      <c r="Z4" s="2779"/>
      <c r="AA4" s="2779"/>
      <c r="AB4" s="2779"/>
      <c r="AC4" s="2779"/>
      <c r="AD4" s="2779"/>
      <c r="AE4" s="2779"/>
      <c r="AF4" s="2779"/>
      <c r="AG4" s="2779"/>
      <c r="AH4" s="2779"/>
      <c r="AI4" s="2779"/>
      <c r="AJ4" s="2779"/>
      <c r="AK4" s="2779"/>
      <c r="AL4" s="2779"/>
      <c r="AM4" s="2779"/>
      <c r="AN4" s="2779"/>
      <c r="AO4" s="2779"/>
      <c r="AP4" s="723" t="s">
        <v>5</v>
      </c>
      <c r="AQ4" s="939" t="s">
        <v>93</v>
      </c>
      <c r="AR4" s="620"/>
      <c r="AS4" s="620"/>
      <c r="AT4" s="620"/>
      <c r="AU4" s="620"/>
      <c r="AV4" s="620"/>
      <c r="AW4" s="620"/>
      <c r="AX4" s="620"/>
      <c r="AY4" s="620"/>
      <c r="AZ4" s="620"/>
      <c r="BA4" s="620"/>
      <c r="BB4" s="620"/>
      <c r="BC4" s="620"/>
      <c r="BD4" s="620"/>
      <c r="BE4" s="620"/>
      <c r="BF4" s="620"/>
      <c r="BG4" s="620"/>
      <c r="BH4" s="620"/>
      <c r="BI4" s="620"/>
      <c r="BJ4" s="620"/>
      <c r="BK4" s="620"/>
    </row>
    <row r="5" spans="1:63" ht="39" customHeight="1" x14ac:dyDescent="0.2">
      <c r="A5" s="2974" t="s">
        <v>7</v>
      </c>
      <c r="B5" s="2974"/>
      <c r="C5" s="2974"/>
      <c r="D5" s="2974"/>
      <c r="E5" s="2974"/>
      <c r="F5" s="2974"/>
      <c r="G5" s="2974"/>
      <c r="H5" s="2974"/>
      <c r="I5" s="2974"/>
      <c r="J5" s="2974"/>
      <c r="K5" s="2974"/>
      <c r="L5" s="2974"/>
      <c r="M5" s="2974"/>
      <c r="N5" s="2976" t="s">
        <v>8</v>
      </c>
      <c r="O5" s="2976"/>
      <c r="P5" s="2976"/>
      <c r="Q5" s="2976"/>
      <c r="R5" s="2976"/>
      <c r="S5" s="2976"/>
      <c r="T5" s="2976"/>
      <c r="U5" s="2976"/>
      <c r="V5" s="2976"/>
      <c r="W5" s="2976"/>
      <c r="X5" s="2976"/>
      <c r="Y5" s="2976"/>
      <c r="Z5" s="2976"/>
      <c r="AA5" s="2976"/>
      <c r="AB5" s="2976"/>
      <c r="AC5" s="2976"/>
      <c r="AD5" s="2976"/>
      <c r="AE5" s="2976"/>
      <c r="AF5" s="2976"/>
      <c r="AG5" s="2976"/>
      <c r="AH5" s="2976"/>
      <c r="AI5" s="2976"/>
      <c r="AJ5" s="2976"/>
      <c r="AK5" s="2976"/>
      <c r="AL5" s="2976"/>
      <c r="AM5" s="2976"/>
      <c r="AN5" s="2976"/>
      <c r="AO5" s="2976"/>
      <c r="AP5" s="2976"/>
      <c r="AQ5" s="2976"/>
      <c r="AR5" s="620"/>
      <c r="AS5" s="620"/>
      <c r="AT5" s="620"/>
      <c r="AU5" s="620"/>
      <c r="AV5" s="620"/>
      <c r="AW5" s="620"/>
      <c r="AX5" s="620"/>
      <c r="AY5" s="620"/>
      <c r="AZ5" s="620"/>
      <c r="BA5" s="620"/>
      <c r="BB5" s="620"/>
      <c r="BC5" s="620"/>
      <c r="BD5" s="620"/>
      <c r="BE5" s="620"/>
      <c r="BF5" s="620"/>
      <c r="BG5" s="620"/>
      <c r="BH5" s="620"/>
      <c r="BI5" s="620"/>
      <c r="BJ5" s="620"/>
      <c r="BK5" s="620"/>
    </row>
    <row r="6" spans="1:63" ht="42.75" customHeight="1" x14ac:dyDescent="0.2">
      <c r="A6" s="2975"/>
      <c r="B6" s="2975"/>
      <c r="C6" s="2975"/>
      <c r="D6" s="2975"/>
      <c r="E6" s="2975"/>
      <c r="F6" s="2975"/>
      <c r="G6" s="2975"/>
      <c r="H6" s="2975"/>
      <c r="I6" s="2975"/>
      <c r="J6" s="2975"/>
      <c r="K6" s="2975"/>
      <c r="L6" s="2975"/>
      <c r="M6" s="2975"/>
      <c r="N6" s="941"/>
      <c r="O6" s="942"/>
      <c r="P6" s="943"/>
      <c r="Q6" s="943"/>
      <c r="R6" s="943"/>
      <c r="S6" s="943"/>
      <c r="T6" s="943"/>
      <c r="U6" s="943"/>
      <c r="V6" s="944"/>
      <c r="W6" s="943"/>
      <c r="X6" s="943"/>
      <c r="Y6" s="2988" t="s">
        <v>320</v>
      </c>
      <c r="Z6" s="2989"/>
      <c r="AA6" s="2989"/>
      <c r="AB6" s="2989"/>
      <c r="AC6" s="2989"/>
      <c r="AD6" s="2989"/>
      <c r="AE6" s="2989"/>
      <c r="AF6" s="2989"/>
      <c r="AG6" s="2989"/>
      <c r="AH6" s="2989"/>
      <c r="AI6" s="2989"/>
      <c r="AJ6" s="2989"/>
      <c r="AK6" s="2989"/>
      <c r="AL6" s="2989"/>
      <c r="AM6" s="2989"/>
      <c r="AN6" s="2989"/>
      <c r="AO6" s="943"/>
      <c r="AP6" s="943"/>
      <c r="AQ6" s="945"/>
      <c r="AR6" s="620"/>
      <c r="AS6" s="620"/>
      <c r="AT6" s="620"/>
      <c r="AU6" s="620"/>
      <c r="AV6" s="620"/>
      <c r="AW6" s="620"/>
      <c r="AX6" s="620"/>
      <c r="AY6" s="620"/>
      <c r="AZ6" s="620"/>
      <c r="BA6" s="620"/>
      <c r="BB6" s="620"/>
      <c r="BC6" s="620"/>
      <c r="BD6" s="620"/>
      <c r="BE6" s="620"/>
      <c r="BF6" s="620"/>
      <c r="BG6" s="620"/>
      <c r="BH6" s="620"/>
      <c r="BI6" s="620"/>
      <c r="BJ6" s="620"/>
      <c r="BK6" s="620"/>
    </row>
    <row r="7" spans="1:63" ht="27" customHeight="1" x14ac:dyDescent="0.2">
      <c r="A7" s="2977" t="s">
        <v>9</v>
      </c>
      <c r="B7" s="2970" t="s">
        <v>10</v>
      </c>
      <c r="C7" s="2972"/>
      <c r="D7" s="2972" t="s">
        <v>9</v>
      </c>
      <c r="E7" s="2970" t="s">
        <v>11</v>
      </c>
      <c r="F7" s="2972"/>
      <c r="G7" s="2972" t="s">
        <v>9</v>
      </c>
      <c r="H7" s="2970" t="s">
        <v>12</v>
      </c>
      <c r="I7" s="2972"/>
      <c r="J7" s="2972" t="s">
        <v>9</v>
      </c>
      <c r="K7" s="2970" t="s">
        <v>13</v>
      </c>
      <c r="L7" s="2962" t="s">
        <v>14</v>
      </c>
      <c r="M7" s="2962" t="s">
        <v>677</v>
      </c>
      <c r="N7" s="2962" t="s">
        <v>16</v>
      </c>
      <c r="O7" s="2962" t="s">
        <v>94</v>
      </c>
      <c r="P7" s="2962" t="s">
        <v>8</v>
      </c>
      <c r="Q7" s="2964" t="s">
        <v>18</v>
      </c>
      <c r="R7" s="2966" t="s">
        <v>19</v>
      </c>
      <c r="S7" s="2968" t="s">
        <v>20</v>
      </c>
      <c r="T7" s="2970" t="s">
        <v>21</v>
      </c>
      <c r="U7" s="2962" t="s">
        <v>22</v>
      </c>
      <c r="V7" s="2960" t="s">
        <v>19</v>
      </c>
      <c r="W7" s="946"/>
      <c r="X7" s="2962" t="s">
        <v>23</v>
      </c>
      <c r="Y7" s="2983" t="s">
        <v>24</v>
      </c>
      <c r="Z7" s="2983"/>
      <c r="AA7" s="2984" t="s">
        <v>25</v>
      </c>
      <c r="AB7" s="2984"/>
      <c r="AC7" s="2984"/>
      <c r="AD7" s="2984"/>
      <c r="AE7" s="2985" t="s">
        <v>26</v>
      </c>
      <c r="AF7" s="2986"/>
      <c r="AG7" s="2986"/>
      <c r="AH7" s="2986"/>
      <c r="AI7" s="2986"/>
      <c r="AJ7" s="2987"/>
      <c r="AK7" s="2984" t="s">
        <v>27</v>
      </c>
      <c r="AL7" s="2984"/>
      <c r="AM7" s="2984"/>
      <c r="AN7" s="947" t="s">
        <v>28</v>
      </c>
      <c r="AO7" s="2979" t="s">
        <v>29</v>
      </c>
      <c r="AP7" s="2979" t="s">
        <v>30</v>
      </c>
      <c r="AQ7" s="2981" t="s">
        <v>31</v>
      </c>
      <c r="AR7" s="620"/>
      <c r="AS7" s="620"/>
      <c r="AT7" s="620"/>
      <c r="AU7" s="620"/>
      <c r="AV7" s="620"/>
      <c r="AW7" s="620"/>
      <c r="AX7" s="620"/>
      <c r="AY7" s="620"/>
      <c r="AZ7" s="620"/>
      <c r="BA7" s="620"/>
      <c r="BB7" s="620"/>
      <c r="BC7" s="620"/>
      <c r="BD7" s="620"/>
      <c r="BE7" s="620"/>
      <c r="BF7" s="620"/>
      <c r="BG7" s="620"/>
      <c r="BH7" s="620"/>
      <c r="BI7" s="620"/>
      <c r="BJ7" s="620"/>
      <c r="BK7" s="620"/>
    </row>
    <row r="8" spans="1:63" ht="135" customHeight="1" x14ac:dyDescent="0.2">
      <c r="A8" s="2978"/>
      <c r="B8" s="2971"/>
      <c r="C8" s="2973"/>
      <c r="D8" s="2973"/>
      <c r="E8" s="2971"/>
      <c r="F8" s="2973"/>
      <c r="G8" s="2973"/>
      <c r="H8" s="2971"/>
      <c r="I8" s="2973"/>
      <c r="J8" s="2973"/>
      <c r="K8" s="2971"/>
      <c r="L8" s="2963"/>
      <c r="M8" s="2963"/>
      <c r="N8" s="2963"/>
      <c r="O8" s="2963"/>
      <c r="P8" s="2963"/>
      <c r="Q8" s="2965"/>
      <c r="R8" s="2967"/>
      <c r="S8" s="2969"/>
      <c r="T8" s="2971"/>
      <c r="U8" s="2963"/>
      <c r="V8" s="2961"/>
      <c r="W8" s="948" t="s">
        <v>9</v>
      </c>
      <c r="X8" s="2963"/>
      <c r="Y8" s="949" t="s">
        <v>32</v>
      </c>
      <c r="Z8" s="950" t="s">
        <v>33</v>
      </c>
      <c r="AA8" s="951" t="s">
        <v>34</v>
      </c>
      <c r="AB8" s="951" t="s">
        <v>35</v>
      </c>
      <c r="AC8" s="951" t="s">
        <v>524</v>
      </c>
      <c r="AD8" s="951" t="s">
        <v>37</v>
      </c>
      <c r="AE8" s="951" t="s">
        <v>38</v>
      </c>
      <c r="AF8" s="951" t="s">
        <v>39</v>
      </c>
      <c r="AG8" s="951" t="s">
        <v>40</v>
      </c>
      <c r="AH8" s="951" t="s">
        <v>41</v>
      </c>
      <c r="AI8" s="951" t="s">
        <v>42</v>
      </c>
      <c r="AJ8" s="951" t="s">
        <v>43</v>
      </c>
      <c r="AK8" s="951" t="s">
        <v>44</v>
      </c>
      <c r="AL8" s="951" t="s">
        <v>45</v>
      </c>
      <c r="AM8" s="951" t="s">
        <v>46</v>
      </c>
      <c r="AN8" s="951" t="s">
        <v>28</v>
      </c>
      <c r="AO8" s="2980"/>
      <c r="AP8" s="2980"/>
      <c r="AQ8" s="2982"/>
      <c r="AR8" s="620"/>
      <c r="AS8" s="620"/>
      <c r="AT8" s="620"/>
      <c r="AU8" s="620"/>
      <c r="AV8" s="620"/>
      <c r="AW8" s="620"/>
      <c r="AX8" s="620"/>
      <c r="AY8" s="620"/>
      <c r="AZ8" s="620"/>
      <c r="BA8" s="620"/>
      <c r="BB8" s="620"/>
      <c r="BC8" s="620"/>
      <c r="BD8" s="620"/>
      <c r="BE8" s="620"/>
      <c r="BF8" s="620"/>
      <c r="BG8" s="620"/>
      <c r="BH8" s="620"/>
      <c r="BI8" s="620"/>
      <c r="BJ8" s="620"/>
      <c r="BK8" s="620"/>
    </row>
    <row r="9" spans="1:63" ht="27" customHeight="1" x14ac:dyDescent="0.2">
      <c r="A9" s="952">
        <v>1</v>
      </c>
      <c r="B9" s="953" t="s">
        <v>678</v>
      </c>
      <c r="C9" s="953"/>
      <c r="D9" s="953"/>
      <c r="E9" s="953"/>
      <c r="F9" s="953"/>
      <c r="G9" s="953"/>
      <c r="H9" s="953"/>
      <c r="I9" s="953"/>
      <c r="J9" s="953"/>
      <c r="K9" s="954"/>
      <c r="L9" s="953"/>
      <c r="M9" s="953"/>
      <c r="N9" s="953"/>
      <c r="O9" s="955"/>
      <c r="P9" s="954"/>
      <c r="Q9" s="956"/>
      <c r="R9" s="957"/>
      <c r="S9" s="954"/>
      <c r="T9" s="954"/>
      <c r="U9" s="954"/>
      <c r="V9" s="958"/>
      <c r="W9" s="959"/>
      <c r="X9" s="955"/>
      <c r="Y9" s="953"/>
      <c r="Z9" s="953"/>
      <c r="AA9" s="953"/>
      <c r="AB9" s="953"/>
      <c r="AC9" s="953"/>
      <c r="AD9" s="953"/>
      <c r="AE9" s="953"/>
      <c r="AF9" s="953"/>
      <c r="AG9" s="953"/>
      <c r="AH9" s="953"/>
      <c r="AI9" s="953"/>
      <c r="AJ9" s="953"/>
      <c r="AK9" s="953"/>
      <c r="AL9" s="953"/>
      <c r="AM9" s="953"/>
      <c r="AN9" s="953"/>
      <c r="AO9" s="960"/>
      <c r="AP9" s="960"/>
      <c r="AQ9" s="961"/>
      <c r="AR9" s="620"/>
      <c r="AS9" s="620"/>
      <c r="AT9" s="620"/>
      <c r="AU9" s="620"/>
      <c r="AV9" s="620"/>
      <c r="AW9" s="620"/>
      <c r="AX9" s="620"/>
      <c r="AY9" s="620"/>
      <c r="AZ9" s="620"/>
      <c r="BA9" s="620"/>
      <c r="BB9" s="620"/>
      <c r="BC9" s="620"/>
      <c r="BD9" s="620"/>
      <c r="BE9" s="620"/>
      <c r="BF9" s="620"/>
      <c r="BG9" s="620"/>
      <c r="BH9" s="620"/>
      <c r="BI9" s="620"/>
      <c r="BJ9" s="620"/>
      <c r="BK9" s="620"/>
    </row>
    <row r="10" spans="1:63" s="620" customFormat="1" ht="27" customHeight="1" x14ac:dyDescent="0.2">
      <c r="A10" s="2954"/>
      <c r="B10" s="2954"/>
      <c r="C10" s="2954"/>
      <c r="D10" s="962">
        <v>1</v>
      </c>
      <c r="E10" s="963" t="s">
        <v>679</v>
      </c>
      <c r="F10" s="963"/>
      <c r="G10" s="963"/>
      <c r="H10" s="2955"/>
      <c r="I10" s="2956"/>
      <c r="J10" s="2957"/>
      <c r="K10" s="964"/>
      <c r="L10" s="963"/>
      <c r="M10" s="963"/>
      <c r="N10" s="963"/>
      <c r="O10" s="965"/>
      <c r="P10" s="964"/>
      <c r="Q10" s="966"/>
      <c r="R10" s="967"/>
      <c r="S10" s="964"/>
      <c r="T10" s="964"/>
      <c r="U10" s="964"/>
      <c r="V10" s="968"/>
      <c r="W10" s="962"/>
      <c r="X10" s="965"/>
      <c r="Y10" s="963"/>
      <c r="Z10" s="963"/>
      <c r="AA10" s="963"/>
      <c r="AB10" s="963"/>
      <c r="AC10" s="963"/>
      <c r="AD10" s="963"/>
      <c r="AE10" s="963"/>
      <c r="AF10" s="963"/>
      <c r="AG10" s="963"/>
      <c r="AH10" s="963"/>
      <c r="AI10" s="963"/>
      <c r="AJ10" s="963"/>
      <c r="AK10" s="963"/>
      <c r="AL10" s="963"/>
      <c r="AM10" s="963"/>
      <c r="AN10" s="963"/>
      <c r="AO10" s="969"/>
      <c r="AP10" s="969"/>
      <c r="AQ10" s="964"/>
    </row>
    <row r="11" spans="1:63" s="620" customFormat="1" ht="27" customHeight="1" x14ac:dyDescent="0.2">
      <c r="A11" s="2954"/>
      <c r="B11" s="2954"/>
      <c r="C11" s="2954"/>
      <c r="D11" s="2958"/>
      <c r="E11" s="2958"/>
      <c r="F11" s="2958"/>
      <c r="G11" s="970">
        <v>2</v>
      </c>
      <c r="H11" s="971" t="s">
        <v>680</v>
      </c>
      <c r="I11" s="971"/>
      <c r="J11" s="971"/>
      <c r="K11" s="972"/>
      <c r="L11" s="971"/>
      <c r="M11" s="971"/>
      <c r="N11" s="971"/>
      <c r="O11" s="973"/>
      <c r="P11" s="972"/>
      <c r="Q11" s="974"/>
      <c r="R11" s="975"/>
      <c r="S11" s="972"/>
      <c r="T11" s="972"/>
      <c r="U11" s="972"/>
      <c r="V11" s="976"/>
      <c r="W11" s="977"/>
      <c r="X11" s="973"/>
      <c r="Y11" s="971"/>
      <c r="Z11" s="971"/>
      <c r="AA11" s="971"/>
      <c r="AB11" s="971"/>
      <c r="AC11" s="971"/>
      <c r="AD11" s="971"/>
      <c r="AE11" s="971"/>
      <c r="AF11" s="971"/>
      <c r="AG11" s="971"/>
      <c r="AH11" s="971"/>
      <c r="AI11" s="971"/>
      <c r="AJ11" s="971"/>
      <c r="AK11" s="971"/>
      <c r="AL11" s="971"/>
      <c r="AM11" s="971"/>
      <c r="AN11" s="971"/>
      <c r="AO11" s="978"/>
      <c r="AP11" s="978"/>
      <c r="AQ11" s="972"/>
    </row>
    <row r="12" spans="1:63" s="620" customFormat="1" ht="40.5" customHeight="1" x14ac:dyDescent="0.2">
      <c r="A12" s="2954"/>
      <c r="B12" s="2954"/>
      <c r="C12" s="2954"/>
      <c r="D12" s="2958"/>
      <c r="E12" s="2958"/>
      <c r="F12" s="2958"/>
      <c r="G12" s="2959"/>
      <c r="H12" s="2959"/>
      <c r="I12" s="2959"/>
      <c r="J12" s="2936">
        <v>9</v>
      </c>
      <c r="K12" s="2927" t="s">
        <v>681</v>
      </c>
      <c r="L12" s="2927" t="s">
        <v>682</v>
      </c>
      <c r="M12" s="2936">
        <v>5</v>
      </c>
      <c r="N12" s="2950" t="s">
        <v>683</v>
      </c>
      <c r="O12" s="2936" t="s">
        <v>684</v>
      </c>
      <c r="P12" s="2927" t="s">
        <v>685</v>
      </c>
      <c r="Q12" s="2953">
        <f>SUM(V12:V15)/R12</f>
        <v>1</v>
      </c>
      <c r="R12" s="2943">
        <f>SUM(V12:V15)</f>
        <v>2440979994</v>
      </c>
      <c r="S12" s="2937" t="s">
        <v>686</v>
      </c>
      <c r="T12" s="2948" t="s">
        <v>687</v>
      </c>
      <c r="U12" s="2607" t="s">
        <v>688</v>
      </c>
      <c r="V12" s="980">
        <f>2000000000</f>
        <v>2000000000</v>
      </c>
      <c r="W12" s="981" t="s">
        <v>689</v>
      </c>
      <c r="X12" s="917" t="s">
        <v>690</v>
      </c>
      <c r="Y12" s="2935">
        <v>294321</v>
      </c>
      <c r="Z12" s="2935">
        <v>283947</v>
      </c>
      <c r="AA12" s="2935">
        <v>135754</v>
      </c>
      <c r="AB12" s="2935">
        <v>44640</v>
      </c>
      <c r="AC12" s="2935">
        <v>308178</v>
      </c>
      <c r="AD12" s="2935">
        <v>89696</v>
      </c>
      <c r="AE12" s="2935">
        <v>2145</v>
      </c>
      <c r="AF12" s="2935">
        <v>12718</v>
      </c>
      <c r="AG12" s="2935">
        <v>26</v>
      </c>
      <c r="AH12" s="2935">
        <v>37</v>
      </c>
      <c r="AI12" s="2935"/>
      <c r="AJ12" s="2935">
        <v>0</v>
      </c>
      <c r="AK12" s="2935">
        <v>54612</v>
      </c>
      <c r="AL12" s="2935">
        <v>21944</v>
      </c>
      <c r="AM12" s="2935">
        <v>1010</v>
      </c>
      <c r="AN12" s="2935">
        <v>578268</v>
      </c>
      <c r="AO12" s="2942">
        <v>43466</v>
      </c>
      <c r="AP12" s="2942">
        <v>43830</v>
      </c>
      <c r="AQ12" s="2947" t="s">
        <v>691</v>
      </c>
    </row>
    <row r="13" spans="1:63" s="620" customFormat="1" ht="41.25" customHeight="1" x14ac:dyDescent="0.2">
      <c r="A13" s="2954"/>
      <c r="B13" s="2954"/>
      <c r="C13" s="2954"/>
      <c r="D13" s="2958"/>
      <c r="E13" s="2958"/>
      <c r="F13" s="2958"/>
      <c r="G13" s="2959"/>
      <c r="H13" s="2959"/>
      <c r="I13" s="2959"/>
      <c r="J13" s="2936"/>
      <c r="K13" s="2927"/>
      <c r="L13" s="2927"/>
      <c r="M13" s="2936"/>
      <c r="N13" s="2951"/>
      <c r="O13" s="2936"/>
      <c r="P13" s="2927"/>
      <c r="Q13" s="2953"/>
      <c r="R13" s="2943"/>
      <c r="S13" s="2937"/>
      <c r="T13" s="2949"/>
      <c r="U13" s="2607"/>
      <c r="V13" s="980">
        <v>4200000</v>
      </c>
      <c r="W13" s="921">
        <v>27</v>
      </c>
      <c r="X13" s="917" t="s">
        <v>692</v>
      </c>
      <c r="Y13" s="2935"/>
      <c r="Z13" s="2935"/>
      <c r="AA13" s="2935"/>
      <c r="AB13" s="2935"/>
      <c r="AC13" s="2935"/>
      <c r="AD13" s="2935"/>
      <c r="AE13" s="2935"/>
      <c r="AF13" s="2935"/>
      <c r="AG13" s="2935"/>
      <c r="AH13" s="2935"/>
      <c r="AI13" s="2935"/>
      <c r="AJ13" s="2935"/>
      <c r="AK13" s="2935"/>
      <c r="AL13" s="2935"/>
      <c r="AM13" s="2935"/>
      <c r="AN13" s="2935"/>
      <c r="AO13" s="2942"/>
      <c r="AP13" s="2942"/>
      <c r="AQ13" s="2947"/>
    </row>
    <row r="14" spans="1:63" s="620" customFormat="1" ht="30.75" customHeight="1" x14ac:dyDescent="0.2">
      <c r="A14" s="2954"/>
      <c r="B14" s="2954"/>
      <c r="C14" s="2954"/>
      <c r="D14" s="2958"/>
      <c r="E14" s="2958"/>
      <c r="F14" s="2958"/>
      <c r="G14" s="2959"/>
      <c r="H14" s="2959"/>
      <c r="I14" s="2959"/>
      <c r="J14" s="2936"/>
      <c r="K14" s="2927"/>
      <c r="L14" s="2927"/>
      <c r="M14" s="2936"/>
      <c r="N14" s="2951"/>
      <c r="O14" s="2936"/>
      <c r="P14" s="2927"/>
      <c r="Q14" s="2953"/>
      <c r="R14" s="2943"/>
      <c r="S14" s="2937"/>
      <c r="T14" s="2948" t="s">
        <v>693</v>
      </c>
      <c r="U14" s="2607"/>
      <c r="V14" s="980">
        <v>425000000</v>
      </c>
      <c r="W14" s="981" t="s">
        <v>694</v>
      </c>
      <c r="X14" s="917" t="s">
        <v>695</v>
      </c>
      <c r="Y14" s="2935"/>
      <c r="Z14" s="2935"/>
      <c r="AA14" s="2935"/>
      <c r="AB14" s="2935"/>
      <c r="AC14" s="2935"/>
      <c r="AD14" s="2935"/>
      <c r="AE14" s="2935"/>
      <c r="AF14" s="2935"/>
      <c r="AG14" s="2935"/>
      <c r="AH14" s="2935"/>
      <c r="AI14" s="2935"/>
      <c r="AJ14" s="2935"/>
      <c r="AK14" s="2935"/>
      <c r="AL14" s="2935"/>
      <c r="AM14" s="2935"/>
      <c r="AN14" s="2935"/>
      <c r="AO14" s="2942"/>
      <c r="AP14" s="2942"/>
      <c r="AQ14" s="2947"/>
    </row>
    <row r="15" spans="1:63" s="620" customFormat="1" ht="41.25" customHeight="1" x14ac:dyDescent="0.2">
      <c r="A15" s="2954"/>
      <c r="B15" s="2954"/>
      <c r="C15" s="2954"/>
      <c r="D15" s="2958"/>
      <c r="E15" s="2958"/>
      <c r="F15" s="2958"/>
      <c r="G15" s="2959"/>
      <c r="H15" s="2959"/>
      <c r="I15" s="2959"/>
      <c r="J15" s="2936"/>
      <c r="K15" s="2927"/>
      <c r="L15" s="2927"/>
      <c r="M15" s="2936"/>
      <c r="N15" s="2952"/>
      <c r="O15" s="2936"/>
      <c r="P15" s="2927"/>
      <c r="Q15" s="2953"/>
      <c r="R15" s="2943"/>
      <c r="S15" s="2937"/>
      <c r="T15" s="2949"/>
      <c r="U15" s="2607"/>
      <c r="V15" s="980">
        <v>11779994</v>
      </c>
      <c r="W15" s="921">
        <v>90</v>
      </c>
      <c r="X15" s="917" t="s">
        <v>696</v>
      </c>
      <c r="Y15" s="2935"/>
      <c r="Z15" s="2935">
        <v>283947</v>
      </c>
      <c r="AA15" s="2935">
        <v>135754</v>
      </c>
      <c r="AB15" s="2935">
        <v>44640</v>
      </c>
      <c r="AC15" s="2935">
        <v>308178</v>
      </c>
      <c r="AD15" s="2935">
        <v>89696</v>
      </c>
      <c r="AE15" s="2935">
        <v>2145</v>
      </c>
      <c r="AF15" s="2935">
        <v>12718</v>
      </c>
      <c r="AG15" s="2935">
        <v>26</v>
      </c>
      <c r="AH15" s="2935">
        <v>37</v>
      </c>
      <c r="AI15" s="2935"/>
      <c r="AJ15" s="2935"/>
      <c r="AK15" s="2935">
        <v>54612</v>
      </c>
      <c r="AL15" s="2935">
        <v>21944</v>
      </c>
      <c r="AM15" s="2935">
        <v>1010</v>
      </c>
      <c r="AN15" s="2935">
        <v>578268</v>
      </c>
      <c r="AO15" s="2942"/>
      <c r="AP15" s="2942"/>
      <c r="AQ15" s="2947"/>
    </row>
    <row r="16" spans="1:63" s="38" customFormat="1" ht="128.25" customHeight="1" x14ac:dyDescent="0.2">
      <c r="A16" s="2954"/>
      <c r="B16" s="2954"/>
      <c r="C16" s="2954"/>
      <c r="D16" s="2958"/>
      <c r="E16" s="2958"/>
      <c r="F16" s="2958"/>
      <c r="G16" s="2944"/>
      <c r="H16" s="2944"/>
      <c r="I16" s="2944"/>
      <c r="J16" s="2936">
        <v>9</v>
      </c>
      <c r="K16" s="2937" t="s">
        <v>681</v>
      </c>
      <c r="L16" s="2937" t="s">
        <v>682</v>
      </c>
      <c r="M16" s="2936">
        <v>5</v>
      </c>
      <c r="N16" s="2936" t="s">
        <v>697</v>
      </c>
      <c r="O16" s="2936" t="s">
        <v>698</v>
      </c>
      <c r="P16" s="2937" t="s">
        <v>699</v>
      </c>
      <c r="Q16" s="2946">
        <f>SUM(V16+V17)/R16</f>
        <v>1</v>
      </c>
      <c r="R16" s="2943">
        <f>SUM(V16+V17)</f>
        <v>1120246431</v>
      </c>
      <c r="S16" s="2937" t="s">
        <v>700</v>
      </c>
      <c r="T16" s="919" t="s">
        <v>701</v>
      </c>
      <c r="U16" s="2607" t="s">
        <v>702</v>
      </c>
      <c r="V16" s="980">
        <v>1105246431</v>
      </c>
      <c r="W16" s="921">
        <v>27</v>
      </c>
      <c r="X16" s="982" t="s">
        <v>692</v>
      </c>
      <c r="Y16" s="2935">
        <v>294321</v>
      </c>
      <c r="Z16" s="2935">
        <v>283947</v>
      </c>
      <c r="AA16" s="2935">
        <v>135754</v>
      </c>
      <c r="AB16" s="2935">
        <v>44640</v>
      </c>
      <c r="AC16" s="2935">
        <v>308178</v>
      </c>
      <c r="AD16" s="2935">
        <v>89696</v>
      </c>
      <c r="AE16" s="2935">
        <v>2145</v>
      </c>
      <c r="AF16" s="2935">
        <v>12718</v>
      </c>
      <c r="AG16" s="2935">
        <v>26</v>
      </c>
      <c r="AH16" s="2935">
        <v>37</v>
      </c>
      <c r="AI16" s="2935">
        <v>0</v>
      </c>
      <c r="AJ16" s="2935">
        <v>0</v>
      </c>
      <c r="AK16" s="2935">
        <v>54612</v>
      </c>
      <c r="AL16" s="2935">
        <v>21944</v>
      </c>
      <c r="AM16" s="2935">
        <v>1010</v>
      </c>
      <c r="AN16" s="2935">
        <v>578268</v>
      </c>
      <c r="AO16" s="2942">
        <v>43466</v>
      </c>
      <c r="AP16" s="2942">
        <v>43830</v>
      </c>
      <c r="AQ16" s="2947"/>
    </row>
    <row r="17" spans="1:47" s="620" customFormat="1" ht="84.75" customHeight="1" x14ac:dyDescent="0.2">
      <c r="A17" s="2954"/>
      <c r="B17" s="2954"/>
      <c r="C17" s="2954"/>
      <c r="D17" s="2958"/>
      <c r="E17" s="2958"/>
      <c r="F17" s="2958"/>
      <c r="G17" s="2944"/>
      <c r="H17" s="2944"/>
      <c r="I17" s="2944"/>
      <c r="J17" s="2936"/>
      <c r="K17" s="2937"/>
      <c r="L17" s="2937"/>
      <c r="M17" s="2936"/>
      <c r="N17" s="2936"/>
      <c r="O17" s="2936"/>
      <c r="P17" s="2937"/>
      <c r="Q17" s="2946"/>
      <c r="R17" s="2943"/>
      <c r="S17" s="2937"/>
      <c r="T17" s="919" t="s">
        <v>703</v>
      </c>
      <c r="U17" s="2607"/>
      <c r="V17" s="795">
        <f>0+15000000</f>
        <v>15000000</v>
      </c>
      <c r="W17" s="921">
        <v>88</v>
      </c>
      <c r="X17" s="982" t="s">
        <v>704</v>
      </c>
      <c r="Y17" s="2935"/>
      <c r="Z17" s="2935">
        <v>283947</v>
      </c>
      <c r="AA17" s="2935">
        <v>135754</v>
      </c>
      <c r="AB17" s="2935">
        <v>44640</v>
      </c>
      <c r="AC17" s="2935">
        <v>308178</v>
      </c>
      <c r="AD17" s="2935">
        <v>89696</v>
      </c>
      <c r="AE17" s="2935">
        <v>2145</v>
      </c>
      <c r="AF17" s="2935">
        <v>12718</v>
      </c>
      <c r="AG17" s="2935">
        <v>26</v>
      </c>
      <c r="AH17" s="2935">
        <v>37</v>
      </c>
      <c r="AI17" s="2935"/>
      <c r="AJ17" s="2935"/>
      <c r="AK17" s="2935">
        <v>54612</v>
      </c>
      <c r="AL17" s="2935">
        <v>21944</v>
      </c>
      <c r="AM17" s="2935">
        <v>1010</v>
      </c>
      <c r="AN17" s="2935">
        <v>578268</v>
      </c>
      <c r="AO17" s="2942"/>
      <c r="AP17" s="2942"/>
      <c r="AQ17" s="2947"/>
    </row>
    <row r="18" spans="1:47" s="184" customFormat="1" ht="51" customHeight="1" x14ac:dyDescent="0.2">
      <c r="A18" s="2954"/>
      <c r="B18" s="2954"/>
      <c r="C18" s="2954"/>
      <c r="D18" s="2958"/>
      <c r="E18" s="2958"/>
      <c r="F18" s="2958"/>
      <c r="G18" s="2937"/>
      <c r="H18" s="2937"/>
      <c r="I18" s="2937"/>
      <c r="J18" s="2936">
        <v>10</v>
      </c>
      <c r="K18" s="2937" t="s">
        <v>705</v>
      </c>
      <c r="L18" s="2937" t="s">
        <v>706</v>
      </c>
      <c r="M18" s="2936">
        <v>5</v>
      </c>
      <c r="N18" s="2936" t="s">
        <v>707</v>
      </c>
      <c r="O18" s="2936" t="s">
        <v>708</v>
      </c>
      <c r="P18" s="2937" t="s">
        <v>709</v>
      </c>
      <c r="Q18" s="2945">
        <f>V18/R18</f>
        <v>1</v>
      </c>
      <c r="R18" s="2943">
        <f>+V18</f>
        <v>80000000</v>
      </c>
      <c r="S18" s="2937" t="s">
        <v>710</v>
      </c>
      <c r="T18" s="918" t="s">
        <v>711</v>
      </c>
      <c r="U18" s="2937" t="s">
        <v>712</v>
      </c>
      <c r="V18" s="2943">
        <v>80000000</v>
      </c>
      <c r="W18" s="2944">
        <v>27</v>
      </c>
      <c r="X18" s="2937" t="s">
        <v>692</v>
      </c>
      <c r="Y18" s="2935">
        <v>294321</v>
      </c>
      <c r="Z18" s="2935">
        <v>283947</v>
      </c>
      <c r="AA18" s="2935">
        <v>135754</v>
      </c>
      <c r="AB18" s="2935">
        <v>44640</v>
      </c>
      <c r="AC18" s="2935">
        <v>308178</v>
      </c>
      <c r="AD18" s="2935">
        <v>89696</v>
      </c>
      <c r="AE18" s="2935">
        <v>2145</v>
      </c>
      <c r="AF18" s="2935">
        <v>12718</v>
      </c>
      <c r="AG18" s="2935">
        <v>26</v>
      </c>
      <c r="AH18" s="2935">
        <v>37</v>
      </c>
      <c r="AI18" s="2935">
        <v>0</v>
      </c>
      <c r="AJ18" s="2935">
        <v>0</v>
      </c>
      <c r="AK18" s="2935">
        <v>54612</v>
      </c>
      <c r="AL18" s="2935">
        <v>21944</v>
      </c>
      <c r="AM18" s="2935">
        <v>1010</v>
      </c>
      <c r="AN18" s="2935">
        <v>578268</v>
      </c>
      <c r="AO18" s="2942">
        <v>43466</v>
      </c>
      <c r="AP18" s="2942">
        <v>43830</v>
      </c>
      <c r="AQ18" s="2947"/>
    </row>
    <row r="19" spans="1:47" s="184" customFormat="1" ht="69.75" customHeight="1" x14ac:dyDescent="0.2">
      <c r="A19" s="2954"/>
      <c r="B19" s="2954"/>
      <c r="C19" s="2954"/>
      <c r="D19" s="2958"/>
      <c r="E19" s="2958"/>
      <c r="F19" s="2958"/>
      <c r="G19" s="2937"/>
      <c r="H19" s="2937"/>
      <c r="I19" s="2937"/>
      <c r="J19" s="2936"/>
      <c r="K19" s="2937"/>
      <c r="L19" s="2937"/>
      <c r="M19" s="2936"/>
      <c r="N19" s="2936"/>
      <c r="O19" s="2936"/>
      <c r="P19" s="2937"/>
      <c r="Q19" s="2936"/>
      <c r="R19" s="2943"/>
      <c r="S19" s="2937"/>
      <c r="T19" s="918" t="s">
        <v>713</v>
      </c>
      <c r="U19" s="2937"/>
      <c r="V19" s="2943"/>
      <c r="W19" s="2944"/>
      <c r="X19" s="2937"/>
      <c r="Y19" s="2935"/>
      <c r="Z19" s="2935"/>
      <c r="AA19" s="2935"/>
      <c r="AB19" s="2935"/>
      <c r="AC19" s="2935"/>
      <c r="AD19" s="2935"/>
      <c r="AE19" s="2935"/>
      <c r="AF19" s="2935"/>
      <c r="AG19" s="2935"/>
      <c r="AH19" s="2935"/>
      <c r="AI19" s="2935"/>
      <c r="AJ19" s="2935"/>
      <c r="AK19" s="2935"/>
      <c r="AL19" s="2935"/>
      <c r="AM19" s="2935"/>
      <c r="AN19" s="2935"/>
      <c r="AO19" s="2942"/>
      <c r="AP19" s="2942"/>
      <c r="AQ19" s="2947"/>
    </row>
    <row r="20" spans="1:47" s="184" customFormat="1" ht="402" customHeight="1" x14ac:dyDescent="0.2">
      <c r="A20" s="2954"/>
      <c r="B20" s="2954"/>
      <c r="C20" s="2954"/>
      <c r="D20" s="2958"/>
      <c r="E20" s="2958"/>
      <c r="F20" s="2958"/>
      <c r="G20" s="2936"/>
      <c r="H20" s="2936"/>
      <c r="I20" s="2936"/>
      <c r="J20" s="917">
        <v>11</v>
      </c>
      <c r="K20" s="918" t="s">
        <v>714</v>
      </c>
      <c r="L20" s="918" t="s">
        <v>715</v>
      </c>
      <c r="M20" s="917">
        <v>1</v>
      </c>
      <c r="N20" s="917" t="s">
        <v>716</v>
      </c>
      <c r="O20" s="917" t="s">
        <v>717</v>
      </c>
      <c r="P20" s="918" t="s">
        <v>718</v>
      </c>
      <c r="Q20" s="983">
        <f>+V20/R20</f>
        <v>1</v>
      </c>
      <c r="R20" s="980">
        <f>SUM(V20)</f>
        <v>230000000</v>
      </c>
      <c r="S20" s="918" t="s">
        <v>719</v>
      </c>
      <c r="T20" s="918" t="s">
        <v>720</v>
      </c>
      <c r="U20" s="918" t="s">
        <v>721</v>
      </c>
      <c r="V20" s="920">
        <v>230000000</v>
      </c>
      <c r="W20" s="921">
        <v>27</v>
      </c>
      <c r="X20" s="918" t="s">
        <v>692</v>
      </c>
      <c r="Y20" s="984">
        <v>294321</v>
      </c>
      <c r="Z20" s="984">
        <v>283947</v>
      </c>
      <c r="AA20" s="984">
        <v>135754</v>
      </c>
      <c r="AB20" s="984">
        <v>44640</v>
      </c>
      <c r="AC20" s="984">
        <v>308178</v>
      </c>
      <c r="AD20" s="984">
        <v>89696</v>
      </c>
      <c r="AE20" s="984">
        <v>2145</v>
      </c>
      <c r="AF20" s="984">
        <v>12718</v>
      </c>
      <c r="AG20" s="984">
        <v>26</v>
      </c>
      <c r="AH20" s="984">
        <v>37</v>
      </c>
      <c r="AI20" s="984">
        <v>0</v>
      </c>
      <c r="AJ20" s="984"/>
      <c r="AK20" s="984">
        <v>54612</v>
      </c>
      <c r="AL20" s="984">
        <v>21944</v>
      </c>
      <c r="AM20" s="984">
        <v>1010</v>
      </c>
      <c r="AN20" s="984">
        <v>578268</v>
      </c>
      <c r="AO20" s="985">
        <v>43466</v>
      </c>
      <c r="AP20" s="985">
        <v>43830</v>
      </c>
      <c r="AQ20" s="2947"/>
    </row>
    <row r="21" spans="1:47" s="184" customFormat="1" ht="66.75" customHeight="1" x14ac:dyDescent="0.2">
      <c r="A21" s="2954"/>
      <c r="B21" s="2954"/>
      <c r="C21" s="2954"/>
      <c r="D21" s="2958"/>
      <c r="E21" s="2958"/>
      <c r="F21" s="2958"/>
      <c r="G21" s="2936"/>
      <c r="H21" s="2936"/>
      <c r="I21" s="2936"/>
      <c r="J21" s="2936">
        <v>12</v>
      </c>
      <c r="K21" s="2937" t="s">
        <v>722</v>
      </c>
      <c r="L21" s="2937" t="s">
        <v>723</v>
      </c>
      <c r="M21" s="2936">
        <v>3</v>
      </c>
      <c r="N21" s="2936" t="s">
        <v>724</v>
      </c>
      <c r="O21" s="2936" t="s">
        <v>725</v>
      </c>
      <c r="P21" s="2937" t="s">
        <v>726</v>
      </c>
      <c r="Q21" s="2938">
        <f>(+V21+V22)/R21</f>
        <v>1</v>
      </c>
      <c r="R21" s="2940">
        <f>SUM(V21:V22)</f>
        <v>1190000000</v>
      </c>
      <c r="S21" s="2937" t="s">
        <v>727</v>
      </c>
      <c r="T21" s="918" t="s">
        <v>728</v>
      </c>
      <c r="U21" s="918" t="s">
        <v>729</v>
      </c>
      <c r="V21" s="920">
        <v>440000000</v>
      </c>
      <c r="W21" s="921">
        <v>27</v>
      </c>
      <c r="X21" s="982" t="s">
        <v>692</v>
      </c>
      <c r="Y21" s="2935">
        <v>294321</v>
      </c>
      <c r="Z21" s="2935">
        <v>283947</v>
      </c>
      <c r="AA21" s="2935">
        <v>135754</v>
      </c>
      <c r="AB21" s="2935">
        <v>44640</v>
      </c>
      <c r="AC21" s="2935">
        <v>308178</v>
      </c>
      <c r="AD21" s="2935">
        <v>89696</v>
      </c>
      <c r="AE21" s="2935">
        <v>2145</v>
      </c>
      <c r="AF21" s="2935">
        <v>12718</v>
      </c>
      <c r="AG21" s="2935">
        <v>26</v>
      </c>
      <c r="AH21" s="2935">
        <v>37</v>
      </c>
      <c r="AI21" s="2935">
        <v>0</v>
      </c>
      <c r="AJ21" s="2935">
        <v>0</v>
      </c>
      <c r="AK21" s="2935">
        <v>54612</v>
      </c>
      <c r="AL21" s="2935">
        <v>21944</v>
      </c>
      <c r="AM21" s="2935">
        <v>1010</v>
      </c>
      <c r="AN21" s="2935">
        <v>578268</v>
      </c>
      <c r="AO21" s="2942">
        <v>43466</v>
      </c>
      <c r="AP21" s="2942">
        <v>43830</v>
      </c>
      <c r="AQ21" s="2947"/>
    </row>
    <row r="22" spans="1:47" s="2" customFormat="1" ht="66.75" customHeight="1" x14ac:dyDescent="0.2">
      <c r="A22" s="2954"/>
      <c r="B22" s="2954"/>
      <c r="C22" s="2954"/>
      <c r="D22" s="2958"/>
      <c r="E22" s="2958"/>
      <c r="F22" s="2958"/>
      <c r="G22" s="2936"/>
      <c r="H22" s="2936"/>
      <c r="I22" s="2936"/>
      <c r="J22" s="2936"/>
      <c r="K22" s="2937"/>
      <c r="L22" s="2937"/>
      <c r="M22" s="2936"/>
      <c r="N22" s="2936"/>
      <c r="O22" s="2936"/>
      <c r="P22" s="2937"/>
      <c r="Q22" s="2939"/>
      <c r="R22" s="2941"/>
      <c r="S22" s="2937"/>
      <c r="T22" s="918" t="s">
        <v>730</v>
      </c>
      <c r="U22" s="918" t="s">
        <v>731</v>
      </c>
      <c r="V22" s="986">
        <v>750000000</v>
      </c>
      <c r="W22" s="921">
        <v>27</v>
      </c>
      <c r="X22" s="982" t="s">
        <v>692</v>
      </c>
      <c r="Y22" s="2935"/>
      <c r="Z22" s="2935"/>
      <c r="AA22" s="2935"/>
      <c r="AB22" s="2935"/>
      <c r="AC22" s="2935"/>
      <c r="AD22" s="2935"/>
      <c r="AE22" s="2935"/>
      <c r="AF22" s="2935"/>
      <c r="AG22" s="2935"/>
      <c r="AH22" s="2935"/>
      <c r="AI22" s="2935"/>
      <c r="AJ22" s="2935"/>
      <c r="AK22" s="2935"/>
      <c r="AL22" s="2935"/>
      <c r="AM22" s="2935"/>
      <c r="AN22" s="2935"/>
      <c r="AO22" s="2942"/>
      <c r="AP22" s="2942"/>
      <c r="AQ22" s="2947"/>
    </row>
    <row r="23" spans="1:47" ht="27" customHeight="1" x14ac:dyDescent="0.2">
      <c r="A23" s="987" t="s">
        <v>732</v>
      </c>
      <c r="B23" s="988" t="s">
        <v>733</v>
      </c>
      <c r="C23" s="988"/>
      <c r="D23" s="988"/>
      <c r="E23" s="988"/>
      <c r="F23" s="989"/>
      <c r="G23" s="990"/>
      <c r="H23" s="991"/>
      <c r="I23" s="991"/>
      <c r="J23" s="992"/>
      <c r="K23" s="992"/>
      <c r="L23" s="992"/>
      <c r="M23" s="993"/>
      <c r="N23" s="993"/>
      <c r="O23" s="993"/>
      <c r="P23" s="992"/>
      <c r="Q23" s="992"/>
      <c r="R23" s="994"/>
      <c r="S23" s="992"/>
      <c r="T23" s="991"/>
      <c r="U23" s="992"/>
      <c r="V23" s="995"/>
      <c r="W23" s="996"/>
      <c r="X23" s="997"/>
      <c r="Y23" s="998"/>
      <c r="Z23" s="999"/>
      <c r="AA23" s="999"/>
      <c r="AB23" s="999"/>
      <c r="AC23" s="999"/>
      <c r="AD23" s="999"/>
      <c r="AE23" s="999"/>
      <c r="AF23" s="999"/>
      <c r="AG23" s="999"/>
      <c r="AH23" s="999"/>
      <c r="AI23" s="999"/>
      <c r="AJ23" s="999"/>
      <c r="AK23" s="999"/>
      <c r="AL23" s="1000"/>
      <c r="AM23" s="1000"/>
      <c r="AN23" s="1001"/>
      <c r="AO23" s="1002"/>
      <c r="AP23" s="1002"/>
      <c r="AQ23" s="1003"/>
      <c r="AR23" s="707"/>
      <c r="AS23" s="707"/>
      <c r="AT23" s="707"/>
      <c r="AU23" s="707"/>
    </row>
    <row r="24" spans="1:47" ht="27" customHeight="1" x14ac:dyDescent="0.2">
      <c r="A24" s="2917" t="s">
        <v>734</v>
      </c>
      <c r="B24" s="2917"/>
      <c r="C24" s="2917"/>
      <c r="D24" s="1004" t="s">
        <v>735</v>
      </c>
      <c r="E24" s="2932" t="s">
        <v>736</v>
      </c>
      <c r="F24" s="2932"/>
      <c r="G24" s="2932"/>
      <c r="H24" s="2932"/>
      <c r="I24" s="2932"/>
      <c r="J24" s="2932"/>
      <c r="K24" s="2932"/>
      <c r="L24" s="2932"/>
      <c r="M24" s="1005"/>
      <c r="N24" s="1005"/>
      <c r="O24" s="1005"/>
      <c r="P24" s="1006"/>
      <c r="Q24" s="1006"/>
      <c r="R24" s="1007"/>
      <c r="S24" s="1006"/>
      <c r="T24" s="1006"/>
      <c r="U24" s="1006"/>
      <c r="V24" s="1007"/>
      <c r="W24" s="1008"/>
      <c r="X24" s="1009"/>
      <c r="Y24" s="1010"/>
      <c r="Z24" s="1011"/>
      <c r="AA24" s="1011"/>
      <c r="AB24" s="1011"/>
      <c r="AC24" s="1011"/>
      <c r="AD24" s="1011"/>
      <c r="AE24" s="1011"/>
      <c r="AF24" s="1011"/>
      <c r="AG24" s="1011"/>
      <c r="AH24" s="1011"/>
      <c r="AI24" s="1011"/>
      <c r="AJ24" s="1011"/>
      <c r="AK24" s="1011"/>
      <c r="AL24" s="1012"/>
      <c r="AM24" s="1012"/>
      <c r="AN24" s="1013"/>
      <c r="AO24" s="1014"/>
      <c r="AP24" s="1014"/>
      <c r="AQ24" s="1015"/>
      <c r="AR24" s="707"/>
      <c r="AS24" s="707"/>
      <c r="AT24" s="707"/>
      <c r="AU24" s="707"/>
    </row>
    <row r="25" spans="1:47" ht="27" customHeight="1" x14ac:dyDescent="0.2">
      <c r="A25" s="2917"/>
      <c r="B25" s="2917"/>
      <c r="C25" s="2917"/>
      <c r="D25" s="2917" t="s">
        <v>734</v>
      </c>
      <c r="E25" s="2917"/>
      <c r="F25" s="2917"/>
      <c r="G25" s="1016" t="s">
        <v>737</v>
      </c>
      <c r="H25" s="1017" t="s">
        <v>738</v>
      </c>
      <c r="I25" s="1017"/>
      <c r="J25" s="1017"/>
      <c r="K25" s="1018"/>
      <c r="L25" s="1018"/>
      <c r="M25" s="1019"/>
      <c r="N25" s="1019"/>
      <c r="O25" s="1019"/>
      <c r="P25" s="1018"/>
      <c r="Q25" s="1018"/>
      <c r="R25" s="1020"/>
      <c r="S25" s="1018"/>
      <c r="T25" s="1021"/>
      <c r="U25" s="1021"/>
      <c r="V25" s="1022"/>
      <c r="W25" s="1023"/>
      <c r="X25" s="1024"/>
      <c r="Y25" s="1025"/>
      <c r="Z25" s="1017"/>
      <c r="AA25" s="1017"/>
      <c r="AB25" s="1017"/>
      <c r="AC25" s="1017"/>
      <c r="AD25" s="1017"/>
      <c r="AE25" s="1017"/>
      <c r="AF25" s="1017"/>
      <c r="AG25" s="1017"/>
      <c r="AH25" s="1017"/>
      <c r="AI25" s="1017"/>
      <c r="AJ25" s="1017"/>
      <c r="AK25" s="1017"/>
      <c r="AL25" s="1026"/>
      <c r="AM25" s="1026"/>
      <c r="AN25" s="1027"/>
      <c r="AO25" s="1028"/>
      <c r="AP25" s="1028"/>
      <c r="AQ25" s="1029"/>
      <c r="AR25" s="707"/>
      <c r="AS25" s="707"/>
      <c r="AT25" s="707"/>
      <c r="AU25" s="707"/>
    </row>
    <row r="26" spans="1:47" ht="45" customHeight="1" x14ac:dyDescent="0.2">
      <c r="A26" s="2917"/>
      <c r="B26" s="2917"/>
      <c r="C26" s="2917"/>
      <c r="D26" s="2917"/>
      <c r="E26" s="2917"/>
      <c r="F26" s="2917"/>
      <c r="G26" s="2913" t="s">
        <v>734</v>
      </c>
      <c r="H26" s="2914"/>
      <c r="I26" s="2933"/>
      <c r="J26" s="2923">
        <v>54</v>
      </c>
      <c r="K26" s="2878" t="s">
        <v>739</v>
      </c>
      <c r="L26" s="2878" t="s">
        <v>740</v>
      </c>
      <c r="M26" s="2880">
        <v>130</v>
      </c>
      <c r="N26" s="913" t="s">
        <v>741</v>
      </c>
      <c r="O26" s="2880" t="s">
        <v>742</v>
      </c>
      <c r="P26" s="2878" t="s">
        <v>743</v>
      </c>
      <c r="Q26" s="2925">
        <f>SUM(V26:V31)/R26</f>
        <v>0.75621836672531229</v>
      </c>
      <c r="R26" s="2893">
        <f>SUM(V26:V37)</f>
        <v>6266240674</v>
      </c>
      <c r="S26" s="2927" t="s">
        <v>744</v>
      </c>
      <c r="T26" s="2927" t="s">
        <v>745</v>
      </c>
      <c r="U26" s="924" t="s">
        <v>746</v>
      </c>
      <c r="V26" s="1030">
        <v>266273502</v>
      </c>
      <c r="W26" s="1031">
        <v>23</v>
      </c>
      <c r="X26" s="1032" t="s">
        <v>747</v>
      </c>
      <c r="Y26" s="2930">
        <v>294321</v>
      </c>
      <c r="Z26" s="2928">
        <v>283947</v>
      </c>
      <c r="AA26" s="2928">
        <v>135912</v>
      </c>
      <c r="AB26" s="2928">
        <v>44640</v>
      </c>
      <c r="AC26" s="2928">
        <v>308178</v>
      </c>
      <c r="AD26" s="2928">
        <v>89696</v>
      </c>
      <c r="AE26" s="2928">
        <v>2145</v>
      </c>
      <c r="AF26" s="2928">
        <v>12718</v>
      </c>
      <c r="AG26" s="2928">
        <v>26</v>
      </c>
      <c r="AH26" s="2928">
        <v>37</v>
      </c>
      <c r="AI26" s="2928">
        <v>0</v>
      </c>
      <c r="AJ26" s="2928">
        <v>0</v>
      </c>
      <c r="AK26" s="2928">
        <v>54612</v>
      </c>
      <c r="AL26" s="2928">
        <v>21944</v>
      </c>
      <c r="AM26" s="2928">
        <v>1010</v>
      </c>
      <c r="AN26" s="2928">
        <f>SUM(Y26:Z37)</f>
        <v>578268</v>
      </c>
      <c r="AO26" s="2883">
        <v>43466</v>
      </c>
      <c r="AP26" s="2883">
        <v>43830</v>
      </c>
      <c r="AQ26" s="2810" t="s">
        <v>691</v>
      </c>
      <c r="AR26" s="707"/>
      <c r="AS26" s="707"/>
      <c r="AT26" s="707"/>
      <c r="AU26" s="707"/>
    </row>
    <row r="27" spans="1:47" ht="45" customHeight="1" x14ac:dyDescent="0.2">
      <c r="A27" s="2917"/>
      <c r="B27" s="2917"/>
      <c r="C27" s="2917"/>
      <c r="D27" s="2917"/>
      <c r="E27" s="2917"/>
      <c r="F27" s="2917"/>
      <c r="G27" s="2915"/>
      <c r="H27" s="2916"/>
      <c r="I27" s="2934"/>
      <c r="J27" s="2924"/>
      <c r="K27" s="2879"/>
      <c r="L27" s="2879"/>
      <c r="M27" s="2881"/>
      <c r="N27" s="1033"/>
      <c r="O27" s="2881"/>
      <c r="P27" s="2879"/>
      <c r="Q27" s="2926"/>
      <c r="R27" s="2894"/>
      <c r="S27" s="2927"/>
      <c r="T27" s="2927"/>
      <c r="U27" s="924" t="s">
        <v>748</v>
      </c>
      <c r="V27" s="1030">
        <v>193300000</v>
      </c>
      <c r="W27" s="1031">
        <v>23</v>
      </c>
      <c r="X27" s="1032" t="s">
        <v>747</v>
      </c>
      <c r="Y27" s="2931"/>
      <c r="Z27" s="2929"/>
      <c r="AA27" s="2929"/>
      <c r="AB27" s="2929"/>
      <c r="AC27" s="2929"/>
      <c r="AD27" s="2929"/>
      <c r="AE27" s="2929"/>
      <c r="AF27" s="2929"/>
      <c r="AG27" s="2929"/>
      <c r="AH27" s="2929"/>
      <c r="AI27" s="2929"/>
      <c r="AJ27" s="2929"/>
      <c r="AK27" s="2929"/>
      <c r="AL27" s="2929"/>
      <c r="AM27" s="2929"/>
      <c r="AN27" s="2929"/>
      <c r="AO27" s="2884"/>
      <c r="AP27" s="2884"/>
      <c r="AQ27" s="2811"/>
      <c r="AR27" s="1034"/>
      <c r="AS27" s="707"/>
      <c r="AT27" s="707"/>
      <c r="AU27" s="707"/>
    </row>
    <row r="28" spans="1:47" ht="32.25" customHeight="1" x14ac:dyDescent="0.2">
      <c r="A28" s="2917"/>
      <c r="B28" s="2917"/>
      <c r="C28" s="2917"/>
      <c r="D28" s="2917"/>
      <c r="E28" s="2917"/>
      <c r="F28" s="2917"/>
      <c r="G28" s="2915"/>
      <c r="H28" s="2916"/>
      <c r="I28" s="2934"/>
      <c r="J28" s="2924"/>
      <c r="K28" s="2879"/>
      <c r="L28" s="2879"/>
      <c r="M28" s="2881"/>
      <c r="N28" s="1033" t="s">
        <v>749</v>
      </c>
      <c r="O28" s="2881"/>
      <c r="P28" s="2879"/>
      <c r="Q28" s="2926"/>
      <c r="R28" s="2894"/>
      <c r="S28" s="2927"/>
      <c r="T28" s="2927"/>
      <c r="U28" s="2922" t="s">
        <v>750</v>
      </c>
      <c r="V28" s="1030">
        <v>2000000000</v>
      </c>
      <c r="W28" s="1031">
        <v>46</v>
      </c>
      <c r="X28" s="1032" t="s">
        <v>751</v>
      </c>
      <c r="Y28" s="2931"/>
      <c r="Z28" s="2929"/>
      <c r="AA28" s="2929"/>
      <c r="AB28" s="2929"/>
      <c r="AC28" s="2929"/>
      <c r="AD28" s="2929"/>
      <c r="AE28" s="2929"/>
      <c r="AF28" s="2929"/>
      <c r="AG28" s="2929"/>
      <c r="AH28" s="2929"/>
      <c r="AI28" s="2929"/>
      <c r="AJ28" s="2929"/>
      <c r="AK28" s="2929"/>
      <c r="AL28" s="2929"/>
      <c r="AM28" s="2929"/>
      <c r="AN28" s="2929"/>
      <c r="AO28" s="2884"/>
      <c r="AP28" s="2884"/>
      <c r="AQ28" s="2811"/>
      <c r="AR28" s="707"/>
      <c r="AS28" s="707"/>
      <c r="AT28" s="707"/>
      <c r="AU28" s="707"/>
    </row>
    <row r="29" spans="1:47" ht="31.5" customHeight="1" x14ac:dyDescent="0.2">
      <c r="A29" s="2917"/>
      <c r="B29" s="2917"/>
      <c r="C29" s="2917"/>
      <c r="D29" s="2917"/>
      <c r="E29" s="2917"/>
      <c r="F29" s="2917"/>
      <c r="G29" s="2915"/>
      <c r="H29" s="2916"/>
      <c r="I29" s="2934"/>
      <c r="J29" s="2924"/>
      <c r="K29" s="2879"/>
      <c r="L29" s="2879"/>
      <c r="M29" s="2881"/>
      <c r="N29" s="1033"/>
      <c r="O29" s="2881"/>
      <c r="P29" s="2879"/>
      <c r="Q29" s="2926"/>
      <c r="R29" s="2894"/>
      <c r="S29" s="2927"/>
      <c r="T29" s="2927"/>
      <c r="U29" s="2922"/>
      <c r="V29" s="1030">
        <v>1565383782</v>
      </c>
      <c r="W29" s="1031">
        <v>157</v>
      </c>
      <c r="X29" s="1032" t="s">
        <v>752</v>
      </c>
      <c r="Y29" s="2931"/>
      <c r="Z29" s="2929"/>
      <c r="AA29" s="2929"/>
      <c r="AB29" s="2929"/>
      <c r="AC29" s="2929"/>
      <c r="AD29" s="2929"/>
      <c r="AE29" s="2929"/>
      <c r="AF29" s="2929"/>
      <c r="AG29" s="2929"/>
      <c r="AH29" s="2929"/>
      <c r="AI29" s="2929"/>
      <c r="AJ29" s="2929"/>
      <c r="AK29" s="2929"/>
      <c r="AL29" s="2929"/>
      <c r="AM29" s="2929"/>
      <c r="AN29" s="2929"/>
      <c r="AO29" s="2884"/>
      <c r="AP29" s="2884"/>
      <c r="AQ29" s="2811"/>
      <c r="AR29" s="707"/>
      <c r="AS29" s="707"/>
      <c r="AT29" s="707"/>
      <c r="AU29" s="707"/>
    </row>
    <row r="30" spans="1:47" ht="31.5" customHeight="1" x14ac:dyDescent="0.2">
      <c r="A30" s="2917"/>
      <c r="B30" s="2917"/>
      <c r="C30" s="2917"/>
      <c r="D30" s="2917"/>
      <c r="E30" s="2917"/>
      <c r="F30" s="2917"/>
      <c r="G30" s="2915"/>
      <c r="H30" s="2916"/>
      <c r="I30" s="2934"/>
      <c r="J30" s="2924"/>
      <c r="K30" s="2879"/>
      <c r="L30" s="2879"/>
      <c r="M30" s="2881"/>
      <c r="N30" s="1033"/>
      <c r="O30" s="2881"/>
      <c r="P30" s="2879"/>
      <c r="Q30" s="2926"/>
      <c r="R30" s="2894"/>
      <c r="S30" s="2927"/>
      <c r="T30" s="2927"/>
      <c r="U30" s="2922"/>
      <c r="V30" s="1035">
        <f>0+393689004</f>
        <v>393689004</v>
      </c>
      <c r="W30" s="1031">
        <v>88</v>
      </c>
      <c r="X30" s="1032" t="s">
        <v>704</v>
      </c>
      <c r="Y30" s="2931"/>
      <c r="Z30" s="2929"/>
      <c r="AA30" s="2929"/>
      <c r="AB30" s="2929"/>
      <c r="AC30" s="2929"/>
      <c r="AD30" s="2929"/>
      <c r="AE30" s="2929"/>
      <c r="AF30" s="2929"/>
      <c r="AG30" s="2929"/>
      <c r="AH30" s="2929"/>
      <c r="AI30" s="2929"/>
      <c r="AJ30" s="2929"/>
      <c r="AK30" s="2929"/>
      <c r="AL30" s="2929"/>
      <c r="AM30" s="2929"/>
      <c r="AN30" s="2929"/>
      <c r="AO30" s="2884"/>
      <c r="AP30" s="2884"/>
      <c r="AQ30" s="2811"/>
      <c r="AR30" s="707"/>
      <c r="AS30" s="707"/>
      <c r="AT30" s="707"/>
      <c r="AU30" s="707"/>
    </row>
    <row r="31" spans="1:47" ht="56.25" customHeight="1" x14ac:dyDescent="0.2">
      <c r="A31" s="2917"/>
      <c r="B31" s="2917"/>
      <c r="C31" s="2917"/>
      <c r="D31" s="2917"/>
      <c r="E31" s="2917"/>
      <c r="F31" s="2917"/>
      <c r="G31" s="2915"/>
      <c r="H31" s="2916"/>
      <c r="I31" s="2934"/>
      <c r="J31" s="2924"/>
      <c r="K31" s="2879"/>
      <c r="L31" s="2879"/>
      <c r="M31" s="2881"/>
      <c r="N31" s="1033" t="s">
        <v>753</v>
      </c>
      <c r="O31" s="2881"/>
      <c r="P31" s="2879"/>
      <c r="Q31" s="2926"/>
      <c r="R31" s="2894"/>
      <c r="S31" s="2927"/>
      <c r="T31" s="2927"/>
      <c r="U31" s="924" t="s">
        <v>754</v>
      </c>
      <c r="V31" s="1030">
        <v>320000000</v>
      </c>
      <c r="W31" s="1031">
        <v>46</v>
      </c>
      <c r="X31" s="1032" t="s">
        <v>755</v>
      </c>
      <c r="Y31" s="2931"/>
      <c r="Z31" s="2929"/>
      <c r="AA31" s="2929"/>
      <c r="AB31" s="2929"/>
      <c r="AC31" s="2929"/>
      <c r="AD31" s="2929"/>
      <c r="AE31" s="2929"/>
      <c r="AF31" s="2929"/>
      <c r="AG31" s="2929"/>
      <c r="AH31" s="2929"/>
      <c r="AI31" s="2929"/>
      <c r="AJ31" s="2929"/>
      <c r="AK31" s="2929"/>
      <c r="AL31" s="2929"/>
      <c r="AM31" s="2929"/>
      <c r="AN31" s="2929"/>
      <c r="AO31" s="2884"/>
      <c r="AP31" s="2884"/>
      <c r="AQ31" s="2811"/>
      <c r="AR31" s="707"/>
      <c r="AS31" s="707"/>
      <c r="AT31" s="707"/>
      <c r="AU31" s="707"/>
    </row>
    <row r="32" spans="1:47" ht="45" customHeight="1" x14ac:dyDescent="0.2">
      <c r="A32" s="2917"/>
      <c r="B32" s="2917"/>
      <c r="C32" s="2917"/>
      <c r="D32" s="2917"/>
      <c r="E32" s="2917"/>
      <c r="F32" s="2917"/>
      <c r="G32" s="2915"/>
      <c r="H32" s="2916"/>
      <c r="I32" s="2934"/>
      <c r="J32" s="2923">
        <v>55</v>
      </c>
      <c r="K32" s="2878" t="s">
        <v>756</v>
      </c>
      <c r="L32" s="2878" t="s">
        <v>757</v>
      </c>
      <c r="M32" s="2880">
        <v>12</v>
      </c>
      <c r="N32" s="704"/>
      <c r="O32" s="2881"/>
      <c r="P32" s="2879"/>
      <c r="Q32" s="2925">
        <f>SUM(V32:V37)/R26</f>
        <v>0.24378163327468771</v>
      </c>
      <c r="R32" s="2894"/>
      <c r="S32" s="2927"/>
      <c r="T32" s="2927" t="s">
        <v>758</v>
      </c>
      <c r="U32" s="2922" t="s">
        <v>759</v>
      </c>
      <c r="V32" s="1030">
        <v>51500000</v>
      </c>
      <c r="W32" s="1031">
        <v>23</v>
      </c>
      <c r="X32" s="1032" t="s">
        <v>760</v>
      </c>
      <c r="Y32" s="2931"/>
      <c r="Z32" s="2929"/>
      <c r="AA32" s="2929"/>
      <c r="AB32" s="2929"/>
      <c r="AC32" s="2929"/>
      <c r="AD32" s="2929"/>
      <c r="AE32" s="2929"/>
      <c r="AF32" s="2929"/>
      <c r="AG32" s="2929"/>
      <c r="AH32" s="2929"/>
      <c r="AI32" s="2929"/>
      <c r="AJ32" s="2929"/>
      <c r="AK32" s="2929"/>
      <c r="AL32" s="2929"/>
      <c r="AM32" s="2929"/>
      <c r="AN32" s="2929"/>
      <c r="AO32" s="2884"/>
      <c r="AP32" s="2884"/>
      <c r="AQ32" s="2811"/>
      <c r="AR32" s="707"/>
      <c r="AS32" s="707"/>
      <c r="AT32" s="707"/>
      <c r="AU32" s="707"/>
    </row>
    <row r="33" spans="1:47" ht="45" customHeight="1" x14ac:dyDescent="0.2">
      <c r="A33" s="2917"/>
      <c r="B33" s="2917"/>
      <c r="C33" s="2917"/>
      <c r="D33" s="2917"/>
      <c r="E33" s="2917"/>
      <c r="F33" s="2917"/>
      <c r="G33" s="2915"/>
      <c r="H33" s="2916"/>
      <c r="I33" s="2934"/>
      <c r="J33" s="2924"/>
      <c r="K33" s="2879"/>
      <c r="L33" s="2879"/>
      <c r="M33" s="2881"/>
      <c r="N33" s="1033" t="s">
        <v>761</v>
      </c>
      <c r="O33" s="2881"/>
      <c r="P33" s="2879"/>
      <c r="Q33" s="2926"/>
      <c r="R33" s="2894"/>
      <c r="S33" s="2927"/>
      <c r="T33" s="2927"/>
      <c r="U33" s="2922"/>
      <c r="V33" s="1030">
        <v>100000000</v>
      </c>
      <c r="W33" s="1031">
        <v>46</v>
      </c>
      <c r="X33" s="1032" t="s">
        <v>755</v>
      </c>
      <c r="Y33" s="2931"/>
      <c r="Z33" s="2929"/>
      <c r="AA33" s="2929"/>
      <c r="AB33" s="2929"/>
      <c r="AC33" s="2929"/>
      <c r="AD33" s="2929"/>
      <c r="AE33" s="2929"/>
      <c r="AF33" s="2929"/>
      <c r="AG33" s="2929"/>
      <c r="AH33" s="2929"/>
      <c r="AI33" s="2929"/>
      <c r="AJ33" s="2929"/>
      <c r="AK33" s="2929"/>
      <c r="AL33" s="2929"/>
      <c r="AM33" s="2929"/>
      <c r="AN33" s="2929"/>
      <c r="AO33" s="2884"/>
      <c r="AP33" s="2884"/>
      <c r="AQ33" s="2811"/>
      <c r="AR33" s="707"/>
      <c r="AS33" s="707"/>
      <c r="AT33" s="707"/>
      <c r="AU33" s="707"/>
    </row>
    <row r="34" spans="1:47" ht="45" customHeight="1" x14ac:dyDescent="0.2">
      <c r="A34" s="2917"/>
      <c r="B34" s="2917"/>
      <c r="C34" s="2917"/>
      <c r="D34" s="2917"/>
      <c r="E34" s="2917"/>
      <c r="F34" s="2917"/>
      <c r="G34" s="2915"/>
      <c r="H34" s="2916"/>
      <c r="I34" s="2934"/>
      <c r="J34" s="2924"/>
      <c r="K34" s="2879"/>
      <c r="L34" s="2879"/>
      <c r="M34" s="2881"/>
      <c r="N34" s="704"/>
      <c r="O34" s="2881"/>
      <c r="P34" s="2879"/>
      <c r="Q34" s="2926"/>
      <c r="R34" s="2894"/>
      <c r="S34" s="2927"/>
      <c r="T34" s="2927"/>
      <c r="U34" s="2922" t="s">
        <v>762</v>
      </c>
      <c r="V34" s="1030">
        <v>448500000</v>
      </c>
      <c r="W34" s="1031">
        <v>23</v>
      </c>
      <c r="X34" s="1032" t="s">
        <v>760</v>
      </c>
      <c r="Y34" s="2931"/>
      <c r="Z34" s="2929"/>
      <c r="AA34" s="2929"/>
      <c r="AB34" s="2929"/>
      <c r="AC34" s="2929"/>
      <c r="AD34" s="2929"/>
      <c r="AE34" s="2929"/>
      <c r="AF34" s="2929"/>
      <c r="AG34" s="2929"/>
      <c r="AH34" s="2929"/>
      <c r="AI34" s="2929"/>
      <c r="AJ34" s="2929"/>
      <c r="AK34" s="2929"/>
      <c r="AL34" s="2929"/>
      <c r="AM34" s="2929"/>
      <c r="AN34" s="2929"/>
      <c r="AO34" s="2884"/>
      <c r="AP34" s="2884"/>
      <c r="AQ34" s="2811"/>
      <c r="AR34" s="707"/>
      <c r="AS34" s="707"/>
      <c r="AT34" s="707"/>
      <c r="AU34" s="707"/>
    </row>
    <row r="35" spans="1:47" ht="45" customHeight="1" x14ac:dyDescent="0.2">
      <c r="A35" s="2917"/>
      <c r="B35" s="2917"/>
      <c r="C35" s="2917"/>
      <c r="D35" s="2917"/>
      <c r="E35" s="2917"/>
      <c r="F35" s="2917"/>
      <c r="G35" s="2915"/>
      <c r="H35" s="2916"/>
      <c r="I35" s="2934"/>
      <c r="J35" s="2924"/>
      <c r="K35" s="2879"/>
      <c r="L35" s="2879"/>
      <c r="M35" s="2881"/>
      <c r="N35" s="704"/>
      <c r="O35" s="2881"/>
      <c r="P35" s="2879"/>
      <c r="Q35" s="2926"/>
      <c r="R35" s="2894"/>
      <c r="S35" s="2927"/>
      <c r="T35" s="2927"/>
      <c r="U35" s="2922"/>
      <c r="V35" s="1030">
        <v>42594386</v>
      </c>
      <c r="W35" s="1031">
        <v>89</v>
      </c>
      <c r="X35" s="1032" t="s">
        <v>763</v>
      </c>
      <c r="Y35" s="2931"/>
      <c r="Z35" s="2929"/>
      <c r="AA35" s="2929"/>
      <c r="AB35" s="2929"/>
      <c r="AC35" s="2929"/>
      <c r="AD35" s="2929"/>
      <c r="AE35" s="2929"/>
      <c r="AF35" s="2929"/>
      <c r="AG35" s="2929"/>
      <c r="AH35" s="2929"/>
      <c r="AI35" s="2929"/>
      <c r="AJ35" s="2929"/>
      <c r="AK35" s="2929"/>
      <c r="AL35" s="2929"/>
      <c r="AM35" s="2929"/>
      <c r="AN35" s="2929"/>
      <c r="AO35" s="2884"/>
      <c r="AP35" s="2884"/>
      <c r="AQ35" s="2811"/>
      <c r="AR35" s="707"/>
      <c r="AS35" s="707"/>
      <c r="AT35" s="707"/>
      <c r="AU35" s="707"/>
    </row>
    <row r="36" spans="1:47" ht="45" customHeight="1" x14ac:dyDescent="0.2">
      <c r="A36" s="2917"/>
      <c r="B36" s="2917"/>
      <c r="C36" s="2917"/>
      <c r="D36" s="2917"/>
      <c r="E36" s="2917"/>
      <c r="F36" s="2917"/>
      <c r="G36" s="2915"/>
      <c r="H36" s="2916"/>
      <c r="I36" s="2934"/>
      <c r="J36" s="2924"/>
      <c r="K36" s="2879"/>
      <c r="L36" s="2879"/>
      <c r="M36" s="2881"/>
      <c r="N36" s="704" t="s">
        <v>764</v>
      </c>
      <c r="O36" s="2881"/>
      <c r="P36" s="2879"/>
      <c r="Q36" s="2926"/>
      <c r="R36" s="2894"/>
      <c r="S36" s="2927"/>
      <c r="T36" s="2927"/>
      <c r="U36" s="2922"/>
      <c r="V36" s="2460">
        <f>0+185000000</f>
        <v>185000000</v>
      </c>
      <c r="W36" s="1036">
        <v>88</v>
      </c>
      <c r="X36" s="1032" t="s">
        <v>704</v>
      </c>
      <c r="Y36" s="2931"/>
      <c r="Z36" s="2929"/>
      <c r="AA36" s="2929"/>
      <c r="AB36" s="2929"/>
      <c r="AC36" s="2929"/>
      <c r="AD36" s="2929"/>
      <c r="AE36" s="2929"/>
      <c r="AF36" s="2929"/>
      <c r="AG36" s="2929"/>
      <c r="AH36" s="2929"/>
      <c r="AI36" s="2929"/>
      <c r="AJ36" s="2929"/>
      <c r="AK36" s="2929"/>
      <c r="AL36" s="2929"/>
      <c r="AM36" s="2929"/>
      <c r="AN36" s="2929"/>
      <c r="AO36" s="2884"/>
      <c r="AP36" s="2884"/>
      <c r="AQ36" s="2811"/>
      <c r="AR36" s="707"/>
      <c r="AS36" s="707"/>
      <c r="AT36" s="707"/>
      <c r="AU36" s="707"/>
    </row>
    <row r="37" spans="1:47" ht="45" customHeight="1" x14ac:dyDescent="0.2">
      <c r="A37" s="2917"/>
      <c r="B37" s="2917"/>
      <c r="C37" s="2917"/>
      <c r="D37" s="2917"/>
      <c r="E37" s="2917"/>
      <c r="F37" s="2917"/>
      <c r="G37" s="2915"/>
      <c r="H37" s="2916"/>
      <c r="I37" s="2934"/>
      <c r="J37" s="2924"/>
      <c r="K37" s="2879"/>
      <c r="L37" s="2879"/>
      <c r="M37" s="2881"/>
      <c r="N37" s="1033"/>
      <c r="O37" s="2881"/>
      <c r="P37" s="2879"/>
      <c r="Q37" s="2926"/>
      <c r="R37" s="2894"/>
      <c r="S37" s="2927"/>
      <c r="T37" s="2927"/>
      <c r="U37" s="924" t="s">
        <v>765</v>
      </c>
      <c r="V37" s="1030">
        <v>700000000</v>
      </c>
      <c r="W37" s="1031">
        <v>46</v>
      </c>
      <c r="X37" s="1032" t="s">
        <v>755</v>
      </c>
      <c r="Y37" s="2931"/>
      <c r="Z37" s="2929"/>
      <c r="AA37" s="2929"/>
      <c r="AB37" s="2929"/>
      <c r="AC37" s="2929"/>
      <c r="AD37" s="2929"/>
      <c r="AE37" s="2929"/>
      <c r="AF37" s="2929"/>
      <c r="AG37" s="2929"/>
      <c r="AH37" s="2929"/>
      <c r="AI37" s="2929"/>
      <c r="AJ37" s="2929"/>
      <c r="AK37" s="2929"/>
      <c r="AL37" s="2929"/>
      <c r="AM37" s="2929"/>
      <c r="AN37" s="2929"/>
      <c r="AO37" s="2884"/>
      <c r="AP37" s="2884"/>
      <c r="AQ37" s="2811"/>
      <c r="AR37" s="707"/>
      <c r="AS37" s="707"/>
      <c r="AT37" s="707"/>
      <c r="AU37" s="707"/>
    </row>
    <row r="38" spans="1:47" ht="27" customHeight="1" x14ac:dyDescent="0.2">
      <c r="A38" s="1037"/>
      <c r="B38" s="1038"/>
      <c r="C38" s="1039"/>
      <c r="D38" s="2913"/>
      <c r="E38" s="2914"/>
      <c r="F38" s="2914"/>
      <c r="G38" s="1040" t="s">
        <v>766</v>
      </c>
      <c r="H38" s="1041" t="s">
        <v>767</v>
      </c>
      <c r="I38" s="1017"/>
      <c r="J38" s="1017"/>
      <c r="K38" s="1017"/>
      <c r="L38" s="1017"/>
      <c r="M38" s="1017"/>
      <c r="N38" s="1019"/>
      <c r="O38" s="1019"/>
      <c r="P38" s="1017"/>
      <c r="Q38" s="1017"/>
      <c r="R38" s="1042"/>
      <c r="S38" s="1017"/>
      <c r="T38" s="1017"/>
      <c r="U38" s="1043"/>
      <c r="V38" s="1044"/>
      <c r="W38" s="1043"/>
      <c r="X38" s="1045"/>
      <c r="Y38" s="1017"/>
      <c r="Z38" s="1017"/>
      <c r="AA38" s="1017"/>
      <c r="AB38" s="1017"/>
      <c r="AC38" s="1017"/>
      <c r="AD38" s="1017"/>
      <c r="AE38" s="1017"/>
      <c r="AF38" s="1017"/>
      <c r="AG38" s="1017"/>
      <c r="AH38" s="1017"/>
      <c r="AI38" s="1017"/>
      <c r="AJ38" s="1017"/>
      <c r="AK38" s="1017"/>
      <c r="AL38" s="1017"/>
      <c r="AM38" s="1017"/>
      <c r="AN38" s="1017"/>
      <c r="AO38" s="1046"/>
      <c r="AP38" s="1017"/>
      <c r="AQ38" s="1047"/>
      <c r="AR38" s="707"/>
      <c r="AS38" s="707"/>
      <c r="AT38" s="707"/>
      <c r="AU38" s="707"/>
    </row>
    <row r="39" spans="1:47" ht="48.75" customHeight="1" x14ac:dyDescent="0.2">
      <c r="A39" s="1037"/>
      <c r="B39" s="1038"/>
      <c r="C39" s="1039"/>
      <c r="D39" s="2915"/>
      <c r="E39" s="2916"/>
      <c r="F39" s="2916"/>
      <c r="G39" s="2917"/>
      <c r="H39" s="2917"/>
      <c r="I39" s="2917"/>
      <c r="J39" s="2901">
        <v>57</v>
      </c>
      <c r="K39" s="2878" t="s">
        <v>768</v>
      </c>
      <c r="L39" s="2878" t="s">
        <v>769</v>
      </c>
      <c r="M39" s="2880">
        <v>12</v>
      </c>
      <c r="N39" s="2534" t="s">
        <v>770</v>
      </c>
      <c r="O39" s="2880" t="s">
        <v>771</v>
      </c>
      <c r="P39" s="2878" t="s">
        <v>772</v>
      </c>
      <c r="Q39" s="2882">
        <f>SUM(V39:V43)/R39</f>
        <v>0.21473347171373725</v>
      </c>
      <c r="R39" s="2893">
        <f>SUM(V39:V58)</f>
        <v>20985340781</v>
      </c>
      <c r="S39" s="2878" t="s">
        <v>773</v>
      </c>
      <c r="T39" s="2911" t="s">
        <v>774</v>
      </c>
      <c r="U39" s="1048" t="s">
        <v>775</v>
      </c>
      <c r="V39" s="1049">
        <v>174840000</v>
      </c>
      <c r="W39" s="981" t="s">
        <v>689</v>
      </c>
      <c r="X39" s="1050" t="s">
        <v>776</v>
      </c>
      <c r="Y39" s="2885">
        <v>294321</v>
      </c>
      <c r="Z39" s="2885">
        <v>283947</v>
      </c>
      <c r="AA39" s="2885">
        <v>135754</v>
      </c>
      <c r="AB39" s="2885">
        <v>44640</v>
      </c>
      <c r="AC39" s="2885">
        <v>308178</v>
      </c>
      <c r="AD39" s="2885">
        <v>89696</v>
      </c>
      <c r="AE39" s="2885">
        <v>2145</v>
      </c>
      <c r="AF39" s="2885">
        <v>12178</v>
      </c>
      <c r="AG39" s="2885">
        <v>26</v>
      </c>
      <c r="AH39" s="2885">
        <v>37</v>
      </c>
      <c r="AI39" s="2885">
        <v>0</v>
      </c>
      <c r="AJ39" s="2885">
        <v>0</v>
      </c>
      <c r="AK39" s="2534">
        <v>54612</v>
      </c>
      <c r="AL39" s="2534">
        <v>21944</v>
      </c>
      <c r="AM39" s="2897">
        <v>1010</v>
      </c>
      <c r="AN39" s="2897">
        <v>578268</v>
      </c>
      <c r="AO39" s="2883">
        <v>43466</v>
      </c>
      <c r="AP39" s="2883">
        <v>43830</v>
      </c>
      <c r="AQ39" s="2897" t="s">
        <v>691</v>
      </c>
      <c r="AR39" s="707"/>
      <c r="AS39" s="707"/>
      <c r="AT39" s="707"/>
      <c r="AU39" s="707"/>
    </row>
    <row r="40" spans="1:47" ht="48.75" customHeight="1" x14ac:dyDescent="0.2">
      <c r="A40" s="1037"/>
      <c r="B40" s="1038"/>
      <c r="C40" s="1039"/>
      <c r="D40" s="2915"/>
      <c r="E40" s="2916"/>
      <c r="F40" s="2916"/>
      <c r="G40" s="2917"/>
      <c r="H40" s="2917"/>
      <c r="I40" s="2917"/>
      <c r="J40" s="2902"/>
      <c r="K40" s="2879"/>
      <c r="L40" s="2879"/>
      <c r="M40" s="2881"/>
      <c r="N40" s="2891"/>
      <c r="O40" s="2881"/>
      <c r="P40" s="2879"/>
      <c r="Q40" s="2874"/>
      <c r="R40" s="2894"/>
      <c r="S40" s="2879"/>
      <c r="T40" s="2892"/>
      <c r="U40" s="1048" t="s">
        <v>777</v>
      </c>
      <c r="V40" s="1049">
        <v>1025160000</v>
      </c>
      <c r="W40" s="981" t="s">
        <v>689</v>
      </c>
      <c r="X40" s="1050" t="s">
        <v>776</v>
      </c>
      <c r="Y40" s="2886"/>
      <c r="Z40" s="2886"/>
      <c r="AA40" s="2886"/>
      <c r="AB40" s="2886"/>
      <c r="AC40" s="2886"/>
      <c r="AD40" s="2886"/>
      <c r="AE40" s="2886"/>
      <c r="AF40" s="2886"/>
      <c r="AG40" s="2886"/>
      <c r="AH40" s="2886"/>
      <c r="AI40" s="2886"/>
      <c r="AJ40" s="2886"/>
      <c r="AK40" s="2891"/>
      <c r="AL40" s="2891"/>
      <c r="AM40" s="2898"/>
      <c r="AN40" s="2898"/>
      <c r="AO40" s="2884"/>
      <c r="AP40" s="2884"/>
      <c r="AQ40" s="2898"/>
      <c r="AR40" s="707"/>
      <c r="AS40" s="707"/>
      <c r="AT40" s="707"/>
      <c r="AU40" s="707"/>
    </row>
    <row r="41" spans="1:47" ht="48.75" customHeight="1" x14ac:dyDescent="0.2">
      <c r="A41" s="1037"/>
      <c r="B41" s="1038"/>
      <c r="C41" s="1039"/>
      <c r="D41" s="2915"/>
      <c r="E41" s="2916"/>
      <c r="F41" s="2916"/>
      <c r="G41" s="2917"/>
      <c r="H41" s="2917"/>
      <c r="I41" s="2917"/>
      <c r="J41" s="2902"/>
      <c r="K41" s="2879"/>
      <c r="L41" s="2879"/>
      <c r="M41" s="2881"/>
      <c r="N41" s="2891"/>
      <c r="O41" s="2881"/>
      <c r="P41" s="2879"/>
      <c r="Q41" s="2874"/>
      <c r="R41" s="2894"/>
      <c r="S41" s="2879"/>
      <c r="T41" s="2892"/>
      <c r="U41" s="2899" t="s">
        <v>778</v>
      </c>
      <c r="V41" s="1049">
        <v>1500000000</v>
      </c>
      <c r="W41" s="981" t="s">
        <v>689</v>
      </c>
      <c r="X41" s="1050" t="s">
        <v>776</v>
      </c>
      <c r="Y41" s="2886"/>
      <c r="Z41" s="2886"/>
      <c r="AA41" s="2886"/>
      <c r="AB41" s="2886"/>
      <c r="AC41" s="2886"/>
      <c r="AD41" s="2886"/>
      <c r="AE41" s="2886"/>
      <c r="AF41" s="2886"/>
      <c r="AG41" s="2886"/>
      <c r="AH41" s="2886"/>
      <c r="AI41" s="2886"/>
      <c r="AJ41" s="2886"/>
      <c r="AK41" s="2891"/>
      <c r="AL41" s="2891"/>
      <c r="AM41" s="2898"/>
      <c r="AN41" s="2898"/>
      <c r="AO41" s="2884"/>
      <c r="AP41" s="2884"/>
      <c r="AQ41" s="2898"/>
      <c r="AR41" s="707"/>
      <c r="AS41" s="707"/>
      <c r="AT41" s="707"/>
      <c r="AU41" s="707"/>
    </row>
    <row r="42" spans="1:47" ht="48.75" customHeight="1" x14ac:dyDescent="0.2">
      <c r="A42" s="1037"/>
      <c r="B42" s="1038"/>
      <c r="C42" s="1039"/>
      <c r="D42" s="2915"/>
      <c r="E42" s="2916"/>
      <c r="F42" s="2916"/>
      <c r="G42" s="2917"/>
      <c r="H42" s="2917"/>
      <c r="I42" s="2917"/>
      <c r="J42" s="2902"/>
      <c r="K42" s="2879"/>
      <c r="L42" s="2879"/>
      <c r="M42" s="2881"/>
      <c r="N42" s="2891"/>
      <c r="O42" s="2881"/>
      <c r="P42" s="2879"/>
      <c r="Q42" s="2874"/>
      <c r="R42" s="2894"/>
      <c r="S42" s="2879"/>
      <c r="T42" s="2892"/>
      <c r="U42" s="2900"/>
      <c r="V42" s="1049">
        <v>1706255081</v>
      </c>
      <c r="W42" s="981" t="s">
        <v>694</v>
      </c>
      <c r="X42" s="1050" t="s">
        <v>779</v>
      </c>
      <c r="Y42" s="2886"/>
      <c r="Z42" s="2886"/>
      <c r="AA42" s="2886"/>
      <c r="AB42" s="2886"/>
      <c r="AC42" s="2886"/>
      <c r="AD42" s="2886"/>
      <c r="AE42" s="2886"/>
      <c r="AF42" s="2886"/>
      <c r="AG42" s="2886"/>
      <c r="AH42" s="2886"/>
      <c r="AI42" s="2886"/>
      <c r="AJ42" s="2886"/>
      <c r="AK42" s="2891"/>
      <c r="AL42" s="2891"/>
      <c r="AM42" s="2898"/>
      <c r="AN42" s="2898"/>
      <c r="AO42" s="2884"/>
      <c r="AP42" s="2884"/>
      <c r="AQ42" s="2898"/>
      <c r="AR42" s="707"/>
      <c r="AS42" s="707"/>
      <c r="AT42" s="707"/>
      <c r="AU42" s="707"/>
    </row>
    <row r="43" spans="1:47" ht="66" customHeight="1" x14ac:dyDescent="0.2">
      <c r="A43" s="1037"/>
      <c r="B43" s="1038"/>
      <c r="C43" s="1039"/>
      <c r="D43" s="2915"/>
      <c r="E43" s="2916"/>
      <c r="F43" s="2916"/>
      <c r="G43" s="2917"/>
      <c r="H43" s="2917"/>
      <c r="I43" s="2917"/>
      <c r="J43" s="2902"/>
      <c r="K43" s="2879"/>
      <c r="L43" s="2879"/>
      <c r="M43" s="2881"/>
      <c r="N43" s="2891"/>
      <c r="O43" s="2881"/>
      <c r="P43" s="2879"/>
      <c r="Q43" s="2874"/>
      <c r="R43" s="2894"/>
      <c r="S43" s="2879"/>
      <c r="T43" s="2892"/>
      <c r="U43" s="1048" t="s">
        <v>780</v>
      </c>
      <c r="V43" s="1049">
        <v>100000000</v>
      </c>
      <c r="W43" s="981" t="s">
        <v>689</v>
      </c>
      <c r="X43" s="1050" t="s">
        <v>776</v>
      </c>
      <c r="Y43" s="2886"/>
      <c r="Z43" s="2886"/>
      <c r="AA43" s="2886"/>
      <c r="AB43" s="2886"/>
      <c r="AC43" s="2886"/>
      <c r="AD43" s="2886"/>
      <c r="AE43" s="2886"/>
      <c r="AF43" s="2886"/>
      <c r="AG43" s="2886"/>
      <c r="AH43" s="2886"/>
      <c r="AI43" s="2886"/>
      <c r="AJ43" s="2886"/>
      <c r="AK43" s="2891"/>
      <c r="AL43" s="2891"/>
      <c r="AM43" s="2898"/>
      <c r="AN43" s="2898"/>
      <c r="AO43" s="2884"/>
      <c r="AP43" s="2884"/>
      <c r="AQ43" s="2898"/>
      <c r="AR43" s="707"/>
      <c r="AS43" s="707"/>
      <c r="AT43" s="707"/>
      <c r="AU43" s="707"/>
    </row>
    <row r="44" spans="1:47" ht="47.25" customHeight="1" x14ac:dyDescent="0.2">
      <c r="A44" s="1051"/>
      <c r="B44" s="1052"/>
      <c r="C44" s="1053"/>
      <c r="D44" s="2915"/>
      <c r="E44" s="2916"/>
      <c r="F44" s="2916"/>
      <c r="G44" s="2917"/>
      <c r="H44" s="2917"/>
      <c r="I44" s="2917"/>
      <c r="J44" s="2901">
        <v>58</v>
      </c>
      <c r="K44" s="2903" t="s">
        <v>781</v>
      </c>
      <c r="L44" s="2903" t="s">
        <v>782</v>
      </c>
      <c r="M44" s="2534">
        <v>1</v>
      </c>
      <c r="N44" s="2891"/>
      <c r="O44" s="2881"/>
      <c r="P44" s="2892"/>
      <c r="Q44" s="2905">
        <f>SUM(V44:V45)/R39</f>
        <v>0.23739549507390009</v>
      </c>
      <c r="R44" s="2895"/>
      <c r="S44" s="2879"/>
      <c r="T44" s="2892"/>
      <c r="U44" s="924" t="s">
        <v>783</v>
      </c>
      <c r="V44" s="1054">
        <v>4181825364</v>
      </c>
      <c r="W44" s="1055">
        <v>46</v>
      </c>
      <c r="X44" s="1056" t="s">
        <v>755</v>
      </c>
      <c r="Y44" s="2886"/>
      <c r="Z44" s="2886"/>
      <c r="AA44" s="2886"/>
      <c r="AB44" s="2886"/>
      <c r="AC44" s="2886"/>
      <c r="AD44" s="2886"/>
      <c r="AE44" s="2886"/>
      <c r="AF44" s="2886"/>
      <c r="AG44" s="2886"/>
      <c r="AH44" s="2886"/>
      <c r="AI44" s="2886"/>
      <c r="AJ44" s="2886"/>
      <c r="AK44" s="2891"/>
      <c r="AL44" s="2891"/>
      <c r="AM44" s="2898"/>
      <c r="AN44" s="2898"/>
      <c r="AO44" s="2884"/>
      <c r="AP44" s="2884"/>
      <c r="AQ44" s="2898"/>
      <c r="AR44" s="1057"/>
      <c r="AS44" s="1057"/>
      <c r="AT44" s="1057"/>
      <c r="AU44" s="1057"/>
    </row>
    <row r="45" spans="1:47" ht="45.75" customHeight="1" x14ac:dyDescent="0.2">
      <c r="A45" s="1051"/>
      <c r="B45" s="1052"/>
      <c r="C45" s="1053"/>
      <c r="D45" s="2915"/>
      <c r="E45" s="2916"/>
      <c r="F45" s="2916"/>
      <c r="G45" s="2917"/>
      <c r="H45" s="2917"/>
      <c r="I45" s="2917"/>
      <c r="J45" s="2902"/>
      <c r="K45" s="2904"/>
      <c r="L45" s="2904"/>
      <c r="M45" s="2891"/>
      <c r="N45" s="2891"/>
      <c r="O45" s="2881"/>
      <c r="P45" s="2892"/>
      <c r="Q45" s="2906"/>
      <c r="R45" s="2895"/>
      <c r="S45" s="2879"/>
      <c r="T45" s="2892"/>
      <c r="U45" s="924" t="s">
        <v>784</v>
      </c>
      <c r="V45" s="1054">
        <v>800000000</v>
      </c>
      <c r="W45" s="1055">
        <v>46</v>
      </c>
      <c r="X45" s="1056" t="s">
        <v>755</v>
      </c>
      <c r="Y45" s="2886"/>
      <c r="Z45" s="2886"/>
      <c r="AA45" s="2886"/>
      <c r="AB45" s="2886"/>
      <c r="AC45" s="2886"/>
      <c r="AD45" s="2886"/>
      <c r="AE45" s="2886"/>
      <c r="AF45" s="2886"/>
      <c r="AG45" s="2886"/>
      <c r="AH45" s="2886"/>
      <c r="AI45" s="2886"/>
      <c r="AJ45" s="2886"/>
      <c r="AK45" s="2891"/>
      <c r="AL45" s="2891"/>
      <c r="AM45" s="2898"/>
      <c r="AN45" s="2898"/>
      <c r="AO45" s="2884"/>
      <c r="AP45" s="2884"/>
      <c r="AQ45" s="2898"/>
      <c r="AR45" s="1057"/>
      <c r="AS45" s="1057"/>
      <c r="AT45" s="1057"/>
      <c r="AU45" s="1057"/>
    </row>
    <row r="46" spans="1:47" ht="47.25" customHeight="1" x14ac:dyDescent="0.2">
      <c r="A46" s="1051"/>
      <c r="B46" s="1052"/>
      <c r="C46" s="1053"/>
      <c r="D46" s="2915"/>
      <c r="E46" s="2916"/>
      <c r="F46" s="2916"/>
      <c r="G46" s="2917"/>
      <c r="H46" s="2917"/>
      <c r="I46" s="2917"/>
      <c r="J46" s="2907">
        <v>59</v>
      </c>
      <c r="K46" s="2534" t="s">
        <v>785</v>
      </c>
      <c r="L46" s="2880" t="s">
        <v>786</v>
      </c>
      <c r="M46" s="2880">
        <v>12</v>
      </c>
      <c r="N46" s="2891"/>
      <c r="O46" s="2881"/>
      <c r="P46" s="2892"/>
      <c r="Q46" s="2896">
        <f>SUM(V46:V51)/R39</f>
        <v>0.14171441412533906</v>
      </c>
      <c r="R46" s="2895"/>
      <c r="S46" s="2879"/>
      <c r="T46" s="2892"/>
      <c r="U46" s="924" t="s">
        <v>787</v>
      </c>
      <c r="V46" s="1054">
        <v>225000000</v>
      </c>
      <c r="W46" s="1058" t="s">
        <v>689</v>
      </c>
      <c r="X46" s="1050" t="s">
        <v>776</v>
      </c>
      <c r="Y46" s="2886"/>
      <c r="Z46" s="2886"/>
      <c r="AA46" s="2886"/>
      <c r="AB46" s="2886"/>
      <c r="AC46" s="2886"/>
      <c r="AD46" s="2886"/>
      <c r="AE46" s="2886"/>
      <c r="AF46" s="2886"/>
      <c r="AG46" s="2886"/>
      <c r="AH46" s="2886"/>
      <c r="AI46" s="2886"/>
      <c r="AJ46" s="2886"/>
      <c r="AK46" s="2891"/>
      <c r="AL46" s="2891"/>
      <c r="AM46" s="2898"/>
      <c r="AN46" s="2898"/>
      <c r="AO46" s="2884"/>
      <c r="AP46" s="2884"/>
      <c r="AQ46" s="2898"/>
      <c r="AR46" s="1057"/>
      <c r="AS46" s="1057"/>
      <c r="AT46" s="1057"/>
      <c r="AU46" s="1057"/>
    </row>
    <row r="47" spans="1:47" ht="54.75" customHeight="1" x14ac:dyDescent="0.2">
      <c r="A47" s="1051"/>
      <c r="B47" s="1052"/>
      <c r="C47" s="1053"/>
      <c r="D47" s="2915"/>
      <c r="E47" s="2916"/>
      <c r="F47" s="2916"/>
      <c r="G47" s="2917"/>
      <c r="H47" s="2917"/>
      <c r="I47" s="2917"/>
      <c r="J47" s="2908"/>
      <c r="K47" s="2891"/>
      <c r="L47" s="2881"/>
      <c r="M47" s="2881"/>
      <c r="N47" s="2891"/>
      <c r="O47" s="2881"/>
      <c r="P47" s="2892"/>
      <c r="Q47" s="2896"/>
      <c r="R47" s="2895"/>
      <c r="S47" s="2879"/>
      <c r="T47" s="2892"/>
      <c r="U47" s="2888" t="s">
        <v>788</v>
      </c>
      <c r="V47" s="1054">
        <v>383410000</v>
      </c>
      <c r="W47" s="1058" t="s">
        <v>689</v>
      </c>
      <c r="X47" s="1050" t="s">
        <v>776</v>
      </c>
      <c r="Y47" s="2886"/>
      <c r="Z47" s="2886"/>
      <c r="AA47" s="2886"/>
      <c r="AB47" s="2886"/>
      <c r="AC47" s="2886"/>
      <c r="AD47" s="2886"/>
      <c r="AE47" s="2886"/>
      <c r="AF47" s="2886"/>
      <c r="AG47" s="2886"/>
      <c r="AH47" s="2886"/>
      <c r="AI47" s="2886"/>
      <c r="AJ47" s="2886"/>
      <c r="AK47" s="2891"/>
      <c r="AL47" s="2891"/>
      <c r="AM47" s="2898"/>
      <c r="AN47" s="2898"/>
      <c r="AO47" s="2884"/>
      <c r="AP47" s="2884"/>
      <c r="AQ47" s="2898"/>
      <c r="AR47" s="1057"/>
      <c r="AS47" s="1057"/>
      <c r="AT47" s="1057"/>
      <c r="AU47" s="1057"/>
    </row>
    <row r="48" spans="1:47" ht="46.5" customHeight="1" x14ac:dyDescent="0.2">
      <c r="A48" s="1051"/>
      <c r="B48" s="1052"/>
      <c r="C48" s="1053"/>
      <c r="D48" s="2915"/>
      <c r="E48" s="2916"/>
      <c r="F48" s="2916"/>
      <c r="G48" s="2917"/>
      <c r="H48" s="2917"/>
      <c r="I48" s="2917"/>
      <c r="J48" s="2908"/>
      <c r="K48" s="2891"/>
      <c r="L48" s="2881"/>
      <c r="M48" s="2881"/>
      <c r="N48" s="2891"/>
      <c r="O48" s="2881"/>
      <c r="P48" s="2892"/>
      <c r="Q48" s="2896"/>
      <c r="R48" s="2895"/>
      <c r="S48" s="2879"/>
      <c r="T48" s="2892"/>
      <c r="U48" s="2889"/>
      <c r="V48" s="1054">
        <v>246521300</v>
      </c>
      <c r="W48" s="1058" t="s">
        <v>694</v>
      </c>
      <c r="X48" s="1050" t="s">
        <v>779</v>
      </c>
      <c r="Y48" s="2886"/>
      <c r="Z48" s="2886"/>
      <c r="AA48" s="2886"/>
      <c r="AB48" s="2886"/>
      <c r="AC48" s="2886"/>
      <c r="AD48" s="2886"/>
      <c r="AE48" s="2886"/>
      <c r="AF48" s="2886"/>
      <c r="AG48" s="2886"/>
      <c r="AH48" s="2886"/>
      <c r="AI48" s="2886"/>
      <c r="AJ48" s="2886"/>
      <c r="AK48" s="2891"/>
      <c r="AL48" s="2891"/>
      <c r="AM48" s="2898"/>
      <c r="AN48" s="2898"/>
      <c r="AO48" s="2884"/>
      <c r="AP48" s="2884"/>
      <c r="AQ48" s="2898"/>
      <c r="AR48" s="1057"/>
      <c r="AS48" s="1057"/>
      <c r="AT48" s="1057"/>
      <c r="AU48" s="1057"/>
    </row>
    <row r="49" spans="1:47" ht="34.5" customHeight="1" x14ac:dyDescent="0.2">
      <c r="A49" s="1051"/>
      <c r="B49" s="1052"/>
      <c r="C49" s="1053"/>
      <c r="D49" s="2915"/>
      <c r="E49" s="2916"/>
      <c r="F49" s="2916"/>
      <c r="G49" s="2917"/>
      <c r="H49" s="2917"/>
      <c r="I49" s="2917"/>
      <c r="J49" s="2908"/>
      <c r="K49" s="2891"/>
      <c r="L49" s="2881"/>
      <c r="M49" s="2881"/>
      <c r="N49" s="2891"/>
      <c r="O49" s="2881"/>
      <c r="P49" s="2892"/>
      <c r="Q49" s="2896"/>
      <c r="R49" s="2895"/>
      <c r="S49" s="2879"/>
      <c r="T49" s="2892"/>
      <c r="U49" s="2890" t="s">
        <v>789</v>
      </c>
      <c r="V49" s="1054">
        <v>2018993974</v>
      </c>
      <c r="W49" s="1058" t="s">
        <v>689</v>
      </c>
      <c r="X49" s="1050" t="s">
        <v>776</v>
      </c>
      <c r="Y49" s="2886"/>
      <c r="Z49" s="2886"/>
      <c r="AA49" s="2886"/>
      <c r="AB49" s="2886"/>
      <c r="AC49" s="2886"/>
      <c r="AD49" s="2886"/>
      <c r="AE49" s="2886"/>
      <c r="AF49" s="2886"/>
      <c r="AG49" s="2886"/>
      <c r="AH49" s="2886"/>
      <c r="AI49" s="2886"/>
      <c r="AJ49" s="2886"/>
      <c r="AK49" s="2891"/>
      <c r="AL49" s="2891"/>
      <c r="AM49" s="2898"/>
      <c r="AN49" s="2898"/>
      <c r="AO49" s="2884"/>
      <c r="AP49" s="2884"/>
      <c r="AQ49" s="2898"/>
      <c r="AR49" s="1057"/>
      <c r="AS49" s="1057"/>
      <c r="AT49" s="1057"/>
      <c r="AU49" s="1057"/>
    </row>
    <row r="50" spans="1:47" ht="30" customHeight="1" x14ac:dyDescent="0.2">
      <c r="A50" s="1051"/>
      <c r="B50" s="1052"/>
      <c r="C50" s="1053"/>
      <c r="D50" s="2915"/>
      <c r="E50" s="2916"/>
      <c r="F50" s="2916"/>
      <c r="G50" s="2917"/>
      <c r="H50" s="2917"/>
      <c r="I50" s="2917"/>
      <c r="J50" s="2908"/>
      <c r="K50" s="2891"/>
      <c r="L50" s="2881"/>
      <c r="M50" s="2881"/>
      <c r="N50" s="2891"/>
      <c r="O50" s="2881"/>
      <c r="P50" s="2892"/>
      <c r="Q50" s="2896"/>
      <c r="R50" s="2895"/>
      <c r="S50" s="2879"/>
      <c r="T50" s="2892"/>
      <c r="U50" s="2890"/>
      <c r="V50" s="1059">
        <f>600000000-600000000</f>
        <v>0</v>
      </c>
      <c r="W50" s="1055">
        <v>46</v>
      </c>
      <c r="X50" s="1056" t="s">
        <v>755</v>
      </c>
      <c r="Y50" s="2886"/>
      <c r="Z50" s="2886"/>
      <c r="AA50" s="2886"/>
      <c r="AB50" s="2886"/>
      <c r="AC50" s="2886"/>
      <c r="AD50" s="2886"/>
      <c r="AE50" s="2886"/>
      <c r="AF50" s="2886"/>
      <c r="AG50" s="2886"/>
      <c r="AH50" s="2886"/>
      <c r="AI50" s="2886"/>
      <c r="AJ50" s="2886"/>
      <c r="AK50" s="2891"/>
      <c r="AL50" s="2891"/>
      <c r="AM50" s="2898"/>
      <c r="AN50" s="2898"/>
      <c r="AO50" s="2884"/>
      <c r="AP50" s="2884"/>
      <c r="AQ50" s="2898"/>
      <c r="AR50" s="1057" t="s">
        <v>790</v>
      </c>
      <c r="AS50" s="1057"/>
      <c r="AT50" s="1057"/>
      <c r="AU50" s="1057"/>
    </row>
    <row r="51" spans="1:47" ht="54" customHeight="1" x14ac:dyDescent="0.2">
      <c r="A51" s="1037"/>
      <c r="B51" s="1038"/>
      <c r="C51" s="1039"/>
      <c r="D51" s="2915"/>
      <c r="E51" s="2916"/>
      <c r="F51" s="2916"/>
      <c r="G51" s="2917"/>
      <c r="H51" s="2917"/>
      <c r="I51" s="2917"/>
      <c r="J51" s="2909"/>
      <c r="K51" s="2535"/>
      <c r="L51" s="2919"/>
      <c r="M51" s="2919"/>
      <c r="N51" s="2891"/>
      <c r="O51" s="2881"/>
      <c r="P51" s="2892"/>
      <c r="Q51" s="2896"/>
      <c r="R51" s="2895"/>
      <c r="S51" s="2879"/>
      <c r="T51" s="2892"/>
      <c r="U51" s="924" t="s">
        <v>791</v>
      </c>
      <c r="V51" s="1035">
        <v>100000000</v>
      </c>
      <c r="W51" s="1058" t="s">
        <v>689</v>
      </c>
      <c r="X51" s="1050" t="s">
        <v>776</v>
      </c>
      <c r="Y51" s="2886"/>
      <c r="Z51" s="2886"/>
      <c r="AA51" s="2886"/>
      <c r="AB51" s="2886"/>
      <c r="AC51" s="2886"/>
      <c r="AD51" s="2886"/>
      <c r="AE51" s="2886"/>
      <c r="AF51" s="2886"/>
      <c r="AG51" s="2886"/>
      <c r="AH51" s="2886"/>
      <c r="AI51" s="2886"/>
      <c r="AJ51" s="2886"/>
      <c r="AK51" s="2891"/>
      <c r="AL51" s="2891"/>
      <c r="AM51" s="2898"/>
      <c r="AN51" s="2898"/>
      <c r="AO51" s="2884"/>
      <c r="AP51" s="2884"/>
      <c r="AQ51" s="2898"/>
      <c r="AR51" s="707"/>
      <c r="AS51" s="707"/>
      <c r="AT51" s="707"/>
      <c r="AU51" s="707"/>
    </row>
    <row r="52" spans="1:47" ht="48.75" customHeight="1" x14ac:dyDescent="0.2">
      <c r="A52" s="1037"/>
      <c r="B52" s="1038"/>
      <c r="C52" s="1039"/>
      <c r="D52" s="2915"/>
      <c r="E52" s="2916"/>
      <c r="F52" s="2916"/>
      <c r="G52" s="2917"/>
      <c r="H52" s="2917"/>
      <c r="I52" s="2917"/>
      <c r="J52" s="2908">
        <v>60</v>
      </c>
      <c r="K52" s="2903" t="s">
        <v>792</v>
      </c>
      <c r="L52" s="2878" t="s">
        <v>793</v>
      </c>
      <c r="M52" s="2880">
        <v>12</v>
      </c>
      <c r="N52" s="2891"/>
      <c r="O52" s="2881"/>
      <c r="P52" s="2879"/>
      <c r="Q52" s="2874">
        <f>SUM(V52:V54)/R39</f>
        <v>0.26177905683446429</v>
      </c>
      <c r="R52" s="2894"/>
      <c r="S52" s="2879"/>
      <c r="T52" s="2892"/>
      <c r="U52" s="924" t="s">
        <v>794</v>
      </c>
      <c r="V52" s="1035">
        <f>224581000-224581000</f>
        <v>0</v>
      </c>
      <c r="W52" s="1055">
        <v>20</v>
      </c>
      <c r="X52" s="1056" t="s">
        <v>795</v>
      </c>
      <c r="Y52" s="2886"/>
      <c r="Z52" s="2886"/>
      <c r="AA52" s="2886"/>
      <c r="AB52" s="2886"/>
      <c r="AC52" s="2886"/>
      <c r="AD52" s="2886"/>
      <c r="AE52" s="2886"/>
      <c r="AF52" s="2886"/>
      <c r="AG52" s="2886"/>
      <c r="AH52" s="2886"/>
      <c r="AI52" s="2886"/>
      <c r="AJ52" s="2886"/>
      <c r="AK52" s="2891"/>
      <c r="AL52" s="2891"/>
      <c r="AM52" s="2898"/>
      <c r="AN52" s="2898"/>
      <c r="AO52" s="2884"/>
      <c r="AP52" s="2884"/>
      <c r="AQ52" s="2898"/>
    </row>
    <row r="53" spans="1:47" ht="48.75" customHeight="1" x14ac:dyDescent="0.2">
      <c r="A53" s="1037"/>
      <c r="B53" s="1038"/>
      <c r="C53" s="1039"/>
      <c r="D53" s="2915"/>
      <c r="E53" s="2916"/>
      <c r="F53" s="2916"/>
      <c r="G53" s="2917"/>
      <c r="H53" s="2917"/>
      <c r="I53" s="2917"/>
      <c r="J53" s="2908"/>
      <c r="K53" s="2904"/>
      <c r="L53" s="2879"/>
      <c r="M53" s="2881"/>
      <c r="N53" s="2891"/>
      <c r="O53" s="2881"/>
      <c r="P53" s="2879"/>
      <c r="Q53" s="2874"/>
      <c r="R53" s="2894"/>
      <c r="S53" s="2879"/>
      <c r="T53" s="2892"/>
      <c r="U53" s="922" t="s">
        <v>796</v>
      </c>
      <c r="V53" s="1060">
        <f>3668941717+1600000000</f>
        <v>5268941717</v>
      </c>
      <c r="W53" s="1061">
        <v>46</v>
      </c>
      <c r="X53" s="1056" t="s">
        <v>755</v>
      </c>
      <c r="Y53" s="2886"/>
      <c r="Z53" s="2886"/>
      <c r="AA53" s="2886"/>
      <c r="AB53" s="2886"/>
      <c r="AC53" s="2886"/>
      <c r="AD53" s="2886"/>
      <c r="AE53" s="2886"/>
      <c r="AF53" s="2886"/>
      <c r="AG53" s="2886"/>
      <c r="AH53" s="2886"/>
      <c r="AI53" s="2886"/>
      <c r="AJ53" s="2886"/>
      <c r="AK53" s="2891"/>
      <c r="AL53" s="2891"/>
      <c r="AM53" s="2898"/>
      <c r="AN53" s="2898"/>
      <c r="AO53" s="2884"/>
      <c r="AP53" s="2884"/>
      <c r="AQ53" s="2898"/>
    </row>
    <row r="54" spans="1:47" ht="54" customHeight="1" x14ac:dyDescent="0.2">
      <c r="A54" s="1037"/>
      <c r="B54" s="1038"/>
      <c r="C54" s="1039"/>
      <c r="D54" s="2915"/>
      <c r="E54" s="2916"/>
      <c r="F54" s="2916"/>
      <c r="G54" s="2917"/>
      <c r="H54" s="2917"/>
      <c r="I54" s="2917"/>
      <c r="J54" s="2909"/>
      <c r="K54" s="2920"/>
      <c r="L54" s="2921"/>
      <c r="M54" s="2919"/>
      <c r="N54" s="2891"/>
      <c r="O54" s="2881"/>
      <c r="P54" s="2879"/>
      <c r="Q54" s="2875"/>
      <c r="R54" s="2894"/>
      <c r="S54" s="2879"/>
      <c r="T54" s="2892"/>
      <c r="U54" s="1062" t="s">
        <v>797</v>
      </c>
      <c r="V54" s="2461">
        <f>0+224581000</f>
        <v>224581000</v>
      </c>
      <c r="W54" s="676">
        <v>20</v>
      </c>
      <c r="X54" s="1056" t="s">
        <v>798</v>
      </c>
      <c r="Y54" s="2912"/>
      <c r="Z54" s="2886"/>
      <c r="AA54" s="2886"/>
      <c r="AB54" s="2886"/>
      <c r="AC54" s="2886"/>
      <c r="AD54" s="2886"/>
      <c r="AE54" s="2886"/>
      <c r="AF54" s="2886"/>
      <c r="AG54" s="2886"/>
      <c r="AH54" s="2886"/>
      <c r="AI54" s="2886"/>
      <c r="AJ54" s="2886"/>
      <c r="AK54" s="2891"/>
      <c r="AL54" s="2891"/>
      <c r="AM54" s="2898"/>
      <c r="AN54" s="2898"/>
      <c r="AO54" s="2884"/>
      <c r="AP54" s="2884"/>
      <c r="AQ54" s="2898"/>
      <c r="AR54" s="1057" t="s">
        <v>790</v>
      </c>
    </row>
    <row r="55" spans="1:47" ht="92.25" customHeight="1" x14ac:dyDescent="0.2">
      <c r="A55" s="1037"/>
      <c r="B55" s="1038"/>
      <c r="C55" s="1039"/>
      <c r="D55" s="2915"/>
      <c r="E55" s="2916"/>
      <c r="F55" s="2916"/>
      <c r="G55" s="2917"/>
      <c r="H55" s="2917"/>
      <c r="I55" s="2917"/>
      <c r="J55" s="2876">
        <v>62</v>
      </c>
      <c r="K55" s="2878" t="s">
        <v>799</v>
      </c>
      <c r="L55" s="2878" t="s">
        <v>800</v>
      </c>
      <c r="M55" s="2880">
        <v>2</v>
      </c>
      <c r="N55" s="2891"/>
      <c r="O55" s="2881"/>
      <c r="P55" s="2879"/>
      <c r="Q55" s="2882">
        <f>SUM(V55:V56)/R39</f>
        <v>4.765231169871656E-2</v>
      </c>
      <c r="R55" s="2894"/>
      <c r="S55" s="2879"/>
      <c r="T55" s="2892"/>
      <c r="U55" s="923" t="s">
        <v>801</v>
      </c>
      <c r="V55" s="1064">
        <f>820000000+180000000</f>
        <v>1000000000</v>
      </c>
      <c r="W55" s="1065">
        <v>46</v>
      </c>
      <c r="X55" s="1056" t="s">
        <v>755</v>
      </c>
      <c r="Y55" s="2886"/>
      <c r="Z55" s="2886"/>
      <c r="AA55" s="2886"/>
      <c r="AB55" s="2886"/>
      <c r="AC55" s="2886"/>
      <c r="AD55" s="2886"/>
      <c r="AE55" s="2886"/>
      <c r="AF55" s="2886"/>
      <c r="AG55" s="2886"/>
      <c r="AH55" s="2886"/>
      <c r="AI55" s="2886"/>
      <c r="AJ55" s="2886"/>
      <c r="AK55" s="2891"/>
      <c r="AL55" s="2891"/>
      <c r="AM55" s="2898"/>
      <c r="AN55" s="2898"/>
      <c r="AO55" s="2884"/>
      <c r="AP55" s="2884"/>
      <c r="AQ55" s="2898"/>
      <c r="AR55" s="1057" t="s">
        <v>790</v>
      </c>
    </row>
    <row r="56" spans="1:47" ht="83.25" customHeight="1" x14ac:dyDescent="0.2">
      <c r="A56" s="1037"/>
      <c r="B56" s="1038"/>
      <c r="C56" s="1039"/>
      <c r="D56" s="2915"/>
      <c r="E56" s="2916"/>
      <c r="F56" s="2916"/>
      <c r="G56" s="2917"/>
      <c r="H56" s="2917"/>
      <c r="I56" s="2917"/>
      <c r="J56" s="2877"/>
      <c r="K56" s="2879"/>
      <c r="L56" s="2879"/>
      <c r="M56" s="2881"/>
      <c r="N56" s="2891"/>
      <c r="O56" s="2881"/>
      <c r="P56" s="2879"/>
      <c r="Q56" s="2874"/>
      <c r="R56" s="2894"/>
      <c r="S56" s="2879"/>
      <c r="T56" s="2892"/>
      <c r="U56" s="924" t="s">
        <v>802</v>
      </c>
      <c r="V56" s="1035">
        <f>180000000-180000000</f>
        <v>0</v>
      </c>
      <c r="W56" s="1055">
        <v>46</v>
      </c>
      <c r="X56" s="1056" t="s">
        <v>755</v>
      </c>
      <c r="Y56" s="2886"/>
      <c r="Z56" s="2886"/>
      <c r="AA56" s="2886"/>
      <c r="AB56" s="2886"/>
      <c r="AC56" s="2886"/>
      <c r="AD56" s="2886"/>
      <c r="AE56" s="2886"/>
      <c r="AF56" s="2886"/>
      <c r="AG56" s="2886"/>
      <c r="AH56" s="2886"/>
      <c r="AI56" s="2886"/>
      <c r="AJ56" s="2886"/>
      <c r="AK56" s="2891"/>
      <c r="AL56" s="2891"/>
      <c r="AM56" s="2898"/>
      <c r="AN56" s="2898"/>
      <c r="AO56" s="2884"/>
      <c r="AP56" s="2884"/>
      <c r="AQ56" s="2898"/>
      <c r="AR56" s="638" t="s">
        <v>803</v>
      </c>
    </row>
    <row r="57" spans="1:47" ht="71.25" customHeight="1" x14ac:dyDescent="0.2">
      <c r="A57" s="1037"/>
      <c r="B57" s="1038"/>
      <c r="C57" s="1039"/>
      <c r="D57" s="2915"/>
      <c r="E57" s="2916"/>
      <c r="F57" s="2916"/>
      <c r="G57" s="2917"/>
      <c r="H57" s="2917"/>
      <c r="I57" s="2918"/>
      <c r="J57" s="1066">
        <v>63</v>
      </c>
      <c r="K57" s="1067" t="s">
        <v>804</v>
      </c>
      <c r="L57" s="922" t="s">
        <v>805</v>
      </c>
      <c r="M57" s="913">
        <v>250</v>
      </c>
      <c r="N57" s="2891"/>
      <c r="O57" s="2881"/>
      <c r="P57" s="2879"/>
      <c r="Q57" s="1068">
        <f>SUM(V57:V57)/R39</f>
        <v>9.5304623397433119E-2</v>
      </c>
      <c r="R57" s="2894"/>
      <c r="S57" s="2879"/>
      <c r="T57" s="2892"/>
      <c r="U57" s="924" t="s">
        <v>806</v>
      </c>
      <c r="V57" s="1035">
        <f>3000000000-1000000000</f>
        <v>2000000000</v>
      </c>
      <c r="W57" s="1055">
        <v>46</v>
      </c>
      <c r="X57" s="1056" t="s">
        <v>755</v>
      </c>
      <c r="Y57" s="2886"/>
      <c r="Z57" s="2886"/>
      <c r="AA57" s="2886"/>
      <c r="AB57" s="2886"/>
      <c r="AC57" s="2886"/>
      <c r="AD57" s="2886"/>
      <c r="AE57" s="2886"/>
      <c r="AF57" s="2886"/>
      <c r="AG57" s="2886"/>
      <c r="AH57" s="2886"/>
      <c r="AI57" s="2886"/>
      <c r="AJ57" s="2886"/>
      <c r="AK57" s="2891"/>
      <c r="AL57" s="2891"/>
      <c r="AM57" s="2898"/>
      <c r="AN57" s="2898"/>
      <c r="AO57" s="2884"/>
      <c r="AP57" s="2884">
        <v>43100</v>
      </c>
      <c r="AQ57" s="2898"/>
      <c r="AR57" s="638" t="s">
        <v>803</v>
      </c>
    </row>
    <row r="58" spans="1:47" ht="89.25" customHeight="1" x14ac:dyDescent="0.2">
      <c r="A58" s="1037"/>
      <c r="B58" s="1038"/>
      <c r="C58" s="1039"/>
      <c r="D58" s="2915"/>
      <c r="E58" s="2916"/>
      <c r="F58" s="2916"/>
      <c r="G58" s="2917"/>
      <c r="H58" s="2917"/>
      <c r="I58" s="2918"/>
      <c r="J58" s="1066">
        <v>64</v>
      </c>
      <c r="K58" s="1067" t="s">
        <v>807</v>
      </c>
      <c r="L58" s="1069" t="s">
        <v>808</v>
      </c>
      <c r="M58" s="1070">
        <v>1</v>
      </c>
      <c r="N58" s="2535"/>
      <c r="O58" s="2881"/>
      <c r="P58" s="2879"/>
      <c r="Q58" s="1068">
        <f>V58/R39</f>
        <v>1.4206271564096741E-3</v>
      </c>
      <c r="R58" s="2894"/>
      <c r="S58" s="2879"/>
      <c r="T58" s="2892"/>
      <c r="U58" s="1048" t="s">
        <v>809</v>
      </c>
      <c r="V58" s="1030">
        <v>29812345</v>
      </c>
      <c r="W58" s="1031">
        <v>20</v>
      </c>
      <c r="X58" s="1056" t="s">
        <v>798</v>
      </c>
      <c r="Y58" s="2887"/>
      <c r="Z58" s="2887"/>
      <c r="AA58" s="2887"/>
      <c r="AB58" s="2887"/>
      <c r="AC58" s="2887"/>
      <c r="AD58" s="2887"/>
      <c r="AE58" s="2887"/>
      <c r="AF58" s="2887"/>
      <c r="AG58" s="2887"/>
      <c r="AH58" s="2887"/>
      <c r="AI58" s="2887"/>
      <c r="AJ58" s="2887"/>
      <c r="AK58" s="2535"/>
      <c r="AL58" s="2535"/>
      <c r="AM58" s="2910"/>
      <c r="AN58" s="2910"/>
      <c r="AO58" s="2884"/>
      <c r="AP58" s="2884" t="s">
        <v>810</v>
      </c>
      <c r="AQ58" s="2898"/>
    </row>
    <row r="59" spans="1:47" s="2" customFormat="1" ht="108.75" customHeight="1" x14ac:dyDescent="0.2">
      <c r="A59" s="1037"/>
      <c r="B59" s="1038"/>
      <c r="C59" s="1039"/>
      <c r="D59" s="2915"/>
      <c r="E59" s="2916"/>
      <c r="F59" s="2916"/>
      <c r="G59" s="2880"/>
      <c r="H59" s="2880"/>
      <c r="I59" s="2880"/>
      <c r="J59" s="1071">
        <v>59</v>
      </c>
      <c r="K59" s="922" t="s">
        <v>785</v>
      </c>
      <c r="L59" s="1069" t="s">
        <v>786</v>
      </c>
      <c r="M59" s="1072">
        <v>1</v>
      </c>
      <c r="N59" s="913" t="s">
        <v>811</v>
      </c>
      <c r="O59" s="914" t="s">
        <v>812</v>
      </c>
      <c r="P59" s="924" t="s">
        <v>813</v>
      </c>
      <c r="Q59" s="1073">
        <f>V59/R59</f>
        <v>1</v>
      </c>
      <c r="R59" s="1050">
        <f>SUM(V59)</f>
        <v>815853756</v>
      </c>
      <c r="S59" s="915" t="s">
        <v>814</v>
      </c>
      <c r="T59" s="211" t="s">
        <v>815</v>
      </c>
      <c r="U59" s="915" t="s">
        <v>816</v>
      </c>
      <c r="V59" s="1030">
        <v>815853756</v>
      </c>
      <c r="W59" s="914">
        <v>56</v>
      </c>
      <c r="X59" s="1050" t="s">
        <v>817</v>
      </c>
      <c r="Y59" s="1074">
        <v>12668</v>
      </c>
      <c r="Z59" s="1056">
        <v>12704</v>
      </c>
      <c r="AA59" s="1056">
        <v>7596</v>
      </c>
      <c r="AB59" s="1056">
        <v>1582</v>
      </c>
      <c r="AC59" s="1056">
        <v>13190</v>
      </c>
      <c r="AD59" s="1056">
        <v>1890</v>
      </c>
      <c r="AE59" s="1056">
        <v>142</v>
      </c>
      <c r="AF59" s="1056">
        <v>64</v>
      </c>
      <c r="AG59" s="1056"/>
      <c r="AH59" s="1056"/>
      <c r="AI59" s="1056"/>
      <c r="AJ59" s="1056"/>
      <c r="AK59" s="912">
        <v>908</v>
      </c>
      <c r="AL59" s="912"/>
      <c r="AM59" s="1075"/>
      <c r="AN59" s="1056">
        <f>+Y59+Z59</f>
        <v>25372</v>
      </c>
      <c r="AO59" s="1076">
        <v>43497</v>
      </c>
      <c r="AP59" s="1076">
        <v>43830</v>
      </c>
      <c r="AQ59" s="1075" t="s">
        <v>691</v>
      </c>
    </row>
    <row r="60" spans="1:47" ht="27" customHeight="1" x14ac:dyDescent="0.2">
      <c r="A60" s="1077" t="s">
        <v>818</v>
      </c>
      <c r="B60" s="1078"/>
      <c r="C60" s="1078"/>
      <c r="D60" s="1078"/>
      <c r="E60" s="1078"/>
      <c r="F60" s="1078"/>
      <c r="G60" s="1078"/>
      <c r="H60" s="1078"/>
      <c r="I60" s="1078"/>
      <c r="J60" s="1079"/>
      <c r="K60" s="1078"/>
      <c r="L60" s="1080"/>
      <c r="M60" s="1081"/>
      <c r="N60" s="1082"/>
      <c r="O60" s="1083"/>
      <c r="P60" s="1082"/>
      <c r="Q60" s="1084"/>
      <c r="R60" s="1085">
        <f>SUM(R12:R59)</f>
        <v>33128661636</v>
      </c>
      <c r="S60" s="1086"/>
      <c r="T60" s="1087"/>
      <c r="U60" s="1088"/>
      <c r="V60" s="1089">
        <f>SUM(V11:V59)</f>
        <v>33128661636</v>
      </c>
      <c r="W60" s="1090"/>
      <c r="X60" s="1091"/>
      <c r="Y60" s="1092"/>
      <c r="Z60" s="1093"/>
      <c r="AA60" s="1093"/>
      <c r="AB60" s="1093"/>
      <c r="AC60" s="1093"/>
      <c r="AD60" s="1093"/>
      <c r="AE60" s="1093"/>
      <c r="AF60" s="1093"/>
      <c r="AG60" s="1093"/>
      <c r="AH60" s="1093"/>
      <c r="AI60" s="1093"/>
      <c r="AJ60" s="1093"/>
      <c r="AK60" s="1093"/>
      <c r="AL60" s="1093"/>
      <c r="AM60" s="1093"/>
      <c r="AN60" s="1094"/>
      <c r="AO60" s="1094"/>
      <c r="AP60" s="1094"/>
      <c r="AQ60" s="1095"/>
    </row>
    <row r="61" spans="1:47" ht="27" customHeight="1" x14ac:dyDescent="0.2">
      <c r="O61" s="1096"/>
      <c r="S61" s="1097"/>
      <c r="T61" s="1097"/>
      <c r="U61" s="1097"/>
    </row>
    <row r="62" spans="1:47" ht="27" customHeight="1" x14ac:dyDescent="0.2">
      <c r="O62" s="1096"/>
      <c r="S62" s="1097"/>
      <c r="T62" s="1097"/>
      <c r="U62" s="1097"/>
      <c r="X62" s="708"/>
    </row>
    <row r="63" spans="1:47" ht="27" customHeight="1" x14ac:dyDescent="0.25">
      <c r="D63" s="1099" t="s">
        <v>819</v>
      </c>
      <c r="E63" s="1099"/>
      <c r="F63" s="1099"/>
      <c r="X63" s="708"/>
    </row>
    <row r="64" spans="1:47" ht="15" customHeight="1" x14ac:dyDescent="0.2">
      <c r="D64" s="638" t="s">
        <v>820</v>
      </c>
      <c r="X64" s="708"/>
    </row>
    <row r="65" spans="1:24" ht="13.5" customHeight="1" x14ac:dyDescent="0.2">
      <c r="D65" s="638" t="s">
        <v>821</v>
      </c>
      <c r="W65" s="1098"/>
      <c r="X65" s="708"/>
    </row>
    <row r="66" spans="1:24" ht="27" customHeight="1" x14ac:dyDescent="0.2"/>
    <row r="67" spans="1:24" ht="27" customHeight="1" x14ac:dyDescent="0.2"/>
    <row r="68" spans="1:24" ht="27" customHeight="1" x14ac:dyDescent="0.2">
      <c r="A68" s="702" t="s">
        <v>822</v>
      </c>
      <c r="C68" s="638" t="s">
        <v>823</v>
      </c>
    </row>
    <row r="69" spans="1:24" ht="15" customHeight="1" x14ac:dyDescent="0.2">
      <c r="A69" s="702" t="s">
        <v>824</v>
      </c>
      <c r="C69" s="638" t="s">
        <v>825</v>
      </c>
    </row>
    <row r="70" spans="1:24" ht="15.75" customHeight="1" x14ac:dyDescent="0.2">
      <c r="C70" s="638" t="s">
        <v>826</v>
      </c>
    </row>
  </sheetData>
  <sheetProtection password="A60F" sheet="1" objects="1" scenarios="1"/>
  <mergeCells count="257">
    <mergeCell ref="L7:L8"/>
    <mergeCell ref="M7:M8"/>
    <mergeCell ref="N7:N8"/>
    <mergeCell ref="O7:O8"/>
    <mergeCell ref="A1:AO4"/>
    <mergeCell ref="A5:M6"/>
    <mergeCell ref="N5:AQ5"/>
    <mergeCell ref="A7:A8"/>
    <mergeCell ref="B7:C8"/>
    <mergeCell ref="D7:D8"/>
    <mergeCell ref="E7:F8"/>
    <mergeCell ref="G7:G8"/>
    <mergeCell ref="H7:I8"/>
    <mergeCell ref="AO7:AO8"/>
    <mergeCell ref="AP7:AP8"/>
    <mergeCell ref="AQ7:AQ8"/>
    <mergeCell ref="Y7:Z7"/>
    <mergeCell ref="AA7:AD7"/>
    <mergeCell ref="AE7:AJ7"/>
    <mergeCell ref="AK7:AM7"/>
    <mergeCell ref="Y6:AN6"/>
    <mergeCell ref="A10:C22"/>
    <mergeCell ref="H10:J10"/>
    <mergeCell ref="D11:F22"/>
    <mergeCell ref="G12:I15"/>
    <mergeCell ref="J12:J15"/>
    <mergeCell ref="K12:K15"/>
    <mergeCell ref="L12:L15"/>
    <mergeCell ref="V7:V8"/>
    <mergeCell ref="X7:X8"/>
    <mergeCell ref="P7:P8"/>
    <mergeCell ref="Q7:Q8"/>
    <mergeCell ref="R7:R8"/>
    <mergeCell ref="S7:S8"/>
    <mergeCell ref="T7:T8"/>
    <mergeCell ref="U7:U8"/>
    <mergeCell ref="J7:J8"/>
    <mergeCell ref="K7:K8"/>
    <mergeCell ref="U12:U15"/>
    <mergeCell ref="G20:I20"/>
    <mergeCell ref="G21:I22"/>
    <mergeCell ref="J21:J22"/>
    <mergeCell ref="K21:K22"/>
    <mergeCell ref="L21:L22"/>
    <mergeCell ref="M21:M22"/>
    <mergeCell ref="Y12:Y15"/>
    <mergeCell ref="Z12:Z15"/>
    <mergeCell ref="AA12:AA15"/>
    <mergeCell ref="M12:M15"/>
    <mergeCell ref="N12:N15"/>
    <mergeCell ref="O12:O15"/>
    <mergeCell ref="P12:P15"/>
    <mergeCell ref="Q12:Q15"/>
    <mergeCell ref="R12:R15"/>
    <mergeCell ref="AN12:AN15"/>
    <mergeCell ref="AO12:AO15"/>
    <mergeCell ref="AP12:AP15"/>
    <mergeCell ref="AQ12:AQ22"/>
    <mergeCell ref="T14:T15"/>
    <mergeCell ref="G16:I17"/>
    <mergeCell ref="J16:J17"/>
    <mergeCell ref="K16:K17"/>
    <mergeCell ref="L16:L17"/>
    <mergeCell ref="M16:M17"/>
    <mergeCell ref="AH12:AH15"/>
    <mergeCell ref="AI12:AI15"/>
    <mergeCell ref="AJ12:AJ15"/>
    <mergeCell ref="AK12:AK15"/>
    <mergeCell ref="AL12:AL15"/>
    <mergeCell ref="AM12:AM15"/>
    <mergeCell ref="AB12:AB15"/>
    <mergeCell ref="AC12:AC15"/>
    <mergeCell ref="AD12:AD15"/>
    <mergeCell ref="AE12:AE15"/>
    <mergeCell ref="AF12:AF15"/>
    <mergeCell ref="AG12:AG15"/>
    <mergeCell ref="S12:S15"/>
    <mergeCell ref="T12:T13"/>
    <mergeCell ref="Z16:Z17"/>
    <mergeCell ref="AA16:AA17"/>
    <mergeCell ref="AB16:AB17"/>
    <mergeCell ref="AC16:AC17"/>
    <mergeCell ref="N16:N17"/>
    <mergeCell ref="O16:O17"/>
    <mergeCell ref="P16:P17"/>
    <mergeCell ref="Q16:Q17"/>
    <mergeCell ref="R16:R17"/>
    <mergeCell ref="S16:S17"/>
    <mergeCell ref="AP16:AP17"/>
    <mergeCell ref="G18:I19"/>
    <mergeCell ref="J18:J19"/>
    <mergeCell ref="K18:K19"/>
    <mergeCell ref="L18:L19"/>
    <mergeCell ref="M18:M19"/>
    <mergeCell ref="N18:N19"/>
    <mergeCell ref="O18:O19"/>
    <mergeCell ref="P18:P19"/>
    <mergeCell ref="Q18:Q19"/>
    <mergeCell ref="AJ16:AJ17"/>
    <mergeCell ref="AK16:AK17"/>
    <mergeCell ref="AL16:AL17"/>
    <mergeCell ref="AM16:AM17"/>
    <mergeCell ref="AN16:AN17"/>
    <mergeCell ref="AO16:AO17"/>
    <mergeCell ref="AD16:AD17"/>
    <mergeCell ref="AE16:AE17"/>
    <mergeCell ref="AF16:AF17"/>
    <mergeCell ref="AG16:AG17"/>
    <mergeCell ref="AH16:AH17"/>
    <mergeCell ref="AI16:AI17"/>
    <mergeCell ref="U16:U17"/>
    <mergeCell ref="Y16:Y17"/>
    <mergeCell ref="AN18:AN19"/>
    <mergeCell ref="AO18:AO19"/>
    <mergeCell ref="AP18:AP19"/>
    <mergeCell ref="AE18:AE19"/>
    <mergeCell ref="AF18:AF19"/>
    <mergeCell ref="AG18:AG19"/>
    <mergeCell ref="AH18:AH19"/>
    <mergeCell ref="AI18:AI19"/>
    <mergeCell ref="AJ18:AJ19"/>
    <mergeCell ref="AK18:AK19"/>
    <mergeCell ref="AL18:AL19"/>
    <mergeCell ref="AM18:AM19"/>
    <mergeCell ref="Y18:Y19"/>
    <mergeCell ref="Z18:Z19"/>
    <mergeCell ref="AA18:AA19"/>
    <mergeCell ref="AB18:AB19"/>
    <mergeCell ref="AC18:AC19"/>
    <mergeCell ref="AD18:AD19"/>
    <mergeCell ref="R18:R19"/>
    <mergeCell ref="S18:S19"/>
    <mergeCell ref="U18:U19"/>
    <mergeCell ref="V18:V19"/>
    <mergeCell ref="W18:W19"/>
    <mergeCell ref="X18:X19"/>
    <mergeCell ref="AM21:AM22"/>
    <mergeCell ref="AN21:AN22"/>
    <mergeCell ref="AO21:AO22"/>
    <mergeCell ref="AP21:AP22"/>
    <mergeCell ref="AE21:AE22"/>
    <mergeCell ref="AF21:AF22"/>
    <mergeCell ref="AG21:AG22"/>
    <mergeCell ref="AH21:AH22"/>
    <mergeCell ref="AI21:AI22"/>
    <mergeCell ref="AJ21:AJ22"/>
    <mergeCell ref="AK21:AK22"/>
    <mergeCell ref="AL21:AL22"/>
    <mergeCell ref="Y21:Y22"/>
    <mergeCell ref="Z21:Z22"/>
    <mergeCell ref="AA21:AA22"/>
    <mergeCell ref="AB21:AB22"/>
    <mergeCell ref="AC21:AC22"/>
    <mergeCell ref="AD21:AD22"/>
    <mergeCell ref="N21:N22"/>
    <mergeCell ref="O21:O22"/>
    <mergeCell ref="P21:P22"/>
    <mergeCell ref="Q21:Q22"/>
    <mergeCell ref="R21:R22"/>
    <mergeCell ref="S21:S22"/>
    <mergeCell ref="U34:U36"/>
    <mergeCell ref="M26:M31"/>
    <mergeCell ref="O26:O37"/>
    <mergeCell ref="P26:P37"/>
    <mergeCell ref="Q26:Q31"/>
    <mergeCell ref="R26:R37"/>
    <mergeCell ref="S26:S37"/>
    <mergeCell ref="AP26:AP37"/>
    <mergeCell ref="A24:C37"/>
    <mergeCell ref="E24:L24"/>
    <mergeCell ref="D25:F37"/>
    <mergeCell ref="G26:I37"/>
    <mergeCell ref="J26:J31"/>
    <mergeCell ref="K26:K31"/>
    <mergeCell ref="L26:L31"/>
    <mergeCell ref="Z26:Z37"/>
    <mergeCell ref="AA26:AA37"/>
    <mergeCell ref="AB26:AB37"/>
    <mergeCell ref="AQ26:AQ37"/>
    <mergeCell ref="U28:U30"/>
    <mergeCell ref="J32:J37"/>
    <mergeCell ref="K32:K37"/>
    <mergeCell ref="L32:L37"/>
    <mergeCell ref="M32:M37"/>
    <mergeCell ref="Q32:Q37"/>
    <mergeCell ref="T32:T37"/>
    <mergeCell ref="U32:U33"/>
    <mergeCell ref="AJ26:AJ37"/>
    <mergeCell ref="AK26:AK37"/>
    <mergeCell ref="AL26:AL37"/>
    <mergeCell ref="AM26:AM37"/>
    <mergeCell ref="AN26:AN37"/>
    <mergeCell ref="AO26:AO37"/>
    <mergeCell ref="AD26:AD37"/>
    <mergeCell ref="AE26:AE37"/>
    <mergeCell ref="AF26:AF37"/>
    <mergeCell ref="AG26:AG37"/>
    <mergeCell ref="AH26:AH37"/>
    <mergeCell ref="AI26:AI37"/>
    <mergeCell ref="T26:T31"/>
    <mergeCell ref="Y26:Y37"/>
    <mergeCell ref="AC26:AC37"/>
    <mergeCell ref="D38:F59"/>
    <mergeCell ref="G39:I59"/>
    <mergeCell ref="J39:J43"/>
    <mergeCell ref="K39:K43"/>
    <mergeCell ref="L39:L43"/>
    <mergeCell ref="M39:M43"/>
    <mergeCell ref="L46:L51"/>
    <mergeCell ref="M46:M51"/>
    <mergeCell ref="J52:J54"/>
    <mergeCell ref="K52:K54"/>
    <mergeCell ref="L52:L54"/>
    <mergeCell ref="M52:M54"/>
    <mergeCell ref="AQ39:AQ58"/>
    <mergeCell ref="U41:U42"/>
    <mergeCell ref="J44:J45"/>
    <mergeCell ref="K44:K45"/>
    <mergeCell ref="L44:L45"/>
    <mergeCell ref="M44:M45"/>
    <mergeCell ref="Q44:Q45"/>
    <mergeCell ref="J46:J51"/>
    <mergeCell ref="K46:K51"/>
    <mergeCell ref="AJ39:AJ58"/>
    <mergeCell ref="AK39:AK58"/>
    <mergeCell ref="AL39:AL58"/>
    <mergeCell ref="AM39:AM58"/>
    <mergeCell ref="AN39:AN58"/>
    <mergeCell ref="AO39:AO58"/>
    <mergeCell ref="AD39:AD58"/>
    <mergeCell ref="AE39:AE58"/>
    <mergeCell ref="AF39:AF58"/>
    <mergeCell ref="AG39:AG58"/>
    <mergeCell ref="AH39:AH58"/>
    <mergeCell ref="AI39:AI58"/>
    <mergeCell ref="T39:T58"/>
    <mergeCell ref="Y39:Y58"/>
    <mergeCell ref="Z39:Z58"/>
    <mergeCell ref="Q52:Q54"/>
    <mergeCell ref="J55:J56"/>
    <mergeCell ref="K55:K56"/>
    <mergeCell ref="L55:L56"/>
    <mergeCell ref="M55:M56"/>
    <mergeCell ref="Q55:Q56"/>
    <mergeCell ref="AP39:AP58"/>
    <mergeCell ref="AA39:AA58"/>
    <mergeCell ref="AB39:AB58"/>
    <mergeCell ref="AC39:AC58"/>
    <mergeCell ref="U47:U48"/>
    <mergeCell ref="U49:U50"/>
    <mergeCell ref="N39:N58"/>
    <mergeCell ref="O39:O58"/>
    <mergeCell ref="P39:P58"/>
    <mergeCell ref="Q39:Q43"/>
    <mergeCell ref="R39:R58"/>
    <mergeCell ref="S39:S58"/>
    <mergeCell ref="Q46:Q5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2"/>
  <sheetViews>
    <sheetView showGridLines="0" zoomScale="60" zoomScaleNormal="60" workbookViewId="0">
      <selection activeCell="K13" sqref="K13:K14"/>
    </sheetView>
  </sheetViews>
  <sheetFormatPr baseColWidth="10" defaultColWidth="11.42578125" defaultRowHeight="15" x14ac:dyDescent="0.2"/>
  <cols>
    <col min="1" max="1" width="13.140625" style="850" customWidth="1"/>
    <col min="2" max="2" width="6.5703125" style="2" customWidth="1"/>
    <col min="3" max="3" width="15.85546875" style="2" customWidth="1"/>
    <col min="4" max="4" width="14.7109375" style="2" customWidth="1"/>
    <col min="5" max="5" width="10" style="2" customWidth="1"/>
    <col min="6" max="6" width="8.85546875" style="2" customWidth="1"/>
    <col min="7" max="7" width="14.28515625" style="2" customWidth="1"/>
    <col min="8" max="8" width="8.5703125" style="2" customWidth="1"/>
    <col min="9" max="9" width="21.140625" style="2" customWidth="1"/>
    <col min="10" max="10" width="12.85546875" style="2" customWidth="1"/>
    <col min="11" max="11" width="40.140625" style="2447" customWidth="1"/>
    <col min="12" max="12" width="32.28515625" style="184" customWidth="1"/>
    <col min="13" max="13" width="24.85546875" style="38" customWidth="1"/>
    <col min="14" max="14" width="36.7109375" style="2248" customWidth="1"/>
    <col min="15" max="15" width="23.7109375" style="2248" customWidth="1"/>
    <col min="16" max="16" width="29.42578125" style="354" customWidth="1"/>
    <col min="17" max="17" width="15" style="851" customWidth="1"/>
    <col min="18" max="18" width="29.85546875" style="2448" customWidth="1"/>
    <col min="19" max="19" width="29.85546875" style="354" customWidth="1"/>
    <col min="20" max="20" width="31" style="354" customWidth="1"/>
    <col min="21" max="21" width="51.7109375" style="2447" customWidth="1"/>
    <col min="22" max="22" width="27.140625" style="2449" customWidth="1"/>
    <col min="23" max="23" width="19.28515625" style="359" customWidth="1"/>
    <col min="24" max="24" width="21.85546875" style="2250" customWidth="1"/>
    <col min="25" max="25" width="13.42578125" style="2" customWidth="1"/>
    <col min="26" max="26" width="11.42578125" style="2" customWidth="1"/>
    <col min="27" max="27" width="9.28515625" style="2" bestFit="1" customWidth="1"/>
    <col min="28" max="28" width="11.140625" style="2" customWidth="1"/>
    <col min="29" max="29" width="9.7109375" style="2" customWidth="1"/>
    <col min="30" max="30" width="10.140625" style="2" customWidth="1"/>
    <col min="31" max="31" width="6.85546875" style="2" bestFit="1" customWidth="1"/>
    <col min="32" max="32" width="8.140625" style="2" bestFit="1" customWidth="1"/>
    <col min="33" max="35" width="7.140625" style="2" customWidth="1"/>
    <col min="36" max="36" width="5.5703125" style="2" customWidth="1"/>
    <col min="37" max="37" width="8.7109375" style="2" customWidth="1"/>
    <col min="38" max="38" width="9.5703125" style="2" customWidth="1"/>
    <col min="39" max="39" width="9" style="2" customWidth="1"/>
    <col min="40" max="40" width="13.85546875" style="2" customWidth="1"/>
    <col min="41" max="41" width="25" style="361" customWidth="1"/>
    <col min="42" max="42" width="24.5703125" style="362" customWidth="1"/>
    <col min="43" max="43" width="25.5703125" style="169" customWidth="1"/>
    <col min="44" max="16384" width="11.42578125" style="2"/>
  </cols>
  <sheetData>
    <row r="1" spans="1:60" ht="16.5" customHeight="1" x14ac:dyDescent="0.2">
      <c r="A1" s="2851" t="s">
        <v>2271</v>
      </c>
      <c r="B1" s="2852"/>
      <c r="C1" s="2852"/>
      <c r="D1" s="2852"/>
      <c r="E1" s="2852"/>
      <c r="F1" s="2852"/>
      <c r="G1" s="2852"/>
      <c r="H1" s="2852"/>
      <c r="I1" s="2852"/>
      <c r="J1" s="2852"/>
      <c r="K1" s="2852"/>
      <c r="L1" s="2852"/>
      <c r="M1" s="2852"/>
      <c r="N1" s="2852"/>
      <c r="O1" s="2852"/>
      <c r="P1" s="2852"/>
      <c r="Q1" s="2852"/>
      <c r="R1" s="2852"/>
      <c r="S1" s="2852"/>
      <c r="T1" s="2852"/>
      <c r="U1" s="2852"/>
      <c r="V1" s="2852"/>
      <c r="W1" s="2852"/>
      <c r="X1" s="2852"/>
      <c r="Y1" s="2852"/>
      <c r="Z1" s="2852"/>
      <c r="AA1" s="2852"/>
      <c r="AB1" s="2852"/>
      <c r="AC1" s="2852"/>
      <c r="AD1" s="2852"/>
      <c r="AE1" s="2852"/>
      <c r="AF1" s="2852"/>
      <c r="AG1" s="2852"/>
      <c r="AH1" s="2852"/>
      <c r="AI1" s="2852"/>
      <c r="AJ1" s="2852"/>
      <c r="AK1" s="2852"/>
      <c r="AL1" s="2852"/>
      <c r="AM1" s="2852"/>
      <c r="AN1" s="2852"/>
      <c r="AO1" s="2852"/>
      <c r="AP1" s="2251" t="s">
        <v>0</v>
      </c>
      <c r="AQ1" s="2252" t="s">
        <v>1</v>
      </c>
      <c r="AR1" s="38"/>
      <c r="AS1" s="38"/>
      <c r="AT1" s="38"/>
      <c r="AU1" s="38"/>
      <c r="AV1" s="38"/>
      <c r="AW1" s="38"/>
      <c r="AX1" s="38"/>
      <c r="AY1" s="38"/>
      <c r="AZ1" s="38"/>
      <c r="BA1" s="38"/>
      <c r="BB1" s="38"/>
      <c r="BC1" s="38"/>
      <c r="BD1" s="38"/>
      <c r="BE1" s="38"/>
      <c r="BF1" s="38"/>
      <c r="BG1" s="38"/>
      <c r="BH1" s="38"/>
    </row>
    <row r="2" spans="1:60" ht="16.5" customHeight="1" x14ac:dyDescent="0.2">
      <c r="A2" s="2853"/>
      <c r="B2" s="2778"/>
      <c r="C2" s="2778"/>
      <c r="D2" s="2778"/>
      <c r="E2" s="2778"/>
      <c r="F2" s="2778"/>
      <c r="G2" s="2778"/>
      <c r="H2" s="2778"/>
      <c r="I2" s="2778"/>
      <c r="J2" s="2778"/>
      <c r="K2" s="2778"/>
      <c r="L2" s="2778"/>
      <c r="M2" s="2778"/>
      <c r="N2" s="2778"/>
      <c r="O2" s="2778"/>
      <c r="P2" s="2778"/>
      <c r="Q2" s="2778"/>
      <c r="R2" s="2778"/>
      <c r="S2" s="2778"/>
      <c r="T2" s="2778"/>
      <c r="U2" s="2778"/>
      <c r="V2" s="2778"/>
      <c r="W2" s="2778"/>
      <c r="X2" s="2778"/>
      <c r="Y2" s="2778"/>
      <c r="Z2" s="2778"/>
      <c r="AA2" s="2778"/>
      <c r="AB2" s="2778"/>
      <c r="AC2" s="2778"/>
      <c r="AD2" s="2778"/>
      <c r="AE2" s="2778"/>
      <c r="AF2" s="2778"/>
      <c r="AG2" s="2778"/>
      <c r="AH2" s="2778"/>
      <c r="AI2" s="2778"/>
      <c r="AJ2" s="2778"/>
      <c r="AK2" s="2778"/>
      <c r="AL2" s="2778"/>
      <c r="AM2" s="2778"/>
      <c r="AN2" s="2778"/>
      <c r="AO2" s="2778"/>
      <c r="AP2" s="2253" t="s">
        <v>2</v>
      </c>
      <c r="AQ2" s="2254" t="s">
        <v>92</v>
      </c>
      <c r="AR2" s="38"/>
      <c r="AS2" s="38"/>
      <c r="AT2" s="38"/>
      <c r="AU2" s="38"/>
      <c r="AV2" s="38"/>
      <c r="AW2" s="38"/>
      <c r="AX2" s="38"/>
      <c r="AY2" s="38"/>
      <c r="AZ2" s="38"/>
      <c r="BA2" s="38"/>
      <c r="BB2" s="38"/>
      <c r="BC2" s="38"/>
      <c r="BD2" s="38"/>
      <c r="BE2" s="38"/>
      <c r="BF2" s="38"/>
      <c r="BG2" s="38"/>
      <c r="BH2" s="38"/>
    </row>
    <row r="3" spans="1:60" ht="16.5" customHeight="1" x14ac:dyDescent="0.2">
      <c r="A3" s="2853"/>
      <c r="B3" s="2778"/>
      <c r="C3" s="2778"/>
      <c r="D3" s="2778"/>
      <c r="E3" s="2778"/>
      <c r="F3" s="2778"/>
      <c r="G3" s="2778"/>
      <c r="H3" s="2778"/>
      <c r="I3" s="2778"/>
      <c r="J3" s="2778"/>
      <c r="K3" s="2778"/>
      <c r="L3" s="2778"/>
      <c r="M3" s="2778"/>
      <c r="N3" s="2778"/>
      <c r="O3" s="2778"/>
      <c r="P3" s="2778"/>
      <c r="Q3" s="2778"/>
      <c r="R3" s="2778"/>
      <c r="S3" s="2778"/>
      <c r="T3" s="2778"/>
      <c r="U3" s="2778"/>
      <c r="V3" s="2778"/>
      <c r="W3" s="2778"/>
      <c r="X3" s="2778"/>
      <c r="Y3" s="2778"/>
      <c r="Z3" s="2778"/>
      <c r="AA3" s="2778"/>
      <c r="AB3" s="2778"/>
      <c r="AC3" s="2778"/>
      <c r="AD3" s="2778"/>
      <c r="AE3" s="2778"/>
      <c r="AF3" s="2778"/>
      <c r="AG3" s="2778"/>
      <c r="AH3" s="2778"/>
      <c r="AI3" s="2778"/>
      <c r="AJ3" s="2778"/>
      <c r="AK3" s="2778"/>
      <c r="AL3" s="2778"/>
      <c r="AM3" s="2778"/>
      <c r="AN3" s="2778"/>
      <c r="AO3" s="2778"/>
      <c r="AP3" s="2255" t="s">
        <v>3</v>
      </c>
      <c r="AQ3" s="2254" t="s">
        <v>4</v>
      </c>
      <c r="AR3" s="38"/>
      <c r="AS3" s="38"/>
      <c r="AT3" s="38"/>
      <c r="AU3" s="38"/>
      <c r="AV3" s="38"/>
      <c r="AW3" s="38"/>
      <c r="AX3" s="38"/>
      <c r="AY3" s="38"/>
      <c r="AZ3" s="38"/>
      <c r="BA3" s="38"/>
      <c r="BB3" s="38"/>
      <c r="BC3" s="38"/>
      <c r="BD3" s="38"/>
      <c r="BE3" s="38"/>
      <c r="BF3" s="38"/>
      <c r="BG3" s="38"/>
      <c r="BH3" s="38"/>
    </row>
    <row r="4" spans="1:60" ht="16.5" customHeight="1" x14ac:dyDescent="0.2">
      <c r="A4" s="2854"/>
      <c r="B4" s="2779"/>
      <c r="C4" s="2779"/>
      <c r="D4" s="2779"/>
      <c r="E4" s="2779"/>
      <c r="F4" s="2779"/>
      <c r="G4" s="2779"/>
      <c r="H4" s="2779"/>
      <c r="I4" s="2779"/>
      <c r="J4" s="2779"/>
      <c r="K4" s="2779"/>
      <c r="L4" s="2779"/>
      <c r="M4" s="2779"/>
      <c r="N4" s="2779"/>
      <c r="O4" s="2779"/>
      <c r="P4" s="2779"/>
      <c r="Q4" s="2779"/>
      <c r="R4" s="2779"/>
      <c r="S4" s="2779"/>
      <c r="T4" s="2779"/>
      <c r="U4" s="2779"/>
      <c r="V4" s="2779"/>
      <c r="W4" s="2779"/>
      <c r="X4" s="2779"/>
      <c r="Y4" s="2779"/>
      <c r="Z4" s="2779"/>
      <c r="AA4" s="2779"/>
      <c r="AB4" s="2779"/>
      <c r="AC4" s="2779"/>
      <c r="AD4" s="2779"/>
      <c r="AE4" s="2779"/>
      <c r="AF4" s="2779"/>
      <c r="AG4" s="2779"/>
      <c r="AH4" s="2779"/>
      <c r="AI4" s="2779"/>
      <c r="AJ4" s="2779"/>
      <c r="AK4" s="2779"/>
      <c r="AL4" s="2779"/>
      <c r="AM4" s="2779"/>
      <c r="AN4" s="2779"/>
      <c r="AO4" s="2779"/>
      <c r="AP4" s="2255" t="s">
        <v>5</v>
      </c>
      <c r="AQ4" s="2256" t="s">
        <v>93</v>
      </c>
      <c r="AR4" s="38"/>
      <c r="AS4" s="38"/>
      <c r="AT4" s="38"/>
      <c r="AU4" s="38"/>
      <c r="AV4" s="38"/>
      <c r="AW4" s="38"/>
      <c r="AX4" s="38"/>
      <c r="AY4" s="38"/>
      <c r="AZ4" s="38"/>
      <c r="BA4" s="38"/>
      <c r="BB4" s="38"/>
      <c r="BC4" s="38"/>
      <c r="BD4" s="38"/>
      <c r="BE4" s="38"/>
      <c r="BF4" s="38"/>
      <c r="BG4" s="38"/>
      <c r="BH4" s="38"/>
    </row>
    <row r="5" spans="1:60" ht="18" customHeight="1" x14ac:dyDescent="0.2">
      <c r="A5" s="2855" t="s">
        <v>7</v>
      </c>
      <c r="B5" s="2780"/>
      <c r="C5" s="2780"/>
      <c r="D5" s="2780"/>
      <c r="E5" s="2780"/>
      <c r="F5" s="2780"/>
      <c r="G5" s="2780"/>
      <c r="H5" s="2780"/>
      <c r="I5" s="2780"/>
      <c r="J5" s="2780"/>
      <c r="K5" s="2780"/>
      <c r="L5" s="2780"/>
      <c r="M5" s="2780"/>
      <c r="N5" s="2858" t="s">
        <v>8</v>
      </c>
      <c r="O5" s="2858"/>
      <c r="P5" s="2858"/>
      <c r="Q5" s="2858"/>
      <c r="R5" s="2858"/>
      <c r="S5" s="2858"/>
      <c r="T5" s="2858"/>
      <c r="U5" s="2858"/>
      <c r="V5" s="2858"/>
      <c r="W5" s="2858"/>
      <c r="X5" s="2858"/>
      <c r="Y5" s="2858"/>
      <c r="Z5" s="2858"/>
      <c r="AA5" s="2858"/>
      <c r="AB5" s="2858"/>
      <c r="AC5" s="2858"/>
      <c r="AD5" s="2858"/>
      <c r="AE5" s="2858"/>
      <c r="AF5" s="2858"/>
      <c r="AG5" s="2858"/>
      <c r="AH5" s="2858"/>
      <c r="AI5" s="2858"/>
      <c r="AJ5" s="2858"/>
      <c r="AK5" s="2858"/>
      <c r="AL5" s="2858"/>
      <c r="AM5" s="2858"/>
      <c r="AN5" s="2858"/>
      <c r="AO5" s="2858"/>
      <c r="AP5" s="2858"/>
      <c r="AQ5" s="2859"/>
      <c r="AR5" s="38"/>
      <c r="AS5" s="38"/>
      <c r="AT5" s="38"/>
      <c r="AU5" s="38"/>
      <c r="AV5" s="38"/>
      <c r="AW5" s="38"/>
      <c r="AX5" s="38"/>
      <c r="AY5" s="38"/>
      <c r="AZ5" s="38"/>
      <c r="BA5" s="38"/>
      <c r="BB5" s="38"/>
      <c r="BC5" s="38"/>
      <c r="BD5" s="38"/>
      <c r="BE5" s="38"/>
      <c r="BF5" s="38"/>
      <c r="BG5" s="38"/>
      <c r="BH5" s="38"/>
    </row>
    <row r="6" spans="1:60" ht="18.75" customHeight="1" x14ac:dyDescent="0.2">
      <c r="A6" s="2856"/>
      <c r="B6" s="2857"/>
      <c r="C6" s="2857"/>
      <c r="D6" s="2857"/>
      <c r="E6" s="2857"/>
      <c r="F6" s="2857"/>
      <c r="G6" s="2857"/>
      <c r="H6" s="2857"/>
      <c r="I6" s="2857"/>
      <c r="J6" s="2857"/>
      <c r="K6" s="2857"/>
      <c r="L6" s="2857"/>
      <c r="M6" s="2857"/>
      <c r="N6" s="2257"/>
      <c r="O6" s="762"/>
      <c r="P6" s="763"/>
      <c r="Q6" s="764"/>
      <c r="R6" s="764"/>
      <c r="S6" s="763"/>
      <c r="T6" s="763"/>
      <c r="U6" s="2258"/>
      <c r="V6" s="2259"/>
      <c r="W6" s="764"/>
      <c r="X6" s="2246"/>
      <c r="Y6" s="2990" t="s">
        <v>320</v>
      </c>
      <c r="Z6" s="2857"/>
      <c r="AA6" s="2857"/>
      <c r="AB6" s="2857"/>
      <c r="AC6" s="2857"/>
      <c r="AD6" s="2857"/>
      <c r="AE6" s="2857"/>
      <c r="AF6" s="2857"/>
      <c r="AG6" s="2857"/>
      <c r="AH6" s="2857"/>
      <c r="AI6" s="2857"/>
      <c r="AJ6" s="2857"/>
      <c r="AK6" s="2857"/>
      <c r="AL6" s="2857"/>
      <c r="AM6" s="2991"/>
      <c r="AN6" s="2246"/>
      <c r="AO6" s="764"/>
      <c r="AP6" s="764"/>
      <c r="AQ6" s="2260"/>
      <c r="AR6" s="38"/>
      <c r="AS6" s="38"/>
      <c r="AT6" s="38"/>
      <c r="AU6" s="38"/>
      <c r="AV6" s="38"/>
      <c r="AW6" s="38"/>
      <c r="AX6" s="38"/>
      <c r="AY6" s="38"/>
      <c r="AZ6" s="38"/>
      <c r="BA6" s="38"/>
      <c r="BB6" s="38"/>
      <c r="BC6" s="38"/>
      <c r="BD6" s="38"/>
      <c r="BE6" s="38"/>
      <c r="BF6" s="38"/>
      <c r="BG6" s="38"/>
      <c r="BH6" s="38"/>
    </row>
    <row r="7" spans="1:60" ht="18.75" customHeight="1" x14ac:dyDescent="0.2">
      <c r="A7" s="2245"/>
      <c r="B7" s="2246"/>
      <c r="C7" s="2246"/>
      <c r="D7" s="2246"/>
      <c r="E7" s="2246"/>
      <c r="F7" s="2246"/>
      <c r="G7" s="2246"/>
      <c r="H7" s="2246"/>
      <c r="I7" s="2246"/>
      <c r="J7" s="2246"/>
      <c r="K7" s="2258"/>
      <c r="L7" s="763"/>
      <c r="M7" s="2246"/>
      <c r="N7" s="2257"/>
      <c r="O7" s="762"/>
      <c r="P7" s="763"/>
      <c r="Q7" s="764"/>
      <c r="R7" s="764"/>
      <c r="S7" s="763"/>
      <c r="T7" s="763"/>
      <c r="U7" s="2258"/>
      <c r="V7" s="2259"/>
      <c r="W7" s="764"/>
      <c r="X7" s="2246"/>
      <c r="Y7" s="2249"/>
      <c r="Z7" s="2246"/>
      <c r="AA7" s="2246"/>
      <c r="AB7" s="2246"/>
      <c r="AC7" s="2246"/>
      <c r="AD7" s="2246"/>
      <c r="AE7" s="2246"/>
      <c r="AF7" s="2246"/>
      <c r="AG7" s="2246"/>
      <c r="AH7" s="2246"/>
      <c r="AI7" s="2246"/>
      <c r="AJ7" s="2246"/>
      <c r="AK7" s="2246"/>
      <c r="AL7" s="2246"/>
      <c r="AM7" s="2261"/>
      <c r="AN7" s="2246"/>
      <c r="AO7" s="113"/>
      <c r="AP7" s="113"/>
      <c r="AQ7" s="2260"/>
      <c r="AR7" s="38"/>
      <c r="AS7" s="38"/>
      <c r="AT7" s="38"/>
      <c r="AU7" s="38"/>
      <c r="AV7" s="38"/>
      <c r="AW7" s="38"/>
      <c r="AX7" s="38"/>
      <c r="AY7" s="38"/>
      <c r="AZ7" s="38"/>
      <c r="BA7" s="38"/>
      <c r="BB7" s="38"/>
      <c r="BC7" s="38"/>
      <c r="BD7" s="38"/>
      <c r="BE7" s="38"/>
      <c r="BF7" s="38"/>
      <c r="BG7" s="38"/>
      <c r="BH7" s="38"/>
    </row>
    <row r="8" spans="1:60" s="121" customFormat="1" ht="16.5" customHeight="1" x14ac:dyDescent="0.25">
      <c r="A8" s="2992" t="s">
        <v>9</v>
      </c>
      <c r="B8" s="2993" t="s">
        <v>10</v>
      </c>
      <c r="C8" s="2993"/>
      <c r="D8" s="2993" t="s">
        <v>9</v>
      </c>
      <c r="E8" s="2993" t="s">
        <v>11</v>
      </c>
      <c r="F8" s="2993"/>
      <c r="G8" s="2993" t="s">
        <v>9</v>
      </c>
      <c r="H8" s="2993" t="s">
        <v>12</v>
      </c>
      <c r="I8" s="2993"/>
      <c r="J8" s="2993" t="s">
        <v>9</v>
      </c>
      <c r="K8" s="2993" t="s">
        <v>13</v>
      </c>
      <c r="L8" s="2993" t="s">
        <v>14</v>
      </c>
      <c r="M8" s="2772" t="s">
        <v>15</v>
      </c>
      <c r="N8" s="2993" t="s">
        <v>16</v>
      </c>
      <c r="O8" s="2993" t="s">
        <v>94</v>
      </c>
      <c r="P8" s="2993" t="s">
        <v>8</v>
      </c>
      <c r="Q8" s="3013" t="s">
        <v>18</v>
      </c>
      <c r="R8" s="3014" t="s">
        <v>19</v>
      </c>
      <c r="S8" s="2993" t="s">
        <v>20</v>
      </c>
      <c r="T8" s="2993" t="s">
        <v>21</v>
      </c>
      <c r="U8" s="2993" t="s">
        <v>22</v>
      </c>
      <c r="V8" s="2787" t="s">
        <v>19</v>
      </c>
      <c r="W8" s="3011" t="s">
        <v>9</v>
      </c>
      <c r="X8" s="2993" t="s">
        <v>23</v>
      </c>
      <c r="Y8" s="3012" t="s">
        <v>24</v>
      </c>
      <c r="Z8" s="3012"/>
      <c r="AA8" s="2994" t="s">
        <v>25</v>
      </c>
      <c r="AB8" s="2994"/>
      <c r="AC8" s="2994"/>
      <c r="AD8" s="2994"/>
      <c r="AE8" s="2999" t="s">
        <v>26</v>
      </c>
      <c r="AF8" s="2999"/>
      <c r="AG8" s="2999"/>
      <c r="AH8" s="2999"/>
      <c r="AI8" s="2999"/>
      <c r="AJ8" s="2999"/>
      <c r="AK8" s="2994" t="s">
        <v>27</v>
      </c>
      <c r="AL8" s="2994"/>
      <c r="AM8" s="2994"/>
      <c r="AN8" s="2995" t="s">
        <v>28</v>
      </c>
      <c r="AO8" s="2758" t="s">
        <v>29</v>
      </c>
      <c r="AP8" s="2758" t="s">
        <v>30</v>
      </c>
      <c r="AQ8" s="2998" t="s">
        <v>31</v>
      </c>
      <c r="AR8" s="2262"/>
      <c r="AS8" s="2262"/>
      <c r="AT8" s="2262"/>
      <c r="AU8" s="2262"/>
      <c r="AV8" s="2262"/>
      <c r="AW8" s="2262"/>
      <c r="AX8" s="2262"/>
      <c r="AY8" s="2262"/>
      <c r="AZ8" s="2262"/>
      <c r="BA8" s="2262"/>
      <c r="BB8" s="2262"/>
      <c r="BC8" s="2262"/>
      <c r="BD8" s="2262"/>
      <c r="BE8" s="2262"/>
      <c r="BF8" s="2262"/>
      <c r="BG8" s="2262"/>
      <c r="BH8" s="2262"/>
    </row>
    <row r="9" spans="1:60" s="121" customFormat="1" ht="141" customHeight="1" x14ac:dyDescent="0.25">
      <c r="A9" s="2992"/>
      <c r="B9" s="2993"/>
      <c r="C9" s="2993"/>
      <c r="D9" s="2993"/>
      <c r="E9" s="2993"/>
      <c r="F9" s="2993"/>
      <c r="G9" s="2993"/>
      <c r="H9" s="2993"/>
      <c r="I9" s="2993"/>
      <c r="J9" s="2993"/>
      <c r="K9" s="2993"/>
      <c r="L9" s="2993"/>
      <c r="M9" s="2773"/>
      <c r="N9" s="2993"/>
      <c r="O9" s="2993"/>
      <c r="P9" s="2993"/>
      <c r="Q9" s="3013"/>
      <c r="R9" s="3014"/>
      <c r="S9" s="2993"/>
      <c r="T9" s="2993"/>
      <c r="U9" s="2993"/>
      <c r="V9" s="2788"/>
      <c r="W9" s="3011"/>
      <c r="X9" s="2993"/>
      <c r="Y9" s="12" t="s">
        <v>32</v>
      </c>
      <c r="Z9" s="12" t="s">
        <v>33</v>
      </c>
      <c r="AA9" s="12" t="s">
        <v>34</v>
      </c>
      <c r="AB9" s="12" t="s">
        <v>35</v>
      </c>
      <c r="AC9" s="12" t="s">
        <v>2272</v>
      </c>
      <c r="AD9" s="12" t="s">
        <v>37</v>
      </c>
      <c r="AE9" s="12" t="s">
        <v>38</v>
      </c>
      <c r="AF9" s="12" t="s">
        <v>39</v>
      </c>
      <c r="AG9" s="12" t="s">
        <v>40</v>
      </c>
      <c r="AH9" s="12" t="s">
        <v>41</v>
      </c>
      <c r="AI9" s="12" t="s">
        <v>42</v>
      </c>
      <c r="AJ9" s="12" t="s">
        <v>43</v>
      </c>
      <c r="AK9" s="12" t="s">
        <v>44</v>
      </c>
      <c r="AL9" s="12" t="s">
        <v>45</v>
      </c>
      <c r="AM9" s="12" t="s">
        <v>46</v>
      </c>
      <c r="AN9" s="2996"/>
      <c r="AO9" s="2997"/>
      <c r="AP9" s="2997"/>
      <c r="AQ9" s="2998"/>
      <c r="AR9" s="2262"/>
      <c r="AS9" s="2262"/>
      <c r="AT9" s="2262"/>
      <c r="AU9" s="2262"/>
      <c r="AV9" s="2262"/>
      <c r="AW9" s="2262"/>
      <c r="AX9" s="2262"/>
      <c r="AY9" s="2262"/>
      <c r="AZ9" s="2262"/>
      <c r="BA9" s="2262"/>
      <c r="BB9" s="2262"/>
      <c r="BC9" s="2262"/>
      <c r="BD9" s="2262"/>
      <c r="BE9" s="2262"/>
      <c r="BF9" s="2262"/>
      <c r="BG9" s="2262"/>
      <c r="BH9" s="2262"/>
    </row>
    <row r="10" spans="1:60" s="638" customFormat="1" ht="18.75" customHeight="1" x14ac:dyDescent="0.2">
      <c r="A10" s="2263">
        <v>4</v>
      </c>
      <c r="B10" s="953" t="s">
        <v>2273</v>
      </c>
      <c r="C10" s="953"/>
      <c r="D10" s="1241"/>
      <c r="E10" s="1241"/>
      <c r="F10" s="1241"/>
      <c r="G10" s="1241"/>
      <c r="H10" s="1241"/>
      <c r="I10" s="1241"/>
      <c r="J10" s="1187"/>
      <c r="K10" s="2264"/>
      <c r="L10" s="2265"/>
      <c r="M10" s="1241"/>
      <c r="N10" s="1188"/>
      <c r="O10" s="1187"/>
      <c r="P10" s="2265"/>
      <c r="Q10" s="2266"/>
      <c r="R10" s="2267"/>
      <c r="S10" s="2265"/>
      <c r="T10" s="2264"/>
      <c r="U10" s="2264"/>
      <c r="V10" s="2268"/>
      <c r="W10" s="2268"/>
      <c r="X10" s="2269"/>
      <c r="Y10" s="1241"/>
      <c r="Z10" s="1241"/>
      <c r="AA10" s="1241"/>
      <c r="AB10" s="1241"/>
      <c r="AC10" s="1241"/>
      <c r="AD10" s="1241"/>
      <c r="AE10" s="1241"/>
      <c r="AF10" s="1241"/>
      <c r="AG10" s="1241"/>
      <c r="AH10" s="1241"/>
      <c r="AI10" s="1241"/>
      <c r="AJ10" s="1241"/>
      <c r="AK10" s="2270"/>
      <c r="AL10" s="2270"/>
      <c r="AM10" s="2265"/>
      <c r="AN10" s="2265"/>
      <c r="AO10" s="2265"/>
      <c r="AP10" s="2265"/>
      <c r="AQ10" s="2271"/>
    </row>
    <row r="11" spans="1:60" s="620" customFormat="1" ht="21.75" customHeight="1" x14ac:dyDescent="0.2">
      <c r="A11" s="1490"/>
      <c r="B11" s="1490"/>
      <c r="C11" s="1490"/>
      <c r="D11" s="1490">
        <v>23</v>
      </c>
      <c r="E11" s="1485" t="s">
        <v>2274</v>
      </c>
      <c r="F11" s="1485"/>
      <c r="G11" s="2272"/>
      <c r="H11" s="2272"/>
      <c r="I11" s="2272"/>
      <c r="J11" s="2273"/>
      <c r="K11" s="2274"/>
      <c r="L11" s="2275"/>
      <c r="M11" s="2272"/>
      <c r="N11" s="2276"/>
      <c r="O11" s="2273"/>
      <c r="P11" s="2275"/>
      <c r="Q11" s="2277"/>
      <c r="R11" s="2278"/>
      <c r="S11" s="2275"/>
      <c r="T11" s="2274"/>
      <c r="U11" s="2274"/>
      <c r="V11" s="2279"/>
      <c r="W11" s="2279"/>
      <c r="X11" s="2280"/>
      <c r="Y11" s="2272"/>
      <c r="Z11" s="2272"/>
      <c r="AA11" s="2272"/>
      <c r="AB11" s="2272"/>
      <c r="AC11" s="2272"/>
      <c r="AD11" s="2272"/>
      <c r="AE11" s="2272"/>
      <c r="AF11" s="2272"/>
      <c r="AG11" s="2272"/>
      <c r="AH11" s="2272"/>
      <c r="AI11" s="2272"/>
      <c r="AJ11" s="2272"/>
      <c r="AK11" s="2281"/>
      <c r="AL11" s="2281"/>
      <c r="AM11" s="2275"/>
      <c r="AN11" s="2275"/>
      <c r="AO11" s="2275"/>
      <c r="AP11" s="2275"/>
      <c r="AQ11" s="2282"/>
    </row>
    <row r="12" spans="1:60" s="620" customFormat="1" ht="15.75" customHeight="1" x14ac:dyDescent="0.2">
      <c r="A12" s="3028"/>
      <c r="B12" s="3031"/>
      <c r="C12" s="3032"/>
      <c r="D12" s="2958"/>
      <c r="E12" s="2958"/>
      <c r="F12" s="2958"/>
      <c r="G12" s="2283">
        <v>75</v>
      </c>
      <c r="H12" s="1121" t="s">
        <v>2275</v>
      </c>
      <c r="I12" s="1121"/>
      <c r="J12" s="2284"/>
      <c r="K12" s="2285"/>
      <c r="L12" s="2286"/>
      <c r="M12" s="1208"/>
      <c r="N12" s="1214"/>
      <c r="O12" s="1215"/>
      <c r="P12" s="1123"/>
      <c r="Q12" s="2287"/>
      <c r="R12" s="2288"/>
      <c r="S12" s="2286"/>
      <c r="T12" s="2285"/>
      <c r="U12" s="2285"/>
      <c r="V12" s="2289"/>
      <c r="W12" s="2289"/>
      <c r="X12" s="2290"/>
      <c r="Y12" s="1208"/>
      <c r="Z12" s="1208"/>
      <c r="AA12" s="1208"/>
      <c r="AB12" s="1208"/>
      <c r="AC12" s="1208"/>
      <c r="AD12" s="1208"/>
      <c r="AE12" s="1208"/>
      <c r="AF12" s="1208"/>
      <c r="AG12" s="1208"/>
      <c r="AH12" s="1208"/>
      <c r="AI12" s="1208"/>
      <c r="AJ12" s="1208"/>
      <c r="AK12" s="2291"/>
      <c r="AL12" s="2291"/>
      <c r="AM12" s="2286"/>
      <c r="AN12" s="2286"/>
      <c r="AO12" s="2286"/>
      <c r="AP12" s="2286"/>
      <c r="AQ12" s="2292"/>
    </row>
    <row r="13" spans="1:60" s="638" customFormat="1" ht="43.5" customHeight="1" x14ac:dyDescent="0.2">
      <c r="A13" s="3029"/>
      <c r="B13" s="3033"/>
      <c r="C13" s="3034"/>
      <c r="D13" s="2958"/>
      <c r="E13" s="2958"/>
      <c r="F13" s="2958"/>
      <c r="G13" s="620"/>
      <c r="H13" s="2293"/>
      <c r="I13" s="2294"/>
      <c r="J13" s="3037">
        <v>214</v>
      </c>
      <c r="K13" s="3039" t="s">
        <v>2276</v>
      </c>
      <c r="L13" s="3055" t="s">
        <v>2277</v>
      </c>
      <c r="M13" s="3057">
        <v>1</v>
      </c>
      <c r="N13" s="3059"/>
      <c r="O13" s="3015" t="s">
        <v>2278</v>
      </c>
      <c r="P13" s="3017" t="s">
        <v>2279</v>
      </c>
      <c r="Q13" s="3019">
        <f>SUM(V13:V14)/R13</f>
        <v>5.2487744082888388E-3</v>
      </c>
      <c r="R13" s="3051">
        <f>SUM(V13:V50)</f>
        <v>6668223337</v>
      </c>
      <c r="S13" s="3054" t="s">
        <v>2280</v>
      </c>
      <c r="T13" s="3054" t="s">
        <v>2281</v>
      </c>
      <c r="U13" s="3000" t="s">
        <v>2282</v>
      </c>
      <c r="V13" s="2295">
        <v>15000000</v>
      </c>
      <c r="W13" s="2296">
        <v>20</v>
      </c>
      <c r="X13" s="2297" t="s">
        <v>72</v>
      </c>
      <c r="Y13" s="3002">
        <v>292684</v>
      </c>
      <c r="Z13" s="3005">
        <v>282326</v>
      </c>
      <c r="AA13" s="3049">
        <v>135912</v>
      </c>
      <c r="AB13" s="3049">
        <v>45122</v>
      </c>
      <c r="AC13" s="3049">
        <v>307101</v>
      </c>
      <c r="AD13" s="3050">
        <v>86875</v>
      </c>
      <c r="AE13" s="3049">
        <v>2145</v>
      </c>
      <c r="AF13" s="3049">
        <v>12718</v>
      </c>
      <c r="AG13" s="3022">
        <v>26</v>
      </c>
      <c r="AH13" s="3020">
        <v>37</v>
      </c>
      <c r="AI13" s="3020"/>
      <c r="AJ13" s="3020"/>
      <c r="AK13" s="3020">
        <v>53164</v>
      </c>
      <c r="AL13" s="3020">
        <v>16982</v>
      </c>
      <c r="AM13" s="3020">
        <v>60013</v>
      </c>
      <c r="AN13" s="3022">
        <f>Y13+Z13</f>
        <v>575010</v>
      </c>
      <c r="AO13" s="3025">
        <v>43480</v>
      </c>
      <c r="AP13" s="3025">
        <v>43819</v>
      </c>
      <c r="AQ13" s="3041" t="s">
        <v>2283</v>
      </c>
    </row>
    <row r="14" spans="1:60" s="638" customFormat="1" ht="33.75" customHeight="1" x14ac:dyDescent="0.2">
      <c r="A14" s="3029"/>
      <c r="B14" s="3033"/>
      <c r="C14" s="3034"/>
      <c r="D14" s="2958"/>
      <c r="E14" s="2958"/>
      <c r="F14" s="2958"/>
      <c r="G14" s="620"/>
      <c r="H14" s="2298"/>
      <c r="I14" s="2299"/>
      <c r="J14" s="3038"/>
      <c r="K14" s="3040"/>
      <c r="L14" s="3056"/>
      <c r="M14" s="3058"/>
      <c r="N14" s="3060"/>
      <c r="O14" s="3016"/>
      <c r="P14" s="3018"/>
      <c r="Q14" s="3019"/>
      <c r="R14" s="3052"/>
      <c r="S14" s="3054"/>
      <c r="T14" s="3054"/>
      <c r="U14" s="3001"/>
      <c r="V14" s="2295">
        <f>0+20000000</f>
        <v>20000000</v>
      </c>
      <c r="W14" s="2296">
        <v>92</v>
      </c>
      <c r="X14" s="2297" t="s">
        <v>2284</v>
      </c>
      <c r="Y14" s="3003"/>
      <c r="Z14" s="3006"/>
      <c r="AA14" s="3049"/>
      <c r="AB14" s="3049"/>
      <c r="AC14" s="3049"/>
      <c r="AD14" s="3050"/>
      <c r="AE14" s="3049"/>
      <c r="AF14" s="3049"/>
      <c r="AG14" s="3023"/>
      <c r="AH14" s="3020"/>
      <c r="AI14" s="3020"/>
      <c r="AJ14" s="3020"/>
      <c r="AK14" s="3020"/>
      <c r="AL14" s="3020"/>
      <c r="AM14" s="3020"/>
      <c r="AN14" s="3023"/>
      <c r="AO14" s="3026"/>
      <c r="AP14" s="3026"/>
      <c r="AQ14" s="3041"/>
    </row>
    <row r="15" spans="1:60" s="638" customFormat="1" ht="72.75" customHeight="1" x14ac:dyDescent="0.2">
      <c r="A15" s="3029"/>
      <c r="B15" s="3033"/>
      <c r="C15" s="3034"/>
      <c r="D15" s="2958"/>
      <c r="E15" s="2958"/>
      <c r="F15" s="2958"/>
      <c r="G15" s="620"/>
      <c r="H15" s="2298"/>
      <c r="I15" s="2299"/>
      <c r="J15" s="2297">
        <v>215</v>
      </c>
      <c r="K15" s="2300" t="s">
        <v>2285</v>
      </c>
      <c r="L15" s="2301" t="s">
        <v>2286</v>
      </c>
      <c r="M15" s="2302">
        <v>2</v>
      </c>
      <c r="N15" s="3060"/>
      <c r="O15" s="3016"/>
      <c r="P15" s="3018"/>
      <c r="Q15" s="2303">
        <f>SUM(V15)/R13</f>
        <v>2.2494747464095024E-3</v>
      </c>
      <c r="R15" s="3052"/>
      <c r="S15" s="3054"/>
      <c r="T15" s="3054"/>
      <c r="U15" s="2304" t="s">
        <v>2287</v>
      </c>
      <c r="V15" s="2106">
        <v>15000000</v>
      </c>
      <c r="W15" s="2296">
        <v>20</v>
      </c>
      <c r="X15" s="2297" t="s">
        <v>72</v>
      </c>
      <c r="Y15" s="3003"/>
      <c r="Z15" s="3006"/>
      <c r="AA15" s="3021"/>
      <c r="AB15" s="3021"/>
      <c r="AC15" s="3021"/>
      <c r="AD15" s="3021"/>
      <c r="AE15" s="3021"/>
      <c r="AF15" s="3021"/>
      <c r="AG15" s="3047"/>
      <c r="AH15" s="3021"/>
      <c r="AI15" s="3021"/>
      <c r="AJ15" s="3021"/>
      <c r="AK15" s="3021"/>
      <c r="AL15" s="3021"/>
      <c r="AM15" s="3021"/>
      <c r="AN15" s="3023"/>
      <c r="AO15" s="3026"/>
      <c r="AP15" s="3026"/>
      <c r="AQ15" s="3042"/>
    </row>
    <row r="16" spans="1:60" s="638" customFormat="1" ht="39.75" customHeight="1" x14ac:dyDescent="0.2">
      <c r="A16" s="3029"/>
      <c r="B16" s="3033"/>
      <c r="C16" s="3034"/>
      <c r="D16" s="2958"/>
      <c r="E16" s="2958"/>
      <c r="F16" s="2958"/>
      <c r="G16" s="620"/>
      <c r="H16" s="2298"/>
      <c r="I16" s="2299"/>
      <c r="J16" s="3043">
        <v>216</v>
      </c>
      <c r="K16" s="3044" t="s">
        <v>2288</v>
      </c>
      <c r="L16" s="3045" t="s">
        <v>2289</v>
      </c>
      <c r="M16" s="3046">
        <f>1.994+2</f>
        <v>3.9939999999999998</v>
      </c>
      <c r="N16" s="3060"/>
      <c r="O16" s="3016"/>
      <c r="P16" s="3018"/>
      <c r="Q16" s="3019">
        <f>SUM(V16:V20)/R13</f>
        <v>0.17096008072712218</v>
      </c>
      <c r="R16" s="3052"/>
      <c r="S16" s="3054"/>
      <c r="T16" s="3054"/>
      <c r="U16" s="2305" t="s">
        <v>2290</v>
      </c>
      <c r="V16" s="2106">
        <f>15000000-15000000</f>
        <v>0</v>
      </c>
      <c r="W16" s="2306">
        <v>20</v>
      </c>
      <c r="X16" s="2307" t="s">
        <v>72</v>
      </c>
      <c r="Y16" s="3003"/>
      <c r="Z16" s="3006"/>
      <c r="AA16" s="3021"/>
      <c r="AB16" s="3021"/>
      <c r="AC16" s="3021"/>
      <c r="AD16" s="3021"/>
      <c r="AE16" s="3021"/>
      <c r="AF16" s="3021"/>
      <c r="AG16" s="3047"/>
      <c r="AH16" s="3021"/>
      <c r="AI16" s="3021"/>
      <c r="AJ16" s="3021"/>
      <c r="AK16" s="3021"/>
      <c r="AL16" s="3021"/>
      <c r="AM16" s="3021"/>
      <c r="AN16" s="3023"/>
      <c r="AO16" s="3026"/>
      <c r="AP16" s="3026"/>
      <c r="AQ16" s="3042"/>
    </row>
    <row r="17" spans="1:43" s="638" customFormat="1" ht="36" customHeight="1" x14ac:dyDescent="0.2">
      <c r="A17" s="3029"/>
      <c r="B17" s="3033"/>
      <c r="C17" s="3034"/>
      <c r="D17" s="2958"/>
      <c r="E17" s="2958"/>
      <c r="F17" s="2958"/>
      <c r="G17" s="620"/>
      <c r="H17" s="2298"/>
      <c r="I17" s="2299"/>
      <c r="J17" s="3043"/>
      <c r="K17" s="3044"/>
      <c r="L17" s="3045"/>
      <c r="M17" s="3046"/>
      <c r="N17" s="3060"/>
      <c r="O17" s="3016"/>
      <c r="P17" s="3018"/>
      <c r="Q17" s="3019"/>
      <c r="R17" s="3052"/>
      <c r="S17" s="3054"/>
      <c r="T17" s="3054"/>
      <c r="U17" s="2308" t="s">
        <v>2291</v>
      </c>
      <c r="V17" s="2295">
        <f>0+850000000+65000000</f>
        <v>915000000</v>
      </c>
      <c r="W17" s="2296">
        <v>92</v>
      </c>
      <c r="X17" s="2297" t="s">
        <v>2284</v>
      </c>
      <c r="Y17" s="3003"/>
      <c r="Z17" s="3006"/>
      <c r="AA17" s="3021"/>
      <c r="AB17" s="3021"/>
      <c r="AC17" s="3021"/>
      <c r="AD17" s="3021"/>
      <c r="AE17" s="3021"/>
      <c r="AF17" s="3021"/>
      <c r="AG17" s="3047"/>
      <c r="AH17" s="3021"/>
      <c r="AI17" s="3021"/>
      <c r="AJ17" s="3021"/>
      <c r="AK17" s="3021"/>
      <c r="AL17" s="3021"/>
      <c r="AM17" s="3021"/>
      <c r="AN17" s="3023"/>
      <c r="AO17" s="3026"/>
      <c r="AP17" s="3026"/>
      <c r="AQ17" s="3042"/>
    </row>
    <row r="18" spans="1:43" s="638" customFormat="1" ht="29.25" customHeight="1" x14ac:dyDescent="0.2">
      <c r="A18" s="3029"/>
      <c r="B18" s="3033"/>
      <c r="C18" s="3034"/>
      <c r="D18" s="2958"/>
      <c r="E18" s="2958"/>
      <c r="F18" s="2958"/>
      <c r="G18" s="620"/>
      <c r="H18" s="2298"/>
      <c r="I18" s="2299"/>
      <c r="J18" s="3043"/>
      <c r="K18" s="3044"/>
      <c r="L18" s="3045"/>
      <c r="M18" s="3046"/>
      <c r="N18" s="3060"/>
      <c r="O18" s="3016"/>
      <c r="P18" s="3018"/>
      <c r="Q18" s="3019"/>
      <c r="R18" s="3052"/>
      <c r="S18" s="3054"/>
      <c r="T18" s="3068"/>
      <c r="U18" s="3008" t="s">
        <v>2292</v>
      </c>
      <c r="V18" s="2309">
        <f>10000000-10000000</f>
        <v>0</v>
      </c>
      <c r="W18" s="676">
        <v>20</v>
      </c>
      <c r="X18" s="2310" t="s">
        <v>72</v>
      </c>
      <c r="Y18" s="3003"/>
      <c r="Z18" s="3006"/>
      <c r="AA18" s="3021"/>
      <c r="AB18" s="3021"/>
      <c r="AC18" s="3021"/>
      <c r="AD18" s="3021"/>
      <c r="AE18" s="3021"/>
      <c r="AF18" s="3021"/>
      <c r="AG18" s="3047"/>
      <c r="AH18" s="3021"/>
      <c r="AI18" s="3021"/>
      <c r="AJ18" s="3021"/>
      <c r="AK18" s="3021"/>
      <c r="AL18" s="3021"/>
      <c r="AM18" s="3021"/>
      <c r="AN18" s="3023"/>
      <c r="AO18" s="3026"/>
      <c r="AP18" s="3026"/>
      <c r="AQ18" s="3042"/>
    </row>
    <row r="19" spans="1:43" s="638" customFormat="1" ht="29.25" customHeight="1" x14ac:dyDescent="0.2">
      <c r="A19" s="3029"/>
      <c r="B19" s="3033"/>
      <c r="C19" s="3034"/>
      <c r="D19" s="2958"/>
      <c r="E19" s="2958"/>
      <c r="F19" s="2958"/>
      <c r="G19" s="620"/>
      <c r="H19" s="2298"/>
      <c r="I19" s="2299"/>
      <c r="J19" s="3043"/>
      <c r="K19" s="3044"/>
      <c r="L19" s="3045"/>
      <c r="M19" s="3046"/>
      <c r="N19" s="3060"/>
      <c r="O19" s="3016"/>
      <c r="P19" s="3018"/>
      <c r="Q19" s="3019"/>
      <c r="R19" s="3052"/>
      <c r="S19" s="3054"/>
      <c r="T19" s="3068"/>
      <c r="U19" s="3008"/>
      <c r="V19" s="2309">
        <f>0+200000000</f>
        <v>200000000</v>
      </c>
      <c r="W19" s="2296">
        <v>92</v>
      </c>
      <c r="X19" s="2297" t="s">
        <v>2284</v>
      </c>
      <c r="Y19" s="3003"/>
      <c r="Z19" s="3006"/>
      <c r="AA19" s="3021"/>
      <c r="AB19" s="3021"/>
      <c r="AC19" s="3021"/>
      <c r="AD19" s="3021"/>
      <c r="AE19" s="3021"/>
      <c r="AF19" s="3021"/>
      <c r="AG19" s="3047"/>
      <c r="AH19" s="3021"/>
      <c r="AI19" s="3021"/>
      <c r="AJ19" s="3021"/>
      <c r="AK19" s="3021"/>
      <c r="AL19" s="3021"/>
      <c r="AM19" s="3021"/>
      <c r="AN19" s="3023"/>
      <c r="AO19" s="3026"/>
      <c r="AP19" s="3026"/>
      <c r="AQ19" s="3042"/>
    </row>
    <row r="20" spans="1:43" s="638" customFormat="1" ht="48.75" customHeight="1" x14ac:dyDescent="0.2">
      <c r="A20" s="3029"/>
      <c r="B20" s="3033"/>
      <c r="C20" s="3034"/>
      <c r="D20" s="2958"/>
      <c r="E20" s="2958"/>
      <c r="F20" s="2958"/>
      <c r="G20" s="620"/>
      <c r="H20" s="2298"/>
      <c r="I20" s="2299"/>
      <c r="J20" s="3043"/>
      <c r="K20" s="3044"/>
      <c r="L20" s="3045"/>
      <c r="M20" s="3046"/>
      <c r="N20" s="3060"/>
      <c r="O20" s="3016"/>
      <c r="P20" s="3018"/>
      <c r="Q20" s="3019"/>
      <c r="R20" s="3052"/>
      <c r="S20" s="3054"/>
      <c r="T20" s="3068"/>
      <c r="U20" s="2410" t="s">
        <v>2293</v>
      </c>
      <c r="V20" s="2309">
        <v>25000000</v>
      </c>
      <c r="W20" s="2296">
        <v>20</v>
      </c>
      <c r="X20" s="2310" t="s">
        <v>72</v>
      </c>
      <c r="Y20" s="3003"/>
      <c r="Z20" s="3006"/>
      <c r="AA20" s="3021"/>
      <c r="AB20" s="3021"/>
      <c r="AC20" s="3021"/>
      <c r="AD20" s="3021"/>
      <c r="AE20" s="3021"/>
      <c r="AF20" s="3021"/>
      <c r="AG20" s="3047"/>
      <c r="AH20" s="3021"/>
      <c r="AI20" s="3021"/>
      <c r="AJ20" s="3021"/>
      <c r="AK20" s="3021"/>
      <c r="AL20" s="3021"/>
      <c r="AM20" s="3021"/>
      <c r="AN20" s="3023"/>
      <c r="AO20" s="3026"/>
      <c r="AP20" s="3026"/>
      <c r="AQ20" s="3042"/>
    </row>
    <row r="21" spans="1:43" s="638" customFormat="1" ht="33" customHeight="1" x14ac:dyDescent="0.2">
      <c r="A21" s="3029"/>
      <c r="B21" s="3033"/>
      <c r="C21" s="3034"/>
      <c r="D21" s="2958"/>
      <c r="E21" s="2958"/>
      <c r="F21" s="2958"/>
      <c r="G21" s="620"/>
      <c r="H21" s="2298"/>
      <c r="I21" s="2299"/>
      <c r="J21" s="3043">
        <v>217</v>
      </c>
      <c r="K21" s="3044" t="s">
        <v>2294</v>
      </c>
      <c r="L21" s="3045" t="s">
        <v>2295</v>
      </c>
      <c r="M21" s="3064">
        <v>5</v>
      </c>
      <c r="N21" s="2311"/>
      <c r="O21" s="3016"/>
      <c r="P21" s="3018"/>
      <c r="Q21" s="3019">
        <f>SUM(V21:V47)/R13</f>
        <v>0.80285603322467125</v>
      </c>
      <c r="R21" s="3052"/>
      <c r="S21" s="3054"/>
      <c r="T21" s="3068"/>
      <c r="U21" s="3067" t="s">
        <v>2296</v>
      </c>
      <c r="V21" s="2312">
        <f>1600000000+700000000-36759029</f>
        <v>2263240971</v>
      </c>
      <c r="W21" s="2313">
        <v>42</v>
      </c>
      <c r="X21" s="2314" t="s">
        <v>2297</v>
      </c>
      <c r="Y21" s="3003"/>
      <c r="Z21" s="3006"/>
      <c r="AA21" s="3021"/>
      <c r="AB21" s="3021"/>
      <c r="AC21" s="3021"/>
      <c r="AD21" s="3021"/>
      <c r="AE21" s="3021"/>
      <c r="AF21" s="3021"/>
      <c r="AG21" s="3047"/>
      <c r="AH21" s="3021"/>
      <c r="AI21" s="3021"/>
      <c r="AJ21" s="3021"/>
      <c r="AK21" s="3021"/>
      <c r="AL21" s="3021"/>
      <c r="AM21" s="3021"/>
      <c r="AN21" s="3023"/>
      <c r="AO21" s="3026"/>
      <c r="AP21" s="3026"/>
      <c r="AQ21" s="3042"/>
    </row>
    <row r="22" spans="1:43" s="638" customFormat="1" ht="30.75" customHeight="1" x14ac:dyDescent="0.2">
      <c r="A22" s="3029"/>
      <c r="B22" s="3033"/>
      <c r="C22" s="3034"/>
      <c r="D22" s="2958"/>
      <c r="E22" s="2958"/>
      <c r="F22" s="2958"/>
      <c r="G22" s="620"/>
      <c r="H22" s="2298"/>
      <c r="I22" s="2299"/>
      <c r="J22" s="3043"/>
      <c r="K22" s="3044"/>
      <c r="L22" s="3045"/>
      <c r="M22" s="3064"/>
      <c r="N22" s="2311"/>
      <c r="O22" s="3016"/>
      <c r="P22" s="3018"/>
      <c r="Q22" s="3019"/>
      <c r="R22" s="3052"/>
      <c r="S22" s="3054"/>
      <c r="T22" s="3068"/>
      <c r="U22" s="3010"/>
      <c r="V22" s="2106">
        <f>0+2200000000-65000000</f>
        <v>2135000000</v>
      </c>
      <c r="W22" s="2296">
        <v>92</v>
      </c>
      <c r="X22" s="2297" t="s">
        <v>2284</v>
      </c>
      <c r="Y22" s="3003"/>
      <c r="Z22" s="3006"/>
      <c r="AA22" s="3021"/>
      <c r="AB22" s="3021"/>
      <c r="AC22" s="3021"/>
      <c r="AD22" s="3021"/>
      <c r="AE22" s="3021"/>
      <c r="AF22" s="3021"/>
      <c r="AG22" s="3047"/>
      <c r="AH22" s="3021"/>
      <c r="AI22" s="3021"/>
      <c r="AJ22" s="3021"/>
      <c r="AK22" s="3021"/>
      <c r="AL22" s="3021"/>
      <c r="AM22" s="3021"/>
      <c r="AN22" s="3023"/>
      <c r="AO22" s="3026"/>
      <c r="AP22" s="3026"/>
      <c r="AQ22" s="3042"/>
    </row>
    <row r="23" spans="1:43" s="638" customFormat="1" ht="28.5" x14ac:dyDescent="0.2">
      <c r="A23" s="3029"/>
      <c r="B23" s="3033"/>
      <c r="C23" s="3034"/>
      <c r="D23" s="2958"/>
      <c r="E23" s="2958"/>
      <c r="F23" s="2958"/>
      <c r="G23" s="620"/>
      <c r="H23" s="2298"/>
      <c r="I23" s="2299"/>
      <c r="J23" s="3043"/>
      <c r="K23" s="3044"/>
      <c r="L23" s="3045"/>
      <c r="M23" s="3064"/>
      <c r="N23" s="2311"/>
      <c r="O23" s="3016"/>
      <c r="P23" s="3018"/>
      <c r="Q23" s="3019"/>
      <c r="R23" s="3052"/>
      <c r="S23" s="3054"/>
      <c r="T23" s="3068"/>
      <c r="U23" s="3009" t="s">
        <v>2298</v>
      </c>
      <c r="V23" s="2106">
        <f>150000000-50000000+3000000</f>
        <v>103000000</v>
      </c>
      <c r="W23" s="2296">
        <v>42</v>
      </c>
      <c r="X23" s="2297" t="s">
        <v>2297</v>
      </c>
      <c r="Y23" s="3003"/>
      <c r="Z23" s="3006"/>
      <c r="AA23" s="3021"/>
      <c r="AB23" s="3021"/>
      <c r="AC23" s="3021"/>
      <c r="AD23" s="3021"/>
      <c r="AE23" s="3021"/>
      <c r="AF23" s="3021"/>
      <c r="AG23" s="3047"/>
      <c r="AH23" s="3021"/>
      <c r="AI23" s="3021"/>
      <c r="AJ23" s="3021"/>
      <c r="AK23" s="3021"/>
      <c r="AL23" s="3021"/>
      <c r="AM23" s="3021"/>
      <c r="AN23" s="3023"/>
      <c r="AO23" s="3026"/>
      <c r="AP23" s="3026"/>
      <c r="AQ23" s="3042"/>
    </row>
    <row r="24" spans="1:43" s="638" customFormat="1" ht="24" customHeight="1" x14ac:dyDescent="0.2">
      <c r="A24" s="3029"/>
      <c r="B24" s="3033"/>
      <c r="C24" s="3034"/>
      <c r="D24" s="2958"/>
      <c r="E24" s="2958"/>
      <c r="F24" s="2958"/>
      <c r="G24" s="620"/>
      <c r="H24" s="2298"/>
      <c r="I24" s="2299"/>
      <c r="J24" s="3043"/>
      <c r="K24" s="3044"/>
      <c r="L24" s="3045"/>
      <c r="M24" s="3064"/>
      <c r="N24" s="2311"/>
      <c r="O24" s="3016"/>
      <c r="P24" s="3018"/>
      <c r="Q24" s="3019"/>
      <c r="R24" s="3052"/>
      <c r="S24" s="3054"/>
      <c r="T24" s="3068"/>
      <c r="U24" s="3010"/>
      <c r="V24" s="2106">
        <f>0+98623337+1759029+99617634</f>
        <v>200000000</v>
      </c>
      <c r="W24" s="2296">
        <v>92</v>
      </c>
      <c r="X24" s="2297" t="s">
        <v>2284</v>
      </c>
      <c r="Y24" s="3003"/>
      <c r="Z24" s="3006"/>
      <c r="AA24" s="3021"/>
      <c r="AB24" s="3021"/>
      <c r="AC24" s="3021"/>
      <c r="AD24" s="3021"/>
      <c r="AE24" s="3021"/>
      <c r="AF24" s="3021"/>
      <c r="AG24" s="3047"/>
      <c r="AH24" s="3021"/>
      <c r="AI24" s="3021"/>
      <c r="AJ24" s="3021"/>
      <c r="AK24" s="3021"/>
      <c r="AL24" s="3021"/>
      <c r="AM24" s="3021"/>
      <c r="AN24" s="3023"/>
      <c r="AO24" s="3026"/>
      <c r="AP24" s="3026"/>
      <c r="AQ24" s="3042"/>
    </row>
    <row r="25" spans="1:43" s="638" customFormat="1" ht="29.25" customHeight="1" x14ac:dyDescent="0.2">
      <c r="A25" s="3029"/>
      <c r="B25" s="3033"/>
      <c r="C25" s="3034"/>
      <c r="D25" s="2958"/>
      <c r="E25" s="2958"/>
      <c r="F25" s="2958"/>
      <c r="G25" s="620"/>
      <c r="H25" s="2298"/>
      <c r="I25" s="2299"/>
      <c r="J25" s="3043"/>
      <c r="K25" s="3044"/>
      <c r="L25" s="3045"/>
      <c r="M25" s="3064"/>
      <c r="N25" s="2311"/>
      <c r="O25" s="3016"/>
      <c r="P25" s="3018"/>
      <c r="Q25" s="3019"/>
      <c r="R25" s="3052"/>
      <c r="S25" s="3054"/>
      <c r="T25" s="3068"/>
      <c r="U25" s="3009" t="s">
        <v>2299</v>
      </c>
      <c r="V25" s="2106">
        <f>50000000+50000000</f>
        <v>100000000</v>
      </c>
      <c r="W25" s="2296">
        <v>42</v>
      </c>
      <c r="X25" s="2297" t="s">
        <v>2297</v>
      </c>
      <c r="Y25" s="3003"/>
      <c r="Z25" s="3006"/>
      <c r="AA25" s="3021"/>
      <c r="AB25" s="3021"/>
      <c r="AC25" s="3021"/>
      <c r="AD25" s="3021"/>
      <c r="AE25" s="3021"/>
      <c r="AF25" s="3021"/>
      <c r="AG25" s="3047"/>
      <c r="AH25" s="3021"/>
      <c r="AI25" s="3021"/>
      <c r="AJ25" s="3021"/>
      <c r="AK25" s="3021"/>
      <c r="AL25" s="3021"/>
      <c r="AM25" s="3021"/>
      <c r="AN25" s="3023"/>
      <c r="AO25" s="3026"/>
      <c r="AP25" s="3026"/>
      <c r="AQ25" s="3042"/>
    </row>
    <row r="26" spans="1:43" s="638" customFormat="1" ht="25.5" customHeight="1" x14ac:dyDescent="0.2">
      <c r="A26" s="3029"/>
      <c r="B26" s="3033"/>
      <c r="C26" s="3034"/>
      <c r="D26" s="2958"/>
      <c r="E26" s="2958"/>
      <c r="F26" s="2958"/>
      <c r="G26" s="620"/>
      <c r="H26" s="2298"/>
      <c r="I26" s="2299"/>
      <c r="J26" s="3043"/>
      <c r="K26" s="3044"/>
      <c r="L26" s="3045"/>
      <c r="M26" s="3064"/>
      <c r="N26" s="2311"/>
      <c r="O26" s="3016"/>
      <c r="P26" s="3018"/>
      <c r="Q26" s="3019"/>
      <c r="R26" s="3052"/>
      <c r="S26" s="3054"/>
      <c r="T26" s="3068"/>
      <c r="U26" s="3010"/>
      <c r="V26" s="2106">
        <f>0+20000000-20000000</f>
        <v>0</v>
      </c>
      <c r="W26" s="2296">
        <v>92</v>
      </c>
      <c r="X26" s="2297" t="s">
        <v>2284</v>
      </c>
      <c r="Y26" s="3003"/>
      <c r="Z26" s="3006"/>
      <c r="AA26" s="3021"/>
      <c r="AB26" s="3021"/>
      <c r="AC26" s="3021"/>
      <c r="AD26" s="3021"/>
      <c r="AE26" s="3021"/>
      <c r="AF26" s="3021"/>
      <c r="AG26" s="3047"/>
      <c r="AH26" s="3021"/>
      <c r="AI26" s="3021"/>
      <c r="AJ26" s="3021"/>
      <c r="AK26" s="3021"/>
      <c r="AL26" s="3021"/>
      <c r="AM26" s="3021"/>
      <c r="AN26" s="3023"/>
      <c r="AO26" s="3026"/>
      <c r="AP26" s="3026"/>
      <c r="AQ26" s="3042"/>
    </row>
    <row r="27" spans="1:43" s="638" customFormat="1" ht="41.25" customHeight="1" x14ac:dyDescent="0.2">
      <c r="A27" s="3029"/>
      <c r="B27" s="3033"/>
      <c r="C27" s="3034"/>
      <c r="D27" s="2958"/>
      <c r="E27" s="2958"/>
      <c r="F27" s="2958"/>
      <c r="G27" s="620"/>
      <c r="H27" s="2298"/>
      <c r="I27" s="2299"/>
      <c r="J27" s="3043"/>
      <c r="K27" s="3044"/>
      <c r="L27" s="3045"/>
      <c r="M27" s="3064"/>
      <c r="N27" s="2311"/>
      <c r="O27" s="3016"/>
      <c r="P27" s="3018"/>
      <c r="Q27" s="3019"/>
      <c r="R27" s="3052"/>
      <c r="S27" s="3054"/>
      <c r="T27" s="3068"/>
      <c r="U27" s="2315" t="s">
        <v>2300</v>
      </c>
      <c r="V27" s="2106">
        <f>3000000-3000000</f>
        <v>0</v>
      </c>
      <c r="W27" s="2296">
        <v>42</v>
      </c>
      <c r="X27" s="2297" t="s">
        <v>2297</v>
      </c>
      <c r="Y27" s="3003"/>
      <c r="Z27" s="3006"/>
      <c r="AA27" s="3021"/>
      <c r="AB27" s="3021"/>
      <c r="AC27" s="3021"/>
      <c r="AD27" s="3021"/>
      <c r="AE27" s="3021"/>
      <c r="AF27" s="3021"/>
      <c r="AG27" s="3047"/>
      <c r="AH27" s="3021"/>
      <c r="AI27" s="3021"/>
      <c r="AJ27" s="3021"/>
      <c r="AK27" s="3021"/>
      <c r="AL27" s="3021"/>
      <c r="AM27" s="3021"/>
      <c r="AN27" s="3023"/>
      <c r="AO27" s="3026"/>
      <c r="AP27" s="3026"/>
      <c r="AQ27" s="3042"/>
    </row>
    <row r="28" spans="1:43" s="638" customFormat="1" ht="28.5" x14ac:dyDescent="0.2">
      <c r="A28" s="3029"/>
      <c r="B28" s="3033"/>
      <c r="C28" s="3034"/>
      <c r="D28" s="2958"/>
      <c r="E28" s="2958"/>
      <c r="F28" s="2958"/>
      <c r="G28" s="620"/>
      <c r="H28" s="2298"/>
      <c r="I28" s="2299"/>
      <c r="J28" s="3043"/>
      <c r="K28" s="3044"/>
      <c r="L28" s="3045"/>
      <c r="M28" s="3064"/>
      <c r="N28" s="2311" t="s">
        <v>2301</v>
      </c>
      <c r="O28" s="3016"/>
      <c r="P28" s="3018"/>
      <c r="Q28" s="3019"/>
      <c r="R28" s="3052"/>
      <c r="S28" s="3054"/>
      <c r="T28" s="3068"/>
      <c r="U28" s="3009" t="s">
        <v>2302</v>
      </c>
      <c r="V28" s="2106">
        <v>50000000</v>
      </c>
      <c r="W28" s="2296">
        <v>42</v>
      </c>
      <c r="X28" s="2297" t="s">
        <v>2297</v>
      </c>
      <c r="Y28" s="3003"/>
      <c r="Z28" s="3006"/>
      <c r="AA28" s="3021"/>
      <c r="AB28" s="3021"/>
      <c r="AC28" s="3021"/>
      <c r="AD28" s="3021"/>
      <c r="AE28" s="3021"/>
      <c r="AF28" s="3021"/>
      <c r="AG28" s="3047"/>
      <c r="AH28" s="3021"/>
      <c r="AI28" s="3021"/>
      <c r="AJ28" s="3021"/>
      <c r="AK28" s="3021"/>
      <c r="AL28" s="3021"/>
      <c r="AM28" s="3021"/>
      <c r="AN28" s="3023"/>
      <c r="AO28" s="3026"/>
      <c r="AP28" s="3026"/>
      <c r="AQ28" s="3042"/>
    </row>
    <row r="29" spans="1:43" s="638" customFormat="1" ht="17.25" customHeight="1" x14ac:dyDescent="0.2">
      <c r="A29" s="3029"/>
      <c r="B29" s="3033"/>
      <c r="C29" s="3034"/>
      <c r="D29" s="2958"/>
      <c r="E29" s="2958"/>
      <c r="F29" s="2958"/>
      <c r="G29" s="620"/>
      <c r="H29" s="2298"/>
      <c r="I29" s="2299"/>
      <c r="J29" s="3043"/>
      <c r="K29" s="3044"/>
      <c r="L29" s="3045"/>
      <c r="M29" s="3064"/>
      <c r="N29" s="2311"/>
      <c r="O29" s="3016"/>
      <c r="P29" s="3018"/>
      <c r="Q29" s="3019"/>
      <c r="R29" s="3052"/>
      <c r="S29" s="3054"/>
      <c r="T29" s="3068"/>
      <c r="U29" s="3010"/>
      <c r="V29" s="2106">
        <f>0+47000000-47000000</f>
        <v>0</v>
      </c>
      <c r="W29" s="2296">
        <v>92</v>
      </c>
      <c r="X29" s="2297" t="s">
        <v>2284</v>
      </c>
      <c r="Y29" s="3003"/>
      <c r="Z29" s="3006"/>
      <c r="AA29" s="3021"/>
      <c r="AB29" s="3021"/>
      <c r="AC29" s="3021"/>
      <c r="AD29" s="3021"/>
      <c r="AE29" s="3021"/>
      <c r="AF29" s="3021"/>
      <c r="AG29" s="3047"/>
      <c r="AH29" s="3021"/>
      <c r="AI29" s="3021"/>
      <c r="AJ29" s="3021"/>
      <c r="AK29" s="3021"/>
      <c r="AL29" s="3021"/>
      <c r="AM29" s="3021"/>
      <c r="AN29" s="3023"/>
      <c r="AO29" s="3026"/>
      <c r="AP29" s="3026"/>
      <c r="AQ29" s="3042"/>
    </row>
    <row r="30" spans="1:43" s="638" customFormat="1" ht="31.5" customHeight="1" x14ac:dyDescent="0.2">
      <c r="A30" s="3029"/>
      <c r="B30" s="3033"/>
      <c r="C30" s="3034"/>
      <c r="D30" s="2958"/>
      <c r="E30" s="2958"/>
      <c r="F30" s="2958"/>
      <c r="G30" s="620"/>
      <c r="H30" s="2298"/>
      <c r="I30" s="2299"/>
      <c r="J30" s="3043"/>
      <c r="K30" s="3044"/>
      <c r="L30" s="3045"/>
      <c r="M30" s="3064"/>
      <c r="N30" s="2311"/>
      <c r="O30" s="3016"/>
      <c r="P30" s="3018"/>
      <c r="Q30" s="3019"/>
      <c r="R30" s="3052"/>
      <c r="S30" s="3054"/>
      <c r="T30" s="3068"/>
      <c r="U30" s="3009" t="s">
        <v>2303</v>
      </c>
      <c r="V30" s="2106">
        <v>35100000</v>
      </c>
      <c r="W30" s="2296">
        <v>42</v>
      </c>
      <c r="X30" s="2297" t="s">
        <v>2297</v>
      </c>
      <c r="Y30" s="3003"/>
      <c r="Z30" s="3006"/>
      <c r="AA30" s="3021"/>
      <c r="AB30" s="3021"/>
      <c r="AC30" s="3021"/>
      <c r="AD30" s="3021"/>
      <c r="AE30" s="3021"/>
      <c r="AF30" s="3021"/>
      <c r="AG30" s="3047"/>
      <c r="AH30" s="3021"/>
      <c r="AI30" s="3021"/>
      <c r="AJ30" s="3021"/>
      <c r="AK30" s="3021"/>
      <c r="AL30" s="3021"/>
      <c r="AM30" s="3021"/>
      <c r="AN30" s="3023"/>
      <c r="AO30" s="3026"/>
      <c r="AP30" s="3026"/>
      <c r="AQ30" s="3042"/>
    </row>
    <row r="31" spans="1:43" s="638" customFormat="1" ht="31.5" customHeight="1" x14ac:dyDescent="0.2">
      <c r="A31" s="3029"/>
      <c r="B31" s="3033"/>
      <c r="C31" s="3034"/>
      <c r="D31" s="2958"/>
      <c r="E31" s="2958"/>
      <c r="F31" s="2958"/>
      <c r="G31" s="620"/>
      <c r="H31" s="2298"/>
      <c r="I31" s="2299"/>
      <c r="J31" s="3043"/>
      <c r="K31" s="3044"/>
      <c r="L31" s="3045"/>
      <c r="M31" s="3064"/>
      <c r="N31" s="2311"/>
      <c r="O31" s="3016"/>
      <c r="P31" s="3018"/>
      <c r="Q31" s="3019"/>
      <c r="R31" s="3052"/>
      <c r="S31" s="3054"/>
      <c r="T31" s="3068"/>
      <c r="U31" s="3010"/>
      <c r="V31" s="2106">
        <f>0+85000000</f>
        <v>85000000</v>
      </c>
      <c r="W31" s="2296">
        <v>92</v>
      </c>
      <c r="X31" s="2297" t="s">
        <v>2284</v>
      </c>
      <c r="Y31" s="3003"/>
      <c r="Z31" s="3006"/>
      <c r="AA31" s="3021"/>
      <c r="AB31" s="3021"/>
      <c r="AC31" s="3021"/>
      <c r="AD31" s="3021"/>
      <c r="AE31" s="3021"/>
      <c r="AF31" s="3021"/>
      <c r="AG31" s="3047"/>
      <c r="AH31" s="3021"/>
      <c r="AI31" s="3021"/>
      <c r="AJ31" s="3021"/>
      <c r="AK31" s="3021"/>
      <c r="AL31" s="3021"/>
      <c r="AM31" s="3021"/>
      <c r="AN31" s="3023"/>
      <c r="AO31" s="3026"/>
      <c r="AP31" s="3026"/>
      <c r="AQ31" s="3042"/>
    </row>
    <row r="32" spans="1:43" s="638" customFormat="1" ht="28.5" x14ac:dyDescent="0.2">
      <c r="A32" s="3029"/>
      <c r="B32" s="3033"/>
      <c r="C32" s="3034"/>
      <c r="D32" s="2958"/>
      <c r="E32" s="2958"/>
      <c r="F32" s="2958"/>
      <c r="G32" s="620"/>
      <c r="H32" s="2298"/>
      <c r="I32" s="2299"/>
      <c r="J32" s="3043"/>
      <c r="K32" s="3044"/>
      <c r="L32" s="3045"/>
      <c r="M32" s="3064"/>
      <c r="N32" s="2311" t="s">
        <v>2304</v>
      </c>
      <c r="O32" s="3016"/>
      <c r="P32" s="3018"/>
      <c r="Q32" s="3019"/>
      <c r="R32" s="3052"/>
      <c r="S32" s="3054"/>
      <c r="T32" s="3068"/>
      <c r="U32" s="3009" t="s">
        <v>2305</v>
      </c>
      <c r="V32" s="2106">
        <v>20000000</v>
      </c>
      <c r="W32" s="2296">
        <v>42</v>
      </c>
      <c r="X32" s="2297" t="s">
        <v>2297</v>
      </c>
      <c r="Y32" s="3003"/>
      <c r="Z32" s="3006"/>
      <c r="AA32" s="3021"/>
      <c r="AB32" s="3021"/>
      <c r="AC32" s="3021"/>
      <c r="AD32" s="3021"/>
      <c r="AE32" s="3021"/>
      <c r="AF32" s="3021"/>
      <c r="AG32" s="3047"/>
      <c r="AH32" s="3021"/>
      <c r="AI32" s="3021"/>
      <c r="AJ32" s="3021"/>
      <c r="AK32" s="3021"/>
      <c r="AL32" s="3021"/>
      <c r="AM32" s="3021"/>
      <c r="AN32" s="3023"/>
      <c r="AO32" s="3026"/>
      <c r="AP32" s="3026"/>
      <c r="AQ32" s="3042"/>
    </row>
    <row r="33" spans="1:43" s="638" customFormat="1" ht="24.75" customHeight="1" x14ac:dyDescent="0.2">
      <c r="A33" s="3029"/>
      <c r="B33" s="3033"/>
      <c r="C33" s="3034"/>
      <c r="D33" s="2958"/>
      <c r="E33" s="2958"/>
      <c r="F33" s="2958"/>
      <c r="G33" s="620"/>
      <c r="H33" s="2298"/>
      <c r="I33" s="2299"/>
      <c r="J33" s="3043"/>
      <c r="K33" s="3044"/>
      <c r="L33" s="3045"/>
      <c r="M33" s="3064"/>
      <c r="N33" s="2311"/>
      <c r="O33" s="3016"/>
      <c r="P33" s="3018"/>
      <c r="Q33" s="3019"/>
      <c r="R33" s="3052"/>
      <c r="S33" s="3054"/>
      <c r="T33" s="3068"/>
      <c r="U33" s="3010"/>
      <c r="V33" s="2106">
        <f>0+53000000-9617634</f>
        <v>43382366</v>
      </c>
      <c r="W33" s="2296">
        <v>92</v>
      </c>
      <c r="X33" s="2297" t="s">
        <v>2284</v>
      </c>
      <c r="Y33" s="3003"/>
      <c r="Z33" s="3006"/>
      <c r="AA33" s="3021"/>
      <c r="AB33" s="3021"/>
      <c r="AC33" s="3021"/>
      <c r="AD33" s="3021"/>
      <c r="AE33" s="3021"/>
      <c r="AF33" s="3021"/>
      <c r="AG33" s="3047"/>
      <c r="AH33" s="3021"/>
      <c r="AI33" s="3021"/>
      <c r="AJ33" s="3021"/>
      <c r="AK33" s="3021"/>
      <c r="AL33" s="3021"/>
      <c r="AM33" s="3021"/>
      <c r="AN33" s="3023"/>
      <c r="AO33" s="3026"/>
      <c r="AP33" s="3026"/>
      <c r="AQ33" s="3042"/>
    </row>
    <row r="34" spans="1:43" s="638" customFormat="1" ht="34.5" customHeight="1" x14ac:dyDescent="0.2">
      <c r="A34" s="3029"/>
      <c r="B34" s="3033"/>
      <c r="C34" s="3034"/>
      <c r="D34" s="2958"/>
      <c r="E34" s="2958"/>
      <c r="F34" s="2958"/>
      <c r="G34" s="620"/>
      <c r="H34" s="2298"/>
      <c r="I34" s="2299"/>
      <c r="J34" s="3043"/>
      <c r="K34" s="3044"/>
      <c r="L34" s="3045"/>
      <c r="M34" s="3064"/>
      <c r="N34" s="2311" t="s">
        <v>2306</v>
      </c>
      <c r="O34" s="3016"/>
      <c r="P34" s="3018"/>
      <c r="Q34" s="3019"/>
      <c r="R34" s="3052"/>
      <c r="S34" s="3054"/>
      <c r="T34" s="3068"/>
      <c r="U34" s="3009" t="s">
        <v>2307</v>
      </c>
      <c r="V34" s="2106">
        <f>45000000-45000000</f>
        <v>0</v>
      </c>
      <c r="W34" s="2296">
        <v>42</v>
      </c>
      <c r="X34" s="2297" t="s">
        <v>2297</v>
      </c>
      <c r="Y34" s="3003"/>
      <c r="Z34" s="3006"/>
      <c r="AA34" s="3021"/>
      <c r="AB34" s="3021"/>
      <c r="AC34" s="3021"/>
      <c r="AD34" s="3021"/>
      <c r="AE34" s="3021"/>
      <c r="AF34" s="3021"/>
      <c r="AG34" s="3047"/>
      <c r="AH34" s="3021"/>
      <c r="AI34" s="3021"/>
      <c r="AJ34" s="3021"/>
      <c r="AK34" s="3021"/>
      <c r="AL34" s="3021"/>
      <c r="AM34" s="3021"/>
      <c r="AN34" s="3023"/>
      <c r="AO34" s="3026"/>
      <c r="AP34" s="3026"/>
      <c r="AQ34" s="3042"/>
    </row>
    <row r="35" spans="1:43" s="638" customFormat="1" ht="26.25" customHeight="1" x14ac:dyDescent="0.2">
      <c r="A35" s="3029"/>
      <c r="B35" s="3033"/>
      <c r="C35" s="3034"/>
      <c r="D35" s="2958"/>
      <c r="E35" s="2958"/>
      <c r="F35" s="2958"/>
      <c r="G35" s="620"/>
      <c r="H35" s="2298"/>
      <c r="I35" s="2299"/>
      <c r="J35" s="3043"/>
      <c r="K35" s="3044"/>
      <c r="L35" s="3045"/>
      <c r="M35" s="3064"/>
      <c r="N35" s="2311"/>
      <c r="O35" s="3016"/>
      <c r="P35" s="3018"/>
      <c r="Q35" s="3019"/>
      <c r="R35" s="3052"/>
      <c r="S35" s="3054"/>
      <c r="T35" s="3068"/>
      <c r="U35" s="3010"/>
      <c r="V35" s="2106">
        <f>0+50000000-50000000</f>
        <v>0</v>
      </c>
      <c r="W35" s="2296">
        <v>92</v>
      </c>
      <c r="X35" s="2297" t="s">
        <v>2284</v>
      </c>
      <c r="Y35" s="3003"/>
      <c r="Z35" s="3006"/>
      <c r="AA35" s="3021"/>
      <c r="AB35" s="3021"/>
      <c r="AC35" s="3021"/>
      <c r="AD35" s="3021"/>
      <c r="AE35" s="3021"/>
      <c r="AF35" s="3021"/>
      <c r="AG35" s="3047"/>
      <c r="AH35" s="3021"/>
      <c r="AI35" s="3021"/>
      <c r="AJ35" s="3021"/>
      <c r="AK35" s="3021"/>
      <c r="AL35" s="3021"/>
      <c r="AM35" s="3021"/>
      <c r="AN35" s="3023"/>
      <c r="AO35" s="3026"/>
      <c r="AP35" s="3026"/>
      <c r="AQ35" s="3042"/>
    </row>
    <row r="36" spans="1:43" s="638" customFormat="1" ht="41.25" customHeight="1" x14ac:dyDescent="0.2">
      <c r="A36" s="3029"/>
      <c r="B36" s="3033"/>
      <c r="C36" s="3034"/>
      <c r="D36" s="2958"/>
      <c r="E36" s="2958"/>
      <c r="F36" s="2958"/>
      <c r="G36" s="620"/>
      <c r="H36" s="2298"/>
      <c r="I36" s="2299"/>
      <c r="J36" s="3043"/>
      <c r="K36" s="3044"/>
      <c r="L36" s="3045"/>
      <c r="M36" s="3064"/>
      <c r="N36" s="2311"/>
      <c r="O36" s="3016"/>
      <c r="P36" s="3018"/>
      <c r="Q36" s="3019"/>
      <c r="R36" s="3052"/>
      <c r="S36" s="3054"/>
      <c r="T36" s="3068"/>
      <c r="U36" s="2315" t="s">
        <v>2308</v>
      </c>
      <c r="V36" s="2106">
        <f>50000000-50000000</f>
        <v>0</v>
      </c>
      <c r="W36" s="2296">
        <v>42</v>
      </c>
      <c r="X36" s="2297" t="s">
        <v>2297</v>
      </c>
      <c r="Y36" s="3003"/>
      <c r="Z36" s="3006"/>
      <c r="AA36" s="3021"/>
      <c r="AB36" s="3021"/>
      <c r="AC36" s="3021"/>
      <c r="AD36" s="3021"/>
      <c r="AE36" s="3021"/>
      <c r="AF36" s="3021"/>
      <c r="AG36" s="3047"/>
      <c r="AH36" s="3021"/>
      <c r="AI36" s="3021"/>
      <c r="AJ36" s="3021"/>
      <c r="AK36" s="3021"/>
      <c r="AL36" s="3021"/>
      <c r="AM36" s="3021"/>
      <c r="AN36" s="3023"/>
      <c r="AO36" s="3026"/>
      <c r="AP36" s="3026"/>
      <c r="AQ36" s="3042"/>
    </row>
    <row r="37" spans="1:43" s="638" customFormat="1" ht="22.5" customHeight="1" x14ac:dyDescent="0.2">
      <c r="A37" s="3029"/>
      <c r="B37" s="3033"/>
      <c r="C37" s="3034"/>
      <c r="D37" s="2958"/>
      <c r="E37" s="2958"/>
      <c r="F37" s="2958"/>
      <c r="G37" s="620"/>
      <c r="H37" s="2298"/>
      <c r="I37" s="2299"/>
      <c r="J37" s="3043"/>
      <c r="K37" s="3044"/>
      <c r="L37" s="3045"/>
      <c r="M37" s="3064"/>
      <c r="N37" s="2311"/>
      <c r="O37" s="3016"/>
      <c r="P37" s="3018"/>
      <c r="Q37" s="3019"/>
      <c r="R37" s="3052"/>
      <c r="S37" s="3054"/>
      <c r="T37" s="3068"/>
      <c r="U37" s="3009" t="s">
        <v>2309</v>
      </c>
      <c r="V37" s="2106">
        <f>15000000+131759029</f>
        <v>146759029</v>
      </c>
      <c r="W37" s="2296">
        <v>42</v>
      </c>
      <c r="X37" s="2297" t="s">
        <v>2297</v>
      </c>
      <c r="Y37" s="3003"/>
      <c r="Z37" s="3006"/>
      <c r="AA37" s="3021"/>
      <c r="AB37" s="3021"/>
      <c r="AC37" s="3021"/>
      <c r="AD37" s="3021"/>
      <c r="AE37" s="3021"/>
      <c r="AF37" s="3021"/>
      <c r="AG37" s="3047"/>
      <c r="AH37" s="3021"/>
      <c r="AI37" s="3021"/>
      <c r="AJ37" s="3021"/>
      <c r="AK37" s="3021"/>
      <c r="AL37" s="3021"/>
      <c r="AM37" s="3021"/>
      <c r="AN37" s="3023"/>
      <c r="AO37" s="3026"/>
      <c r="AP37" s="3026"/>
      <c r="AQ37" s="3042"/>
    </row>
    <row r="38" spans="1:43" s="638" customFormat="1" ht="35.25" customHeight="1" x14ac:dyDescent="0.2">
      <c r="A38" s="3029"/>
      <c r="B38" s="3033"/>
      <c r="C38" s="3034"/>
      <c r="D38" s="2958"/>
      <c r="E38" s="2958"/>
      <c r="F38" s="2958"/>
      <c r="G38" s="620"/>
      <c r="H38" s="2298"/>
      <c r="I38" s="2299"/>
      <c r="J38" s="3043"/>
      <c r="K38" s="3044"/>
      <c r="L38" s="3045"/>
      <c r="M38" s="3064"/>
      <c r="N38" s="2311"/>
      <c r="O38" s="3016"/>
      <c r="P38" s="3018"/>
      <c r="Q38" s="3019"/>
      <c r="R38" s="3052"/>
      <c r="S38" s="3054"/>
      <c r="T38" s="3068"/>
      <c r="U38" s="3010"/>
      <c r="V38" s="2106">
        <f>0+15000000+68240971</f>
        <v>83240971</v>
      </c>
      <c r="W38" s="2296">
        <v>92</v>
      </c>
      <c r="X38" s="2297" t="s">
        <v>2284</v>
      </c>
      <c r="Y38" s="3003"/>
      <c r="Z38" s="3006"/>
      <c r="AA38" s="3021"/>
      <c r="AB38" s="3021"/>
      <c r="AC38" s="3021"/>
      <c r="AD38" s="3021"/>
      <c r="AE38" s="3021"/>
      <c r="AF38" s="3021"/>
      <c r="AG38" s="3047"/>
      <c r="AH38" s="3021"/>
      <c r="AI38" s="3021"/>
      <c r="AJ38" s="3021"/>
      <c r="AK38" s="3021"/>
      <c r="AL38" s="3021"/>
      <c r="AM38" s="3021"/>
      <c r="AN38" s="3023"/>
      <c r="AO38" s="3026"/>
      <c r="AP38" s="3026"/>
      <c r="AQ38" s="3042"/>
    </row>
    <row r="39" spans="1:43" s="638" customFormat="1" ht="35.25" customHeight="1" x14ac:dyDescent="0.2">
      <c r="A39" s="3029"/>
      <c r="B39" s="3033"/>
      <c r="C39" s="3034"/>
      <c r="D39" s="2958"/>
      <c r="E39" s="2958"/>
      <c r="F39" s="2958"/>
      <c r="G39" s="620"/>
      <c r="H39" s="2298"/>
      <c r="I39" s="2299"/>
      <c r="J39" s="3043"/>
      <c r="K39" s="3044"/>
      <c r="L39" s="3045"/>
      <c r="M39" s="3064"/>
      <c r="N39" s="2311"/>
      <c r="O39" s="3016"/>
      <c r="P39" s="3018"/>
      <c r="Q39" s="3019"/>
      <c r="R39" s="3052"/>
      <c r="S39" s="3054"/>
      <c r="T39" s="3068"/>
      <c r="U39" s="2458" t="s">
        <v>2310</v>
      </c>
      <c r="V39" s="2106">
        <f>0+30000000</f>
        <v>30000000</v>
      </c>
      <c r="W39" s="2296">
        <v>92</v>
      </c>
      <c r="X39" s="2297" t="s">
        <v>2284</v>
      </c>
      <c r="Y39" s="3003"/>
      <c r="Z39" s="3006"/>
      <c r="AA39" s="3021"/>
      <c r="AB39" s="3021"/>
      <c r="AC39" s="3021"/>
      <c r="AD39" s="3021"/>
      <c r="AE39" s="3021"/>
      <c r="AF39" s="3021"/>
      <c r="AG39" s="3047"/>
      <c r="AH39" s="3021"/>
      <c r="AI39" s="3021"/>
      <c r="AJ39" s="3021"/>
      <c r="AK39" s="3021"/>
      <c r="AL39" s="3021"/>
      <c r="AM39" s="3021"/>
      <c r="AN39" s="3023"/>
      <c r="AO39" s="3026"/>
      <c r="AP39" s="3026"/>
      <c r="AQ39" s="3042"/>
    </row>
    <row r="40" spans="1:43" s="638" customFormat="1" ht="34.5" customHeight="1" x14ac:dyDescent="0.2">
      <c r="A40" s="3029"/>
      <c r="B40" s="3033"/>
      <c r="C40" s="3034"/>
      <c r="D40" s="2958"/>
      <c r="E40" s="2958"/>
      <c r="F40" s="2958"/>
      <c r="G40" s="620"/>
      <c r="H40" s="2298"/>
      <c r="I40" s="2299"/>
      <c r="J40" s="3043"/>
      <c r="K40" s="3044"/>
      <c r="L40" s="3045"/>
      <c r="M40" s="3064"/>
      <c r="N40" s="2311"/>
      <c r="O40" s="3016"/>
      <c r="P40" s="3018"/>
      <c r="Q40" s="3019"/>
      <c r="R40" s="3052"/>
      <c r="S40" s="3054"/>
      <c r="T40" s="3068"/>
      <c r="U40" s="3062" t="s">
        <v>2311</v>
      </c>
      <c r="V40" s="2106">
        <v>10900000</v>
      </c>
      <c r="W40" s="2296">
        <v>42</v>
      </c>
      <c r="X40" s="2297" t="s">
        <v>2297</v>
      </c>
      <c r="Y40" s="3003"/>
      <c r="Z40" s="3006"/>
      <c r="AA40" s="3021"/>
      <c r="AB40" s="3021"/>
      <c r="AC40" s="3021"/>
      <c r="AD40" s="3021"/>
      <c r="AE40" s="3021"/>
      <c r="AF40" s="3021"/>
      <c r="AG40" s="3047"/>
      <c r="AH40" s="3021"/>
      <c r="AI40" s="3021"/>
      <c r="AJ40" s="3021"/>
      <c r="AK40" s="3021"/>
      <c r="AL40" s="3021"/>
      <c r="AM40" s="3021"/>
      <c r="AN40" s="3023"/>
      <c r="AO40" s="3026"/>
      <c r="AP40" s="3026"/>
      <c r="AQ40" s="3042"/>
    </row>
    <row r="41" spans="1:43" s="638" customFormat="1" ht="27" customHeight="1" x14ac:dyDescent="0.2">
      <c r="A41" s="3029"/>
      <c r="B41" s="3033"/>
      <c r="C41" s="3034"/>
      <c r="D41" s="2958"/>
      <c r="E41" s="2958"/>
      <c r="F41" s="2958"/>
      <c r="G41" s="620"/>
      <c r="H41" s="2298"/>
      <c r="I41" s="2299"/>
      <c r="J41" s="3043"/>
      <c r="K41" s="3044"/>
      <c r="L41" s="3045"/>
      <c r="M41" s="3064"/>
      <c r="N41" s="2311"/>
      <c r="O41" s="3016"/>
      <c r="P41" s="3018"/>
      <c r="Q41" s="3019"/>
      <c r="R41" s="3052"/>
      <c r="S41" s="3054"/>
      <c r="T41" s="3068"/>
      <c r="U41" s="3063"/>
      <c r="V41" s="2106">
        <f>0+10000000-9000000</f>
        <v>1000000</v>
      </c>
      <c r="W41" s="2296">
        <v>92</v>
      </c>
      <c r="X41" s="2297" t="s">
        <v>2284</v>
      </c>
      <c r="Y41" s="3003"/>
      <c r="Z41" s="3006"/>
      <c r="AA41" s="3021"/>
      <c r="AB41" s="3021"/>
      <c r="AC41" s="3021"/>
      <c r="AD41" s="3021"/>
      <c r="AE41" s="3021"/>
      <c r="AF41" s="3021"/>
      <c r="AG41" s="3047"/>
      <c r="AH41" s="3021"/>
      <c r="AI41" s="3021"/>
      <c r="AJ41" s="3021"/>
      <c r="AK41" s="3021"/>
      <c r="AL41" s="3021"/>
      <c r="AM41" s="3021"/>
      <c r="AN41" s="3023"/>
      <c r="AO41" s="3026"/>
      <c r="AP41" s="3026"/>
      <c r="AQ41" s="3042"/>
    </row>
    <row r="42" spans="1:43" s="638" customFormat="1" ht="31.5" customHeight="1" x14ac:dyDescent="0.2">
      <c r="A42" s="3029"/>
      <c r="B42" s="3033"/>
      <c r="C42" s="3034"/>
      <c r="D42" s="2958"/>
      <c r="E42" s="2958"/>
      <c r="F42" s="2958"/>
      <c r="G42" s="620"/>
      <c r="H42" s="2298"/>
      <c r="I42" s="2299"/>
      <c r="J42" s="3043"/>
      <c r="K42" s="3044"/>
      <c r="L42" s="3045"/>
      <c r="M42" s="3064"/>
      <c r="N42" s="2311"/>
      <c r="O42" s="3016"/>
      <c r="P42" s="3018"/>
      <c r="Q42" s="3019"/>
      <c r="R42" s="3052"/>
      <c r="S42" s="3054"/>
      <c r="T42" s="3068"/>
      <c r="U42" s="3062" t="s">
        <v>2312</v>
      </c>
      <c r="V42" s="2106">
        <v>10000000</v>
      </c>
      <c r="W42" s="2296">
        <v>42</v>
      </c>
      <c r="X42" s="2297" t="s">
        <v>2297</v>
      </c>
      <c r="Y42" s="3003"/>
      <c r="Z42" s="3006"/>
      <c r="AA42" s="3021"/>
      <c r="AB42" s="3021"/>
      <c r="AC42" s="3021"/>
      <c r="AD42" s="3021"/>
      <c r="AE42" s="3021"/>
      <c r="AF42" s="3021"/>
      <c r="AG42" s="3047"/>
      <c r="AH42" s="3021"/>
      <c r="AI42" s="3021"/>
      <c r="AJ42" s="3021"/>
      <c r="AK42" s="3021"/>
      <c r="AL42" s="3021"/>
      <c r="AM42" s="3021"/>
      <c r="AN42" s="3023"/>
      <c r="AO42" s="3026"/>
      <c r="AP42" s="3026"/>
      <c r="AQ42" s="3042"/>
    </row>
    <row r="43" spans="1:43" s="638" customFormat="1" ht="38.25" customHeight="1" x14ac:dyDescent="0.2">
      <c r="A43" s="3029"/>
      <c r="B43" s="3033"/>
      <c r="C43" s="3034"/>
      <c r="D43" s="2958"/>
      <c r="E43" s="2958"/>
      <c r="F43" s="2958"/>
      <c r="G43" s="620"/>
      <c r="H43" s="2298"/>
      <c r="I43" s="2299"/>
      <c r="J43" s="3043"/>
      <c r="K43" s="3044"/>
      <c r="L43" s="3045"/>
      <c r="M43" s="3064"/>
      <c r="N43" s="2311"/>
      <c r="O43" s="3016"/>
      <c r="P43" s="3018"/>
      <c r="Q43" s="3019"/>
      <c r="R43" s="3052"/>
      <c r="S43" s="3054"/>
      <c r="T43" s="3068"/>
      <c r="U43" s="3063"/>
      <c r="V43" s="2106">
        <f>0+10000000-9000000</f>
        <v>1000000</v>
      </c>
      <c r="W43" s="2296">
        <v>92</v>
      </c>
      <c r="X43" s="2297" t="s">
        <v>2284</v>
      </c>
      <c r="Y43" s="3003"/>
      <c r="Z43" s="3006"/>
      <c r="AA43" s="3021"/>
      <c r="AB43" s="3021"/>
      <c r="AC43" s="3021"/>
      <c r="AD43" s="3021"/>
      <c r="AE43" s="3021"/>
      <c r="AF43" s="3021"/>
      <c r="AG43" s="3047"/>
      <c r="AH43" s="3021"/>
      <c r="AI43" s="3021"/>
      <c r="AJ43" s="3021"/>
      <c r="AK43" s="3021"/>
      <c r="AL43" s="3021"/>
      <c r="AM43" s="3021"/>
      <c r="AN43" s="3023"/>
      <c r="AO43" s="3026"/>
      <c r="AP43" s="3026"/>
      <c r="AQ43" s="3042"/>
    </row>
    <row r="44" spans="1:43" s="638" customFormat="1" ht="29.25" customHeight="1" x14ac:dyDescent="0.2">
      <c r="A44" s="3029"/>
      <c r="B44" s="3033"/>
      <c r="C44" s="3034"/>
      <c r="D44" s="2958"/>
      <c r="E44" s="2958"/>
      <c r="F44" s="2958"/>
      <c r="G44" s="620"/>
      <c r="H44" s="2298"/>
      <c r="I44" s="2299"/>
      <c r="J44" s="3043"/>
      <c r="K44" s="3044"/>
      <c r="L44" s="3045"/>
      <c r="M44" s="3064"/>
      <c r="N44" s="2311"/>
      <c r="O44" s="3016"/>
      <c r="P44" s="3018"/>
      <c r="Q44" s="3019"/>
      <c r="R44" s="3052"/>
      <c r="S44" s="3054"/>
      <c r="T44" s="3068"/>
      <c r="U44" s="3062" t="s">
        <v>2313</v>
      </c>
      <c r="V44" s="2106">
        <v>10000000</v>
      </c>
      <c r="W44" s="2296">
        <v>42</v>
      </c>
      <c r="X44" s="2297" t="s">
        <v>2297</v>
      </c>
      <c r="Y44" s="3003"/>
      <c r="Z44" s="3006"/>
      <c r="AA44" s="3021"/>
      <c r="AB44" s="3021"/>
      <c r="AC44" s="3021"/>
      <c r="AD44" s="3021"/>
      <c r="AE44" s="3021"/>
      <c r="AF44" s="3021"/>
      <c r="AG44" s="3047"/>
      <c r="AH44" s="3021"/>
      <c r="AI44" s="3021"/>
      <c r="AJ44" s="3021"/>
      <c r="AK44" s="3021"/>
      <c r="AL44" s="3021"/>
      <c r="AM44" s="3021"/>
      <c r="AN44" s="3023"/>
      <c r="AO44" s="3026"/>
      <c r="AP44" s="3026"/>
      <c r="AQ44" s="3042"/>
    </row>
    <row r="45" spans="1:43" s="638" customFormat="1" ht="38.25" customHeight="1" x14ac:dyDescent="0.2">
      <c r="A45" s="3029"/>
      <c r="B45" s="3033"/>
      <c r="C45" s="3034"/>
      <c r="D45" s="2958"/>
      <c r="E45" s="2958"/>
      <c r="F45" s="2958"/>
      <c r="G45" s="620"/>
      <c r="H45" s="2298"/>
      <c r="I45" s="2299"/>
      <c r="J45" s="3043"/>
      <c r="K45" s="3044"/>
      <c r="L45" s="3045"/>
      <c r="M45" s="3064"/>
      <c r="N45" s="2311"/>
      <c r="O45" s="3016"/>
      <c r="P45" s="3018"/>
      <c r="Q45" s="3019"/>
      <c r="R45" s="3052"/>
      <c r="S45" s="3054"/>
      <c r="T45" s="3068"/>
      <c r="U45" s="3063"/>
      <c r="V45" s="2106">
        <f>0+10000000-7000000</f>
        <v>3000000</v>
      </c>
      <c r="W45" s="2296">
        <v>92</v>
      </c>
      <c r="X45" s="2297" t="s">
        <v>2284</v>
      </c>
      <c r="Y45" s="3003"/>
      <c r="Z45" s="3006"/>
      <c r="AA45" s="3021"/>
      <c r="AB45" s="3021"/>
      <c r="AC45" s="3021"/>
      <c r="AD45" s="3021"/>
      <c r="AE45" s="3021"/>
      <c r="AF45" s="3021"/>
      <c r="AG45" s="3047"/>
      <c r="AH45" s="3021"/>
      <c r="AI45" s="3021"/>
      <c r="AJ45" s="3021"/>
      <c r="AK45" s="3021"/>
      <c r="AL45" s="3021"/>
      <c r="AM45" s="3021"/>
      <c r="AN45" s="3023"/>
      <c r="AO45" s="3026"/>
      <c r="AP45" s="3026"/>
      <c r="AQ45" s="3042"/>
    </row>
    <row r="46" spans="1:43" s="638" customFormat="1" ht="38.25" customHeight="1" x14ac:dyDescent="0.2">
      <c r="A46" s="3029"/>
      <c r="B46" s="3033"/>
      <c r="C46" s="3034"/>
      <c r="D46" s="2958"/>
      <c r="E46" s="2958"/>
      <c r="F46" s="2958"/>
      <c r="G46" s="620"/>
      <c r="H46" s="2298"/>
      <c r="I46" s="2299"/>
      <c r="J46" s="3043"/>
      <c r="K46" s="3044"/>
      <c r="L46" s="3045"/>
      <c r="M46" s="3064"/>
      <c r="N46" s="2311"/>
      <c r="O46" s="3016"/>
      <c r="P46" s="3018"/>
      <c r="Q46" s="3019"/>
      <c r="R46" s="3052"/>
      <c r="S46" s="3054"/>
      <c r="T46" s="3068"/>
      <c r="U46" s="3062" t="s">
        <v>2314</v>
      </c>
      <c r="V46" s="2106">
        <v>11000000</v>
      </c>
      <c r="W46" s="2316">
        <v>42</v>
      </c>
      <c r="X46" s="2317" t="s">
        <v>2297</v>
      </c>
      <c r="Y46" s="3003"/>
      <c r="Z46" s="3006"/>
      <c r="AA46" s="3021"/>
      <c r="AB46" s="3021"/>
      <c r="AC46" s="3021"/>
      <c r="AD46" s="3021"/>
      <c r="AE46" s="3021"/>
      <c r="AF46" s="3021"/>
      <c r="AG46" s="3047"/>
      <c r="AH46" s="3021"/>
      <c r="AI46" s="3021"/>
      <c r="AJ46" s="3021"/>
      <c r="AK46" s="3021"/>
      <c r="AL46" s="3021"/>
      <c r="AM46" s="3021"/>
      <c r="AN46" s="3023"/>
      <c r="AO46" s="3026"/>
      <c r="AP46" s="3026"/>
      <c r="AQ46" s="3042"/>
    </row>
    <row r="47" spans="1:43" s="638" customFormat="1" ht="27" customHeight="1" x14ac:dyDescent="0.2">
      <c r="A47" s="3029"/>
      <c r="B47" s="3033"/>
      <c r="C47" s="3034"/>
      <c r="D47" s="2958"/>
      <c r="E47" s="2958"/>
      <c r="F47" s="2958"/>
      <c r="G47" s="620"/>
      <c r="H47" s="2298"/>
      <c r="I47" s="2299"/>
      <c r="J47" s="3043"/>
      <c r="K47" s="3044"/>
      <c r="L47" s="3045"/>
      <c r="M47" s="3064"/>
      <c r="N47" s="2311"/>
      <c r="O47" s="3016"/>
      <c r="P47" s="3018"/>
      <c r="Q47" s="3019"/>
      <c r="R47" s="3052"/>
      <c r="S47" s="3054"/>
      <c r="T47" s="3068"/>
      <c r="U47" s="3063"/>
      <c r="V47" s="2107">
        <f>0+30000000-18000000</f>
        <v>12000000</v>
      </c>
      <c r="W47" s="2296">
        <v>92</v>
      </c>
      <c r="X47" s="2297" t="s">
        <v>2284</v>
      </c>
      <c r="Y47" s="3003"/>
      <c r="Z47" s="3006"/>
      <c r="AA47" s="3021"/>
      <c r="AB47" s="3021"/>
      <c r="AC47" s="3021"/>
      <c r="AD47" s="3021"/>
      <c r="AE47" s="3021"/>
      <c r="AF47" s="3021"/>
      <c r="AG47" s="3047"/>
      <c r="AH47" s="3021"/>
      <c r="AI47" s="3021"/>
      <c r="AJ47" s="3021"/>
      <c r="AK47" s="3021"/>
      <c r="AL47" s="3021"/>
      <c r="AM47" s="3021"/>
      <c r="AN47" s="3023"/>
      <c r="AO47" s="3026"/>
      <c r="AP47" s="3026"/>
      <c r="AQ47" s="3042"/>
    </row>
    <row r="48" spans="1:43" s="638" customFormat="1" ht="30" customHeight="1" x14ac:dyDescent="0.2">
      <c r="A48" s="3029"/>
      <c r="B48" s="3033"/>
      <c r="C48" s="3034"/>
      <c r="D48" s="2958"/>
      <c r="E48" s="2958"/>
      <c r="F48" s="2958"/>
      <c r="G48" s="620"/>
      <c r="H48" s="2298"/>
      <c r="I48" s="2299"/>
      <c r="J48" s="3043">
        <v>218</v>
      </c>
      <c r="K48" s="3044" t="s">
        <v>2315</v>
      </c>
      <c r="L48" s="3045" t="s">
        <v>2316</v>
      </c>
      <c r="M48" s="3064">
        <v>3</v>
      </c>
      <c r="N48" s="2311"/>
      <c r="O48" s="3016"/>
      <c r="P48" s="3018"/>
      <c r="Q48" s="3019">
        <f>SUM(V48:V50)/R13</f>
        <v>1.8685636893508266E-2</v>
      </c>
      <c r="R48" s="3052"/>
      <c r="S48" s="3054"/>
      <c r="T48" s="3054"/>
      <c r="U48" s="3065" t="s">
        <v>2317</v>
      </c>
      <c r="V48" s="2318">
        <v>45600000</v>
      </c>
      <c r="W48" s="2313">
        <v>20</v>
      </c>
      <c r="X48" s="2314" t="s">
        <v>72</v>
      </c>
      <c r="Y48" s="3003"/>
      <c r="Z48" s="3006"/>
      <c r="AA48" s="3021"/>
      <c r="AB48" s="3021"/>
      <c r="AC48" s="3021"/>
      <c r="AD48" s="3021"/>
      <c r="AE48" s="3021"/>
      <c r="AF48" s="3021"/>
      <c r="AG48" s="3047"/>
      <c r="AH48" s="3021"/>
      <c r="AI48" s="3021"/>
      <c r="AJ48" s="3021"/>
      <c r="AK48" s="3021"/>
      <c r="AL48" s="3021"/>
      <c r="AM48" s="3021"/>
      <c r="AN48" s="3023"/>
      <c r="AO48" s="3026"/>
      <c r="AP48" s="3026"/>
      <c r="AQ48" s="3042"/>
    </row>
    <row r="49" spans="1:43" s="638" customFormat="1" ht="30" customHeight="1" x14ac:dyDescent="0.2">
      <c r="A49" s="3029"/>
      <c r="B49" s="3033"/>
      <c r="C49" s="3034"/>
      <c r="D49" s="2958"/>
      <c r="E49" s="2958"/>
      <c r="F49" s="2958"/>
      <c r="G49" s="620"/>
      <c r="H49" s="2298"/>
      <c r="I49" s="2299"/>
      <c r="J49" s="3043"/>
      <c r="K49" s="3044"/>
      <c r="L49" s="3045"/>
      <c r="M49" s="3064"/>
      <c r="N49" s="2311"/>
      <c r="O49" s="3016"/>
      <c r="P49" s="3018"/>
      <c r="Q49" s="3019"/>
      <c r="R49" s="3052"/>
      <c r="S49" s="3054"/>
      <c r="T49" s="3054"/>
      <c r="U49" s="3066"/>
      <c r="V49" s="2318">
        <f>0+75000000</f>
        <v>75000000</v>
      </c>
      <c r="W49" s="2313">
        <v>92</v>
      </c>
      <c r="X49" s="2314" t="s">
        <v>2284</v>
      </c>
      <c r="Y49" s="3003"/>
      <c r="Z49" s="3006"/>
      <c r="AA49" s="3021"/>
      <c r="AB49" s="3021"/>
      <c r="AC49" s="3021"/>
      <c r="AD49" s="3021"/>
      <c r="AE49" s="3021"/>
      <c r="AF49" s="3021"/>
      <c r="AG49" s="3047"/>
      <c r="AH49" s="3021"/>
      <c r="AI49" s="3021"/>
      <c r="AJ49" s="3021"/>
      <c r="AK49" s="3021"/>
      <c r="AL49" s="3021"/>
      <c r="AM49" s="3021"/>
      <c r="AN49" s="3023"/>
      <c r="AO49" s="3026"/>
      <c r="AP49" s="3026"/>
      <c r="AQ49" s="3042"/>
    </row>
    <row r="50" spans="1:43" s="638" customFormat="1" ht="79.5" customHeight="1" x14ac:dyDescent="0.2">
      <c r="A50" s="3029"/>
      <c r="B50" s="3033"/>
      <c r="C50" s="3034"/>
      <c r="D50" s="2958"/>
      <c r="E50" s="2958"/>
      <c r="F50" s="2958"/>
      <c r="G50" s="620"/>
      <c r="H50" s="2319"/>
      <c r="I50" s="2320"/>
      <c r="J50" s="3043"/>
      <c r="K50" s="3044"/>
      <c r="L50" s="3045"/>
      <c r="M50" s="3064"/>
      <c r="N50" s="2311"/>
      <c r="O50" s="3016"/>
      <c r="P50" s="3018"/>
      <c r="Q50" s="3019"/>
      <c r="R50" s="3053"/>
      <c r="S50" s="3054"/>
      <c r="T50" s="3054"/>
      <c r="U50" s="2247" t="s">
        <v>2318</v>
      </c>
      <c r="V50" s="2318">
        <v>4000000</v>
      </c>
      <c r="W50" s="2313">
        <v>20</v>
      </c>
      <c r="X50" s="2314" t="s">
        <v>72</v>
      </c>
      <c r="Y50" s="3004"/>
      <c r="Z50" s="3007"/>
      <c r="AA50" s="3021"/>
      <c r="AB50" s="3021"/>
      <c r="AC50" s="3021"/>
      <c r="AD50" s="3021"/>
      <c r="AE50" s="3021"/>
      <c r="AF50" s="3021"/>
      <c r="AG50" s="3048"/>
      <c r="AH50" s="3021"/>
      <c r="AI50" s="3021"/>
      <c r="AJ50" s="3021"/>
      <c r="AK50" s="3021"/>
      <c r="AL50" s="3021"/>
      <c r="AM50" s="3021"/>
      <c r="AN50" s="3024"/>
      <c r="AO50" s="3027"/>
      <c r="AP50" s="3027"/>
      <c r="AQ50" s="3042"/>
    </row>
    <row r="51" spans="1:43" s="620" customFormat="1" ht="21" customHeight="1" x14ac:dyDescent="0.2">
      <c r="A51" s="3029"/>
      <c r="B51" s="3033"/>
      <c r="C51" s="3034"/>
      <c r="D51" s="2958"/>
      <c r="E51" s="2958"/>
      <c r="F51" s="2958"/>
      <c r="G51" s="2283">
        <v>76</v>
      </c>
      <c r="H51" s="1121" t="s">
        <v>2319</v>
      </c>
      <c r="I51" s="1121"/>
      <c r="J51" s="1154"/>
      <c r="K51" s="2321"/>
      <c r="L51" s="2322"/>
      <c r="M51" s="1220"/>
      <c r="N51" s="1214"/>
      <c r="O51" s="1215"/>
      <c r="P51" s="1123"/>
      <c r="Q51" s="2323"/>
      <c r="R51" s="2324"/>
      <c r="S51" s="2321"/>
      <c r="T51" s="2321"/>
      <c r="U51" s="2321"/>
      <c r="V51" s="2325"/>
      <c r="W51" s="2326"/>
      <c r="X51" s="2327"/>
      <c r="Y51" s="1121"/>
      <c r="Z51" s="1121"/>
      <c r="AA51" s="1121"/>
      <c r="AB51" s="1121"/>
      <c r="AC51" s="1121"/>
      <c r="AD51" s="1121"/>
      <c r="AE51" s="1121"/>
      <c r="AF51" s="1121"/>
      <c r="AG51" s="1121"/>
      <c r="AH51" s="1121"/>
      <c r="AI51" s="1121"/>
      <c r="AJ51" s="1121"/>
      <c r="AK51" s="1128"/>
      <c r="AL51" s="1128"/>
      <c r="AM51" s="1128"/>
      <c r="AN51" s="1128"/>
      <c r="AO51" s="1128"/>
      <c r="AP51" s="1128"/>
      <c r="AQ51" s="1128"/>
    </row>
    <row r="52" spans="1:43" s="638" customFormat="1" ht="32.25" customHeight="1" x14ac:dyDescent="0.2">
      <c r="A52" s="3029"/>
      <c r="B52" s="3033"/>
      <c r="C52" s="3034"/>
      <c r="D52" s="2958"/>
      <c r="E52" s="2958"/>
      <c r="F52" s="2958"/>
      <c r="G52" s="620"/>
      <c r="H52" s="2293"/>
      <c r="I52" s="2294"/>
      <c r="J52" s="3106">
        <v>219</v>
      </c>
      <c r="K52" s="3039" t="s">
        <v>2320</v>
      </c>
      <c r="L52" s="3039" t="s">
        <v>2321</v>
      </c>
      <c r="M52" s="3110">
        <v>11</v>
      </c>
      <c r="N52" s="2328"/>
      <c r="O52" s="3113" t="s">
        <v>2322</v>
      </c>
      <c r="P52" s="3017" t="s">
        <v>2323</v>
      </c>
      <c r="Q52" s="3019">
        <f>SUM(V52:V58)/R52</f>
        <v>0.48485153703513656</v>
      </c>
      <c r="R52" s="3051">
        <f>SUM(V52:V66)</f>
        <v>718838837</v>
      </c>
      <c r="S52" s="3054" t="s">
        <v>2324</v>
      </c>
      <c r="T52" s="3068" t="s">
        <v>2325</v>
      </c>
      <c r="U52" s="3009" t="s">
        <v>2326</v>
      </c>
      <c r="V52" s="2318">
        <v>50000000</v>
      </c>
      <c r="W52" s="2329" t="s">
        <v>2327</v>
      </c>
      <c r="X52" s="2330" t="s">
        <v>2328</v>
      </c>
      <c r="Y52" s="3076">
        <v>7650</v>
      </c>
      <c r="Z52" s="3103">
        <v>7350</v>
      </c>
      <c r="AA52" s="3069">
        <v>4564</v>
      </c>
      <c r="AB52" s="3069">
        <v>3365</v>
      </c>
      <c r="AC52" s="3069">
        <v>1921</v>
      </c>
      <c r="AD52" s="3069">
        <v>5150</v>
      </c>
      <c r="AE52" s="3072"/>
      <c r="AF52" s="3072"/>
      <c r="AG52" s="3072"/>
      <c r="AH52" s="3072"/>
      <c r="AI52" s="3072"/>
      <c r="AJ52" s="3072"/>
      <c r="AK52" s="3072"/>
      <c r="AL52" s="3072"/>
      <c r="AM52" s="3072"/>
      <c r="AN52" s="3081">
        <f>+Y52+Z52</f>
        <v>15000</v>
      </c>
      <c r="AO52" s="3083">
        <v>43480</v>
      </c>
      <c r="AP52" s="3083">
        <v>43600</v>
      </c>
      <c r="AQ52" s="3086" t="s">
        <v>2329</v>
      </c>
    </row>
    <row r="53" spans="1:43" s="638" customFormat="1" ht="32.25" customHeight="1" x14ac:dyDescent="0.2">
      <c r="A53" s="3029"/>
      <c r="B53" s="3033"/>
      <c r="C53" s="3034"/>
      <c r="D53" s="2958"/>
      <c r="E53" s="2958"/>
      <c r="F53" s="2958"/>
      <c r="G53" s="620"/>
      <c r="H53" s="2298"/>
      <c r="I53" s="2299"/>
      <c r="J53" s="3107"/>
      <c r="K53" s="3109"/>
      <c r="L53" s="3109"/>
      <c r="M53" s="3111"/>
      <c r="N53" s="2328"/>
      <c r="O53" s="3114"/>
      <c r="P53" s="3018"/>
      <c r="Q53" s="3019"/>
      <c r="R53" s="3052"/>
      <c r="S53" s="3054"/>
      <c r="T53" s="3068"/>
      <c r="U53" s="3010"/>
      <c r="V53" s="2318">
        <f>0+130657749</f>
        <v>130657749</v>
      </c>
      <c r="W53" s="2331">
        <v>92</v>
      </c>
      <c r="X53" s="2332" t="s">
        <v>2284</v>
      </c>
      <c r="Y53" s="3077"/>
      <c r="Z53" s="3104"/>
      <c r="AA53" s="3070"/>
      <c r="AB53" s="3070"/>
      <c r="AC53" s="3070"/>
      <c r="AD53" s="3070"/>
      <c r="AE53" s="3073"/>
      <c r="AF53" s="3073"/>
      <c r="AG53" s="3073"/>
      <c r="AH53" s="3073"/>
      <c r="AI53" s="3073"/>
      <c r="AJ53" s="3073"/>
      <c r="AK53" s="3073"/>
      <c r="AL53" s="3073"/>
      <c r="AM53" s="3073"/>
      <c r="AN53" s="3081"/>
      <c r="AO53" s="3084"/>
      <c r="AP53" s="3084"/>
      <c r="AQ53" s="3087"/>
    </row>
    <row r="54" spans="1:43" s="638" customFormat="1" ht="33" customHeight="1" x14ac:dyDescent="0.2">
      <c r="A54" s="3029"/>
      <c r="B54" s="3033"/>
      <c r="C54" s="3034"/>
      <c r="D54" s="2958"/>
      <c r="E54" s="2958"/>
      <c r="F54" s="2958"/>
      <c r="G54" s="620"/>
      <c r="H54" s="2298"/>
      <c r="I54" s="2299"/>
      <c r="J54" s="3107"/>
      <c r="K54" s="3109"/>
      <c r="L54" s="3109"/>
      <c r="M54" s="3111"/>
      <c r="N54" s="2328"/>
      <c r="O54" s="3114"/>
      <c r="P54" s="3018"/>
      <c r="Q54" s="3019"/>
      <c r="R54" s="3052"/>
      <c r="S54" s="3054"/>
      <c r="T54" s="3068"/>
      <c r="U54" s="3009" t="s">
        <v>2330</v>
      </c>
      <c r="V54" s="2318">
        <v>23500000</v>
      </c>
      <c r="W54" s="2331">
        <v>20</v>
      </c>
      <c r="X54" s="2332" t="s">
        <v>2328</v>
      </c>
      <c r="Y54" s="3077"/>
      <c r="Z54" s="3104"/>
      <c r="AA54" s="3070"/>
      <c r="AB54" s="3070"/>
      <c r="AC54" s="3070"/>
      <c r="AD54" s="3070"/>
      <c r="AE54" s="3073"/>
      <c r="AF54" s="3073"/>
      <c r="AG54" s="3073"/>
      <c r="AH54" s="3073"/>
      <c r="AI54" s="3073"/>
      <c r="AJ54" s="3073"/>
      <c r="AK54" s="3073"/>
      <c r="AL54" s="3073"/>
      <c r="AM54" s="3073"/>
      <c r="AN54" s="3081"/>
      <c r="AO54" s="3084"/>
      <c r="AP54" s="3084"/>
      <c r="AQ54" s="3087"/>
    </row>
    <row r="55" spans="1:43" s="638" customFormat="1" ht="33" customHeight="1" x14ac:dyDescent="0.2">
      <c r="A55" s="3029"/>
      <c r="B55" s="3033"/>
      <c r="C55" s="3034"/>
      <c r="D55" s="2958"/>
      <c r="E55" s="2958"/>
      <c r="F55" s="2958"/>
      <c r="G55" s="620"/>
      <c r="H55" s="2298"/>
      <c r="I55" s="2299"/>
      <c r="J55" s="3107"/>
      <c r="K55" s="3109"/>
      <c r="L55" s="3109"/>
      <c r="M55" s="3111"/>
      <c r="N55" s="2328"/>
      <c r="O55" s="3114"/>
      <c r="P55" s="3018"/>
      <c r="Q55" s="3019"/>
      <c r="R55" s="3052"/>
      <c r="S55" s="3054"/>
      <c r="T55" s="3068"/>
      <c r="U55" s="3010"/>
      <c r="V55" s="2318">
        <f>0+55000000</f>
        <v>55000000</v>
      </c>
      <c r="W55" s="2331">
        <v>92</v>
      </c>
      <c r="X55" s="2332" t="s">
        <v>2284</v>
      </c>
      <c r="Y55" s="3077"/>
      <c r="Z55" s="3104"/>
      <c r="AA55" s="3070"/>
      <c r="AB55" s="3070"/>
      <c r="AC55" s="3070"/>
      <c r="AD55" s="3070"/>
      <c r="AE55" s="3073"/>
      <c r="AF55" s="3073"/>
      <c r="AG55" s="3073"/>
      <c r="AH55" s="3073"/>
      <c r="AI55" s="3073"/>
      <c r="AJ55" s="3073"/>
      <c r="AK55" s="3073"/>
      <c r="AL55" s="3073"/>
      <c r="AM55" s="3073"/>
      <c r="AN55" s="3081"/>
      <c r="AO55" s="3084"/>
      <c r="AP55" s="3084"/>
      <c r="AQ55" s="3087"/>
    </row>
    <row r="56" spans="1:43" s="638" customFormat="1" ht="36.75" customHeight="1" x14ac:dyDescent="0.2">
      <c r="A56" s="3029"/>
      <c r="B56" s="3033"/>
      <c r="C56" s="3034"/>
      <c r="D56" s="2958"/>
      <c r="E56" s="2958"/>
      <c r="F56" s="2958"/>
      <c r="G56" s="620"/>
      <c r="H56" s="2298"/>
      <c r="I56" s="2299"/>
      <c r="J56" s="3107"/>
      <c r="K56" s="3109"/>
      <c r="L56" s="3109"/>
      <c r="M56" s="3111"/>
      <c r="N56" s="2328"/>
      <c r="O56" s="3114"/>
      <c r="P56" s="3018"/>
      <c r="Q56" s="3019"/>
      <c r="R56" s="3052"/>
      <c r="S56" s="3054"/>
      <c r="T56" s="3068"/>
      <c r="U56" s="3009" t="s">
        <v>2331</v>
      </c>
      <c r="V56" s="2318">
        <v>23500000</v>
      </c>
      <c r="W56" s="2331">
        <v>20</v>
      </c>
      <c r="X56" s="2332" t="s">
        <v>2328</v>
      </c>
      <c r="Y56" s="3077"/>
      <c r="Z56" s="3104"/>
      <c r="AA56" s="3070"/>
      <c r="AB56" s="3070"/>
      <c r="AC56" s="3070"/>
      <c r="AD56" s="3070"/>
      <c r="AE56" s="3073"/>
      <c r="AF56" s="3073"/>
      <c r="AG56" s="3073"/>
      <c r="AH56" s="3073"/>
      <c r="AI56" s="3073"/>
      <c r="AJ56" s="3073"/>
      <c r="AK56" s="3073"/>
      <c r="AL56" s="3073"/>
      <c r="AM56" s="3073"/>
      <c r="AN56" s="3081"/>
      <c r="AO56" s="3084"/>
      <c r="AP56" s="3084"/>
      <c r="AQ56" s="3087"/>
    </row>
    <row r="57" spans="1:43" s="638" customFormat="1" ht="29.25" customHeight="1" x14ac:dyDescent="0.2">
      <c r="A57" s="3029"/>
      <c r="B57" s="3033"/>
      <c r="C57" s="3034"/>
      <c r="D57" s="2958"/>
      <c r="E57" s="2958"/>
      <c r="F57" s="2958"/>
      <c r="G57" s="620"/>
      <c r="H57" s="2298"/>
      <c r="I57" s="2299"/>
      <c r="J57" s="3107"/>
      <c r="K57" s="3109"/>
      <c r="L57" s="3109"/>
      <c r="M57" s="3111"/>
      <c r="N57" s="2328"/>
      <c r="O57" s="3114"/>
      <c r="P57" s="3018"/>
      <c r="Q57" s="3019"/>
      <c r="R57" s="3052"/>
      <c r="S57" s="3054"/>
      <c r="T57" s="3068"/>
      <c r="U57" s="3010"/>
      <c r="V57" s="2318">
        <f>0+62872366</f>
        <v>62872366</v>
      </c>
      <c r="W57" s="2331">
        <v>92</v>
      </c>
      <c r="X57" s="2332" t="s">
        <v>2284</v>
      </c>
      <c r="Y57" s="3077"/>
      <c r="Z57" s="3104"/>
      <c r="AA57" s="3070"/>
      <c r="AB57" s="3070"/>
      <c r="AC57" s="3070"/>
      <c r="AD57" s="3070"/>
      <c r="AE57" s="3073"/>
      <c r="AF57" s="3073"/>
      <c r="AG57" s="3073"/>
      <c r="AH57" s="3073"/>
      <c r="AI57" s="3073"/>
      <c r="AJ57" s="3073"/>
      <c r="AK57" s="3073"/>
      <c r="AL57" s="3073"/>
      <c r="AM57" s="3073"/>
      <c r="AN57" s="3081"/>
      <c r="AO57" s="3084"/>
      <c r="AP57" s="3084"/>
      <c r="AQ57" s="3087"/>
    </row>
    <row r="58" spans="1:43" s="638" customFormat="1" ht="33.75" customHeight="1" x14ac:dyDescent="0.2">
      <c r="A58" s="3029"/>
      <c r="B58" s="3033"/>
      <c r="C58" s="3034"/>
      <c r="D58" s="2958"/>
      <c r="E58" s="2958"/>
      <c r="F58" s="2958"/>
      <c r="G58" s="620"/>
      <c r="H58" s="2298"/>
      <c r="I58" s="2299"/>
      <c r="J58" s="3108"/>
      <c r="K58" s="3040"/>
      <c r="L58" s="3040"/>
      <c r="M58" s="3112"/>
      <c r="N58" s="2328"/>
      <c r="O58" s="3114"/>
      <c r="P58" s="3018"/>
      <c r="Q58" s="3019"/>
      <c r="R58" s="3052"/>
      <c r="S58" s="3054"/>
      <c r="T58" s="3068"/>
      <c r="U58" s="2315" t="s">
        <v>2332</v>
      </c>
      <c r="V58" s="2318">
        <v>3000000</v>
      </c>
      <c r="W58" s="2331">
        <v>20</v>
      </c>
      <c r="X58" s="2332" t="s">
        <v>2328</v>
      </c>
      <c r="Y58" s="3077"/>
      <c r="Z58" s="3104"/>
      <c r="AA58" s="3070"/>
      <c r="AB58" s="3070"/>
      <c r="AC58" s="3070"/>
      <c r="AD58" s="3070"/>
      <c r="AE58" s="3073"/>
      <c r="AF58" s="3073"/>
      <c r="AG58" s="3073"/>
      <c r="AH58" s="3073"/>
      <c r="AI58" s="3073"/>
      <c r="AJ58" s="3073"/>
      <c r="AK58" s="3073"/>
      <c r="AL58" s="3073"/>
      <c r="AM58" s="3073"/>
      <c r="AN58" s="3081"/>
      <c r="AO58" s="3084"/>
      <c r="AP58" s="3084"/>
      <c r="AQ58" s="3087"/>
    </row>
    <row r="59" spans="1:43" s="638" customFormat="1" ht="39" customHeight="1" x14ac:dyDescent="0.2">
      <c r="A59" s="3029"/>
      <c r="B59" s="3033"/>
      <c r="C59" s="3034"/>
      <c r="D59" s="2958"/>
      <c r="E59" s="2958"/>
      <c r="F59" s="2958"/>
      <c r="G59" s="620"/>
      <c r="H59" s="2298"/>
      <c r="I59" s="2299"/>
      <c r="J59" s="3098">
        <v>220</v>
      </c>
      <c r="K59" s="3044" t="s">
        <v>2333</v>
      </c>
      <c r="L59" s="3044" t="s">
        <v>2334</v>
      </c>
      <c r="M59" s="3061">
        <v>12</v>
      </c>
      <c r="N59" s="2328" t="s">
        <v>2335</v>
      </c>
      <c r="O59" s="3114"/>
      <c r="P59" s="3018"/>
      <c r="Q59" s="3019">
        <f>SUM(V59:V65)/R52</f>
        <v>0.50123713891657751</v>
      </c>
      <c r="R59" s="3052"/>
      <c r="S59" s="3054"/>
      <c r="T59" s="3054"/>
      <c r="U59" s="3079" t="s">
        <v>2336</v>
      </c>
      <c r="V59" s="2318">
        <v>26290000</v>
      </c>
      <c r="W59" s="2331">
        <v>20</v>
      </c>
      <c r="X59" s="2332" t="s">
        <v>2328</v>
      </c>
      <c r="Y59" s="3077"/>
      <c r="Z59" s="3104"/>
      <c r="AA59" s="3070"/>
      <c r="AB59" s="3070"/>
      <c r="AC59" s="3070"/>
      <c r="AD59" s="3070"/>
      <c r="AE59" s="3074"/>
      <c r="AF59" s="3074"/>
      <c r="AG59" s="3074"/>
      <c r="AH59" s="3074"/>
      <c r="AI59" s="3074"/>
      <c r="AJ59" s="3074"/>
      <c r="AK59" s="3074"/>
      <c r="AL59" s="3074"/>
      <c r="AM59" s="3074"/>
      <c r="AN59" s="3082"/>
      <c r="AO59" s="3084"/>
      <c r="AP59" s="3084"/>
      <c r="AQ59" s="3088"/>
    </row>
    <row r="60" spans="1:43" s="638" customFormat="1" ht="22.5" customHeight="1" x14ac:dyDescent="0.2">
      <c r="A60" s="3029"/>
      <c r="B60" s="3033"/>
      <c r="C60" s="3034"/>
      <c r="D60" s="2958"/>
      <c r="E60" s="2958"/>
      <c r="F60" s="2958"/>
      <c r="G60" s="620"/>
      <c r="H60" s="2298"/>
      <c r="I60" s="2299"/>
      <c r="J60" s="3098"/>
      <c r="K60" s="3044"/>
      <c r="L60" s="3044"/>
      <c r="M60" s="3061"/>
      <c r="N60" s="2328" t="s">
        <v>2337</v>
      </c>
      <c r="O60" s="3114"/>
      <c r="P60" s="3018"/>
      <c r="Q60" s="3019"/>
      <c r="R60" s="3052"/>
      <c r="S60" s="3054"/>
      <c r="T60" s="3054"/>
      <c r="U60" s="3080"/>
      <c r="V60" s="2318">
        <f>0+130940708</f>
        <v>130940708</v>
      </c>
      <c r="W60" s="2331">
        <v>92</v>
      </c>
      <c r="X60" s="2332" t="s">
        <v>2284</v>
      </c>
      <c r="Y60" s="3077"/>
      <c r="Z60" s="3104"/>
      <c r="AA60" s="3070"/>
      <c r="AB60" s="3070"/>
      <c r="AC60" s="3070"/>
      <c r="AD60" s="3070"/>
      <c r="AE60" s="3074"/>
      <c r="AF60" s="3074"/>
      <c r="AG60" s="3074"/>
      <c r="AH60" s="3074"/>
      <c r="AI60" s="3074"/>
      <c r="AJ60" s="3074"/>
      <c r="AK60" s="3074"/>
      <c r="AL60" s="3074"/>
      <c r="AM60" s="3074"/>
      <c r="AN60" s="3082"/>
      <c r="AO60" s="3084"/>
      <c r="AP60" s="3084"/>
      <c r="AQ60" s="3088"/>
    </row>
    <row r="61" spans="1:43" s="638" customFormat="1" ht="64.5" customHeight="1" x14ac:dyDescent="0.2">
      <c r="A61" s="3029"/>
      <c r="B61" s="3033"/>
      <c r="C61" s="3034"/>
      <c r="D61" s="2958"/>
      <c r="E61" s="2958"/>
      <c r="F61" s="2958"/>
      <c r="G61" s="620"/>
      <c r="H61" s="2298"/>
      <c r="I61" s="2299"/>
      <c r="J61" s="3098"/>
      <c r="K61" s="3044"/>
      <c r="L61" s="3044"/>
      <c r="M61" s="3061"/>
      <c r="N61" s="2328"/>
      <c r="O61" s="3114"/>
      <c r="P61" s="3018"/>
      <c r="Q61" s="3019"/>
      <c r="R61" s="3052"/>
      <c r="S61" s="3054"/>
      <c r="T61" s="3054"/>
      <c r="U61" s="2412" t="s">
        <v>2338</v>
      </c>
      <c r="V61" s="2318">
        <f>0+30812000</f>
        <v>30812000</v>
      </c>
      <c r="W61" s="2331">
        <v>92</v>
      </c>
      <c r="X61" s="2332" t="s">
        <v>2284</v>
      </c>
      <c r="Y61" s="3077"/>
      <c r="Z61" s="3104"/>
      <c r="AA61" s="3070"/>
      <c r="AB61" s="3070"/>
      <c r="AC61" s="3070"/>
      <c r="AD61" s="3070"/>
      <c r="AE61" s="3074"/>
      <c r="AF61" s="3074"/>
      <c r="AG61" s="3074"/>
      <c r="AH61" s="3074"/>
      <c r="AI61" s="3074"/>
      <c r="AJ61" s="3074"/>
      <c r="AK61" s="3074"/>
      <c r="AL61" s="3074"/>
      <c r="AM61" s="3074"/>
      <c r="AN61" s="3082"/>
      <c r="AO61" s="3084"/>
      <c r="AP61" s="3084"/>
      <c r="AQ61" s="3088"/>
    </row>
    <row r="62" spans="1:43" s="638" customFormat="1" ht="34.5" customHeight="1" x14ac:dyDescent="0.2">
      <c r="A62" s="3029"/>
      <c r="B62" s="3033"/>
      <c r="C62" s="3034"/>
      <c r="D62" s="2958"/>
      <c r="E62" s="2958"/>
      <c r="F62" s="2958"/>
      <c r="G62" s="620"/>
      <c r="H62" s="2298"/>
      <c r="I62" s="2299"/>
      <c r="J62" s="3098"/>
      <c r="K62" s="3044"/>
      <c r="L62" s="3044"/>
      <c r="M62" s="3061"/>
      <c r="N62" s="2172"/>
      <c r="O62" s="3114"/>
      <c r="P62" s="3018"/>
      <c r="Q62" s="3019"/>
      <c r="R62" s="3052"/>
      <c r="S62" s="3054"/>
      <c r="T62" s="3054"/>
      <c r="U62" s="3079" t="s">
        <v>2330</v>
      </c>
      <c r="V62" s="2318">
        <v>26290000</v>
      </c>
      <c r="W62" s="2331">
        <v>20</v>
      </c>
      <c r="X62" s="2332" t="s">
        <v>2328</v>
      </c>
      <c r="Y62" s="3077"/>
      <c r="Z62" s="3104"/>
      <c r="AA62" s="3070"/>
      <c r="AB62" s="3070"/>
      <c r="AC62" s="3070"/>
      <c r="AD62" s="3070"/>
      <c r="AE62" s="3074"/>
      <c r="AF62" s="3074"/>
      <c r="AG62" s="3074"/>
      <c r="AH62" s="3074"/>
      <c r="AI62" s="3074"/>
      <c r="AJ62" s="3074"/>
      <c r="AK62" s="3074"/>
      <c r="AL62" s="3074"/>
      <c r="AM62" s="3074"/>
      <c r="AN62" s="3082"/>
      <c r="AO62" s="3084"/>
      <c r="AP62" s="3084"/>
      <c r="AQ62" s="3088"/>
    </row>
    <row r="63" spans="1:43" s="638" customFormat="1" ht="30.75" customHeight="1" x14ac:dyDescent="0.2">
      <c r="A63" s="3029"/>
      <c r="B63" s="3033"/>
      <c r="C63" s="3034"/>
      <c r="D63" s="2958"/>
      <c r="E63" s="2958"/>
      <c r="F63" s="2958"/>
      <c r="G63" s="620"/>
      <c r="H63" s="2298"/>
      <c r="I63" s="2299"/>
      <c r="J63" s="3098"/>
      <c r="K63" s="3044"/>
      <c r="L63" s="3044"/>
      <c r="M63" s="3061"/>
      <c r="N63" s="2172"/>
      <c r="O63" s="3114"/>
      <c r="P63" s="3018"/>
      <c r="Q63" s="3019"/>
      <c r="R63" s="3052"/>
      <c r="S63" s="3054"/>
      <c r="T63" s="3054"/>
      <c r="U63" s="3080"/>
      <c r="V63" s="2318">
        <f>0+36044666</f>
        <v>36044666</v>
      </c>
      <c r="W63" s="2331">
        <v>92</v>
      </c>
      <c r="X63" s="2332" t="s">
        <v>2284</v>
      </c>
      <c r="Y63" s="3077"/>
      <c r="Z63" s="3104"/>
      <c r="AA63" s="3070"/>
      <c r="AB63" s="3070"/>
      <c r="AC63" s="3070"/>
      <c r="AD63" s="3070"/>
      <c r="AE63" s="3074"/>
      <c r="AF63" s="3074"/>
      <c r="AG63" s="3074"/>
      <c r="AH63" s="3074"/>
      <c r="AI63" s="3074"/>
      <c r="AJ63" s="3074"/>
      <c r="AK63" s="3074"/>
      <c r="AL63" s="3074"/>
      <c r="AM63" s="3074"/>
      <c r="AN63" s="3082"/>
      <c r="AO63" s="3084"/>
      <c r="AP63" s="3084"/>
      <c r="AQ63" s="3088"/>
    </row>
    <row r="64" spans="1:43" s="638" customFormat="1" ht="30.75" customHeight="1" x14ac:dyDescent="0.2">
      <c r="A64" s="3029"/>
      <c r="B64" s="3033"/>
      <c r="C64" s="3034"/>
      <c r="D64" s="2958"/>
      <c r="E64" s="2958"/>
      <c r="F64" s="2958"/>
      <c r="G64" s="620"/>
      <c r="H64" s="2298"/>
      <c r="I64" s="2299"/>
      <c r="J64" s="3098"/>
      <c r="K64" s="3044"/>
      <c r="L64" s="3044"/>
      <c r="M64" s="3061"/>
      <c r="N64" s="2328"/>
      <c r="O64" s="3114"/>
      <c r="P64" s="3018"/>
      <c r="Q64" s="3019"/>
      <c r="R64" s="3052"/>
      <c r="S64" s="3054"/>
      <c r="T64" s="3054"/>
      <c r="U64" s="3079" t="s">
        <v>2331</v>
      </c>
      <c r="V64" s="2333">
        <v>26290000</v>
      </c>
      <c r="W64" s="2334">
        <v>20</v>
      </c>
      <c r="X64" s="2330" t="s">
        <v>2328</v>
      </c>
      <c r="Y64" s="3077"/>
      <c r="Z64" s="3104"/>
      <c r="AA64" s="3070"/>
      <c r="AB64" s="3070"/>
      <c r="AC64" s="3070"/>
      <c r="AD64" s="3070"/>
      <c r="AE64" s="3074"/>
      <c r="AF64" s="3074"/>
      <c r="AG64" s="3074"/>
      <c r="AH64" s="3074"/>
      <c r="AI64" s="3074"/>
      <c r="AJ64" s="3074"/>
      <c r="AK64" s="3074"/>
      <c r="AL64" s="3074"/>
      <c r="AM64" s="3074"/>
      <c r="AN64" s="3082"/>
      <c r="AO64" s="3084"/>
      <c r="AP64" s="3084"/>
      <c r="AQ64" s="3088"/>
    </row>
    <row r="65" spans="1:43" s="638" customFormat="1" ht="30.75" customHeight="1" x14ac:dyDescent="0.2">
      <c r="A65" s="3029"/>
      <c r="B65" s="3033"/>
      <c r="C65" s="3034"/>
      <c r="D65" s="2958"/>
      <c r="E65" s="2958"/>
      <c r="F65" s="2958"/>
      <c r="G65" s="620"/>
      <c r="H65" s="2298"/>
      <c r="I65" s="2299"/>
      <c r="J65" s="3098"/>
      <c r="K65" s="3044"/>
      <c r="L65" s="3044"/>
      <c r="M65" s="3061"/>
      <c r="N65" s="2328"/>
      <c r="O65" s="3114"/>
      <c r="P65" s="3018"/>
      <c r="Q65" s="3019"/>
      <c r="R65" s="3052"/>
      <c r="S65" s="3054"/>
      <c r="T65" s="3054"/>
      <c r="U65" s="3096"/>
      <c r="V65" s="1063">
        <f>0+83641348</f>
        <v>83641348</v>
      </c>
      <c r="W65" s="2335">
        <v>92</v>
      </c>
      <c r="X65" s="2332" t="s">
        <v>2284</v>
      </c>
      <c r="Y65" s="3077"/>
      <c r="Z65" s="3104"/>
      <c r="AA65" s="3070"/>
      <c r="AB65" s="3070"/>
      <c r="AC65" s="3070"/>
      <c r="AD65" s="3070"/>
      <c r="AE65" s="3074"/>
      <c r="AF65" s="3074"/>
      <c r="AG65" s="3074"/>
      <c r="AH65" s="3074"/>
      <c r="AI65" s="3074"/>
      <c r="AJ65" s="3074"/>
      <c r="AK65" s="3074"/>
      <c r="AL65" s="3074"/>
      <c r="AM65" s="3074"/>
      <c r="AN65" s="3082"/>
      <c r="AO65" s="3084"/>
      <c r="AP65" s="3084"/>
      <c r="AQ65" s="3088"/>
    </row>
    <row r="66" spans="1:43" s="638" customFormat="1" ht="63" customHeight="1" x14ac:dyDescent="0.2">
      <c r="A66" s="3029"/>
      <c r="B66" s="3033"/>
      <c r="C66" s="3034"/>
      <c r="D66" s="2958"/>
      <c r="E66" s="2958"/>
      <c r="F66" s="2958"/>
      <c r="G66" s="620"/>
      <c r="H66" s="2319"/>
      <c r="I66" s="2320"/>
      <c r="J66" s="2336">
        <v>222</v>
      </c>
      <c r="K66" s="2301" t="s">
        <v>2339</v>
      </c>
      <c r="L66" s="2301" t="s">
        <v>2340</v>
      </c>
      <c r="M66" s="2337">
        <v>1</v>
      </c>
      <c r="N66" s="2328"/>
      <c r="O66" s="3115"/>
      <c r="P66" s="3018"/>
      <c r="Q66" s="2303">
        <f>+V66/R52</f>
        <v>1.3911324048285944E-2</v>
      </c>
      <c r="R66" s="3053"/>
      <c r="S66" s="3054"/>
      <c r="T66" s="3054"/>
      <c r="U66" s="2338" t="s">
        <v>2341</v>
      </c>
      <c r="V66" s="2339">
        <v>10000000</v>
      </c>
      <c r="W66" s="2340">
        <v>20</v>
      </c>
      <c r="X66" s="2341" t="s">
        <v>2328</v>
      </c>
      <c r="Y66" s="3078"/>
      <c r="Z66" s="3105"/>
      <c r="AA66" s="3071"/>
      <c r="AB66" s="3071"/>
      <c r="AC66" s="3071"/>
      <c r="AD66" s="3071"/>
      <c r="AE66" s="3075"/>
      <c r="AF66" s="3075"/>
      <c r="AG66" s="3075"/>
      <c r="AH66" s="3075"/>
      <c r="AI66" s="3075"/>
      <c r="AJ66" s="3075"/>
      <c r="AK66" s="3075"/>
      <c r="AL66" s="3075"/>
      <c r="AM66" s="3075"/>
      <c r="AN66" s="3082"/>
      <c r="AO66" s="3085"/>
      <c r="AP66" s="3085"/>
      <c r="AQ66" s="3089"/>
    </row>
    <row r="67" spans="1:43" s="620" customFormat="1" ht="15" customHeight="1" x14ac:dyDescent="0.2">
      <c r="A67" s="3029"/>
      <c r="B67" s="3033"/>
      <c r="C67" s="3034"/>
      <c r="D67" s="962">
        <v>24</v>
      </c>
      <c r="E67" s="963" t="s">
        <v>2342</v>
      </c>
      <c r="F67" s="963"/>
      <c r="G67" s="2272"/>
      <c r="H67" s="2272"/>
      <c r="I67" s="2272"/>
      <c r="J67" s="2342"/>
      <c r="K67" s="2343"/>
      <c r="L67" s="2065"/>
      <c r="M67" s="2064"/>
      <c r="N67" s="2276"/>
      <c r="O67" s="2273"/>
      <c r="P67" s="2275"/>
      <c r="Q67" s="2344"/>
      <c r="R67" s="2345"/>
      <c r="S67" s="2343"/>
      <c r="T67" s="2343"/>
      <c r="U67" s="2343"/>
      <c r="V67" s="2346"/>
      <c r="W67" s="2347"/>
      <c r="X67" s="2347"/>
      <c r="Y67" s="2279"/>
      <c r="Z67" s="2279"/>
      <c r="AA67" s="2279"/>
      <c r="AB67" s="2279"/>
      <c r="AC67" s="2279"/>
      <c r="AD67" s="2279"/>
      <c r="AE67" s="2279"/>
      <c r="AF67" s="2279"/>
      <c r="AG67" s="2279"/>
      <c r="AH67" s="2279"/>
      <c r="AI67" s="2279"/>
      <c r="AJ67" s="2279"/>
      <c r="AK67" s="2279"/>
      <c r="AL67" s="2281"/>
      <c r="AM67" s="2275"/>
      <c r="AN67" s="2275"/>
      <c r="AO67" s="2275"/>
      <c r="AP67" s="2275"/>
      <c r="AQ67" s="2282"/>
    </row>
    <row r="68" spans="1:43" s="620" customFormat="1" ht="15" customHeight="1" x14ac:dyDescent="0.2">
      <c r="A68" s="3029"/>
      <c r="B68" s="3033"/>
      <c r="C68" s="3034"/>
      <c r="D68" s="3097"/>
      <c r="E68" s="3097"/>
      <c r="F68" s="3097"/>
      <c r="G68" s="2283">
        <v>78</v>
      </c>
      <c r="H68" s="1121" t="s">
        <v>2343</v>
      </c>
      <c r="I68" s="1121"/>
      <c r="J68" s="2284"/>
      <c r="K68" s="2285"/>
      <c r="L68" s="2286"/>
      <c r="M68" s="1208"/>
      <c r="N68" s="1214"/>
      <c r="O68" s="1215"/>
      <c r="P68" s="1123"/>
      <c r="Q68" s="2348"/>
      <c r="R68" s="2349"/>
      <c r="S68" s="2285"/>
      <c r="T68" s="2285"/>
      <c r="U68" s="2285"/>
      <c r="V68" s="2350"/>
      <c r="W68" s="2289"/>
      <c r="X68" s="1126"/>
      <c r="Y68" s="1126"/>
      <c r="Z68" s="1126"/>
      <c r="AA68" s="1126"/>
      <c r="AB68" s="1126"/>
      <c r="AC68" s="1126"/>
      <c r="AD68" s="1126"/>
      <c r="AE68" s="1126"/>
      <c r="AF68" s="1126"/>
      <c r="AG68" s="1126"/>
      <c r="AH68" s="1126"/>
      <c r="AI68" s="1126"/>
      <c r="AJ68" s="1126"/>
      <c r="AK68" s="1126"/>
      <c r="AL68" s="1126"/>
      <c r="AM68" s="1126"/>
      <c r="AN68" s="1126"/>
      <c r="AO68" s="1126"/>
      <c r="AP68" s="1126"/>
      <c r="AQ68" s="2351"/>
    </row>
    <row r="69" spans="1:43" s="638" customFormat="1" ht="66" customHeight="1" x14ac:dyDescent="0.25">
      <c r="A69" s="3029"/>
      <c r="B69" s="3033"/>
      <c r="C69" s="3034"/>
      <c r="D69" s="3097"/>
      <c r="E69" s="3097"/>
      <c r="F69" s="3097"/>
      <c r="G69" s="2352"/>
      <c r="H69" s="2353"/>
      <c r="I69" s="2354"/>
      <c r="J69" s="3098">
        <v>226</v>
      </c>
      <c r="K69" s="3045" t="s">
        <v>2344</v>
      </c>
      <c r="L69" s="3045" t="s">
        <v>2345</v>
      </c>
      <c r="M69" s="3099">
        <v>12</v>
      </c>
      <c r="N69" s="3060" t="s">
        <v>2346</v>
      </c>
      <c r="O69" s="3016" t="s">
        <v>2347</v>
      </c>
      <c r="P69" s="3018" t="s">
        <v>2348</v>
      </c>
      <c r="Q69" s="3090">
        <f>SUM(V69:V81)/R69</f>
        <v>0.56367432150313157</v>
      </c>
      <c r="R69" s="3051">
        <f>SUM(V69:V98)</f>
        <v>479000000</v>
      </c>
      <c r="S69" s="3054" t="s">
        <v>2349</v>
      </c>
      <c r="T69" s="3068" t="s">
        <v>2350</v>
      </c>
      <c r="U69" s="2315" t="s">
        <v>2351</v>
      </c>
      <c r="V69" s="2355">
        <f>17000000+10000000-27000000</f>
        <v>0</v>
      </c>
      <c r="W69" s="2316">
        <v>20</v>
      </c>
      <c r="X69" s="2356" t="s">
        <v>2352</v>
      </c>
      <c r="Y69" s="3091">
        <v>1199</v>
      </c>
      <c r="Z69" s="3091">
        <v>1151</v>
      </c>
      <c r="AA69" s="3091">
        <v>715</v>
      </c>
      <c r="AB69" s="3091">
        <v>527</v>
      </c>
      <c r="AC69" s="3091">
        <v>301</v>
      </c>
      <c r="AD69" s="3091">
        <v>807</v>
      </c>
      <c r="AE69" s="3091"/>
      <c r="AF69" s="3091"/>
      <c r="AG69" s="3091"/>
      <c r="AH69" s="3091"/>
      <c r="AI69" s="3091"/>
      <c r="AJ69" s="3091"/>
      <c r="AK69" s="3091">
        <v>2350</v>
      </c>
      <c r="AL69" s="3091"/>
      <c r="AM69" s="3091"/>
      <c r="AN69" s="3116">
        <f>+Y69+Z69</f>
        <v>2350</v>
      </c>
      <c r="AO69" s="3083">
        <v>43475</v>
      </c>
      <c r="AP69" s="3083">
        <v>43819</v>
      </c>
      <c r="AQ69" s="3118" t="s">
        <v>2329</v>
      </c>
    </row>
    <row r="70" spans="1:43" s="638" customFormat="1" ht="54" customHeight="1" x14ac:dyDescent="0.25">
      <c r="A70" s="3029"/>
      <c r="B70" s="3033"/>
      <c r="C70" s="3034"/>
      <c r="D70" s="3097"/>
      <c r="E70" s="3097"/>
      <c r="F70" s="3097"/>
      <c r="G70" s="2357"/>
      <c r="H70" s="2358"/>
      <c r="I70" s="2359"/>
      <c r="J70" s="3098"/>
      <c r="K70" s="3045"/>
      <c r="L70" s="3045"/>
      <c r="M70" s="3099"/>
      <c r="N70" s="3060"/>
      <c r="O70" s="3016"/>
      <c r="P70" s="3018"/>
      <c r="Q70" s="3090"/>
      <c r="R70" s="3052"/>
      <c r="S70" s="3054"/>
      <c r="T70" s="3068"/>
      <c r="U70" s="2315" t="s">
        <v>2353</v>
      </c>
      <c r="V70" s="2360">
        <f>10000000+2500000+1000000-7000000</f>
        <v>6500000</v>
      </c>
      <c r="W70" s="2296">
        <v>20</v>
      </c>
      <c r="X70" s="2361" t="s">
        <v>72</v>
      </c>
      <c r="Y70" s="3092"/>
      <c r="Z70" s="3094"/>
      <c r="AA70" s="3094"/>
      <c r="AB70" s="3094"/>
      <c r="AC70" s="3094"/>
      <c r="AD70" s="3094"/>
      <c r="AE70" s="3094"/>
      <c r="AF70" s="3094"/>
      <c r="AG70" s="3094"/>
      <c r="AH70" s="3094"/>
      <c r="AI70" s="3094"/>
      <c r="AJ70" s="3094"/>
      <c r="AK70" s="3094"/>
      <c r="AL70" s="3094"/>
      <c r="AM70" s="3094"/>
      <c r="AN70" s="3117"/>
      <c r="AO70" s="3084"/>
      <c r="AP70" s="3084"/>
      <c r="AQ70" s="3119"/>
    </row>
    <row r="71" spans="1:43" s="638" customFormat="1" ht="39" customHeight="1" x14ac:dyDescent="0.25">
      <c r="A71" s="3029"/>
      <c r="B71" s="3033"/>
      <c r="C71" s="3034"/>
      <c r="D71" s="3097"/>
      <c r="E71" s="3097"/>
      <c r="F71" s="3097"/>
      <c r="G71" s="2357"/>
      <c r="H71" s="2358"/>
      <c r="I71" s="2359"/>
      <c r="J71" s="3098"/>
      <c r="K71" s="3045"/>
      <c r="L71" s="3045"/>
      <c r="M71" s="3099"/>
      <c r="N71" s="3060"/>
      <c r="O71" s="3016"/>
      <c r="P71" s="3018"/>
      <c r="Q71" s="3090"/>
      <c r="R71" s="3052"/>
      <c r="S71" s="3054"/>
      <c r="T71" s="3068"/>
      <c r="U71" s="2315" t="s">
        <v>2354</v>
      </c>
      <c r="V71" s="2360">
        <f>0+17500000-12500000</f>
        <v>5000000</v>
      </c>
      <c r="W71" s="2296">
        <v>20</v>
      </c>
      <c r="X71" s="2361" t="s">
        <v>72</v>
      </c>
      <c r="Y71" s="3092"/>
      <c r="Z71" s="3094"/>
      <c r="AA71" s="3094"/>
      <c r="AB71" s="3094"/>
      <c r="AC71" s="3094"/>
      <c r="AD71" s="3094"/>
      <c r="AE71" s="3094"/>
      <c r="AF71" s="3094"/>
      <c r="AG71" s="3094"/>
      <c r="AH71" s="3094"/>
      <c r="AI71" s="3094"/>
      <c r="AJ71" s="3094"/>
      <c r="AK71" s="3094"/>
      <c r="AL71" s="3094"/>
      <c r="AM71" s="3094"/>
      <c r="AN71" s="3117"/>
      <c r="AO71" s="3084"/>
      <c r="AP71" s="3084"/>
      <c r="AQ71" s="3119"/>
    </row>
    <row r="72" spans="1:43" s="638" customFormat="1" ht="39" customHeight="1" x14ac:dyDescent="0.25">
      <c r="A72" s="3029"/>
      <c r="B72" s="3033"/>
      <c r="C72" s="3034"/>
      <c r="D72" s="3097"/>
      <c r="E72" s="3097"/>
      <c r="F72" s="3097"/>
      <c r="G72" s="2357"/>
      <c r="H72" s="2358"/>
      <c r="I72" s="2359"/>
      <c r="J72" s="3098"/>
      <c r="K72" s="3045"/>
      <c r="L72" s="3045"/>
      <c r="M72" s="3099"/>
      <c r="N72" s="3060"/>
      <c r="O72" s="3016"/>
      <c r="P72" s="3018"/>
      <c r="Q72" s="3090"/>
      <c r="R72" s="3052"/>
      <c r="S72" s="3054"/>
      <c r="T72" s="3068"/>
      <c r="U72" s="3009" t="s">
        <v>2355</v>
      </c>
      <c r="V72" s="2360">
        <f>0+43000000+7000000</f>
        <v>50000000</v>
      </c>
      <c r="W72" s="2296">
        <v>20</v>
      </c>
      <c r="X72" s="2361" t="s">
        <v>72</v>
      </c>
      <c r="Y72" s="3092"/>
      <c r="Z72" s="3094"/>
      <c r="AA72" s="3094"/>
      <c r="AB72" s="3094"/>
      <c r="AC72" s="3094"/>
      <c r="AD72" s="3094"/>
      <c r="AE72" s="3094"/>
      <c r="AF72" s="3094"/>
      <c r="AG72" s="3094"/>
      <c r="AH72" s="3094"/>
      <c r="AI72" s="3094"/>
      <c r="AJ72" s="3094"/>
      <c r="AK72" s="3094"/>
      <c r="AL72" s="3094"/>
      <c r="AM72" s="3094"/>
      <c r="AN72" s="3117"/>
      <c r="AO72" s="3084"/>
      <c r="AP72" s="3084"/>
      <c r="AQ72" s="3119"/>
    </row>
    <row r="73" spans="1:43" s="638" customFormat="1" ht="42" customHeight="1" x14ac:dyDescent="0.25">
      <c r="A73" s="3029"/>
      <c r="B73" s="3033"/>
      <c r="C73" s="3034"/>
      <c r="D73" s="3097"/>
      <c r="E73" s="3097"/>
      <c r="F73" s="3097"/>
      <c r="G73" s="2357"/>
      <c r="H73" s="2358"/>
      <c r="I73" s="2359"/>
      <c r="J73" s="3098"/>
      <c r="K73" s="3045"/>
      <c r="L73" s="3045"/>
      <c r="M73" s="3099"/>
      <c r="N73" s="3060"/>
      <c r="O73" s="3016"/>
      <c r="P73" s="3018"/>
      <c r="Q73" s="3090"/>
      <c r="R73" s="3052"/>
      <c r="S73" s="3054"/>
      <c r="T73" s="3068"/>
      <c r="U73" s="3010"/>
      <c r="V73" s="2360">
        <v>20000000</v>
      </c>
      <c r="W73" s="2296">
        <v>88</v>
      </c>
      <c r="X73" s="2362" t="s">
        <v>2356</v>
      </c>
      <c r="Y73" s="3092"/>
      <c r="Z73" s="3094"/>
      <c r="AA73" s="3094"/>
      <c r="AB73" s="3094"/>
      <c r="AC73" s="3094"/>
      <c r="AD73" s="3094"/>
      <c r="AE73" s="3094"/>
      <c r="AF73" s="3094"/>
      <c r="AG73" s="3094"/>
      <c r="AH73" s="3094"/>
      <c r="AI73" s="3094"/>
      <c r="AJ73" s="3094"/>
      <c r="AK73" s="3094"/>
      <c r="AL73" s="3094"/>
      <c r="AM73" s="3094"/>
      <c r="AN73" s="3117"/>
      <c r="AO73" s="3084"/>
      <c r="AP73" s="3084"/>
      <c r="AQ73" s="3119"/>
    </row>
    <row r="74" spans="1:43" s="638" customFormat="1" ht="49.5" customHeight="1" x14ac:dyDescent="0.25">
      <c r="A74" s="3029"/>
      <c r="B74" s="3033"/>
      <c r="C74" s="3034"/>
      <c r="D74" s="3097"/>
      <c r="E74" s="3097"/>
      <c r="F74" s="3097"/>
      <c r="G74" s="2357"/>
      <c r="H74" s="2358"/>
      <c r="I74" s="2359"/>
      <c r="J74" s="3098"/>
      <c r="K74" s="3045"/>
      <c r="L74" s="3045"/>
      <c r="M74" s="3099"/>
      <c r="N74" s="3060"/>
      <c r="O74" s="3016"/>
      <c r="P74" s="3018"/>
      <c r="Q74" s="3090"/>
      <c r="R74" s="3052"/>
      <c r="S74" s="3054"/>
      <c r="T74" s="3068"/>
      <c r="U74" s="2315" t="s">
        <v>2357</v>
      </c>
      <c r="V74" s="2360">
        <f>15000000+2500000-17500000</f>
        <v>0</v>
      </c>
      <c r="W74" s="2296">
        <v>20</v>
      </c>
      <c r="X74" s="2361" t="s">
        <v>72</v>
      </c>
      <c r="Y74" s="3092"/>
      <c r="Z74" s="3094"/>
      <c r="AA74" s="3094"/>
      <c r="AB74" s="3094"/>
      <c r="AC74" s="3094"/>
      <c r="AD74" s="3094"/>
      <c r="AE74" s="3094"/>
      <c r="AF74" s="3094"/>
      <c r="AG74" s="3094"/>
      <c r="AH74" s="3094"/>
      <c r="AI74" s="3094"/>
      <c r="AJ74" s="3094"/>
      <c r="AK74" s="3094"/>
      <c r="AL74" s="3094"/>
      <c r="AM74" s="3094"/>
      <c r="AN74" s="3117"/>
      <c r="AO74" s="3084"/>
      <c r="AP74" s="3084"/>
      <c r="AQ74" s="3119"/>
    </row>
    <row r="75" spans="1:43" s="638" customFormat="1" ht="72" customHeight="1" x14ac:dyDescent="0.25">
      <c r="A75" s="3029"/>
      <c r="B75" s="3033"/>
      <c r="C75" s="3034"/>
      <c r="D75" s="3097"/>
      <c r="E75" s="3097"/>
      <c r="F75" s="3097"/>
      <c r="G75" s="2357"/>
      <c r="H75" s="2358"/>
      <c r="I75" s="2359"/>
      <c r="J75" s="3098"/>
      <c r="K75" s="3045"/>
      <c r="L75" s="3045"/>
      <c r="M75" s="3099"/>
      <c r="N75" s="3060"/>
      <c r="O75" s="3016"/>
      <c r="P75" s="3018"/>
      <c r="Q75" s="3090"/>
      <c r="R75" s="3052"/>
      <c r="S75" s="3054"/>
      <c r="T75" s="3068"/>
      <c r="U75" s="2315" t="s">
        <v>2358</v>
      </c>
      <c r="V75" s="2360">
        <f>16000000+2500000-9250000</f>
        <v>9250000</v>
      </c>
      <c r="W75" s="2296">
        <v>20</v>
      </c>
      <c r="X75" s="2361" t="s">
        <v>72</v>
      </c>
      <c r="Y75" s="3092"/>
      <c r="Z75" s="3094"/>
      <c r="AA75" s="3094"/>
      <c r="AB75" s="3094"/>
      <c r="AC75" s="3094"/>
      <c r="AD75" s="3094"/>
      <c r="AE75" s="3094"/>
      <c r="AF75" s="3094"/>
      <c r="AG75" s="3094"/>
      <c r="AH75" s="3094"/>
      <c r="AI75" s="3094"/>
      <c r="AJ75" s="3094"/>
      <c r="AK75" s="3094"/>
      <c r="AL75" s="3094"/>
      <c r="AM75" s="3094"/>
      <c r="AN75" s="3117"/>
      <c r="AO75" s="3084"/>
      <c r="AP75" s="3084"/>
      <c r="AQ75" s="3119"/>
    </row>
    <row r="76" spans="1:43" s="638" customFormat="1" ht="44.25" customHeight="1" x14ac:dyDescent="0.25">
      <c r="A76" s="3029"/>
      <c r="B76" s="3033"/>
      <c r="C76" s="3034"/>
      <c r="D76" s="3097"/>
      <c r="E76" s="3097"/>
      <c r="F76" s="3097"/>
      <c r="G76" s="2357"/>
      <c r="H76" s="2358"/>
      <c r="I76" s="2359"/>
      <c r="J76" s="3098"/>
      <c r="K76" s="3045"/>
      <c r="L76" s="3045"/>
      <c r="M76" s="3099"/>
      <c r="N76" s="3060"/>
      <c r="O76" s="3016"/>
      <c r="P76" s="3018"/>
      <c r="Q76" s="3090"/>
      <c r="R76" s="3052"/>
      <c r="S76" s="3054"/>
      <c r="T76" s="3068"/>
      <c r="U76" s="2315" t="s">
        <v>2359</v>
      </c>
      <c r="V76" s="2360">
        <f>+ 0+10000000</f>
        <v>10000000</v>
      </c>
      <c r="W76" s="2296">
        <v>20</v>
      </c>
      <c r="X76" s="2361" t="s">
        <v>72</v>
      </c>
      <c r="Y76" s="3092"/>
      <c r="Z76" s="3094"/>
      <c r="AA76" s="3094"/>
      <c r="AB76" s="3094"/>
      <c r="AC76" s="3094"/>
      <c r="AD76" s="3094"/>
      <c r="AE76" s="3094"/>
      <c r="AF76" s="3094"/>
      <c r="AG76" s="3094"/>
      <c r="AH76" s="3094"/>
      <c r="AI76" s="3094"/>
      <c r="AJ76" s="3094"/>
      <c r="AK76" s="3094"/>
      <c r="AL76" s="3094"/>
      <c r="AM76" s="3094"/>
      <c r="AN76" s="3117"/>
      <c r="AO76" s="3084"/>
      <c r="AP76" s="3084"/>
      <c r="AQ76" s="3119"/>
    </row>
    <row r="77" spans="1:43" s="638" customFormat="1" ht="66.75" customHeight="1" x14ac:dyDescent="0.25">
      <c r="A77" s="3029"/>
      <c r="B77" s="3033"/>
      <c r="C77" s="3034"/>
      <c r="D77" s="3097"/>
      <c r="E77" s="3097"/>
      <c r="F77" s="3097"/>
      <c r="G77" s="2357"/>
      <c r="H77" s="2358"/>
      <c r="I77" s="2359"/>
      <c r="J77" s="3098"/>
      <c r="K77" s="3045"/>
      <c r="L77" s="3045"/>
      <c r="M77" s="3099"/>
      <c r="N77" s="3060"/>
      <c r="O77" s="3016"/>
      <c r="P77" s="3018"/>
      <c r="Q77" s="3090"/>
      <c r="R77" s="3052"/>
      <c r="S77" s="3054"/>
      <c r="T77" s="3068"/>
      <c r="U77" s="2315" t="s">
        <v>2360</v>
      </c>
      <c r="V77" s="2360">
        <f>20000000+1250000-21250000</f>
        <v>0</v>
      </c>
      <c r="W77" s="2296">
        <v>20</v>
      </c>
      <c r="X77" s="2361" t="s">
        <v>72</v>
      </c>
      <c r="Y77" s="3092"/>
      <c r="Z77" s="3094"/>
      <c r="AA77" s="3094"/>
      <c r="AB77" s="3094"/>
      <c r="AC77" s="3094"/>
      <c r="AD77" s="3094"/>
      <c r="AE77" s="3094"/>
      <c r="AF77" s="3094"/>
      <c r="AG77" s="3094"/>
      <c r="AH77" s="3094"/>
      <c r="AI77" s="3094"/>
      <c r="AJ77" s="3094"/>
      <c r="AK77" s="3094"/>
      <c r="AL77" s="3094"/>
      <c r="AM77" s="3094"/>
      <c r="AN77" s="3117"/>
      <c r="AO77" s="3084"/>
      <c r="AP77" s="3084"/>
      <c r="AQ77" s="3119"/>
    </row>
    <row r="78" spans="1:43" s="638" customFormat="1" ht="60" customHeight="1" x14ac:dyDescent="0.25">
      <c r="A78" s="3029"/>
      <c r="B78" s="3033"/>
      <c r="C78" s="3034"/>
      <c r="D78" s="3097"/>
      <c r="E78" s="3097"/>
      <c r="F78" s="3097"/>
      <c r="G78" s="2357"/>
      <c r="H78" s="2358"/>
      <c r="I78" s="2359"/>
      <c r="J78" s="3098"/>
      <c r="K78" s="3045"/>
      <c r="L78" s="3045"/>
      <c r="M78" s="3099"/>
      <c r="N78" s="3060"/>
      <c r="O78" s="3016"/>
      <c r="P78" s="3018"/>
      <c r="Q78" s="3090"/>
      <c r="R78" s="3052"/>
      <c r="S78" s="3054"/>
      <c r="T78" s="3068"/>
      <c r="U78" s="2315" t="s">
        <v>2361</v>
      </c>
      <c r="V78" s="2360">
        <f>15000000+1250000-10000000</f>
        <v>6250000</v>
      </c>
      <c r="W78" s="2296">
        <v>20</v>
      </c>
      <c r="X78" s="2361" t="s">
        <v>72</v>
      </c>
      <c r="Y78" s="3092"/>
      <c r="Z78" s="3094"/>
      <c r="AA78" s="3094"/>
      <c r="AB78" s="3094"/>
      <c r="AC78" s="3094"/>
      <c r="AD78" s="3094"/>
      <c r="AE78" s="3094"/>
      <c r="AF78" s="3094"/>
      <c r="AG78" s="3094"/>
      <c r="AH78" s="3094"/>
      <c r="AI78" s="3094"/>
      <c r="AJ78" s="3094"/>
      <c r="AK78" s="3094"/>
      <c r="AL78" s="3094"/>
      <c r="AM78" s="3094"/>
      <c r="AN78" s="3117"/>
      <c r="AO78" s="3084"/>
      <c r="AP78" s="3084"/>
      <c r="AQ78" s="3119"/>
    </row>
    <row r="79" spans="1:43" s="638" customFormat="1" ht="26.25" customHeight="1" x14ac:dyDescent="0.25">
      <c r="A79" s="3029"/>
      <c r="B79" s="3033"/>
      <c r="C79" s="3034"/>
      <c r="D79" s="3097"/>
      <c r="E79" s="3097"/>
      <c r="F79" s="3097"/>
      <c r="G79" s="2357"/>
      <c r="H79" s="2358"/>
      <c r="I79" s="2359"/>
      <c r="J79" s="3098"/>
      <c r="K79" s="3045"/>
      <c r="L79" s="3045"/>
      <c r="M79" s="3099"/>
      <c r="N79" s="3060"/>
      <c r="O79" s="3016"/>
      <c r="P79" s="3018"/>
      <c r="Q79" s="3090"/>
      <c r="R79" s="3052"/>
      <c r="S79" s="3054"/>
      <c r="T79" s="3068"/>
      <c r="U79" s="3009" t="s">
        <v>2362</v>
      </c>
      <c r="V79" s="2360">
        <f>71000000+14500000+12500000</f>
        <v>98000000</v>
      </c>
      <c r="W79" s="2296">
        <v>20</v>
      </c>
      <c r="X79" s="2361" t="s">
        <v>72</v>
      </c>
      <c r="Y79" s="3092"/>
      <c r="Z79" s="3094"/>
      <c r="AA79" s="3094"/>
      <c r="AB79" s="3094"/>
      <c r="AC79" s="3094"/>
      <c r="AD79" s="3094"/>
      <c r="AE79" s="3094"/>
      <c r="AF79" s="3094"/>
      <c r="AG79" s="3094"/>
      <c r="AH79" s="3094"/>
      <c r="AI79" s="3094"/>
      <c r="AJ79" s="3094"/>
      <c r="AK79" s="3094"/>
      <c r="AL79" s="3094"/>
      <c r="AM79" s="3094"/>
      <c r="AN79" s="3117"/>
      <c r="AO79" s="3084"/>
      <c r="AP79" s="3084"/>
      <c r="AQ79" s="3119"/>
    </row>
    <row r="80" spans="1:43" s="638" customFormat="1" ht="26.25" customHeight="1" x14ac:dyDescent="0.25">
      <c r="A80" s="3029"/>
      <c r="B80" s="3033"/>
      <c r="C80" s="3034"/>
      <c r="D80" s="3097"/>
      <c r="E80" s="3097"/>
      <c r="F80" s="3097"/>
      <c r="G80" s="2357"/>
      <c r="H80" s="2358"/>
      <c r="I80" s="2359"/>
      <c r="J80" s="3098"/>
      <c r="K80" s="3045"/>
      <c r="L80" s="3045"/>
      <c r="M80" s="3099"/>
      <c r="N80" s="3060"/>
      <c r="O80" s="3016"/>
      <c r="P80" s="3018"/>
      <c r="Q80" s="3090"/>
      <c r="R80" s="3052"/>
      <c r="S80" s="3054"/>
      <c r="T80" s="3068"/>
      <c r="U80" s="3010"/>
      <c r="V80" s="2360">
        <f>0+50000000-20000000+20000000</f>
        <v>50000000</v>
      </c>
      <c r="W80" s="2296">
        <v>88</v>
      </c>
      <c r="X80" s="2361" t="s">
        <v>61</v>
      </c>
      <c r="Y80" s="3092"/>
      <c r="Z80" s="3094"/>
      <c r="AA80" s="3094"/>
      <c r="AB80" s="3094"/>
      <c r="AC80" s="3094"/>
      <c r="AD80" s="3094"/>
      <c r="AE80" s="3094"/>
      <c r="AF80" s="3094"/>
      <c r="AG80" s="3094"/>
      <c r="AH80" s="3094"/>
      <c r="AI80" s="3094"/>
      <c r="AJ80" s="3094"/>
      <c r="AK80" s="3094"/>
      <c r="AL80" s="3094"/>
      <c r="AM80" s="3094"/>
      <c r="AN80" s="3117"/>
      <c r="AO80" s="3084"/>
      <c r="AP80" s="3084"/>
      <c r="AQ80" s="3119"/>
    </row>
    <row r="81" spans="1:43" s="638" customFormat="1" ht="33" customHeight="1" x14ac:dyDescent="0.25">
      <c r="A81" s="3029"/>
      <c r="B81" s="3033"/>
      <c r="C81" s="3034"/>
      <c r="D81" s="3097"/>
      <c r="E81" s="3097"/>
      <c r="F81" s="3097"/>
      <c r="G81" s="2357"/>
      <c r="H81" s="2358"/>
      <c r="I81" s="2359"/>
      <c r="J81" s="3098"/>
      <c r="K81" s="3045"/>
      <c r="L81" s="3045"/>
      <c r="M81" s="3099"/>
      <c r="N81" s="3060"/>
      <c r="O81" s="3016"/>
      <c r="P81" s="3018"/>
      <c r="Q81" s="3090"/>
      <c r="R81" s="3052"/>
      <c r="S81" s="3054"/>
      <c r="T81" s="3068"/>
      <c r="U81" s="2315" t="s">
        <v>2363</v>
      </c>
      <c r="V81" s="2360">
        <v>15000000</v>
      </c>
      <c r="W81" s="2296">
        <v>20</v>
      </c>
      <c r="X81" s="2361" t="s">
        <v>72</v>
      </c>
      <c r="Y81" s="3092"/>
      <c r="Z81" s="3094"/>
      <c r="AA81" s="3094"/>
      <c r="AB81" s="3094"/>
      <c r="AC81" s="3094"/>
      <c r="AD81" s="3094"/>
      <c r="AE81" s="3094"/>
      <c r="AF81" s="3094"/>
      <c r="AG81" s="3094"/>
      <c r="AH81" s="3094"/>
      <c r="AI81" s="3094"/>
      <c r="AJ81" s="3094"/>
      <c r="AK81" s="3094"/>
      <c r="AL81" s="3094"/>
      <c r="AM81" s="3094"/>
      <c r="AN81" s="3117"/>
      <c r="AO81" s="3084"/>
      <c r="AP81" s="3084"/>
      <c r="AQ81" s="3119"/>
    </row>
    <row r="82" spans="1:43" s="638" customFormat="1" ht="72" customHeight="1" x14ac:dyDescent="0.25">
      <c r="A82" s="3029"/>
      <c r="B82" s="3033"/>
      <c r="C82" s="3034"/>
      <c r="D82" s="3097"/>
      <c r="E82" s="3097"/>
      <c r="F82" s="3097"/>
      <c r="G82" s="2357"/>
      <c r="H82" s="2358"/>
      <c r="I82" s="2359"/>
      <c r="J82" s="3043">
        <v>227</v>
      </c>
      <c r="K82" s="3044" t="s">
        <v>2364</v>
      </c>
      <c r="L82" s="3045" t="s">
        <v>2365</v>
      </c>
      <c r="M82" s="3099">
        <v>12</v>
      </c>
      <c r="N82" s="3060"/>
      <c r="O82" s="3016"/>
      <c r="P82" s="3018"/>
      <c r="Q82" s="3090">
        <f>SUM(V82:V83)/R69</f>
        <v>8.3507306889352817E-2</v>
      </c>
      <c r="R82" s="3052"/>
      <c r="S82" s="3054"/>
      <c r="T82" s="3068"/>
      <c r="U82" s="1176" t="s">
        <v>2366</v>
      </c>
      <c r="V82" s="2107">
        <v>20000000</v>
      </c>
      <c r="W82" s="2296">
        <v>20</v>
      </c>
      <c r="X82" s="2361" t="s">
        <v>72</v>
      </c>
      <c r="Y82" s="3092"/>
      <c r="Z82" s="3094"/>
      <c r="AA82" s="3094"/>
      <c r="AB82" s="3094"/>
      <c r="AC82" s="3094"/>
      <c r="AD82" s="3094"/>
      <c r="AE82" s="3094"/>
      <c r="AF82" s="3094"/>
      <c r="AG82" s="3094"/>
      <c r="AH82" s="3094"/>
      <c r="AI82" s="3094"/>
      <c r="AJ82" s="3094"/>
      <c r="AK82" s="3094"/>
      <c r="AL82" s="3094"/>
      <c r="AM82" s="3094"/>
      <c r="AN82" s="3117"/>
      <c r="AO82" s="3084"/>
      <c r="AP82" s="3084"/>
      <c r="AQ82" s="3119"/>
    </row>
    <row r="83" spans="1:43" s="638" customFormat="1" ht="61.5" customHeight="1" x14ac:dyDescent="0.25">
      <c r="A83" s="3029"/>
      <c r="B83" s="3033"/>
      <c r="C83" s="3034"/>
      <c r="D83" s="3097"/>
      <c r="E83" s="3097"/>
      <c r="F83" s="3097"/>
      <c r="G83" s="2357"/>
      <c r="H83" s="2358"/>
      <c r="I83" s="2359"/>
      <c r="J83" s="3043"/>
      <c r="K83" s="3044"/>
      <c r="L83" s="3045"/>
      <c r="M83" s="3099"/>
      <c r="N83" s="3060"/>
      <c r="O83" s="3016"/>
      <c r="P83" s="3018"/>
      <c r="Q83" s="3090"/>
      <c r="R83" s="3052"/>
      <c r="S83" s="3054"/>
      <c r="T83" s="3068"/>
      <c r="U83" s="1176" t="s">
        <v>2367</v>
      </c>
      <c r="V83" s="2107">
        <v>20000000</v>
      </c>
      <c r="W83" s="2296">
        <v>20</v>
      </c>
      <c r="X83" s="2361" t="s">
        <v>72</v>
      </c>
      <c r="Y83" s="3092"/>
      <c r="Z83" s="3094"/>
      <c r="AA83" s="3094"/>
      <c r="AB83" s="3094"/>
      <c r="AC83" s="3094"/>
      <c r="AD83" s="3094"/>
      <c r="AE83" s="3094"/>
      <c r="AF83" s="3094"/>
      <c r="AG83" s="3094"/>
      <c r="AH83" s="3094"/>
      <c r="AI83" s="3094"/>
      <c r="AJ83" s="3094"/>
      <c r="AK83" s="3094"/>
      <c r="AL83" s="3094"/>
      <c r="AM83" s="3094"/>
      <c r="AN83" s="3117"/>
      <c r="AO83" s="3084"/>
      <c r="AP83" s="3084"/>
      <c r="AQ83" s="3119"/>
    </row>
    <row r="84" spans="1:43" s="638" customFormat="1" ht="32.25" customHeight="1" x14ac:dyDescent="0.25">
      <c r="A84" s="3029"/>
      <c r="B84" s="3033"/>
      <c r="C84" s="3034"/>
      <c r="D84" s="3097"/>
      <c r="E84" s="3097"/>
      <c r="F84" s="3097"/>
      <c r="G84" s="2357"/>
      <c r="H84" s="2358"/>
      <c r="I84" s="2359"/>
      <c r="J84" s="3043">
        <v>228</v>
      </c>
      <c r="K84" s="3045" t="s">
        <v>2368</v>
      </c>
      <c r="L84" s="3045" t="s">
        <v>2369</v>
      </c>
      <c r="M84" s="3099">
        <v>2</v>
      </c>
      <c r="N84" s="3060"/>
      <c r="O84" s="3016"/>
      <c r="P84" s="3018"/>
      <c r="Q84" s="3090">
        <f>SUM(V84:V91)/R69</f>
        <v>9.3945720250521919E-2</v>
      </c>
      <c r="R84" s="3052"/>
      <c r="S84" s="3054"/>
      <c r="T84" s="3068"/>
      <c r="U84" s="3009" t="s">
        <v>2370</v>
      </c>
      <c r="V84" s="2107">
        <v>7400000</v>
      </c>
      <c r="W84" s="2296">
        <v>20</v>
      </c>
      <c r="X84" s="2361" t="s">
        <v>72</v>
      </c>
      <c r="Y84" s="3092"/>
      <c r="Z84" s="3094"/>
      <c r="AA84" s="3094"/>
      <c r="AB84" s="3094"/>
      <c r="AC84" s="3094"/>
      <c r="AD84" s="3094"/>
      <c r="AE84" s="3094"/>
      <c r="AF84" s="3094"/>
      <c r="AG84" s="3094"/>
      <c r="AH84" s="3094"/>
      <c r="AI84" s="3094"/>
      <c r="AJ84" s="3094"/>
      <c r="AK84" s="3094"/>
      <c r="AL84" s="3094"/>
      <c r="AM84" s="3094"/>
      <c r="AN84" s="3117"/>
      <c r="AO84" s="3084"/>
      <c r="AP84" s="3084"/>
      <c r="AQ84" s="3119"/>
    </row>
    <row r="85" spans="1:43" s="638" customFormat="1" ht="32.25" customHeight="1" x14ac:dyDescent="0.25">
      <c r="A85" s="3029"/>
      <c r="B85" s="3033"/>
      <c r="C85" s="3034"/>
      <c r="D85" s="3097"/>
      <c r="E85" s="3097"/>
      <c r="F85" s="3097"/>
      <c r="G85" s="2357"/>
      <c r="H85" s="2358"/>
      <c r="I85" s="2359"/>
      <c r="J85" s="3043"/>
      <c r="K85" s="3045"/>
      <c r="L85" s="3045"/>
      <c r="M85" s="3099"/>
      <c r="N85" s="3060"/>
      <c r="O85" s="3016"/>
      <c r="P85" s="3018"/>
      <c r="Q85" s="3090"/>
      <c r="R85" s="3052"/>
      <c r="S85" s="3054"/>
      <c r="T85" s="3068"/>
      <c r="U85" s="3010"/>
      <c r="V85" s="2107">
        <f>0+2500000</f>
        <v>2500000</v>
      </c>
      <c r="W85" s="2296">
        <v>88</v>
      </c>
      <c r="X85" s="2361" t="s">
        <v>61</v>
      </c>
      <c r="Y85" s="3092"/>
      <c r="Z85" s="3094"/>
      <c r="AA85" s="3094"/>
      <c r="AB85" s="3094"/>
      <c r="AC85" s="3094"/>
      <c r="AD85" s="3094"/>
      <c r="AE85" s="3094"/>
      <c r="AF85" s="3094"/>
      <c r="AG85" s="3094"/>
      <c r="AH85" s="3094"/>
      <c r="AI85" s="3094"/>
      <c r="AJ85" s="3094"/>
      <c r="AK85" s="3094"/>
      <c r="AL85" s="3094"/>
      <c r="AM85" s="3094"/>
      <c r="AN85" s="3117"/>
      <c r="AO85" s="3084"/>
      <c r="AP85" s="3084"/>
      <c r="AQ85" s="3119"/>
    </row>
    <row r="86" spans="1:43" s="638" customFormat="1" ht="39.75" customHeight="1" x14ac:dyDescent="0.25">
      <c r="A86" s="3029"/>
      <c r="B86" s="3033"/>
      <c r="C86" s="3034"/>
      <c r="D86" s="3097"/>
      <c r="E86" s="3097"/>
      <c r="F86" s="3097"/>
      <c r="G86" s="2357"/>
      <c r="H86" s="2358"/>
      <c r="I86" s="2359"/>
      <c r="J86" s="3043"/>
      <c r="K86" s="3045"/>
      <c r="L86" s="3045"/>
      <c r="M86" s="3099"/>
      <c r="N86" s="3060"/>
      <c r="O86" s="3016"/>
      <c r="P86" s="3018"/>
      <c r="Q86" s="3090"/>
      <c r="R86" s="3052"/>
      <c r="S86" s="3054"/>
      <c r="T86" s="3068"/>
      <c r="U86" s="3009" t="s">
        <v>2371</v>
      </c>
      <c r="V86" s="2107">
        <f>11200000+5000000+2500000</f>
        <v>18700000</v>
      </c>
      <c r="W86" s="2296">
        <v>20</v>
      </c>
      <c r="X86" s="2361" t="s">
        <v>72</v>
      </c>
      <c r="Y86" s="3092"/>
      <c r="Z86" s="3094"/>
      <c r="AA86" s="3094"/>
      <c r="AB86" s="3094"/>
      <c r="AC86" s="3094"/>
      <c r="AD86" s="3094"/>
      <c r="AE86" s="3094"/>
      <c r="AF86" s="3094"/>
      <c r="AG86" s="3094"/>
      <c r="AH86" s="3094"/>
      <c r="AI86" s="3094"/>
      <c r="AJ86" s="3094"/>
      <c r="AK86" s="3094"/>
      <c r="AL86" s="3094"/>
      <c r="AM86" s="3094"/>
      <c r="AN86" s="3117"/>
      <c r="AO86" s="3084"/>
      <c r="AP86" s="3084"/>
      <c r="AQ86" s="3119"/>
    </row>
    <row r="87" spans="1:43" s="638" customFormat="1" ht="39.75" customHeight="1" x14ac:dyDescent="0.25">
      <c r="A87" s="3029"/>
      <c r="B87" s="3033"/>
      <c r="C87" s="3034"/>
      <c r="D87" s="3097"/>
      <c r="E87" s="3097"/>
      <c r="F87" s="3097"/>
      <c r="G87" s="2357"/>
      <c r="H87" s="2358"/>
      <c r="I87" s="2359"/>
      <c r="J87" s="3043"/>
      <c r="K87" s="3045"/>
      <c r="L87" s="3045"/>
      <c r="M87" s="3099"/>
      <c r="N87" s="3060"/>
      <c r="O87" s="3016"/>
      <c r="P87" s="3018"/>
      <c r="Q87" s="3090"/>
      <c r="R87" s="3052"/>
      <c r="S87" s="3054"/>
      <c r="T87" s="3068"/>
      <c r="U87" s="3010"/>
      <c r="V87" s="2107">
        <f>0+2500000</f>
        <v>2500000</v>
      </c>
      <c r="W87" s="2296">
        <v>88</v>
      </c>
      <c r="X87" s="2361" t="s">
        <v>61</v>
      </c>
      <c r="Y87" s="3092"/>
      <c r="Z87" s="3094"/>
      <c r="AA87" s="3094"/>
      <c r="AB87" s="3094"/>
      <c r="AC87" s="3094"/>
      <c r="AD87" s="3094"/>
      <c r="AE87" s="3094"/>
      <c r="AF87" s="3094"/>
      <c r="AG87" s="3094"/>
      <c r="AH87" s="3094"/>
      <c r="AI87" s="3094"/>
      <c r="AJ87" s="3094"/>
      <c r="AK87" s="3094"/>
      <c r="AL87" s="3094"/>
      <c r="AM87" s="3094"/>
      <c r="AN87" s="3117"/>
      <c r="AO87" s="3084"/>
      <c r="AP87" s="3084"/>
      <c r="AQ87" s="3119"/>
    </row>
    <row r="88" spans="1:43" s="638" customFormat="1" ht="57.75" customHeight="1" x14ac:dyDescent="0.25">
      <c r="A88" s="3029"/>
      <c r="B88" s="3033"/>
      <c r="C88" s="3034"/>
      <c r="D88" s="3097"/>
      <c r="E88" s="3097"/>
      <c r="F88" s="3097"/>
      <c r="G88" s="2357"/>
      <c r="H88" s="2358"/>
      <c r="I88" s="2359"/>
      <c r="J88" s="3043"/>
      <c r="K88" s="3045"/>
      <c r="L88" s="3045"/>
      <c r="M88" s="3099"/>
      <c r="N88" s="3060"/>
      <c r="O88" s="3016"/>
      <c r="P88" s="3018"/>
      <c r="Q88" s="3090"/>
      <c r="R88" s="3052"/>
      <c r="S88" s="3054"/>
      <c r="T88" s="3068"/>
      <c r="U88" s="2315" t="s">
        <v>2372</v>
      </c>
      <c r="V88" s="2107">
        <f>9500000-3500000</f>
        <v>6000000</v>
      </c>
      <c r="W88" s="2296">
        <v>20</v>
      </c>
      <c r="X88" s="2361" t="s">
        <v>72</v>
      </c>
      <c r="Y88" s="3092"/>
      <c r="Z88" s="3094"/>
      <c r="AA88" s="3094"/>
      <c r="AB88" s="3094"/>
      <c r="AC88" s="3094"/>
      <c r="AD88" s="3094"/>
      <c r="AE88" s="3094"/>
      <c r="AF88" s="3094"/>
      <c r="AG88" s="3094"/>
      <c r="AH88" s="3094"/>
      <c r="AI88" s="3094"/>
      <c r="AJ88" s="3094"/>
      <c r="AK88" s="3094"/>
      <c r="AL88" s="3094"/>
      <c r="AM88" s="3094"/>
      <c r="AN88" s="3117"/>
      <c r="AO88" s="3084"/>
      <c r="AP88" s="3084"/>
      <c r="AQ88" s="3119"/>
    </row>
    <row r="89" spans="1:43" s="638" customFormat="1" ht="73.5" customHeight="1" x14ac:dyDescent="0.25">
      <c r="A89" s="3029"/>
      <c r="B89" s="3033"/>
      <c r="C89" s="3034"/>
      <c r="D89" s="3097"/>
      <c r="E89" s="3097"/>
      <c r="F89" s="3097"/>
      <c r="G89" s="2357"/>
      <c r="H89" s="2358"/>
      <c r="I89" s="2359"/>
      <c r="J89" s="3043"/>
      <c r="K89" s="3045"/>
      <c r="L89" s="3045"/>
      <c r="M89" s="3099"/>
      <c r="N89" s="3060"/>
      <c r="O89" s="3016"/>
      <c r="P89" s="3018"/>
      <c r="Q89" s="3090"/>
      <c r="R89" s="3052"/>
      <c r="S89" s="3054"/>
      <c r="T89" s="3068"/>
      <c r="U89" s="2315" t="s">
        <v>2373</v>
      </c>
      <c r="V89" s="2107">
        <v>2500000</v>
      </c>
      <c r="W89" s="2296">
        <v>20</v>
      </c>
      <c r="X89" s="2361" t="s">
        <v>72</v>
      </c>
      <c r="Y89" s="3092"/>
      <c r="Z89" s="3094"/>
      <c r="AA89" s="3094"/>
      <c r="AB89" s="3094"/>
      <c r="AC89" s="3094"/>
      <c r="AD89" s="3094"/>
      <c r="AE89" s="3094"/>
      <c r="AF89" s="3094"/>
      <c r="AG89" s="3094"/>
      <c r="AH89" s="3094"/>
      <c r="AI89" s="3094"/>
      <c r="AJ89" s="3094"/>
      <c r="AK89" s="3094"/>
      <c r="AL89" s="3094"/>
      <c r="AM89" s="3094"/>
      <c r="AN89" s="3117"/>
      <c r="AO89" s="3084"/>
      <c r="AP89" s="3084"/>
      <c r="AQ89" s="3119"/>
    </row>
    <row r="90" spans="1:43" s="638" customFormat="1" ht="70.5" customHeight="1" x14ac:dyDescent="0.25">
      <c r="A90" s="3029"/>
      <c r="B90" s="3033"/>
      <c r="C90" s="3034"/>
      <c r="D90" s="3097"/>
      <c r="E90" s="3097"/>
      <c r="F90" s="3097"/>
      <c r="G90" s="2357"/>
      <c r="H90" s="2358"/>
      <c r="I90" s="2359"/>
      <c r="J90" s="3122"/>
      <c r="K90" s="3123"/>
      <c r="L90" s="3123"/>
      <c r="M90" s="3124"/>
      <c r="N90" s="3060"/>
      <c r="O90" s="3016"/>
      <c r="P90" s="3018"/>
      <c r="Q90" s="3090"/>
      <c r="R90" s="3052"/>
      <c r="S90" s="3054"/>
      <c r="T90" s="3068"/>
      <c r="U90" s="2315" t="s">
        <v>2374</v>
      </c>
      <c r="V90" s="2107">
        <v>2000000</v>
      </c>
      <c r="W90" s="2296">
        <v>20</v>
      </c>
      <c r="X90" s="2361" t="s">
        <v>72</v>
      </c>
      <c r="Y90" s="3092"/>
      <c r="Z90" s="3094"/>
      <c r="AA90" s="3094"/>
      <c r="AB90" s="3094"/>
      <c r="AC90" s="3094"/>
      <c r="AD90" s="3094"/>
      <c r="AE90" s="3094"/>
      <c r="AF90" s="3094"/>
      <c r="AG90" s="3094"/>
      <c r="AH90" s="3094"/>
      <c r="AI90" s="3094"/>
      <c r="AJ90" s="3094"/>
      <c r="AK90" s="3094"/>
      <c r="AL90" s="3094"/>
      <c r="AM90" s="3094"/>
      <c r="AN90" s="3117"/>
      <c r="AO90" s="3084"/>
      <c r="AP90" s="3084"/>
      <c r="AQ90" s="3119"/>
    </row>
    <row r="91" spans="1:43" s="638" customFormat="1" ht="50.25" customHeight="1" x14ac:dyDescent="0.25">
      <c r="A91" s="3029"/>
      <c r="B91" s="3033"/>
      <c r="C91" s="3034"/>
      <c r="D91" s="3097"/>
      <c r="E91" s="3097"/>
      <c r="F91" s="3097"/>
      <c r="G91" s="2357"/>
      <c r="H91" s="2358"/>
      <c r="I91" s="2359"/>
      <c r="J91" s="3122"/>
      <c r="K91" s="3123"/>
      <c r="L91" s="3123"/>
      <c r="M91" s="3124"/>
      <c r="N91" s="3060"/>
      <c r="O91" s="3016"/>
      <c r="P91" s="3018"/>
      <c r="Q91" s="3090"/>
      <c r="R91" s="3052"/>
      <c r="S91" s="3054"/>
      <c r="T91" s="3068"/>
      <c r="U91" s="2315" t="s">
        <v>2363</v>
      </c>
      <c r="V91" s="2107">
        <f>2400000+1000000</f>
        <v>3400000</v>
      </c>
      <c r="W91" s="2296">
        <v>20</v>
      </c>
      <c r="X91" s="2361" t="s">
        <v>72</v>
      </c>
      <c r="Y91" s="3092"/>
      <c r="Z91" s="3094"/>
      <c r="AA91" s="3094"/>
      <c r="AB91" s="3094"/>
      <c r="AC91" s="3094"/>
      <c r="AD91" s="3094"/>
      <c r="AE91" s="3094"/>
      <c r="AF91" s="3094"/>
      <c r="AG91" s="3094"/>
      <c r="AH91" s="3094"/>
      <c r="AI91" s="3094"/>
      <c r="AJ91" s="3094"/>
      <c r="AK91" s="3094"/>
      <c r="AL91" s="3094"/>
      <c r="AM91" s="3094"/>
      <c r="AN91" s="3117"/>
      <c r="AO91" s="3084"/>
      <c r="AP91" s="3084"/>
      <c r="AQ91" s="3119"/>
    </row>
    <row r="92" spans="1:43" s="638" customFormat="1" ht="43.5" customHeight="1" x14ac:dyDescent="0.25">
      <c r="A92" s="3029"/>
      <c r="B92" s="3033"/>
      <c r="C92" s="3034"/>
      <c r="D92" s="3097"/>
      <c r="E92" s="3097"/>
      <c r="F92" s="3097"/>
      <c r="G92" s="2357"/>
      <c r="H92" s="2358"/>
      <c r="I92" s="2359"/>
      <c r="J92" s="3043">
        <v>229</v>
      </c>
      <c r="K92" s="3044" t="s">
        <v>2375</v>
      </c>
      <c r="L92" s="3045" t="s">
        <v>2376</v>
      </c>
      <c r="M92" s="3099">
        <v>13</v>
      </c>
      <c r="N92" s="3060"/>
      <c r="O92" s="3016"/>
      <c r="P92" s="3018"/>
      <c r="Q92" s="3090">
        <f>SUM(V92:V94)/R69</f>
        <v>0.14613778705636743</v>
      </c>
      <c r="R92" s="3052"/>
      <c r="S92" s="3054"/>
      <c r="T92" s="3068"/>
      <c r="U92" s="3120" t="s">
        <v>2377</v>
      </c>
      <c r="V92" s="2107">
        <v>15400000</v>
      </c>
      <c r="W92" s="2296">
        <v>20</v>
      </c>
      <c r="X92" s="2361" t="s">
        <v>72</v>
      </c>
      <c r="Y92" s="3092"/>
      <c r="Z92" s="3094"/>
      <c r="AA92" s="3094"/>
      <c r="AB92" s="3094"/>
      <c r="AC92" s="3094"/>
      <c r="AD92" s="3094"/>
      <c r="AE92" s="3094"/>
      <c r="AF92" s="3094"/>
      <c r="AG92" s="3094"/>
      <c r="AH92" s="3094"/>
      <c r="AI92" s="3094"/>
      <c r="AJ92" s="3094"/>
      <c r="AK92" s="3094"/>
      <c r="AL92" s="3094"/>
      <c r="AM92" s="3094"/>
      <c r="AN92" s="3117"/>
      <c r="AO92" s="3084"/>
      <c r="AP92" s="3084"/>
      <c r="AQ92" s="3119"/>
    </row>
    <row r="93" spans="1:43" s="638" customFormat="1" ht="43.5" customHeight="1" x14ac:dyDescent="0.25">
      <c r="A93" s="3029"/>
      <c r="B93" s="3033"/>
      <c r="C93" s="3034"/>
      <c r="D93" s="3097"/>
      <c r="E93" s="3097"/>
      <c r="F93" s="3097"/>
      <c r="G93" s="2357"/>
      <c r="H93" s="2358"/>
      <c r="I93" s="2359"/>
      <c r="J93" s="3043"/>
      <c r="K93" s="3044"/>
      <c r="L93" s="3045"/>
      <c r="M93" s="3099"/>
      <c r="N93" s="3060"/>
      <c r="O93" s="3016"/>
      <c r="P93" s="3018"/>
      <c r="Q93" s="3090"/>
      <c r="R93" s="3052"/>
      <c r="S93" s="3054"/>
      <c r="T93" s="3068"/>
      <c r="U93" s="3121"/>
      <c r="V93" s="2107">
        <f>0+5000000</f>
        <v>5000000</v>
      </c>
      <c r="W93" s="2296">
        <v>88</v>
      </c>
      <c r="X93" s="2361" t="s">
        <v>61</v>
      </c>
      <c r="Y93" s="3092"/>
      <c r="Z93" s="3094"/>
      <c r="AA93" s="3094"/>
      <c r="AB93" s="3094"/>
      <c r="AC93" s="3094"/>
      <c r="AD93" s="3094"/>
      <c r="AE93" s="3094"/>
      <c r="AF93" s="3094"/>
      <c r="AG93" s="3094"/>
      <c r="AH93" s="3094"/>
      <c r="AI93" s="3094"/>
      <c r="AJ93" s="3094"/>
      <c r="AK93" s="3094"/>
      <c r="AL93" s="3094"/>
      <c r="AM93" s="3094"/>
      <c r="AN93" s="3117"/>
      <c r="AO93" s="3084"/>
      <c r="AP93" s="3084"/>
      <c r="AQ93" s="3119"/>
    </row>
    <row r="94" spans="1:43" s="638" customFormat="1" ht="57" customHeight="1" x14ac:dyDescent="0.25">
      <c r="A94" s="3029"/>
      <c r="B94" s="3033"/>
      <c r="C94" s="3034"/>
      <c r="D94" s="3097"/>
      <c r="E94" s="3097"/>
      <c r="F94" s="3097"/>
      <c r="G94" s="2357"/>
      <c r="H94" s="2358"/>
      <c r="I94" s="2359"/>
      <c r="J94" s="3043"/>
      <c r="K94" s="3044"/>
      <c r="L94" s="3045"/>
      <c r="M94" s="3099"/>
      <c r="N94" s="3060"/>
      <c r="O94" s="3016"/>
      <c r="P94" s="3018"/>
      <c r="Q94" s="3090"/>
      <c r="R94" s="3052"/>
      <c r="S94" s="3054"/>
      <c r="T94" s="3068"/>
      <c r="U94" s="1176" t="s">
        <v>2378</v>
      </c>
      <c r="V94" s="2107">
        <v>49600000</v>
      </c>
      <c r="W94" s="2296">
        <v>20</v>
      </c>
      <c r="X94" s="2361" t="s">
        <v>72</v>
      </c>
      <c r="Y94" s="3092"/>
      <c r="Z94" s="3094"/>
      <c r="AA94" s="3094"/>
      <c r="AB94" s="3094"/>
      <c r="AC94" s="3094"/>
      <c r="AD94" s="3094"/>
      <c r="AE94" s="3094"/>
      <c r="AF94" s="3094"/>
      <c r="AG94" s="3094"/>
      <c r="AH94" s="3094"/>
      <c r="AI94" s="3094"/>
      <c r="AJ94" s="3094"/>
      <c r="AK94" s="3094"/>
      <c r="AL94" s="3094"/>
      <c r="AM94" s="3094"/>
      <c r="AN94" s="3117"/>
      <c r="AO94" s="3084"/>
      <c r="AP94" s="3084"/>
      <c r="AQ94" s="3119"/>
    </row>
    <row r="95" spans="1:43" s="638" customFormat="1" ht="64.5" customHeight="1" x14ac:dyDescent="0.25">
      <c r="A95" s="3029"/>
      <c r="B95" s="3033"/>
      <c r="C95" s="3034"/>
      <c r="D95" s="3097"/>
      <c r="E95" s="3097"/>
      <c r="F95" s="3097"/>
      <c r="G95" s="2357"/>
      <c r="H95" s="2358"/>
      <c r="I95" s="2359"/>
      <c r="J95" s="3043">
        <v>230</v>
      </c>
      <c r="K95" s="3045" t="s">
        <v>2379</v>
      </c>
      <c r="L95" s="3045" t="s">
        <v>2380</v>
      </c>
      <c r="M95" s="3061">
        <v>1</v>
      </c>
      <c r="N95" s="3060"/>
      <c r="O95" s="3016"/>
      <c r="P95" s="3018"/>
      <c r="Q95" s="3090">
        <f>SUM(V95:V98)/R69</f>
        <v>0.11273486430062631</v>
      </c>
      <c r="R95" s="3052"/>
      <c r="S95" s="3054"/>
      <c r="T95" s="3068"/>
      <c r="U95" s="1176" t="s">
        <v>2381</v>
      </c>
      <c r="V95" s="2107">
        <f>27000000-10000000</f>
        <v>17000000</v>
      </c>
      <c r="W95" s="2296">
        <v>20</v>
      </c>
      <c r="X95" s="2361" t="s">
        <v>72</v>
      </c>
      <c r="Y95" s="3092"/>
      <c r="Z95" s="3094"/>
      <c r="AA95" s="3094"/>
      <c r="AB95" s="3094"/>
      <c r="AC95" s="3094"/>
      <c r="AD95" s="3094"/>
      <c r="AE95" s="3094"/>
      <c r="AF95" s="3094"/>
      <c r="AG95" s="3094"/>
      <c r="AH95" s="3094"/>
      <c r="AI95" s="3094"/>
      <c r="AJ95" s="3094"/>
      <c r="AK95" s="3094"/>
      <c r="AL95" s="3094"/>
      <c r="AM95" s="3094"/>
      <c r="AN95" s="3117"/>
      <c r="AO95" s="3084"/>
      <c r="AP95" s="3084"/>
      <c r="AQ95" s="3119"/>
    </row>
    <row r="96" spans="1:43" s="638" customFormat="1" ht="51" customHeight="1" x14ac:dyDescent="0.25">
      <c r="A96" s="3029"/>
      <c r="B96" s="3033"/>
      <c r="C96" s="3034"/>
      <c r="D96" s="3097"/>
      <c r="E96" s="3097"/>
      <c r="F96" s="3097"/>
      <c r="G96" s="2357"/>
      <c r="H96" s="2358"/>
      <c r="I96" s="2359"/>
      <c r="J96" s="3043"/>
      <c r="K96" s="3045"/>
      <c r="L96" s="3045"/>
      <c r="M96" s="3061"/>
      <c r="N96" s="3060"/>
      <c r="O96" s="3016"/>
      <c r="P96" s="3018"/>
      <c r="Q96" s="3090"/>
      <c r="R96" s="3052"/>
      <c r="S96" s="3054"/>
      <c r="T96" s="3068"/>
      <c r="U96" s="1176" t="s">
        <v>2382</v>
      </c>
      <c r="V96" s="2107">
        <f>0+10000000</f>
        <v>10000000</v>
      </c>
      <c r="W96" s="2296">
        <v>20</v>
      </c>
      <c r="X96" s="2361" t="s">
        <v>72</v>
      </c>
      <c r="Y96" s="3092"/>
      <c r="Z96" s="3094"/>
      <c r="AA96" s="3094"/>
      <c r="AB96" s="3094"/>
      <c r="AC96" s="3094"/>
      <c r="AD96" s="3094"/>
      <c r="AE96" s="3094"/>
      <c r="AF96" s="3094"/>
      <c r="AG96" s="3094"/>
      <c r="AH96" s="3094"/>
      <c r="AI96" s="3094"/>
      <c r="AJ96" s="3094"/>
      <c r="AK96" s="3094"/>
      <c r="AL96" s="3094"/>
      <c r="AM96" s="3094"/>
      <c r="AN96" s="3117"/>
      <c r="AO96" s="3084"/>
      <c r="AP96" s="3084"/>
      <c r="AQ96" s="3119"/>
    </row>
    <row r="97" spans="1:43" s="638" customFormat="1" ht="34.5" customHeight="1" x14ac:dyDescent="0.25">
      <c r="A97" s="3029"/>
      <c r="B97" s="3033"/>
      <c r="C97" s="3034"/>
      <c r="D97" s="3097"/>
      <c r="E97" s="3097"/>
      <c r="F97" s="3097"/>
      <c r="G97" s="2357"/>
      <c r="H97" s="2358"/>
      <c r="I97" s="2359"/>
      <c r="J97" s="3043"/>
      <c r="K97" s="3045"/>
      <c r="L97" s="3045"/>
      <c r="M97" s="3061"/>
      <c r="N97" s="3060"/>
      <c r="O97" s="3016"/>
      <c r="P97" s="3018"/>
      <c r="Q97" s="3090"/>
      <c r="R97" s="3052"/>
      <c r="S97" s="3054"/>
      <c r="T97" s="3068"/>
      <c r="U97" s="1176" t="s">
        <v>2383</v>
      </c>
      <c r="V97" s="2107">
        <v>22000000</v>
      </c>
      <c r="W97" s="2296">
        <v>20</v>
      </c>
      <c r="X97" s="2361" t="s">
        <v>72</v>
      </c>
      <c r="Y97" s="3092"/>
      <c r="Z97" s="3094"/>
      <c r="AA97" s="3094"/>
      <c r="AB97" s="3094"/>
      <c r="AC97" s="3094"/>
      <c r="AD97" s="3094"/>
      <c r="AE97" s="3094"/>
      <c r="AF97" s="3094"/>
      <c r="AG97" s="3094"/>
      <c r="AH97" s="3094"/>
      <c r="AI97" s="3094"/>
      <c r="AJ97" s="3094"/>
      <c r="AK97" s="3094"/>
      <c r="AL97" s="3094"/>
      <c r="AM97" s="3094"/>
      <c r="AN97" s="3117"/>
      <c r="AO97" s="3084"/>
      <c r="AP97" s="3084"/>
      <c r="AQ97" s="3119"/>
    </row>
    <row r="98" spans="1:43" s="638" customFormat="1" ht="30.75" customHeight="1" x14ac:dyDescent="0.25">
      <c r="A98" s="3029"/>
      <c r="B98" s="3033"/>
      <c r="C98" s="3034"/>
      <c r="D98" s="3097"/>
      <c r="E98" s="3097"/>
      <c r="F98" s="3097"/>
      <c r="G98" s="2363"/>
      <c r="H98" s="2364"/>
      <c r="I98" s="2365"/>
      <c r="J98" s="3043"/>
      <c r="K98" s="3045"/>
      <c r="L98" s="3045"/>
      <c r="M98" s="3061"/>
      <c r="N98" s="3100"/>
      <c r="O98" s="3101"/>
      <c r="P98" s="3102"/>
      <c r="Q98" s="3090"/>
      <c r="R98" s="3053"/>
      <c r="S98" s="3054"/>
      <c r="T98" s="3068"/>
      <c r="U98" s="1219" t="s">
        <v>2363</v>
      </c>
      <c r="V98" s="2100">
        <v>5000000</v>
      </c>
      <c r="W98" s="2296">
        <v>20</v>
      </c>
      <c r="X98" s="2361" t="s">
        <v>72</v>
      </c>
      <c r="Y98" s="3093"/>
      <c r="Z98" s="3095"/>
      <c r="AA98" s="3095"/>
      <c r="AB98" s="3095"/>
      <c r="AC98" s="3095"/>
      <c r="AD98" s="3095"/>
      <c r="AE98" s="3095"/>
      <c r="AF98" s="3095"/>
      <c r="AG98" s="3095"/>
      <c r="AH98" s="3095"/>
      <c r="AI98" s="3095"/>
      <c r="AJ98" s="3095"/>
      <c r="AK98" s="3095"/>
      <c r="AL98" s="3095"/>
      <c r="AM98" s="3095"/>
      <c r="AN98" s="3117"/>
      <c r="AO98" s="3085"/>
      <c r="AP98" s="3085"/>
      <c r="AQ98" s="3119"/>
    </row>
    <row r="99" spans="1:43" s="620" customFormat="1" ht="15" customHeight="1" x14ac:dyDescent="0.2">
      <c r="A99" s="3029"/>
      <c r="B99" s="3033"/>
      <c r="C99" s="3034"/>
      <c r="D99" s="3097"/>
      <c r="E99" s="3097"/>
      <c r="F99" s="3097"/>
      <c r="G99" s="2283">
        <v>79</v>
      </c>
      <c r="H99" s="1121" t="s">
        <v>2384</v>
      </c>
      <c r="I99" s="1121"/>
      <c r="J99" s="1154"/>
      <c r="K99" s="2321"/>
      <c r="L99" s="2322"/>
      <c r="M99" s="1220"/>
      <c r="N99" s="1214"/>
      <c r="O99" s="1298"/>
      <c r="P99" s="1123"/>
      <c r="Q99" s="2366"/>
      <c r="R99" s="2324"/>
      <c r="S99" s="2321"/>
      <c r="T99" s="2321"/>
      <c r="U99" s="2321"/>
      <c r="V99" s="2367"/>
      <c r="W99" s="2368"/>
      <c r="X99" s="2368"/>
      <c r="Y99" s="1126"/>
      <c r="Z99" s="1126"/>
      <c r="AA99" s="1126"/>
      <c r="AB99" s="1126"/>
      <c r="AC99" s="1126"/>
      <c r="AD99" s="1126"/>
      <c r="AE99" s="1126"/>
      <c r="AF99" s="1126"/>
      <c r="AG99" s="1126"/>
      <c r="AH99" s="1126"/>
      <c r="AI99" s="1126"/>
      <c r="AJ99" s="1126"/>
      <c r="AK99" s="1126"/>
      <c r="AL99" s="1126"/>
      <c r="AM99" s="1126"/>
      <c r="AN99" s="1126"/>
      <c r="AO99" s="1126"/>
      <c r="AP99" s="1126"/>
      <c r="AQ99" s="2351"/>
    </row>
    <row r="100" spans="1:43" s="638" customFormat="1" ht="48" customHeight="1" x14ac:dyDescent="0.2">
      <c r="A100" s="3029"/>
      <c r="B100" s="3033"/>
      <c r="C100" s="3034"/>
      <c r="D100" s="3097"/>
      <c r="E100" s="3097"/>
      <c r="F100" s="3097"/>
      <c r="G100" s="620"/>
      <c r="H100" s="2293"/>
      <c r="I100" s="2294"/>
      <c r="J100" s="3098">
        <v>231</v>
      </c>
      <c r="K100" s="3045" t="s">
        <v>2385</v>
      </c>
      <c r="L100" s="3045" t="s">
        <v>2386</v>
      </c>
      <c r="M100" s="3064">
        <v>1</v>
      </c>
      <c r="N100" s="3060" t="s">
        <v>2387</v>
      </c>
      <c r="O100" s="3113" t="s">
        <v>2388</v>
      </c>
      <c r="P100" s="3017" t="s">
        <v>2389</v>
      </c>
      <c r="Q100" s="3126">
        <f>SUM(V100:V101)/R100</f>
        <v>0.10344827586206896</v>
      </c>
      <c r="R100" s="3127">
        <f>SUM(V100:V109)</f>
        <v>58000000</v>
      </c>
      <c r="S100" s="3054" t="s">
        <v>2390</v>
      </c>
      <c r="T100" s="3054" t="s">
        <v>2391</v>
      </c>
      <c r="U100" s="1176" t="s">
        <v>2392</v>
      </c>
      <c r="V100" s="2369">
        <v>3000000</v>
      </c>
      <c r="W100" s="2370" t="s">
        <v>202</v>
      </c>
      <c r="X100" s="2371" t="s">
        <v>2352</v>
      </c>
      <c r="Y100" s="3131">
        <v>638</v>
      </c>
      <c r="Z100" s="3091">
        <v>612</v>
      </c>
      <c r="AA100" s="3091">
        <v>380</v>
      </c>
      <c r="AB100" s="3091">
        <v>280</v>
      </c>
      <c r="AC100" s="3091">
        <v>161</v>
      </c>
      <c r="AD100" s="3091">
        <v>429</v>
      </c>
      <c r="AE100" s="3091"/>
      <c r="AF100" s="3091"/>
      <c r="AG100" s="3091"/>
      <c r="AH100" s="3091"/>
      <c r="AI100" s="3091"/>
      <c r="AJ100" s="3091"/>
      <c r="AK100" s="3091"/>
      <c r="AL100" s="3091"/>
      <c r="AM100" s="3091"/>
      <c r="AN100" s="3116">
        <f>+Y100+Z100</f>
        <v>1250</v>
      </c>
      <c r="AO100" s="3083">
        <v>43490</v>
      </c>
      <c r="AP100" s="3083">
        <v>43819</v>
      </c>
      <c r="AQ100" s="3118" t="s">
        <v>2329</v>
      </c>
    </row>
    <row r="101" spans="1:43" s="638" customFormat="1" ht="52.5" customHeight="1" x14ac:dyDescent="0.2">
      <c r="A101" s="3029"/>
      <c r="B101" s="3033"/>
      <c r="C101" s="3034"/>
      <c r="D101" s="3097"/>
      <c r="E101" s="3097"/>
      <c r="F101" s="3097"/>
      <c r="G101" s="620"/>
      <c r="H101" s="2298"/>
      <c r="I101" s="2299"/>
      <c r="J101" s="3098"/>
      <c r="K101" s="3045"/>
      <c r="L101" s="3045"/>
      <c r="M101" s="3064"/>
      <c r="N101" s="3125"/>
      <c r="O101" s="3114"/>
      <c r="P101" s="3018"/>
      <c r="Q101" s="3126"/>
      <c r="R101" s="3128"/>
      <c r="S101" s="3054"/>
      <c r="T101" s="3054"/>
      <c r="U101" s="1176" t="s">
        <v>2393</v>
      </c>
      <c r="V101" s="2369">
        <v>3000000</v>
      </c>
      <c r="W101" s="2372">
        <v>20</v>
      </c>
      <c r="X101" s="2371" t="s">
        <v>72</v>
      </c>
      <c r="Y101" s="3132"/>
      <c r="Z101" s="3094"/>
      <c r="AA101" s="3094"/>
      <c r="AB101" s="3094"/>
      <c r="AC101" s="3094"/>
      <c r="AD101" s="3094"/>
      <c r="AE101" s="3094"/>
      <c r="AF101" s="3094"/>
      <c r="AG101" s="3094"/>
      <c r="AH101" s="3094"/>
      <c r="AI101" s="3094"/>
      <c r="AJ101" s="3094"/>
      <c r="AK101" s="3094"/>
      <c r="AL101" s="3094"/>
      <c r="AM101" s="3094"/>
      <c r="AN101" s="3117"/>
      <c r="AO101" s="3084"/>
      <c r="AP101" s="3084"/>
      <c r="AQ101" s="3130"/>
    </row>
    <row r="102" spans="1:43" s="638" customFormat="1" ht="32.25" customHeight="1" x14ac:dyDescent="0.2">
      <c r="A102" s="3029"/>
      <c r="B102" s="3033"/>
      <c r="C102" s="3034"/>
      <c r="D102" s="3097"/>
      <c r="E102" s="3097"/>
      <c r="F102" s="3097"/>
      <c r="G102" s="620"/>
      <c r="H102" s="2298"/>
      <c r="I102" s="2299"/>
      <c r="J102" s="3098">
        <v>232</v>
      </c>
      <c r="K102" s="3045" t="s">
        <v>2394</v>
      </c>
      <c r="L102" s="3045" t="s">
        <v>2395</v>
      </c>
      <c r="M102" s="3064">
        <v>12</v>
      </c>
      <c r="N102" s="3125"/>
      <c r="O102" s="3114"/>
      <c r="P102" s="3018"/>
      <c r="Q102" s="3126">
        <f>SUM(V102:V106)/R100</f>
        <v>0.7068965517241379</v>
      </c>
      <c r="R102" s="3128"/>
      <c r="S102" s="3054"/>
      <c r="T102" s="3054"/>
      <c r="U102" s="3009" t="s">
        <v>2396</v>
      </c>
      <c r="V102" s="2369">
        <f>4000000+1000000</f>
        <v>5000000</v>
      </c>
      <c r="W102" s="2372">
        <v>20</v>
      </c>
      <c r="X102" s="2371" t="s">
        <v>72</v>
      </c>
      <c r="Y102" s="3132"/>
      <c r="Z102" s="3094"/>
      <c r="AA102" s="3094"/>
      <c r="AB102" s="3094"/>
      <c r="AC102" s="3094"/>
      <c r="AD102" s="3094"/>
      <c r="AE102" s="3094"/>
      <c r="AF102" s="3094"/>
      <c r="AG102" s="3094"/>
      <c r="AH102" s="3094"/>
      <c r="AI102" s="3094"/>
      <c r="AJ102" s="3094"/>
      <c r="AK102" s="3094"/>
      <c r="AL102" s="3094"/>
      <c r="AM102" s="3094"/>
      <c r="AN102" s="3117"/>
      <c r="AO102" s="3084"/>
      <c r="AP102" s="3084"/>
      <c r="AQ102" s="3130"/>
    </row>
    <row r="103" spans="1:43" s="638" customFormat="1" ht="43.5" customHeight="1" x14ac:dyDescent="0.2">
      <c r="A103" s="3029"/>
      <c r="B103" s="3033"/>
      <c r="C103" s="3034"/>
      <c r="D103" s="3097"/>
      <c r="E103" s="3097"/>
      <c r="F103" s="3097"/>
      <c r="G103" s="620"/>
      <c r="H103" s="2298"/>
      <c r="I103" s="2299"/>
      <c r="J103" s="3098"/>
      <c r="K103" s="3045"/>
      <c r="L103" s="3045"/>
      <c r="M103" s="3064"/>
      <c r="N103" s="3125"/>
      <c r="O103" s="3114"/>
      <c r="P103" s="3018"/>
      <c r="Q103" s="3126"/>
      <c r="R103" s="3128"/>
      <c r="S103" s="3054"/>
      <c r="T103" s="3054"/>
      <c r="U103" s="3010"/>
      <c r="V103" s="2369">
        <f>0+30000000</f>
        <v>30000000</v>
      </c>
      <c r="W103" s="2372">
        <v>88</v>
      </c>
      <c r="X103" s="2371" t="s">
        <v>61</v>
      </c>
      <c r="Y103" s="3132"/>
      <c r="Z103" s="3094"/>
      <c r="AA103" s="3094"/>
      <c r="AB103" s="3094"/>
      <c r="AC103" s="3094"/>
      <c r="AD103" s="3094"/>
      <c r="AE103" s="3094"/>
      <c r="AF103" s="3094"/>
      <c r="AG103" s="3094"/>
      <c r="AH103" s="3094"/>
      <c r="AI103" s="3094"/>
      <c r="AJ103" s="3094"/>
      <c r="AK103" s="3094"/>
      <c r="AL103" s="3094"/>
      <c r="AM103" s="3094"/>
      <c r="AN103" s="3117"/>
      <c r="AO103" s="3084"/>
      <c r="AP103" s="3084"/>
      <c r="AQ103" s="3130"/>
    </row>
    <row r="104" spans="1:43" s="638" customFormat="1" ht="54.75" customHeight="1" x14ac:dyDescent="0.2">
      <c r="A104" s="3029"/>
      <c r="B104" s="3033"/>
      <c r="C104" s="3034"/>
      <c r="D104" s="3097"/>
      <c r="E104" s="3097"/>
      <c r="F104" s="3097"/>
      <c r="G104" s="620"/>
      <c r="H104" s="2298"/>
      <c r="I104" s="2299"/>
      <c r="J104" s="3098"/>
      <c r="K104" s="3045"/>
      <c r="L104" s="3045"/>
      <c r="M104" s="3064"/>
      <c r="N104" s="3125"/>
      <c r="O104" s="3114"/>
      <c r="P104" s="3018"/>
      <c r="Q104" s="3126"/>
      <c r="R104" s="3128"/>
      <c r="S104" s="3054"/>
      <c r="T104" s="3054"/>
      <c r="U104" s="2315" t="s">
        <v>2397</v>
      </c>
      <c r="V104" s="2369">
        <v>5000000</v>
      </c>
      <c r="W104" s="2372">
        <v>20</v>
      </c>
      <c r="X104" s="2371" t="s">
        <v>72</v>
      </c>
      <c r="Y104" s="3132"/>
      <c r="Z104" s="3094"/>
      <c r="AA104" s="3094"/>
      <c r="AB104" s="3094"/>
      <c r="AC104" s="3094"/>
      <c r="AD104" s="3094"/>
      <c r="AE104" s="3094"/>
      <c r="AF104" s="3094"/>
      <c r="AG104" s="3094"/>
      <c r="AH104" s="3094"/>
      <c r="AI104" s="3094"/>
      <c r="AJ104" s="3094"/>
      <c r="AK104" s="3094"/>
      <c r="AL104" s="3094"/>
      <c r="AM104" s="3094"/>
      <c r="AN104" s="3117"/>
      <c r="AO104" s="3084"/>
      <c r="AP104" s="3084"/>
      <c r="AQ104" s="3130"/>
    </row>
    <row r="105" spans="1:43" s="638" customFormat="1" ht="22.5" customHeight="1" x14ac:dyDescent="0.2">
      <c r="A105" s="3029"/>
      <c r="B105" s="3033"/>
      <c r="C105" s="3034"/>
      <c r="D105" s="3097"/>
      <c r="E105" s="3097"/>
      <c r="F105" s="3097"/>
      <c r="G105" s="620"/>
      <c r="H105" s="2298"/>
      <c r="I105" s="2299"/>
      <c r="J105" s="3098"/>
      <c r="K105" s="3045"/>
      <c r="L105" s="3045"/>
      <c r="M105" s="3064"/>
      <c r="N105" s="3125"/>
      <c r="O105" s="3114"/>
      <c r="P105" s="3018"/>
      <c r="Q105" s="3126"/>
      <c r="R105" s="3128"/>
      <c r="S105" s="3054"/>
      <c r="T105" s="3054"/>
      <c r="U105" s="2315" t="s">
        <v>2398</v>
      </c>
      <c r="V105" s="2369">
        <f>1000000-1000000</f>
        <v>0</v>
      </c>
      <c r="W105" s="2372">
        <v>20</v>
      </c>
      <c r="X105" s="2371" t="s">
        <v>72</v>
      </c>
      <c r="Y105" s="3132"/>
      <c r="Z105" s="3094"/>
      <c r="AA105" s="3094"/>
      <c r="AB105" s="3094"/>
      <c r="AC105" s="3094"/>
      <c r="AD105" s="3094"/>
      <c r="AE105" s="3094"/>
      <c r="AF105" s="3094"/>
      <c r="AG105" s="3094"/>
      <c r="AH105" s="3094"/>
      <c r="AI105" s="3094"/>
      <c r="AJ105" s="3094"/>
      <c r="AK105" s="3094"/>
      <c r="AL105" s="3094"/>
      <c r="AM105" s="3094"/>
      <c r="AN105" s="3117"/>
      <c r="AO105" s="3084"/>
      <c r="AP105" s="3084"/>
      <c r="AQ105" s="3130"/>
    </row>
    <row r="106" spans="1:43" s="638" customFormat="1" ht="42" customHeight="1" x14ac:dyDescent="0.2">
      <c r="A106" s="3029"/>
      <c r="B106" s="3033"/>
      <c r="C106" s="3034"/>
      <c r="D106" s="3097"/>
      <c r="E106" s="3097"/>
      <c r="F106" s="3097"/>
      <c r="G106" s="620"/>
      <c r="H106" s="2298"/>
      <c r="I106" s="2299"/>
      <c r="J106" s="3098"/>
      <c r="K106" s="3045"/>
      <c r="L106" s="3045"/>
      <c r="M106" s="3064"/>
      <c r="N106" s="3125"/>
      <c r="O106" s="3114"/>
      <c r="P106" s="3018"/>
      <c r="Q106" s="3126"/>
      <c r="R106" s="3128"/>
      <c r="S106" s="3054"/>
      <c r="T106" s="3054"/>
      <c r="U106" s="2373" t="s">
        <v>2363</v>
      </c>
      <c r="V106" s="2369">
        <v>1000000</v>
      </c>
      <c r="W106" s="2372">
        <v>20</v>
      </c>
      <c r="X106" s="2371" t="s">
        <v>72</v>
      </c>
      <c r="Y106" s="3132"/>
      <c r="Z106" s="3094"/>
      <c r="AA106" s="3094"/>
      <c r="AB106" s="3094"/>
      <c r="AC106" s="3094"/>
      <c r="AD106" s="3094"/>
      <c r="AE106" s="3094"/>
      <c r="AF106" s="3094"/>
      <c r="AG106" s="3094"/>
      <c r="AH106" s="3094"/>
      <c r="AI106" s="3094"/>
      <c r="AJ106" s="3094"/>
      <c r="AK106" s="3094"/>
      <c r="AL106" s="3094"/>
      <c r="AM106" s="3094"/>
      <c r="AN106" s="3117"/>
      <c r="AO106" s="3084"/>
      <c r="AP106" s="3084"/>
      <c r="AQ106" s="3130"/>
    </row>
    <row r="107" spans="1:43" s="638" customFormat="1" ht="57" customHeight="1" x14ac:dyDescent="0.2">
      <c r="A107" s="3029"/>
      <c r="B107" s="3033"/>
      <c r="C107" s="3034"/>
      <c r="D107" s="3097"/>
      <c r="E107" s="3097"/>
      <c r="F107" s="3097"/>
      <c r="G107" s="620"/>
      <c r="H107" s="2298"/>
      <c r="I107" s="2299"/>
      <c r="J107" s="3098">
        <v>233</v>
      </c>
      <c r="K107" s="3045" t="s">
        <v>2399</v>
      </c>
      <c r="L107" s="3045" t="s">
        <v>2400</v>
      </c>
      <c r="M107" s="3064">
        <v>1</v>
      </c>
      <c r="N107" s="3125"/>
      <c r="O107" s="3114"/>
      <c r="P107" s="3018"/>
      <c r="Q107" s="3126">
        <f>SUM(V107:V109)/R100</f>
        <v>0.18965517241379309</v>
      </c>
      <c r="R107" s="3128"/>
      <c r="S107" s="3054"/>
      <c r="T107" s="3054"/>
      <c r="U107" s="1176" t="s">
        <v>2401</v>
      </c>
      <c r="V107" s="2369">
        <f>4000000+4000000</f>
        <v>8000000</v>
      </c>
      <c r="W107" s="2372">
        <v>20</v>
      </c>
      <c r="X107" s="2371" t="s">
        <v>72</v>
      </c>
      <c r="Y107" s="3132"/>
      <c r="Z107" s="3094"/>
      <c r="AA107" s="3094"/>
      <c r="AB107" s="3094"/>
      <c r="AC107" s="3094"/>
      <c r="AD107" s="3094"/>
      <c r="AE107" s="3094"/>
      <c r="AF107" s="3094"/>
      <c r="AG107" s="3094"/>
      <c r="AH107" s="3094"/>
      <c r="AI107" s="3094"/>
      <c r="AJ107" s="3094"/>
      <c r="AK107" s="3094"/>
      <c r="AL107" s="3094"/>
      <c r="AM107" s="3094"/>
      <c r="AN107" s="3117"/>
      <c r="AO107" s="3084"/>
      <c r="AP107" s="3084"/>
      <c r="AQ107" s="3130"/>
    </row>
    <row r="108" spans="1:43" s="638" customFormat="1" ht="69.75" customHeight="1" x14ac:dyDescent="0.2">
      <c r="A108" s="3029"/>
      <c r="B108" s="3033"/>
      <c r="C108" s="3034"/>
      <c r="D108" s="3097"/>
      <c r="E108" s="3097"/>
      <c r="F108" s="3097"/>
      <c r="G108" s="620"/>
      <c r="H108" s="2298"/>
      <c r="I108" s="2299"/>
      <c r="J108" s="3098"/>
      <c r="K108" s="3045"/>
      <c r="L108" s="3045"/>
      <c r="M108" s="3064"/>
      <c r="N108" s="3125"/>
      <c r="O108" s="3114"/>
      <c r="P108" s="3018"/>
      <c r="Q108" s="3126"/>
      <c r="R108" s="3128"/>
      <c r="S108" s="3054"/>
      <c r="T108" s="3054"/>
      <c r="U108" s="1176" t="s">
        <v>2402</v>
      </c>
      <c r="V108" s="2369">
        <f>4000000-4000000</f>
        <v>0</v>
      </c>
      <c r="W108" s="2372">
        <v>20</v>
      </c>
      <c r="X108" s="2371" t="s">
        <v>72</v>
      </c>
      <c r="Y108" s="3132"/>
      <c r="Z108" s="3094"/>
      <c r="AA108" s="3094"/>
      <c r="AB108" s="3094"/>
      <c r="AC108" s="3094"/>
      <c r="AD108" s="3094"/>
      <c r="AE108" s="3094"/>
      <c r="AF108" s="3094"/>
      <c r="AG108" s="3094"/>
      <c r="AH108" s="3094"/>
      <c r="AI108" s="3094"/>
      <c r="AJ108" s="3094"/>
      <c r="AK108" s="3094"/>
      <c r="AL108" s="3094"/>
      <c r="AM108" s="3094"/>
      <c r="AN108" s="3117"/>
      <c r="AO108" s="3084"/>
      <c r="AP108" s="3084"/>
      <c r="AQ108" s="3130"/>
    </row>
    <row r="109" spans="1:43" s="638" customFormat="1" ht="39.75" customHeight="1" x14ac:dyDescent="0.2">
      <c r="A109" s="3029"/>
      <c r="B109" s="3033"/>
      <c r="C109" s="3034"/>
      <c r="D109" s="3097"/>
      <c r="E109" s="3097"/>
      <c r="F109" s="3097"/>
      <c r="G109" s="620"/>
      <c r="H109" s="2319"/>
      <c r="I109" s="2320"/>
      <c r="J109" s="3098"/>
      <c r="K109" s="3045"/>
      <c r="L109" s="3045"/>
      <c r="M109" s="3064"/>
      <c r="N109" s="3125"/>
      <c r="O109" s="3114"/>
      <c r="P109" s="3018"/>
      <c r="Q109" s="3126"/>
      <c r="R109" s="3129"/>
      <c r="S109" s="3054"/>
      <c r="T109" s="3054"/>
      <c r="U109" s="1176" t="s">
        <v>2403</v>
      </c>
      <c r="V109" s="2374">
        <v>3000000</v>
      </c>
      <c r="W109" s="2372">
        <v>20</v>
      </c>
      <c r="X109" s="2371" t="s">
        <v>72</v>
      </c>
      <c r="Y109" s="3132"/>
      <c r="Z109" s="3094"/>
      <c r="AA109" s="3094"/>
      <c r="AB109" s="3094"/>
      <c r="AC109" s="3094"/>
      <c r="AD109" s="3094"/>
      <c r="AE109" s="3094"/>
      <c r="AF109" s="3094"/>
      <c r="AG109" s="3094"/>
      <c r="AH109" s="3094"/>
      <c r="AI109" s="3094"/>
      <c r="AJ109" s="3094"/>
      <c r="AK109" s="3094"/>
      <c r="AL109" s="3094"/>
      <c r="AM109" s="3094"/>
      <c r="AN109" s="3117"/>
      <c r="AO109" s="3085"/>
      <c r="AP109" s="3085"/>
      <c r="AQ109" s="3130"/>
    </row>
    <row r="110" spans="1:43" s="620" customFormat="1" ht="15" customHeight="1" x14ac:dyDescent="0.2">
      <c r="A110" s="3029"/>
      <c r="B110" s="3033"/>
      <c r="C110" s="3034"/>
      <c r="D110" s="3097"/>
      <c r="E110" s="3097"/>
      <c r="F110" s="3097"/>
      <c r="G110" s="2283">
        <v>80</v>
      </c>
      <c r="H110" s="1121" t="s">
        <v>2404</v>
      </c>
      <c r="I110" s="1121"/>
      <c r="J110" s="1154"/>
      <c r="K110" s="2321"/>
      <c r="L110" s="2322"/>
      <c r="M110" s="1220"/>
      <c r="N110" s="1214"/>
      <c r="O110" s="1215"/>
      <c r="P110" s="1123"/>
      <c r="Q110" s="2323"/>
      <c r="R110" s="2324"/>
      <c r="S110" s="2321"/>
      <c r="T110" s="2321"/>
      <c r="U110" s="2321"/>
      <c r="V110" s="2325"/>
      <c r="W110" s="2375"/>
      <c r="X110" s="2375"/>
      <c r="Y110" s="1121"/>
      <c r="Z110" s="1121"/>
      <c r="AA110" s="1121"/>
      <c r="AB110" s="1121"/>
      <c r="AC110" s="1121"/>
      <c r="AD110" s="1121"/>
      <c r="AE110" s="1121"/>
      <c r="AF110" s="1121"/>
      <c r="AG110" s="1121"/>
      <c r="AH110" s="1121"/>
      <c r="AI110" s="1121"/>
      <c r="AJ110" s="1121"/>
      <c r="AK110" s="1128"/>
      <c r="AL110" s="1128"/>
      <c r="AM110" s="1128"/>
      <c r="AN110" s="1128"/>
      <c r="AO110" s="1128"/>
      <c r="AP110" s="1128"/>
      <c r="AQ110" s="2376"/>
    </row>
    <row r="111" spans="1:43" s="638" customFormat="1" ht="59.25" customHeight="1" x14ac:dyDescent="0.2">
      <c r="A111" s="3029"/>
      <c r="B111" s="3033"/>
      <c r="C111" s="3034"/>
      <c r="D111" s="3097"/>
      <c r="E111" s="3097"/>
      <c r="F111" s="3097"/>
      <c r="G111" s="620"/>
      <c r="H111" s="2293"/>
      <c r="I111" s="2294"/>
      <c r="J111" s="3064">
        <v>234</v>
      </c>
      <c r="K111" s="3045" t="s">
        <v>2405</v>
      </c>
      <c r="L111" s="3045" t="s">
        <v>2406</v>
      </c>
      <c r="M111" s="3133">
        <v>2</v>
      </c>
      <c r="N111" s="3060" t="s">
        <v>2407</v>
      </c>
      <c r="O111" s="3114" t="s">
        <v>2408</v>
      </c>
      <c r="P111" s="3018" t="s">
        <v>2409</v>
      </c>
      <c r="Q111" s="3126">
        <f>SUM(V111:V115)/R111</f>
        <v>0.22058823529411764</v>
      </c>
      <c r="R111" s="3127">
        <f>SUM(V111:V128)</f>
        <v>68000000</v>
      </c>
      <c r="S111" s="3054" t="s">
        <v>2410</v>
      </c>
      <c r="T111" s="3054" t="s">
        <v>2411</v>
      </c>
      <c r="U111" s="2305" t="s">
        <v>2412</v>
      </c>
      <c r="V111" s="2377">
        <f>5000000-5000000</f>
        <v>0</v>
      </c>
      <c r="W111" s="2378" t="s">
        <v>202</v>
      </c>
      <c r="X111" s="2302" t="s">
        <v>2352</v>
      </c>
      <c r="Y111" s="3116">
        <v>638</v>
      </c>
      <c r="Z111" s="3116">
        <v>612</v>
      </c>
      <c r="AA111" s="3116">
        <v>380</v>
      </c>
      <c r="AB111" s="3116">
        <v>280</v>
      </c>
      <c r="AC111" s="3116">
        <v>161</v>
      </c>
      <c r="AD111" s="3116">
        <v>429</v>
      </c>
      <c r="AE111" s="3116"/>
      <c r="AF111" s="3116"/>
      <c r="AG111" s="3116"/>
      <c r="AH111" s="3116"/>
      <c r="AI111" s="3116"/>
      <c r="AJ111" s="3116"/>
      <c r="AK111" s="3116"/>
      <c r="AL111" s="3116"/>
      <c r="AM111" s="3116"/>
      <c r="AN111" s="3116">
        <f>+Y111+Z111</f>
        <v>1250</v>
      </c>
      <c r="AO111" s="3083">
        <v>43475</v>
      </c>
      <c r="AP111" s="3083">
        <v>43809</v>
      </c>
      <c r="AQ111" s="3118" t="s">
        <v>2329</v>
      </c>
    </row>
    <row r="112" spans="1:43" s="638" customFormat="1" ht="38.25" customHeight="1" x14ac:dyDescent="0.2">
      <c r="A112" s="3029"/>
      <c r="B112" s="3033"/>
      <c r="C112" s="3034"/>
      <c r="D112" s="3097"/>
      <c r="E112" s="3097"/>
      <c r="F112" s="3097"/>
      <c r="G112" s="620"/>
      <c r="H112" s="2298"/>
      <c r="I112" s="2299"/>
      <c r="J112" s="3064"/>
      <c r="K112" s="3045"/>
      <c r="L112" s="3045"/>
      <c r="M112" s="3133"/>
      <c r="N112" s="3125"/>
      <c r="O112" s="3114"/>
      <c r="P112" s="3018"/>
      <c r="Q112" s="3126"/>
      <c r="R112" s="3128"/>
      <c r="S112" s="3054"/>
      <c r="T112" s="3054"/>
      <c r="U112" s="3134" t="s">
        <v>2413</v>
      </c>
      <c r="V112" s="2377">
        <f>0+5000000</f>
        <v>5000000</v>
      </c>
      <c r="W112" s="2378" t="s">
        <v>202</v>
      </c>
      <c r="X112" s="2302" t="s">
        <v>2352</v>
      </c>
      <c r="Y112" s="3116"/>
      <c r="Z112" s="3116"/>
      <c r="AA112" s="3116"/>
      <c r="AB112" s="3116"/>
      <c r="AC112" s="3116"/>
      <c r="AD112" s="3116"/>
      <c r="AE112" s="3116"/>
      <c r="AF112" s="3116"/>
      <c r="AG112" s="3116"/>
      <c r="AH112" s="3116"/>
      <c r="AI112" s="3116"/>
      <c r="AJ112" s="3116"/>
      <c r="AK112" s="3116"/>
      <c r="AL112" s="3116"/>
      <c r="AM112" s="3116"/>
      <c r="AN112" s="3116"/>
      <c r="AO112" s="3084"/>
      <c r="AP112" s="3084"/>
      <c r="AQ112" s="3118"/>
    </row>
    <row r="113" spans="1:43" s="638" customFormat="1" ht="38.25" customHeight="1" x14ac:dyDescent="0.2">
      <c r="A113" s="3029"/>
      <c r="B113" s="3033"/>
      <c r="C113" s="3034"/>
      <c r="D113" s="3097"/>
      <c r="E113" s="3097"/>
      <c r="F113" s="3097"/>
      <c r="G113" s="620"/>
      <c r="H113" s="2298"/>
      <c r="I113" s="2299"/>
      <c r="J113" s="3064"/>
      <c r="K113" s="3045"/>
      <c r="L113" s="3045"/>
      <c r="M113" s="3133"/>
      <c r="N113" s="3125"/>
      <c r="O113" s="3114"/>
      <c r="P113" s="3018"/>
      <c r="Q113" s="3126"/>
      <c r="R113" s="3128"/>
      <c r="S113" s="3054"/>
      <c r="T113" s="3054"/>
      <c r="U113" s="3135"/>
      <c r="V113" s="2377">
        <f>0+3000000</f>
        <v>3000000</v>
      </c>
      <c r="W113" s="2378">
        <v>88</v>
      </c>
      <c r="X113" s="2302" t="s">
        <v>2414</v>
      </c>
      <c r="Y113" s="3116"/>
      <c r="Z113" s="3116"/>
      <c r="AA113" s="3116"/>
      <c r="AB113" s="3116"/>
      <c r="AC113" s="3116"/>
      <c r="AD113" s="3116"/>
      <c r="AE113" s="3116"/>
      <c r="AF113" s="3116"/>
      <c r="AG113" s="3116"/>
      <c r="AH113" s="3116"/>
      <c r="AI113" s="3116"/>
      <c r="AJ113" s="3116"/>
      <c r="AK113" s="3116"/>
      <c r="AL113" s="3116"/>
      <c r="AM113" s="3116"/>
      <c r="AN113" s="3116"/>
      <c r="AO113" s="3084"/>
      <c r="AP113" s="3084"/>
      <c r="AQ113" s="3118"/>
    </row>
    <row r="114" spans="1:43" s="638" customFormat="1" ht="38.25" customHeight="1" x14ac:dyDescent="0.2">
      <c r="A114" s="3029"/>
      <c r="B114" s="3033"/>
      <c r="C114" s="3034"/>
      <c r="D114" s="3097"/>
      <c r="E114" s="3097"/>
      <c r="F114" s="3097"/>
      <c r="G114" s="620"/>
      <c r="H114" s="2298"/>
      <c r="I114" s="2299"/>
      <c r="J114" s="3064"/>
      <c r="K114" s="3045"/>
      <c r="L114" s="3045"/>
      <c r="M114" s="3133"/>
      <c r="N114" s="3125"/>
      <c r="O114" s="3114"/>
      <c r="P114" s="3018"/>
      <c r="Q114" s="3126"/>
      <c r="R114" s="3128"/>
      <c r="S114" s="3054"/>
      <c r="T114" s="3054"/>
      <c r="U114" s="3136" t="s">
        <v>2415</v>
      </c>
      <c r="V114" s="2377">
        <v>5000000</v>
      </c>
      <c r="W114" s="2337">
        <v>20</v>
      </c>
      <c r="X114" s="2302" t="s">
        <v>72</v>
      </c>
      <c r="Y114" s="3116"/>
      <c r="Z114" s="3116"/>
      <c r="AA114" s="3116"/>
      <c r="AB114" s="3116"/>
      <c r="AC114" s="3116"/>
      <c r="AD114" s="3116"/>
      <c r="AE114" s="3116"/>
      <c r="AF114" s="3116"/>
      <c r="AG114" s="3116"/>
      <c r="AH114" s="3116"/>
      <c r="AI114" s="3116"/>
      <c r="AJ114" s="3116"/>
      <c r="AK114" s="3116"/>
      <c r="AL114" s="3116"/>
      <c r="AM114" s="3116"/>
      <c r="AN114" s="3116"/>
      <c r="AO114" s="3084"/>
      <c r="AP114" s="3084"/>
      <c r="AQ114" s="3118"/>
    </row>
    <row r="115" spans="1:43" s="638" customFormat="1" ht="33" customHeight="1" x14ac:dyDescent="0.2">
      <c r="A115" s="3029"/>
      <c r="B115" s="3033"/>
      <c r="C115" s="3034"/>
      <c r="D115" s="3097"/>
      <c r="E115" s="3097"/>
      <c r="F115" s="3097"/>
      <c r="G115" s="620"/>
      <c r="H115" s="2298"/>
      <c r="I115" s="2299"/>
      <c r="J115" s="3064"/>
      <c r="K115" s="3045"/>
      <c r="L115" s="3045"/>
      <c r="M115" s="3133"/>
      <c r="N115" s="3125"/>
      <c r="O115" s="3114"/>
      <c r="P115" s="3018"/>
      <c r="Q115" s="3126"/>
      <c r="R115" s="3128"/>
      <c r="S115" s="3054"/>
      <c r="T115" s="3054"/>
      <c r="U115" s="3137"/>
      <c r="V115" s="2377">
        <f>0+2000000</f>
        <v>2000000</v>
      </c>
      <c r="W115" s="2378">
        <v>88</v>
      </c>
      <c r="X115" s="2302" t="s">
        <v>2414</v>
      </c>
      <c r="Y115" s="3117"/>
      <c r="Z115" s="3117"/>
      <c r="AA115" s="3117"/>
      <c r="AB115" s="3117"/>
      <c r="AC115" s="3117"/>
      <c r="AD115" s="3117"/>
      <c r="AE115" s="3117"/>
      <c r="AF115" s="3117"/>
      <c r="AG115" s="3117"/>
      <c r="AH115" s="3117"/>
      <c r="AI115" s="3117"/>
      <c r="AJ115" s="3117"/>
      <c r="AK115" s="3117"/>
      <c r="AL115" s="3117"/>
      <c r="AM115" s="3117"/>
      <c r="AN115" s="3117"/>
      <c r="AO115" s="3084"/>
      <c r="AP115" s="3084"/>
      <c r="AQ115" s="3130"/>
    </row>
    <row r="116" spans="1:43" s="638" customFormat="1" ht="27" customHeight="1" x14ac:dyDescent="0.2">
      <c r="A116" s="3029"/>
      <c r="B116" s="3033"/>
      <c r="C116" s="3034"/>
      <c r="D116" s="3097"/>
      <c r="E116" s="3097"/>
      <c r="F116" s="3097"/>
      <c r="G116" s="620"/>
      <c r="H116" s="2298"/>
      <c r="I116" s="2299"/>
      <c r="J116" s="3064">
        <v>235</v>
      </c>
      <c r="K116" s="3045" t="s">
        <v>2416</v>
      </c>
      <c r="L116" s="3045" t="s">
        <v>2417</v>
      </c>
      <c r="M116" s="3133">
        <v>2</v>
      </c>
      <c r="N116" s="3125"/>
      <c r="O116" s="3114"/>
      <c r="P116" s="3018"/>
      <c r="Q116" s="3126">
        <f>SUM(V116:V128)/R111</f>
        <v>0.77941176470588236</v>
      </c>
      <c r="R116" s="3128"/>
      <c r="S116" s="3054"/>
      <c r="T116" s="3068"/>
      <c r="U116" s="2247" t="s">
        <v>2418</v>
      </c>
      <c r="V116" s="2377">
        <f>2000000-2000000</f>
        <v>0</v>
      </c>
      <c r="W116" s="2337">
        <v>20</v>
      </c>
      <c r="X116" s="2302" t="s">
        <v>72</v>
      </c>
      <c r="Y116" s="3117"/>
      <c r="Z116" s="3117"/>
      <c r="AA116" s="3117"/>
      <c r="AB116" s="3117"/>
      <c r="AC116" s="3117"/>
      <c r="AD116" s="3117"/>
      <c r="AE116" s="3117"/>
      <c r="AF116" s="3117"/>
      <c r="AG116" s="3117"/>
      <c r="AH116" s="3117"/>
      <c r="AI116" s="3117"/>
      <c r="AJ116" s="3117"/>
      <c r="AK116" s="3117"/>
      <c r="AL116" s="3117"/>
      <c r="AM116" s="3117"/>
      <c r="AN116" s="3117"/>
      <c r="AO116" s="3084"/>
      <c r="AP116" s="3084"/>
      <c r="AQ116" s="3130"/>
    </row>
    <row r="117" spans="1:43" s="638" customFormat="1" ht="32.25" customHeight="1" x14ac:dyDescent="0.2">
      <c r="A117" s="3029"/>
      <c r="B117" s="3033"/>
      <c r="C117" s="3034"/>
      <c r="D117" s="3097"/>
      <c r="E117" s="3097"/>
      <c r="F117" s="3097"/>
      <c r="G117" s="620"/>
      <c r="H117" s="2298"/>
      <c r="I117" s="2299"/>
      <c r="J117" s="3064"/>
      <c r="K117" s="3045"/>
      <c r="L117" s="3045"/>
      <c r="M117" s="3133"/>
      <c r="N117" s="3125"/>
      <c r="O117" s="3114"/>
      <c r="P117" s="3018"/>
      <c r="Q117" s="3126"/>
      <c r="R117" s="3128"/>
      <c r="S117" s="3054"/>
      <c r="T117" s="3068"/>
      <c r="U117" s="3065" t="s">
        <v>2419</v>
      </c>
      <c r="V117" s="2377">
        <f>0+2000000</f>
        <v>2000000</v>
      </c>
      <c r="W117" s="2337">
        <v>20</v>
      </c>
      <c r="X117" s="2302" t="s">
        <v>72</v>
      </c>
      <c r="Y117" s="3117"/>
      <c r="Z117" s="3117"/>
      <c r="AA117" s="3117"/>
      <c r="AB117" s="3117"/>
      <c r="AC117" s="3117"/>
      <c r="AD117" s="3117"/>
      <c r="AE117" s="3117"/>
      <c r="AF117" s="3117"/>
      <c r="AG117" s="3117"/>
      <c r="AH117" s="3117"/>
      <c r="AI117" s="3117"/>
      <c r="AJ117" s="3117"/>
      <c r="AK117" s="3117"/>
      <c r="AL117" s="3117"/>
      <c r="AM117" s="3117"/>
      <c r="AN117" s="3117"/>
      <c r="AO117" s="3084"/>
      <c r="AP117" s="3084"/>
      <c r="AQ117" s="3130"/>
    </row>
    <row r="118" spans="1:43" s="638" customFormat="1" ht="32.25" customHeight="1" x14ac:dyDescent="0.2">
      <c r="A118" s="3029"/>
      <c r="B118" s="3033"/>
      <c r="C118" s="3034"/>
      <c r="D118" s="3097"/>
      <c r="E118" s="3097"/>
      <c r="F118" s="3097"/>
      <c r="G118" s="620"/>
      <c r="H118" s="2298"/>
      <c r="I118" s="2299"/>
      <c r="J118" s="3064"/>
      <c r="K118" s="3045"/>
      <c r="L118" s="3045"/>
      <c r="M118" s="3133"/>
      <c r="N118" s="3125"/>
      <c r="O118" s="3114"/>
      <c r="P118" s="3018"/>
      <c r="Q118" s="3126"/>
      <c r="R118" s="3128"/>
      <c r="S118" s="3054"/>
      <c r="T118" s="3068"/>
      <c r="U118" s="3066"/>
      <c r="V118" s="2377">
        <v>400000</v>
      </c>
      <c r="W118" s="2379">
        <v>88</v>
      </c>
      <c r="X118" s="2380" t="s">
        <v>2414</v>
      </c>
      <c r="Y118" s="3117"/>
      <c r="Z118" s="3117"/>
      <c r="AA118" s="3117"/>
      <c r="AB118" s="3117"/>
      <c r="AC118" s="3117"/>
      <c r="AD118" s="3117"/>
      <c r="AE118" s="3117"/>
      <c r="AF118" s="3117"/>
      <c r="AG118" s="3117"/>
      <c r="AH118" s="3117"/>
      <c r="AI118" s="3117"/>
      <c r="AJ118" s="3117"/>
      <c r="AK118" s="3117"/>
      <c r="AL118" s="3117"/>
      <c r="AM118" s="3117"/>
      <c r="AN118" s="3117"/>
      <c r="AO118" s="3084"/>
      <c r="AP118" s="3084"/>
      <c r="AQ118" s="3130"/>
    </row>
    <row r="119" spans="1:43" s="638" customFormat="1" ht="34.5" customHeight="1" x14ac:dyDescent="0.2">
      <c r="A119" s="3029"/>
      <c r="B119" s="3033"/>
      <c r="C119" s="3034"/>
      <c r="D119" s="3097"/>
      <c r="E119" s="3097"/>
      <c r="F119" s="3097"/>
      <c r="G119" s="620"/>
      <c r="H119" s="2298"/>
      <c r="I119" s="2299"/>
      <c r="J119" s="3064"/>
      <c r="K119" s="3045"/>
      <c r="L119" s="3045"/>
      <c r="M119" s="3133"/>
      <c r="N119" s="3125"/>
      <c r="O119" s="3114"/>
      <c r="P119" s="3018"/>
      <c r="Q119" s="3126"/>
      <c r="R119" s="3128"/>
      <c r="S119" s="3054"/>
      <c r="T119" s="3068"/>
      <c r="U119" s="2247" t="s">
        <v>2420</v>
      </c>
      <c r="V119" s="2377">
        <f>4000000+1000000</f>
        <v>5000000</v>
      </c>
      <c r="W119" s="2337">
        <v>20</v>
      </c>
      <c r="X119" s="2302" t="s">
        <v>72</v>
      </c>
      <c r="Y119" s="3117"/>
      <c r="Z119" s="3117"/>
      <c r="AA119" s="3117"/>
      <c r="AB119" s="3117"/>
      <c r="AC119" s="3117"/>
      <c r="AD119" s="3117"/>
      <c r="AE119" s="3117"/>
      <c r="AF119" s="3117"/>
      <c r="AG119" s="3117"/>
      <c r="AH119" s="3117"/>
      <c r="AI119" s="3117"/>
      <c r="AJ119" s="3117"/>
      <c r="AK119" s="3117"/>
      <c r="AL119" s="3117"/>
      <c r="AM119" s="3117"/>
      <c r="AN119" s="3117"/>
      <c r="AO119" s="3084"/>
      <c r="AP119" s="3084"/>
      <c r="AQ119" s="3130"/>
    </row>
    <row r="120" spans="1:43" s="638" customFormat="1" ht="31.5" customHeight="1" x14ac:dyDescent="0.2">
      <c r="A120" s="3029"/>
      <c r="B120" s="3033"/>
      <c r="C120" s="3034"/>
      <c r="D120" s="3097"/>
      <c r="E120" s="3097"/>
      <c r="F120" s="3097"/>
      <c r="G120" s="620"/>
      <c r="H120" s="2298"/>
      <c r="I120" s="2299"/>
      <c r="J120" s="3064"/>
      <c r="K120" s="3045"/>
      <c r="L120" s="3045"/>
      <c r="M120" s="3133"/>
      <c r="N120" s="3125"/>
      <c r="O120" s="3114"/>
      <c r="P120" s="3018"/>
      <c r="Q120" s="3126"/>
      <c r="R120" s="3128"/>
      <c r="S120" s="3054"/>
      <c r="T120" s="3068"/>
      <c r="U120" s="3062" t="s">
        <v>2421</v>
      </c>
      <c r="V120" s="2377">
        <f>4000000</f>
        <v>4000000</v>
      </c>
      <c r="W120" s="2337">
        <v>20</v>
      </c>
      <c r="X120" s="2302" t="s">
        <v>72</v>
      </c>
      <c r="Y120" s="3117"/>
      <c r="Z120" s="3117"/>
      <c r="AA120" s="3117"/>
      <c r="AB120" s="3117"/>
      <c r="AC120" s="3117"/>
      <c r="AD120" s="3117"/>
      <c r="AE120" s="3117"/>
      <c r="AF120" s="3117"/>
      <c r="AG120" s="3117"/>
      <c r="AH120" s="3117"/>
      <c r="AI120" s="3117"/>
      <c r="AJ120" s="3117"/>
      <c r="AK120" s="3117"/>
      <c r="AL120" s="3117"/>
      <c r="AM120" s="3117"/>
      <c r="AN120" s="3117"/>
      <c r="AO120" s="3084"/>
      <c r="AP120" s="3084"/>
      <c r="AQ120" s="3130"/>
    </row>
    <row r="121" spans="1:43" s="638" customFormat="1" ht="31.5" customHeight="1" x14ac:dyDescent="0.2">
      <c r="A121" s="3029"/>
      <c r="B121" s="3033"/>
      <c r="C121" s="3034"/>
      <c r="D121" s="3097"/>
      <c r="E121" s="3097"/>
      <c r="F121" s="3097"/>
      <c r="G121" s="620"/>
      <c r="H121" s="2298"/>
      <c r="I121" s="2299"/>
      <c r="J121" s="3064"/>
      <c r="K121" s="3045"/>
      <c r="L121" s="3045"/>
      <c r="M121" s="3133"/>
      <c r="N121" s="3125"/>
      <c r="O121" s="3114"/>
      <c r="P121" s="3018"/>
      <c r="Q121" s="3126"/>
      <c r="R121" s="3128"/>
      <c r="S121" s="3054"/>
      <c r="T121" s="3068"/>
      <c r="U121" s="3063"/>
      <c r="V121" s="2377">
        <f>0+9600000+7000000</f>
        <v>16600000</v>
      </c>
      <c r="W121" s="2379">
        <v>88</v>
      </c>
      <c r="X121" s="2380" t="s">
        <v>2414</v>
      </c>
      <c r="Y121" s="3117"/>
      <c r="Z121" s="3117"/>
      <c r="AA121" s="3117"/>
      <c r="AB121" s="3117"/>
      <c r="AC121" s="3117"/>
      <c r="AD121" s="3117"/>
      <c r="AE121" s="3117"/>
      <c r="AF121" s="3117"/>
      <c r="AG121" s="3117"/>
      <c r="AH121" s="3117"/>
      <c r="AI121" s="3117"/>
      <c r="AJ121" s="3117"/>
      <c r="AK121" s="3117"/>
      <c r="AL121" s="3117"/>
      <c r="AM121" s="3117"/>
      <c r="AN121" s="3117"/>
      <c r="AO121" s="3084"/>
      <c r="AP121" s="3084"/>
      <c r="AQ121" s="3130"/>
    </row>
    <row r="122" spans="1:43" s="638" customFormat="1" ht="21.75" customHeight="1" x14ac:dyDescent="0.2">
      <c r="A122" s="3029"/>
      <c r="B122" s="3033"/>
      <c r="C122" s="3034"/>
      <c r="D122" s="3097"/>
      <c r="E122" s="3097"/>
      <c r="F122" s="3097"/>
      <c r="G122" s="620"/>
      <c r="H122" s="2298"/>
      <c r="I122" s="2299"/>
      <c r="J122" s="3064"/>
      <c r="K122" s="3045"/>
      <c r="L122" s="3045"/>
      <c r="M122" s="3133"/>
      <c r="N122" s="3125"/>
      <c r="O122" s="3114"/>
      <c r="P122" s="3018"/>
      <c r="Q122" s="3126"/>
      <c r="R122" s="3128"/>
      <c r="S122" s="3054"/>
      <c r="T122" s="3068"/>
      <c r="U122" s="2247" t="s">
        <v>2422</v>
      </c>
      <c r="V122" s="2377">
        <f>2000000-2000000</f>
        <v>0</v>
      </c>
      <c r="W122" s="2337">
        <v>20</v>
      </c>
      <c r="X122" s="2302" t="s">
        <v>72</v>
      </c>
      <c r="Y122" s="3117"/>
      <c r="Z122" s="3117"/>
      <c r="AA122" s="3117"/>
      <c r="AB122" s="3117"/>
      <c r="AC122" s="3117"/>
      <c r="AD122" s="3117"/>
      <c r="AE122" s="3117"/>
      <c r="AF122" s="3117"/>
      <c r="AG122" s="3117"/>
      <c r="AH122" s="3117"/>
      <c r="AI122" s="3117"/>
      <c r="AJ122" s="3117"/>
      <c r="AK122" s="3117"/>
      <c r="AL122" s="3117"/>
      <c r="AM122" s="3117"/>
      <c r="AN122" s="3117"/>
      <c r="AO122" s="3084"/>
      <c r="AP122" s="3084"/>
      <c r="AQ122" s="3130"/>
    </row>
    <row r="123" spans="1:43" s="638" customFormat="1" ht="21.75" customHeight="1" x14ac:dyDescent="0.2">
      <c r="A123" s="3029"/>
      <c r="B123" s="3033"/>
      <c r="C123" s="3034"/>
      <c r="D123" s="3097"/>
      <c r="E123" s="3097"/>
      <c r="F123" s="3097"/>
      <c r="G123" s="620"/>
      <c r="H123" s="2298"/>
      <c r="I123" s="2299"/>
      <c r="J123" s="3064"/>
      <c r="K123" s="3045"/>
      <c r="L123" s="3045"/>
      <c r="M123" s="3133"/>
      <c r="N123" s="3125"/>
      <c r="O123" s="3114"/>
      <c r="P123" s="3018"/>
      <c r="Q123" s="3126"/>
      <c r="R123" s="3128"/>
      <c r="S123" s="3054"/>
      <c r="T123" s="3068"/>
      <c r="U123" s="2247" t="s">
        <v>2423</v>
      </c>
      <c r="V123" s="2377">
        <f>0+1000000</f>
        <v>1000000</v>
      </c>
      <c r="W123" s="2337">
        <v>20</v>
      </c>
      <c r="X123" s="2302"/>
      <c r="Y123" s="3117"/>
      <c r="Z123" s="3117"/>
      <c r="AA123" s="3117"/>
      <c r="AB123" s="3117"/>
      <c r="AC123" s="3117"/>
      <c r="AD123" s="3117"/>
      <c r="AE123" s="3117"/>
      <c r="AF123" s="3117"/>
      <c r="AG123" s="3117"/>
      <c r="AH123" s="3117"/>
      <c r="AI123" s="3117"/>
      <c r="AJ123" s="3117"/>
      <c r="AK123" s="3117"/>
      <c r="AL123" s="3117"/>
      <c r="AM123" s="3117"/>
      <c r="AN123" s="3117"/>
      <c r="AO123" s="3084"/>
      <c r="AP123" s="3084"/>
      <c r="AQ123" s="3130"/>
    </row>
    <row r="124" spans="1:43" s="638" customFormat="1" ht="27.75" customHeight="1" x14ac:dyDescent="0.2">
      <c r="A124" s="3029"/>
      <c r="B124" s="3033"/>
      <c r="C124" s="3034"/>
      <c r="D124" s="3097"/>
      <c r="E124" s="3097"/>
      <c r="F124" s="3097"/>
      <c r="G124" s="620"/>
      <c r="H124" s="2298"/>
      <c r="I124" s="2299"/>
      <c r="J124" s="3064"/>
      <c r="K124" s="3045"/>
      <c r="L124" s="3045"/>
      <c r="M124" s="3133"/>
      <c r="N124" s="3125"/>
      <c r="O124" s="3114"/>
      <c r="P124" s="3018"/>
      <c r="Q124" s="3126"/>
      <c r="R124" s="3128"/>
      <c r="S124" s="3054"/>
      <c r="T124" s="3068"/>
      <c r="U124" s="2247" t="s">
        <v>2424</v>
      </c>
      <c r="V124" s="2377">
        <v>1000000</v>
      </c>
      <c r="W124" s="2381">
        <v>20</v>
      </c>
      <c r="X124" s="2302" t="s">
        <v>72</v>
      </c>
      <c r="Y124" s="3117"/>
      <c r="Z124" s="3117"/>
      <c r="AA124" s="3117"/>
      <c r="AB124" s="3117"/>
      <c r="AC124" s="3117"/>
      <c r="AD124" s="3117"/>
      <c r="AE124" s="3117"/>
      <c r="AF124" s="3117"/>
      <c r="AG124" s="3117"/>
      <c r="AH124" s="3117"/>
      <c r="AI124" s="3117"/>
      <c r="AJ124" s="3117"/>
      <c r="AK124" s="3117"/>
      <c r="AL124" s="3117"/>
      <c r="AM124" s="3117"/>
      <c r="AN124" s="3117"/>
      <c r="AO124" s="3084"/>
      <c r="AP124" s="3084"/>
      <c r="AQ124" s="3130"/>
    </row>
    <row r="125" spans="1:43" s="638" customFormat="1" ht="23.25" customHeight="1" x14ac:dyDescent="0.2">
      <c r="A125" s="3029"/>
      <c r="B125" s="3033"/>
      <c r="C125" s="3034"/>
      <c r="D125" s="3097"/>
      <c r="E125" s="3097"/>
      <c r="F125" s="3097"/>
      <c r="G125" s="620"/>
      <c r="H125" s="2298"/>
      <c r="I125" s="2299"/>
      <c r="J125" s="3064"/>
      <c r="K125" s="3045"/>
      <c r="L125" s="3045"/>
      <c r="M125" s="3133"/>
      <c r="N125" s="3125"/>
      <c r="O125" s="3114"/>
      <c r="P125" s="3018"/>
      <c r="Q125" s="3126"/>
      <c r="R125" s="3128"/>
      <c r="S125" s="3054"/>
      <c r="T125" s="3068"/>
      <c r="U125" s="3065" t="s">
        <v>2425</v>
      </c>
      <c r="V125" s="2369">
        <v>2000000</v>
      </c>
      <c r="W125" s="2382">
        <v>20</v>
      </c>
      <c r="X125" s="2383" t="s">
        <v>72</v>
      </c>
      <c r="Y125" s="3117"/>
      <c r="Z125" s="3117"/>
      <c r="AA125" s="3117"/>
      <c r="AB125" s="3117"/>
      <c r="AC125" s="3117"/>
      <c r="AD125" s="3117"/>
      <c r="AE125" s="3117"/>
      <c r="AF125" s="3117"/>
      <c r="AG125" s="3117"/>
      <c r="AH125" s="3117"/>
      <c r="AI125" s="3117"/>
      <c r="AJ125" s="3117"/>
      <c r="AK125" s="3117"/>
      <c r="AL125" s="3117"/>
      <c r="AM125" s="3117"/>
      <c r="AN125" s="3117"/>
      <c r="AO125" s="3084"/>
      <c r="AP125" s="3084"/>
      <c r="AQ125" s="3130"/>
    </row>
    <row r="126" spans="1:43" s="638" customFormat="1" ht="24.75" customHeight="1" x14ac:dyDescent="0.2">
      <c r="A126" s="3029"/>
      <c r="B126" s="3033"/>
      <c r="C126" s="3034"/>
      <c r="D126" s="3097"/>
      <c r="E126" s="3097"/>
      <c r="F126" s="3097"/>
      <c r="G126" s="620"/>
      <c r="H126" s="2298"/>
      <c r="I126" s="2299"/>
      <c r="J126" s="3064"/>
      <c r="K126" s="3045"/>
      <c r="L126" s="3045"/>
      <c r="M126" s="3133"/>
      <c r="N126" s="3125"/>
      <c r="O126" s="3114"/>
      <c r="P126" s="3018"/>
      <c r="Q126" s="3126"/>
      <c r="R126" s="3128"/>
      <c r="S126" s="3054"/>
      <c r="T126" s="3068"/>
      <c r="U126" s="3066"/>
      <c r="V126" s="2369">
        <f>8000000-8000000+10000000</f>
        <v>10000000</v>
      </c>
      <c r="W126" s="2384">
        <v>88</v>
      </c>
      <c r="X126" s="2384" t="s">
        <v>2414</v>
      </c>
      <c r="Y126" s="3117"/>
      <c r="Z126" s="3117"/>
      <c r="AA126" s="3117"/>
      <c r="AB126" s="3117"/>
      <c r="AC126" s="3117"/>
      <c r="AD126" s="3117"/>
      <c r="AE126" s="3117"/>
      <c r="AF126" s="3117"/>
      <c r="AG126" s="3117"/>
      <c r="AH126" s="3117"/>
      <c r="AI126" s="3117"/>
      <c r="AJ126" s="3117"/>
      <c r="AK126" s="3117"/>
      <c r="AL126" s="3117"/>
      <c r="AM126" s="3117"/>
      <c r="AN126" s="3117"/>
      <c r="AO126" s="3084"/>
      <c r="AP126" s="3084"/>
      <c r="AQ126" s="3130"/>
    </row>
    <row r="127" spans="1:43" s="638" customFormat="1" ht="30" customHeight="1" x14ac:dyDescent="0.2">
      <c r="A127" s="3029"/>
      <c r="B127" s="3033"/>
      <c r="C127" s="3034"/>
      <c r="D127" s="3097"/>
      <c r="E127" s="3097"/>
      <c r="F127" s="3097"/>
      <c r="G127" s="620"/>
      <c r="H127" s="2298"/>
      <c r="I127" s="2299"/>
      <c r="J127" s="3064"/>
      <c r="K127" s="3045"/>
      <c r="L127" s="3045"/>
      <c r="M127" s="3133"/>
      <c r="N127" s="3125"/>
      <c r="O127" s="3114"/>
      <c r="P127" s="3018"/>
      <c r="Q127" s="3126"/>
      <c r="R127" s="3128"/>
      <c r="S127" s="3054"/>
      <c r="T127" s="3068"/>
      <c r="U127" s="3065" t="s">
        <v>2426</v>
      </c>
      <c r="V127" s="2369">
        <v>3000000</v>
      </c>
      <c r="W127" s="2385">
        <v>20</v>
      </c>
      <c r="X127" s="2386" t="s">
        <v>72</v>
      </c>
      <c r="Y127" s="3117"/>
      <c r="Z127" s="3117"/>
      <c r="AA127" s="3117"/>
      <c r="AB127" s="3117"/>
      <c r="AC127" s="3117"/>
      <c r="AD127" s="3117"/>
      <c r="AE127" s="3117"/>
      <c r="AF127" s="3117"/>
      <c r="AG127" s="3117"/>
      <c r="AH127" s="3117"/>
      <c r="AI127" s="3117"/>
      <c r="AJ127" s="3117"/>
      <c r="AK127" s="3117"/>
      <c r="AL127" s="3117"/>
      <c r="AM127" s="3117"/>
      <c r="AN127" s="3117"/>
      <c r="AO127" s="3084"/>
      <c r="AP127" s="3084"/>
      <c r="AQ127" s="3130"/>
    </row>
    <row r="128" spans="1:43" s="638" customFormat="1" ht="25.5" customHeight="1" x14ac:dyDescent="0.2">
      <c r="A128" s="3029"/>
      <c r="B128" s="3033"/>
      <c r="C128" s="3034"/>
      <c r="D128" s="3097"/>
      <c r="E128" s="3097"/>
      <c r="F128" s="3097"/>
      <c r="G128" s="620"/>
      <c r="H128" s="2319"/>
      <c r="I128" s="2320"/>
      <c r="J128" s="3064"/>
      <c r="K128" s="3045"/>
      <c r="L128" s="3045"/>
      <c r="M128" s="3133"/>
      <c r="N128" s="3125"/>
      <c r="O128" s="3114"/>
      <c r="P128" s="3018"/>
      <c r="Q128" s="3126"/>
      <c r="R128" s="3129"/>
      <c r="S128" s="3054"/>
      <c r="T128" s="3068"/>
      <c r="U128" s="3066"/>
      <c r="V128" s="2369">
        <f>0+2000000-2000000+8000000</f>
        <v>8000000</v>
      </c>
      <c r="W128" s="2384">
        <v>88</v>
      </c>
      <c r="X128" s="2384" t="s">
        <v>2414</v>
      </c>
      <c r="Y128" s="3138"/>
      <c r="Z128" s="3117"/>
      <c r="AA128" s="3117"/>
      <c r="AB128" s="3117"/>
      <c r="AC128" s="3117"/>
      <c r="AD128" s="3117"/>
      <c r="AE128" s="3117"/>
      <c r="AF128" s="3117"/>
      <c r="AG128" s="3117"/>
      <c r="AH128" s="3117"/>
      <c r="AI128" s="3117"/>
      <c r="AJ128" s="3117"/>
      <c r="AK128" s="3117"/>
      <c r="AL128" s="3117"/>
      <c r="AM128" s="3117"/>
      <c r="AN128" s="3117"/>
      <c r="AO128" s="3085"/>
      <c r="AP128" s="3085"/>
      <c r="AQ128" s="3130"/>
    </row>
    <row r="129" spans="1:43" s="620" customFormat="1" ht="15" customHeight="1" x14ac:dyDescent="0.2">
      <c r="A129" s="3029"/>
      <c r="B129" s="3033"/>
      <c r="C129" s="3034"/>
      <c r="D129" s="962">
        <v>25</v>
      </c>
      <c r="E129" s="963" t="s">
        <v>2427</v>
      </c>
      <c r="F129" s="963"/>
      <c r="G129" s="2272"/>
      <c r="H129" s="2272"/>
      <c r="I129" s="2272"/>
      <c r="J129" s="2342"/>
      <c r="K129" s="2343"/>
      <c r="L129" s="2065"/>
      <c r="M129" s="2064"/>
      <c r="N129" s="2276"/>
      <c r="O129" s="2273"/>
      <c r="P129" s="2275"/>
      <c r="Q129" s="2344"/>
      <c r="R129" s="2345"/>
      <c r="S129" s="2343"/>
      <c r="T129" s="2343"/>
      <c r="U129" s="2343"/>
      <c r="V129" s="2346"/>
      <c r="W129" s="2387"/>
      <c r="X129" s="2387"/>
      <c r="Y129" s="2272"/>
      <c r="Z129" s="2272"/>
      <c r="AA129" s="2272"/>
      <c r="AB129" s="2272"/>
      <c r="AC129" s="2272"/>
      <c r="AD129" s="2272"/>
      <c r="AE129" s="2272"/>
      <c r="AF129" s="2272"/>
      <c r="AG129" s="2272"/>
      <c r="AH129" s="2272"/>
      <c r="AI129" s="2272"/>
      <c r="AJ129" s="2272"/>
      <c r="AK129" s="2272"/>
      <c r="AL129" s="2281"/>
      <c r="AM129" s="2275"/>
      <c r="AN129" s="2275"/>
      <c r="AO129" s="2275"/>
      <c r="AP129" s="2275"/>
      <c r="AQ129" s="2282"/>
    </row>
    <row r="130" spans="1:43" s="620" customFormat="1" ht="15" customHeight="1" x14ac:dyDescent="0.2">
      <c r="A130" s="3029"/>
      <c r="B130" s="3033"/>
      <c r="C130" s="3034"/>
      <c r="D130" s="3097"/>
      <c r="E130" s="3097"/>
      <c r="F130" s="3097"/>
      <c r="G130" s="2283">
        <v>81</v>
      </c>
      <c r="H130" s="1121" t="s">
        <v>2428</v>
      </c>
      <c r="I130" s="1121"/>
      <c r="J130" s="2284"/>
      <c r="K130" s="2285"/>
      <c r="L130" s="2286"/>
      <c r="M130" s="1208"/>
      <c r="N130" s="1214"/>
      <c r="O130" s="1215"/>
      <c r="P130" s="1123"/>
      <c r="Q130" s="2287"/>
      <c r="R130" s="2349"/>
      <c r="S130" s="2285"/>
      <c r="T130" s="2285"/>
      <c r="U130" s="2285"/>
      <c r="V130" s="2388"/>
      <c r="W130" s="1126"/>
      <c r="X130" s="1126"/>
      <c r="Y130" s="1126"/>
      <c r="Z130" s="1126"/>
      <c r="AA130" s="1126"/>
      <c r="AB130" s="1126"/>
      <c r="AC130" s="1126"/>
      <c r="AD130" s="1126"/>
      <c r="AE130" s="1126"/>
      <c r="AF130" s="1126"/>
      <c r="AG130" s="1126"/>
      <c r="AH130" s="1126"/>
      <c r="AI130" s="1126"/>
      <c r="AJ130" s="1126"/>
      <c r="AK130" s="1128"/>
      <c r="AL130" s="1128"/>
      <c r="AM130" s="1123"/>
      <c r="AN130" s="1123"/>
      <c r="AO130" s="1123"/>
      <c r="AP130" s="1123"/>
      <c r="AQ130" s="1129"/>
    </row>
    <row r="131" spans="1:43" s="638" customFormat="1" ht="36.75" customHeight="1" x14ac:dyDescent="0.2">
      <c r="A131" s="3029"/>
      <c r="B131" s="3033"/>
      <c r="C131" s="3034"/>
      <c r="D131" s="3097"/>
      <c r="E131" s="3097"/>
      <c r="F131" s="3097"/>
      <c r="G131" s="620"/>
      <c r="H131" s="2293"/>
      <c r="I131" s="2294"/>
      <c r="J131" s="3139">
        <v>236</v>
      </c>
      <c r="K131" s="3039" t="s">
        <v>2429</v>
      </c>
      <c r="L131" s="3039" t="s">
        <v>2430</v>
      </c>
      <c r="M131" s="3139">
        <f>3+4</f>
        <v>7</v>
      </c>
      <c r="N131" s="3141" t="s">
        <v>2431</v>
      </c>
      <c r="O131" s="3114" t="s">
        <v>2432</v>
      </c>
      <c r="P131" s="3018" t="s">
        <v>2433</v>
      </c>
      <c r="Q131" s="3159">
        <f>SUM(V131:V132)/R131</f>
        <v>0.17984899897336584</v>
      </c>
      <c r="R131" s="3163">
        <f>SUM(V131:V160)</f>
        <v>1055866861</v>
      </c>
      <c r="S131" s="3054" t="s">
        <v>2434</v>
      </c>
      <c r="T131" s="3054" t="s">
        <v>2435</v>
      </c>
      <c r="U131" s="3134" t="s">
        <v>2436</v>
      </c>
      <c r="V131" s="2318">
        <f>100000000+1850000</f>
        <v>101850000</v>
      </c>
      <c r="W131" s="2389" t="s">
        <v>202</v>
      </c>
      <c r="X131" s="2302" t="s">
        <v>2352</v>
      </c>
      <c r="Y131" s="3147">
        <v>9110</v>
      </c>
      <c r="Z131" s="3147">
        <v>8787</v>
      </c>
      <c r="AA131" s="3147">
        <v>4273</v>
      </c>
      <c r="AB131" s="3147">
        <v>3599</v>
      </c>
      <c r="AC131" s="3147">
        <v>7463</v>
      </c>
      <c r="AD131" s="3147">
        <v>2562</v>
      </c>
      <c r="AE131" s="3116"/>
      <c r="AF131" s="3116"/>
      <c r="AG131" s="3116"/>
      <c r="AH131" s="3116"/>
      <c r="AI131" s="3116"/>
      <c r="AJ131" s="3116"/>
      <c r="AK131" s="3116"/>
      <c r="AL131" s="3116"/>
      <c r="AM131" s="3116"/>
      <c r="AN131" s="3116">
        <v>17897</v>
      </c>
      <c r="AO131" s="3083">
        <v>43480</v>
      </c>
      <c r="AP131" s="3083">
        <v>43819</v>
      </c>
      <c r="AQ131" s="3118" t="s">
        <v>2329</v>
      </c>
    </row>
    <row r="132" spans="1:43" s="638" customFormat="1" ht="34.5" customHeight="1" x14ac:dyDescent="0.2">
      <c r="A132" s="3029"/>
      <c r="B132" s="3033"/>
      <c r="C132" s="3034"/>
      <c r="D132" s="3097"/>
      <c r="E132" s="3097"/>
      <c r="F132" s="3097"/>
      <c r="G132" s="620"/>
      <c r="H132" s="2298"/>
      <c r="I132" s="2299"/>
      <c r="J132" s="3140"/>
      <c r="K132" s="3040"/>
      <c r="L132" s="3040"/>
      <c r="M132" s="3140"/>
      <c r="N132" s="3141"/>
      <c r="O132" s="3114"/>
      <c r="P132" s="3018"/>
      <c r="Q132" s="3159"/>
      <c r="R132" s="3164"/>
      <c r="S132" s="3054"/>
      <c r="T132" s="3054"/>
      <c r="U132" s="3135"/>
      <c r="V132" s="2333">
        <f>74499598+13547000</f>
        <v>88046598</v>
      </c>
      <c r="W132" s="2390">
        <v>88</v>
      </c>
      <c r="X132" s="2391" t="s">
        <v>140</v>
      </c>
      <c r="Y132" s="3148"/>
      <c r="Z132" s="3148"/>
      <c r="AA132" s="3148"/>
      <c r="AB132" s="3148"/>
      <c r="AC132" s="3148"/>
      <c r="AD132" s="3148"/>
      <c r="AE132" s="3116"/>
      <c r="AF132" s="3116"/>
      <c r="AG132" s="3116"/>
      <c r="AH132" s="3116"/>
      <c r="AI132" s="3116"/>
      <c r="AJ132" s="3116"/>
      <c r="AK132" s="3116"/>
      <c r="AL132" s="3116"/>
      <c r="AM132" s="3116"/>
      <c r="AN132" s="3116"/>
      <c r="AO132" s="3084"/>
      <c r="AP132" s="3084"/>
      <c r="AQ132" s="3118"/>
    </row>
    <row r="133" spans="1:43" s="638" customFormat="1" ht="57.75" customHeight="1" x14ac:dyDescent="0.2">
      <c r="A133" s="3029"/>
      <c r="B133" s="3033"/>
      <c r="C133" s="3034"/>
      <c r="D133" s="3097"/>
      <c r="E133" s="3097"/>
      <c r="F133" s="3097"/>
      <c r="G133" s="620"/>
      <c r="H133" s="2298"/>
      <c r="I133" s="2299"/>
      <c r="J133" s="3064">
        <v>237</v>
      </c>
      <c r="K133" s="3045" t="s">
        <v>2437</v>
      </c>
      <c r="L133" s="3045" t="s">
        <v>2438</v>
      </c>
      <c r="M133" s="3064">
        <v>5</v>
      </c>
      <c r="N133" s="3141"/>
      <c r="O133" s="3114"/>
      <c r="P133" s="3018"/>
      <c r="Q133" s="3159">
        <f>SUM(V133:V134)/R131</f>
        <v>1.8941782092732996E-2</v>
      </c>
      <c r="R133" s="3164"/>
      <c r="S133" s="3054"/>
      <c r="T133" s="3054"/>
      <c r="U133" s="2392" t="s">
        <v>2439</v>
      </c>
      <c r="V133" s="2393">
        <v>10000000</v>
      </c>
      <c r="W133" s="2394">
        <v>20</v>
      </c>
      <c r="X133" s="2386" t="s">
        <v>72</v>
      </c>
      <c r="Y133" s="3149"/>
      <c r="Z133" s="3148"/>
      <c r="AA133" s="3148"/>
      <c r="AB133" s="3148"/>
      <c r="AC133" s="3148"/>
      <c r="AD133" s="3148"/>
      <c r="AE133" s="3117"/>
      <c r="AF133" s="3117"/>
      <c r="AG133" s="3117"/>
      <c r="AH133" s="3117"/>
      <c r="AI133" s="3117"/>
      <c r="AJ133" s="3117"/>
      <c r="AK133" s="3117"/>
      <c r="AL133" s="3117"/>
      <c r="AM133" s="3117"/>
      <c r="AN133" s="3117"/>
      <c r="AO133" s="3084"/>
      <c r="AP133" s="3084"/>
      <c r="AQ133" s="3158"/>
    </row>
    <row r="134" spans="1:43" s="638" customFormat="1" ht="51.75" customHeight="1" x14ac:dyDescent="0.2">
      <c r="A134" s="3029"/>
      <c r="B134" s="3033"/>
      <c r="C134" s="3034"/>
      <c r="D134" s="3097"/>
      <c r="E134" s="3097"/>
      <c r="F134" s="3097"/>
      <c r="G134" s="620"/>
      <c r="H134" s="2298"/>
      <c r="I134" s="2299"/>
      <c r="J134" s="3064"/>
      <c r="K134" s="3045"/>
      <c r="L134" s="3045"/>
      <c r="M134" s="3064"/>
      <c r="N134" s="3141"/>
      <c r="O134" s="3114"/>
      <c r="P134" s="3018"/>
      <c r="Q134" s="3159"/>
      <c r="R134" s="3164"/>
      <c r="S134" s="3054"/>
      <c r="T134" s="3054"/>
      <c r="U134" s="2395" t="s">
        <v>2440</v>
      </c>
      <c r="V134" s="2393">
        <f>11850000-1850000</f>
        <v>10000000</v>
      </c>
      <c r="W134" s="2394">
        <v>20</v>
      </c>
      <c r="X134" s="2386" t="s">
        <v>72</v>
      </c>
      <c r="Y134" s="3149"/>
      <c r="Z134" s="3148"/>
      <c r="AA134" s="3148"/>
      <c r="AB134" s="3148"/>
      <c r="AC134" s="3148"/>
      <c r="AD134" s="3148"/>
      <c r="AE134" s="3117"/>
      <c r="AF134" s="3117"/>
      <c r="AG134" s="3117"/>
      <c r="AH134" s="3117"/>
      <c r="AI134" s="3117"/>
      <c r="AJ134" s="3117"/>
      <c r="AK134" s="3117"/>
      <c r="AL134" s="3117"/>
      <c r="AM134" s="3117"/>
      <c r="AN134" s="3117"/>
      <c r="AO134" s="3084"/>
      <c r="AP134" s="3084"/>
      <c r="AQ134" s="3158"/>
    </row>
    <row r="135" spans="1:43" s="638" customFormat="1" ht="27.75" customHeight="1" x14ac:dyDescent="0.2">
      <c r="A135" s="3029"/>
      <c r="B135" s="3033"/>
      <c r="C135" s="3034"/>
      <c r="D135" s="3097"/>
      <c r="E135" s="3097"/>
      <c r="F135" s="3097"/>
      <c r="G135" s="620"/>
      <c r="H135" s="2298"/>
      <c r="I135" s="2299"/>
      <c r="J135" s="3057">
        <v>238</v>
      </c>
      <c r="K135" s="3055" t="s">
        <v>2441</v>
      </c>
      <c r="L135" s="3055" t="s">
        <v>2442</v>
      </c>
      <c r="M135" s="3057">
        <v>12</v>
      </c>
      <c r="N135" s="3141"/>
      <c r="O135" s="3114"/>
      <c r="P135" s="3018"/>
      <c r="Q135" s="3159">
        <f>SUM(V135:V145)/R131</f>
        <v>0.12220373492714438</v>
      </c>
      <c r="R135" s="3164"/>
      <c r="S135" s="3054"/>
      <c r="T135" s="3068"/>
      <c r="U135" s="3151" t="s">
        <v>2443</v>
      </c>
      <c r="V135" s="2396">
        <f>23000000-4559834</f>
        <v>18440166</v>
      </c>
      <c r="W135" s="2397">
        <v>20</v>
      </c>
      <c r="X135" s="2398" t="s">
        <v>72</v>
      </c>
      <c r="Y135" s="3148"/>
      <c r="Z135" s="3148"/>
      <c r="AA135" s="3148"/>
      <c r="AB135" s="3148"/>
      <c r="AC135" s="3148"/>
      <c r="AD135" s="3148"/>
      <c r="AE135" s="3117"/>
      <c r="AF135" s="3117"/>
      <c r="AG135" s="3117"/>
      <c r="AH135" s="3117"/>
      <c r="AI135" s="3117"/>
      <c r="AJ135" s="3117"/>
      <c r="AK135" s="3117"/>
      <c r="AL135" s="3117"/>
      <c r="AM135" s="3117"/>
      <c r="AN135" s="3117"/>
      <c r="AO135" s="3084"/>
      <c r="AP135" s="3084"/>
      <c r="AQ135" s="3158"/>
    </row>
    <row r="136" spans="1:43" s="638" customFormat="1" ht="27.75" customHeight="1" x14ac:dyDescent="0.2">
      <c r="A136" s="3029"/>
      <c r="B136" s="3033"/>
      <c r="C136" s="3034"/>
      <c r="D136" s="3097"/>
      <c r="E136" s="3097"/>
      <c r="F136" s="3097"/>
      <c r="G136" s="620"/>
      <c r="H136" s="2298"/>
      <c r="I136" s="2299"/>
      <c r="J136" s="3142"/>
      <c r="K136" s="3144"/>
      <c r="L136" s="3144"/>
      <c r="M136" s="3142"/>
      <c r="N136" s="3141"/>
      <c r="O136" s="3114"/>
      <c r="P136" s="3018"/>
      <c r="Q136" s="3159"/>
      <c r="R136" s="3164"/>
      <c r="S136" s="3054"/>
      <c r="T136" s="3068"/>
      <c r="U136" s="3152"/>
      <c r="V136" s="2399">
        <f>0+20000000+11618000</f>
        <v>31618000</v>
      </c>
      <c r="W136" s="2400">
        <v>88</v>
      </c>
      <c r="X136" s="2391" t="s">
        <v>140</v>
      </c>
      <c r="Y136" s="3148"/>
      <c r="Z136" s="3148"/>
      <c r="AA136" s="3148"/>
      <c r="AB136" s="3148"/>
      <c r="AC136" s="3148"/>
      <c r="AD136" s="3148"/>
      <c r="AE136" s="3117"/>
      <c r="AF136" s="3117"/>
      <c r="AG136" s="3117"/>
      <c r="AH136" s="3117"/>
      <c r="AI136" s="3117"/>
      <c r="AJ136" s="3117"/>
      <c r="AK136" s="3117"/>
      <c r="AL136" s="3117"/>
      <c r="AM136" s="3117"/>
      <c r="AN136" s="3117"/>
      <c r="AO136" s="3084"/>
      <c r="AP136" s="3084"/>
      <c r="AQ136" s="3158"/>
    </row>
    <row r="137" spans="1:43" s="638" customFormat="1" ht="28.5" customHeight="1" x14ac:dyDescent="0.2">
      <c r="A137" s="3029"/>
      <c r="B137" s="3033"/>
      <c r="C137" s="3034"/>
      <c r="D137" s="3097"/>
      <c r="E137" s="3097"/>
      <c r="F137" s="3097"/>
      <c r="G137" s="620"/>
      <c r="H137" s="2298"/>
      <c r="I137" s="2299"/>
      <c r="J137" s="3142"/>
      <c r="K137" s="3144"/>
      <c r="L137" s="3144"/>
      <c r="M137" s="3142"/>
      <c r="N137" s="3141"/>
      <c r="O137" s="3114"/>
      <c r="P137" s="3018"/>
      <c r="Q137" s="3159"/>
      <c r="R137" s="3164"/>
      <c r="S137" s="3054"/>
      <c r="T137" s="3068"/>
      <c r="U137" s="3151" t="s">
        <v>2444</v>
      </c>
      <c r="V137" s="2401">
        <f>15550000-15550000</f>
        <v>0</v>
      </c>
      <c r="W137" s="2379">
        <v>20</v>
      </c>
      <c r="X137" s="2380" t="s">
        <v>72</v>
      </c>
      <c r="Y137" s="3149"/>
      <c r="Z137" s="3148"/>
      <c r="AA137" s="3148"/>
      <c r="AB137" s="3148"/>
      <c r="AC137" s="3148"/>
      <c r="AD137" s="3148"/>
      <c r="AE137" s="3117"/>
      <c r="AF137" s="3117"/>
      <c r="AG137" s="3117"/>
      <c r="AH137" s="3117"/>
      <c r="AI137" s="3117"/>
      <c r="AJ137" s="3117"/>
      <c r="AK137" s="3117"/>
      <c r="AL137" s="3117"/>
      <c r="AM137" s="3117"/>
      <c r="AN137" s="3117"/>
      <c r="AO137" s="3084"/>
      <c r="AP137" s="3084"/>
      <c r="AQ137" s="3158"/>
    </row>
    <row r="138" spans="1:43" s="638" customFormat="1" ht="28.5" customHeight="1" x14ac:dyDescent="0.2">
      <c r="A138" s="3029"/>
      <c r="B138" s="3033"/>
      <c r="C138" s="3034"/>
      <c r="D138" s="3097"/>
      <c r="E138" s="3097"/>
      <c r="F138" s="3097"/>
      <c r="G138" s="620"/>
      <c r="H138" s="2298"/>
      <c r="I138" s="2299"/>
      <c r="J138" s="3142"/>
      <c r="K138" s="3144"/>
      <c r="L138" s="3144"/>
      <c r="M138" s="3142"/>
      <c r="N138" s="3141"/>
      <c r="O138" s="3114"/>
      <c r="P138" s="3018"/>
      <c r="Q138" s="3159"/>
      <c r="R138" s="3164"/>
      <c r="S138" s="3054"/>
      <c r="T138" s="3068"/>
      <c r="U138" s="3152"/>
      <c r="V138" s="2399">
        <f>0+15000000</f>
        <v>15000000</v>
      </c>
      <c r="W138" s="2400">
        <v>88</v>
      </c>
      <c r="X138" s="2391" t="s">
        <v>140</v>
      </c>
      <c r="Y138" s="3149"/>
      <c r="Z138" s="3148"/>
      <c r="AA138" s="3148"/>
      <c r="AB138" s="3148"/>
      <c r="AC138" s="3148"/>
      <c r="AD138" s="3148"/>
      <c r="AE138" s="3117"/>
      <c r="AF138" s="3117"/>
      <c r="AG138" s="3117"/>
      <c r="AH138" s="3117"/>
      <c r="AI138" s="3117"/>
      <c r="AJ138" s="3117"/>
      <c r="AK138" s="3117"/>
      <c r="AL138" s="3117"/>
      <c r="AM138" s="3117"/>
      <c r="AN138" s="3117"/>
      <c r="AO138" s="3084"/>
      <c r="AP138" s="3084"/>
      <c r="AQ138" s="3158"/>
    </row>
    <row r="139" spans="1:43" s="638" customFormat="1" ht="28.5" customHeight="1" x14ac:dyDescent="0.2">
      <c r="A139" s="3029"/>
      <c r="B139" s="3033"/>
      <c r="C139" s="3034"/>
      <c r="D139" s="3097"/>
      <c r="E139" s="3097"/>
      <c r="F139" s="3097"/>
      <c r="G139" s="620"/>
      <c r="H139" s="2298"/>
      <c r="I139" s="2299"/>
      <c r="J139" s="3142"/>
      <c r="K139" s="3144"/>
      <c r="L139" s="3144"/>
      <c r="M139" s="3142"/>
      <c r="N139" s="3141"/>
      <c r="O139" s="3114"/>
      <c r="P139" s="3018"/>
      <c r="Q139" s="3159"/>
      <c r="R139" s="3164"/>
      <c r="S139" s="3054"/>
      <c r="T139" s="3068"/>
      <c r="U139" s="3151" t="s">
        <v>2445</v>
      </c>
      <c r="V139" s="2399">
        <v>13000000</v>
      </c>
      <c r="W139" s="2379">
        <v>20</v>
      </c>
      <c r="X139" s="2380" t="s">
        <v>72</v>
      </c>
      <c r="Y139" s="3149"/>
      <c r="Z139" s="3148"/>
      <c r="AA139" s="3148"/>
      <c r="AB139" s="3148"/>
      <c r="AC139" s="3148"/>
      <c r="AD139" s="3148"/>
      <c r="AE139" s="3117"/>
      <c r="AF139" s="3117"/>
      <c r="AG139" s="3117"/>
      <c r="AH139" s="3117"/>
      <c r="AI139" s="3117"/>
      <c r="AJ139" s="3117"/>
      <c r="AK139" s="3117"/>
      <c r="AL139" s="3117"/>
      <c r="AM139" s="3117"/>
      <c r="AN139" s="3117"/>
      <c r="AO139" s="3084"/>
      <c r="AP139" s="3084"/>
      <c r="AQ139" s="3158"/>
    </row>
    <row r="140" spans="1:43" s="638" customFormat="1" ht="28.5" customHeight="1" x14ac:dyDescent="0.2">
      <c r="A140" s="3029"/>
      <c r="B140" s="3033"/>
      <c r="C140" s="3034"/>
      <c r="D140" s="3097"/>
      <c r="E140" s="3097"/>
      <c r="F140" s="3097"/>
      <c r="G140" s="620"/>
      <c r="H140" s="2298"/>
      <c r="I140" s="2299"/>
      <c r="J140" s="3142"/>
      <c r="K140" s="3144"/>
      <c r="L140" s="3144"/>
      <c r="M140" s="3142"/>
      <c r="N140" s="3141"/>
      <c r="O140" s="3114"/>
      <c r="P140" s="3018"/>
      <c r="Q140" s="3159"/>
      <c r="R140" s="3164"/>
      <c r="S140" s="3054"/>
      <c r="T140" s="3068"/>
      <c r="U140" s="3153"/>
      <c r="V140" s="1063">
        <f>0+11000000</f>
        <v>11000000</v>
      </c>
      <c r="W140" s="2400">
        <v>88</v>
      </c>
      <c r="X140" s="2391" t="s">
        <v>140</v>
      </c>
      <c r="Y140" s="3149"/>
      <c r="Z140" s="3148"/>
      <c r="AA140" s="3148"/>
      <c r="AB140" s="3148"/>
      <c r="AC140" s="3148"/>
      <c r="AD140" s="3148"/>
      <c r="AE140" s="3117"/>
      <c r="AF140" s="3117"/>
      <c r="AG140" s="3117"/>
      <c r="AH140" s="3117"/>
      <c r="AI140" s="3117"/>
      <c r="AJ140" s="3117"/>
      <c r="AK140" s="3117"/>
      <c r="AL140" s="3117"/>
      <c r="AM140" s="3117"/>
      <c r="AN140" s="3117"/>
      <c r="AO140" s="3084"/>
      <c r="AP140" s="3084"/>
      <c r="AQ140" s="3158"/>
    </row>
    <row r="141" spans="1:43" s="638" customFormat="1" ht="28.5" customHeight="1" x14ac:dyDescent="0.2">
      <c r="A141" s="3029"/>
      <c r="B141" s="3033"/>
      <c r="C141" s="3034"/>
      <c r="D141" s="3097"/>
      <c r="E141" s="3097"/>
      <c r="F141" s="3097"/>
      <c r="G141" s="620"/>
      <c r="H141" s="2298"/>
      <c r="I141" s="2299"/>
      <c r="J141" s="3142"/>
      <c r="K141" s="3144"/>
      <c r="L141" s="3144"/>
      <c r="M141" s="3142"/>
      <c r="N141" s="3141"/>
      <c r="O141" s="3114"/>
      <c r="P141" s="3018"/>
      <c r="Q141" s="3159"/>
      <c r="R141" s="3164"/>
      <c r="S141" s="3054"/>
      <c r="T141" s="3068"/>
      <c r="U141" s="3151" t="s">
        <v>2446</v>
      </c>
      <c r="V141" s="2402">
        <f>11000000-9535882</f>
        <v>1464118</v>
      </c>
      <c r="W141" s="2379">
        <v>20</v>
      </c>
      <c r="X141" s="2380" t="s">
        <v>72</v>
      </c>
      <c r="Y141" s="3149"/>
      <c r="Z141" s="3148"/>
      <c r="AA141" s="3148"/>
      <c r="AB141" s="3148"/>
      <c r="AC141" s="3148"/>
      <c r="AD141" s="3148"/>
      <c r="AE141" s="3117"/>
      <c r="AF141" s="3117"/>
      <c r="AG141" s="3117"/>
      <c r="AH141" s="3117"/>
      <c r="AI141" s="3117"/>
      <c r="AJ141" s="3117"/>
      <c r="AK141" s="3117"/>
      <c r="AL141" s="3117"/>
      <c r="AM141" s="3117"/>
      <c r="AN141" s="3117"/>
      <c r="AO141" s="3084"/>
      <c r="AP141" s="3084"/>
      <c r="AQ141" s="3158"/>
    </row>
    <row r="142" spans="1:43" s="638" customFormat="1" ht="28.5" customHeight="1" x14ac:dyDescent="0.2">
      <c r="A142" s="3029"/>
      <c r="B142" s="3033"/>
      <c r="C142" s="3034"/>
      <c r="D142" s="3097"/>
      <c r="E142" s="3097"/>
      <c r="F142" s="3097"/>
      <c r="G142" s="620"/>
      <c r="H142" s="2298"/>
      <c r="I142" s="2299"/>
      <c r="J142" s="3142"/>
      <c r="K142" s="3144"/>
      <c r="L142" s="3144"/>
      <c r="M142" s="3142"/>
      <c r="N142" s="3141"/>
      <c r="O142" s="3114"/>
      <c r="P142" s="3018"/>
      <c r="Q142" s="3159"/>
      <c r="R142" s="3164"/>
      <c r="S142" s="3054"/>
      <c r="T142" s="3068"/>
      <c r="U142" s="3154"/>
      <c r="V142" s="2403">
        <f>0+2035882</f>
        <v>2035882</v>
      </c>
      <c r="W142" s="2400">
        <v>88</v>
      </c>
      <c r="X142" s="2391" t="s">
        <v>140</v>
      </c>
      <c r="Y142" s="3149"/>
      <c r="Z142" s="3148"/>
      <c r="AA142" s="3148"/>
      <c r="AB142" s="3148"/>
      <c r="AC142" s="3148"/>
      <c r="AD142" s="3148"/>
      <c r="AE142" s="3117"/>
      <c r="AF142" s="3117"/>
      <c r="AG142" s="3117"/>
      <c r="AH142" s="3117"/>
      <c r="AI142" s="3117"/>
      <c r="AJ142" s="3117"/>
      <c r="AK142" s="3117"/>
      <c r="AL142" s="3117"/>
      <c r="AM142" s="3117"/>
      <c r="AN142" s="3117"/>
      <c r="AO142" s="3084"/>
      <c r="AP142" s="3084"/>
      <c r="AQ142" s="3158"/>
    </row>
    <row r="143" spans="1:43" s="638" customFormat="1" ht="28.5" customHeight="1" x14ac:dyDescent="0.2">
      <c r="A143" s="3029"/>
      <c r="B143" s="3033"/>
      <c r="C143" s="3034"/>
      <c r="D143" s="3097"/>
      <c r="E143" s="3097"/>
      <c r="F143" s="3097"/>
      <c r="G143" s="620"/>
      <c r="H143" s="2298"/>
      <c r="I143" s="2299"/>
      <c r="J143" s="3142"/>
      <c r="K143" s="3144"/>
      <c r="L143" s="3144"/>
      <c r="M143" s="3142"/>
      <c r="N143" s="3141"/>
      <c r="O143" s="3114"/>
      <c r="P143" s="3018"/>
      <c r="Q143" s="3159"/>
      <c r="R143" s="3164"/>
      <c r="S143" s="3054"/>
      <c r="T143" s="3068"/>
      <c r="U143" s="2404" t="s">
        <v>2447</v>
      </c>
      <c r="V143" s="2405">
        <f>0+22889708</f>
        <v>22889708</v>
      </c>
      <c r="W143" s="2400">
        <v>88</v>
      </c>
      <c r="X143" s="2391" t="s">
        <v>140</v>
      </c>
      <c r="Y143" s="3149"/>
      <c r="Z143" s="3148"/>
      <c r="AA143" s="3148"/>
      <c r="AB143" s="3148"/>
      <c r="AC143" s="3148"/>
      <c r="AD143" s="3148"/>
      <c r="AE143" s="3117"/>
      <c r="AF143" s="3117"/>
      <c r="AG143" s="3117"/>
      <c r="AH143" s="3117"/>
      <c r="AI143" s="3117"/>
      <c r="AJ143" s="3117"/>
      <c r="AK143" s="3117"/>
      <c r="AL143" s="3117"/>
      <c r="AM143" s="3117"/>
      <c r="AN143" s="3117"/>
      <c r="AO143" s="3084"/>
      <c r="AP143" s="3084"/>
      <c r="AQ143" s="3158"/>
    </row>
    <row r="144" spans="1:43" s="638" customFormat="1" ht="28.5" customHeight="1" x14ac:dyDescent="0.2">
      <c r="A144" s="3029"/>
      <c r="B144" s="3033"/>
      <c r="C144" s="3034"/>
      <c r="D144" s="3097"/>
      <c r="E144" s="3097"/>
      <c r="F144" s="3097"/>
      <c r="G144" s="620"/>
      <c r="H144" s="2298"/>
      <c r="I144" s="2299"/>
      <c r="J144" s="3142"/>
      <c r="K144" s="3144"/>
      <c r="L144" s="3144"/>
      <c r="M144" s="3142"/>
      <c r="N144" s="3141"/>
      <c r="O144" s="3114"/>
      <c r="P144" s="3018"/>
      <c r="Q144" s="3159"/>
      <c r="R144" s="3164"/>
      <c r="S144" s="3054"/>
      <c r="T144" s="3068"/>
      <c r="U144" s="3151" t="s">
        <v>2448</v>
      </c>
      <c r="V144" s="2406">
        <v>10000000</v>
      </c>
      <c r="W144" s="2394">
        <v>20</v>
      </c>
      <c r="X144" s="2407" t="s">
        <v>72</v>
      </c>
      <c r="Y144" s="3149"/>
      <c r="Z144" s="3148"/>
      <c r="AA144" s="3148"/>
      <c r="AB144" s="3148"/>
      <c r="AC144" s="3148"/>
      <c r="AD144" s="3148"/>
      <c r="AE144" s="3117"/>
      <c r="AF144" s="3117"/>
      <c r="AG144" s="3117"/>
      <c r="AH144" s="3117"/>
      <c r="AI144" s="3117"/>
      <c r="AJ144" s="3117"/>
      <c r="AK144" s="3117"/>
      <c r="AL144" s="3117"/>
      <c r="AM144" s="3117"/>
      <c r="AN144" s="3117"/>
      <c r="AO144" s="3084"/>
      <c r="AP144" s="3084"/>
      <c r="AQ144" s="3158"/>
    </row>
    <row r="145" spans="1:43" s="638" customFormat="1" ht="28.5" customHeight="1" x14ac:dyDescent="0.2">
      <c r="A145" s="3029"/>
      <c r="B145" s="3033"/>
      <c r="C145" s="3034"/>
      <c r="D145" s="3097"/>
      <c r="E145" s="3097"/>
      <c r="F145" s="3097"/>
      <c r="G145" s="620"/>
      <c r="H145" s="2298"/>
      <c r="I145" s="2299"/>
      <c r="J145" s="3058"/>
      <c r="K145" s="3056"/>
      <c r="L145" s="3056"/>
      <c r="M145" s="3058"/>
      <c r="N145" s="3141"/>
      <c r="O145" s="3114"/>
      <c r="P145" s="3018"/>
      <c r="Q145" s="3160">
        <f>SUM(V146:V148)/R131</f>
        <v>0.25077523765564985</v>
      </c>
      <c r="R145" s="3164"/>
      <c r="S145" s="3054"/>
      <c r="T145" s="3068"/>
      <c r="U145" s="3153"/>
      <c r="V145" s="2408">
        <f>0+3583000</f>
        <v>3583000</v>
      </c>
      <c r="W145" s="2400">
        <v>88</v>
      </c>
      <c r="X145" s="2391" t="s">
        <v>140</v>
      </c>
      <c r="Y145" s="3149"/>
      <c r="Z145" s="3148"/>
      <c r="AA145" s="3148"/>
      <c r="AB145" s="3148"/>
      <c r="AC145" s="3148"/>
      <c r="AD145" s="3148"/>
      <c r="AE145" s="3117"/>
      <c r="AF145" s="3117"/>
      <c r="AG145" s="3117"/>
      <c r="AH145" s="3117"/>
      <c r="AI145" s="3117"/>
      <c r="AJ145" s="3117"/>
      <c r="AK145" s="3117"/>
      <c r="AL145" s="3117"/>
      <c r="AM145" s="3117"/>
      <c r="AN145" s="3117"/>
      <c r="AO145" s="3084"/>
      <c r="AP145" s="3084"/>
      <c r="AQ145" s="3158"/>
    </row>
    <row r="146" spans="1:43" s="638" customFormat="1" ht="27" customHeight="1" x14ac:dyDescent="0.2">
      <c r="A146" s="3029"/>
      <c r="B146" s="3033"/>
      <c r="C146" s="3034"/>
      <c r="D146" s="3097"/>
      <c r="E146" s="3097"/>
      <c r="F146" s="3097"/>
      <c r="G146" s="620"/>
      <c r="H146" s="2298"/>
      <c r="I146" s="2299"/>
      <c r="J146" s="3057">
        <v>239</v>
      </c>
      <c r="K146" s="3055" t="s">
        <v>2449</v>
      </c>
      <c r="L146" s="3055" t="s">
        <v>2450</v>
      </c>
      <c r="M146" s="3145">
        <v>1.98</v>
      </c>
      <c r="N146" s="3141"/>
      <c r="O146" s="3114"/>
      <c r="P146" s="3018"/>
      <c r="Q146" s="3161"/>
      <c r="R146" s="3164"/>
      <c r="S146" s="3054"/>
      <c r="T146" s="3068"/>
      <c r="U146" s="3155" t="s">
        <v>2451</v>
      </c>
      <c r="V146" s="2396">
        <v>74800000</v>
      </c>
      <c r="W146" s="2397">
        <v>20</v>
      </c>
      <c r="X146" s="2398" t="s">
        <v>72</v>
      </c>
      <c r="Y146" s="3148"/>
      <c r="Z146" s="3148"/>
      <c r="AA146" s="3148"/>
      <c r="AB146" s="3148"/>
      <c r="AC146" s="3148"/>
      <c r="AD146" s="3148"/>
      <c r="AE146" s="3117"/>
      <c r="AF146" s="3117"/>
      <c r="AG146" s="3117"/>
      <c r="AH146" s="3117"/>
      <c r="AI146" s="3117"/>
      <c r="AJ146" s="3117"/>
      <c r="AK146" s="3117"/>
      <c r="AL146" s="3117"/>
      <c r="AM146" s="3117"/>
      <c r="AN146" s="3117"/>
      <c r="AO146" s="3084"/>
      <c r="AP146" s="3084"/>
      <c r="AQ146" s="3158"/>
    </row>
    <row r="147" spans="1:43" s="638" customFormat="1" ht="29.25" customHeight="1" x14ac:dyDescent="0.2">
      <c r="A147" s="3029"/>
      <c r="B147" s="3033"/>
      <c r="C147" s="3034"/>
      <c r="D147" s="3097"/>
      <c r="E147" s="3097"/>
      <c r="F147" s="3097"/>
      <c r="G147" s="620"/>
      <c r="H147" s="2298"/>
      <c r="I147" s="2299"/>
      <c r="J147" s="3142"/>
      <c r="K147" s="3144"/>
      <c r="L147" s="3144"/>
      <c r="M147" s="3146"/>
      <c r="N147" s="3141"/>
      <c r="O147" s="3114"/>
      <c r="P147" s="3018"/>
      <c r="Q147" s="3161"/>
      <c r="R147" s="3164"/>
      <c r="S147" s="3054"/>
      <c r="T147" s="3068"/>
      <c r="U147" s="3155"/>
      <c r="V147" s="2401">
        <v>20000000</v>
      </c>
      <c r="W147" s="2379">
        <v>88</v>
      </c>
      <c r="X147" s="2380" t="s">
        <v>140</v>
      </c>
      <c r="Y147" s="3148"/>
      <c r="Z147" s="3148"/>
      <c r="AA147" s="3148"/>
      <c r="AB147" s="3148"/>
      <c r="AC147" s="3148"/>
      <c r="AD147" s="3148"/>
      <c r="AE147" s="3117"/>
      <c r="AF147" s="3117"/>
      <c r="AG147" s="3117"/>
      <c r="AH147" s="3117"/>
      <c r="AI147" s="3117"/>
      <c r="AJ147" s="3117"/>
      <c r="AK147" s="3117"/>
      <c r="AL147" s="3117"/>
      <c r="AM147" s="3117"/>
      <c r="AN147" s="3117"/>
      <c r="AO147" s="3084"/>
      <c r="AP147" s="3084"/>
      <c r="AQ147" s="3158"/>
    </row>
    <row r="148" spans="1:43" s="638" customFormat="1" ht="29.25" customHeight="1" x14ac:dyDescent="0.2">
      <c r="A148" s="3029"/>
      <c r="B148" s="3033"/>
      <c r="C148" s="3034"/>
      <c r="D148" s="3097"/>
      <c r="E148" s="3097"/>
      <c r="F148" s="3097"/>
      <c r="G148" s="620"/>
      <c r="H148" s="2298"/>
      <c r="I148" s="2299"/>
      <c r="J148" s="3142"/>
      <c r="K148" s="3144"/>
      <c r="L148" s="3144"/>
      <c r="M148" s="3146"/>
      <c r="N148" s="3141"/>
      <c r="O148" s="3114"/>
      <c r="P148" s="3018"/>
      <c r="Q148" s="3162"/>
      <c r="R148" s="3164"/>
      <c r="S148" s="3054"/>
      <c r="T148" s="3068"/>
      <c r="U148" s="3155"/>
      <c r="V148" s="2401">
        <f>0+169985263</f>
        <v>169985263</v>
      </c>
      <c r="W148" s="2379">
        <v>163</v>
      </c>
      <c r="X148" s="2409" t="s">
        <v>2452</v>
      </c>
      <c r="Y148" s="3148"/>
      <c r="Z148" s="3148"/>
      <c r="AA148" s="3148"/>
      <c r="AB148" s="3148"/>
      <c r="AC148" s="3148"/>
      <c r="AD148" s="3148"/>
      <c r="AE148" s="3117"/>
      <c r="AF148" s="3117"/>
      <c r="AG148" s="3117"/>
      <c r="AH148" s="3117"/>
      <c r="AI148" s="3117"/>
      <c r="AJ148" s="3117"/>
      <c r="AK148" s="3117"/>
      <c r="AL148" s="3117"/>
      <c r="AM148" s="3117"/>
      <c r="AN148" s="3117"/>
      <c r="AO148" s="3084"/>
      <c r="AP148" s="3084"/>
      <c r="AQ148" s="3158"/>
    </row>
    <row r="149" spans="1:43" s="638" customFormat="1" ht="30" customHeight="1" x14ac:dyDescent="0.2">
      <c r="A149" s="3029"/>
      <c r="B149" s="3033"/>
      <c r="C149" s="3034"/>
      <c r="D149" s="3097"/>
      <c r="E149" s="3097"/>
      <c r="F149" s="3097"/>
      <c r="G149" s="620"/>
      <c r="H149" s="2298"/>
      <c r="I149" s="2299"/>
      <c r="J149" s="3064">
        <v>240</v>
      </c>
      <c r="K149" s="3045" t="s">
        <v>2453</v>
      </c>
      <c r="L149" s="3143" t="s">
        <v>2454</v>
      </c>
      <c r="M149" s="3064">
        <v>1</v>
      </c>
      <c r="N149" s="3141"/>
      <c r="O149" s="3114"/>
      <c r="P149" s="3018"/>
      <c r="Q149" s="3159">
        <f>SUM(V149:V160)/R131</f>
        <v>0.42823024635110696</v>
      </c>
      <c r="R149" s="3164"/>
      <c r="S149" s="3054"/>
      <c r="T149" s="3068"/>
      <c r="U149" s="2410" t="s">
        <v>2455</v>
      </c>
      <c r="V149" s="2396">
        <f>10000000-3180700</f>
        <v>6819300</v>
      </c>
      <c r="W149" s="2397">
        <v>20</v>
      </c>
      <c r="X149" s="2398" t="s">
        <v>72</v>
      </c>
      <c r="Y149" s="3148"/>
      <c r="Z149" s="3148"/>
      <c r="AA149" s="3148"/>
      <c r="AB149" s="3148"/>
      <c r="AC149" s="3148"/>
      <c r="AD149" s="3148"/>
      <c r="AE149" s="3117"/>
      <c r="AF149" s="3117"/>
      <c r="AG149" s="3117"/>
      <c r="AH149" s="3117"/>
      <c r="AI149" s="3117"/>
      <c r="AJ149" s="3117"/>
      <c r="AK149" s="3117"/>
      <c r="AL149" s="3117"/>
      <c r="AM149" s="3117"/>
      <c r="AN149" s="3117"/>
      <c r="AO149" s="3084"/>
      <c r="AP149" s="3084"/>
      <c r="AQ149" s="3158"/>
    </row>
    <row r="150" spans="1:43" s="638" customFormat="1" ht="28.5" customHeight="1" x14ac:dyDescent="0.2">
      <c r="A150" s="3029"/>
      <c r="B150" s="3033"/>
      <c r="C150" s="3034"/>
      <c r="D150" s="3097"/>
      <c r="E150" s="3097"/>
      <c r="F150" s="3097"/>
      <c r="G150" s="620"/>
      <c r="H150" s="2298"/>
      <c r="I150" s="2299"/>
      <c r="J150" s="3064"/>
      <c r="K150" s="3045"/>
      <c r="L150" s="3143"/>
      <c r="M150" s="3064"/>
      <c r="N150" s="3141"/>
      <c r="O150" s="3114"/>
      <c r="P150" s="3018"/>
      <c r="Q150" s="3159"/>
      <c r="R150" s="3164"/>
      <c r="S150" s="3054"/>
      <c r="T150" s="3068"/>
      <c r="U150" s="3157" t="s">
        <v>2456</v>
      </c>
      <c r="V150" s="2401">
        <f>45000000+24987918</f>
        <v>69987918</v>
      </c>
      <c r="W150" s="2379">
        <v>20</v>
      </c>
      <c r="X150" s="2380" t="s">
        <v>72</v>
      </c>
      <c r="Y150" s="3148"/>
      <c r="Z150" s="3148"/>
      <c r="AA150" s="3148"/>
      <c r="AB150" s="3148"/>
      <c r="AC150" s="3148"/>
      <c r="AD150" s="3148"/>
      <c r="AE150" s="3117"/>
      <c r="AF150" s="3117"/>
      <c r="AG150" s="3117"/>
      <c r="AH150" s="3117"/>
      <c r="AI150" s="3117"/>
      <c r="AJ150" s="3117"/>
      <c r="AK150" s="3117"/>
      <c r="AL150" s="3117"/>
      <c r="AM150" s="3117"/>
      <c r="AN150" s="3117"/>
      <c r="AO150" s="3084"/>
      <c r="AP150" s="3084"/>
      <c r="AQ150" s="3158"/>
    </row>
    <row r="151" spans="1:43" s="638" customFormat="1" ht="18.75" customHeight="1" x14ac:dyDescent="0.2">
      <c r="A151" s="3029"/>
      <c r="B151" s="3033"/>
      <c r="C151" s="3034"/>
      <c r="D151" s="3097"/>
      <c r="E151" s="3097"/>
      <c r="F151" s="3097"/>
      <c r="G151" s="620"/>
      <c r="H151" s="2298"/>
      <c r="I151" s="2299"/>
      <c r="J151" s="3064"/>
      <c r="K151" s="3045"/>
      <c r="L151" s="3143"/>
      <c r="M151" s="3064"/>
      <c r="N151" s="3141"/>
      <c r="O151" s="3114"/>
      <c r="P151" s="3018"/>
      <c r="Q151" s="3159"/>
      <c r="R151" s="3164"/>
      <c r="S151" s="3054"/>
      <c r="T151" s="3068"/>
      <c r="U151" s="3157"/>
      <c r="V151" s="2401">
        <f>0+42996000+7578277</f>
        <v>50574277</v>
      </c>
      <c r="W151" s="2379">
        <v>88</v>
      </c>
      <c r="X151" s="2380" t="s">
        <v>140</v>
      </c>
      <c r="Y151" s="3148"/>
      <c r="Z151" s="3148"/>
      <c r="AA151" s="3148"/>
      <c r="AB151" s="3148"/>
      <c r="AC151" s="3148"/>
      <c r="AD151" s="3148"/>
      <c r="AE151" s="3117"/>
      <c r="AF151" s="3117"/>
      <c r="AG151" s="3117"/>
      <c r="AH151" s="3117"/>
      <c r="AI151" s="3117"/>
      <c r="AJ151" s="3117"/>
      <c r="AK151" s="3117"/>
      <c r="AL151" s="3117"/>
      <c r="AM151" s="3117"/>
      <c r="AN151" s="3117"/>
      <c r="AO151" s="3084"/>
      <c r="AP151" s="3084"/>
      <c r="AQ151" s="3158"/>
    </row>
    <row r="152" spans="1:43" s="638" customFormat="1" ht="28.5" customHeight="1" x14ac:dyDescent="0.2">
      <c r="A152" s="3029"/>
      <c r="B152" s="3033"/>
      <c r="C152" s="3034"/>
      <c r="D152" s="3097"/>
      <c r="E152" s="3097"/>
      <c r="F152" s="3097"/>
      <c r="G152" s="620"/>
      <c r="H152" s="2298"/>
      <c r="I152" s="2299"/>
      <c r="J152" s="3064"/>
      <c r="K152" s="3045"/>
      <c r="L152" s="3143"/>
      <c r="M152" s="3064"/>
      <c r="N152" s="3141"/>
      <c r="O152" s="3114"/>
      <c r="P152" s="3018"/>
      <c r="Q152" s="3159"/>
      <c r="R152" s="3164"/>
      <c r="S152" s="3054"/>
      <c r="T152" s="3054"/>
      <c r="U152" s="3156" t="s">
        <v>2457</v>
      </c>
      <c r="V152" s="2318">
        <f>40000000-16030467</f>
        <v>23969533</v>
      </c>
      <c r="W152" s="2379">
        <v>20</v>
      </c>
      <c r="X152" s="2380" t="s">
        <v>72</v>
      </c>
      <c r="Y152" s="3148"/>
      <c r="Z152" s="3148"/>
      <c r="AA152" s="3148"/>
      <c r="AB152" s="3148"/>
      <c r="AC152" s="3148"/>
      <c r="AD152" s="3148"/>
      <c r="AE152" s="3117"/>
      <c r="AF152" s="3117"/>
      <c r="AG152" s="3117"/>
      <c r="AH152" s="3117"/>
      <c r="AI152" s="3117"/>
      <c r="AJ152" s="3117"/>
      <c r="AK152" s="3117"/>
      <c r="AL152" s="3117"/>
      <c r="AM152" s="3117"/>
      <c r="AN152" s="3117"/>
      <c r="AO152" s="3084"/>
      <c r="AP152" s="3084"/>
      <c r="AQ152" s="3158"/>
    </row>
    <row r="153" spans="1:43" s="638" customFormat="1" ht="18" customHeight="1" x14ac:dyDescent="0.2">
      <c r="A153" s="3029"/>
      <c r="B153" s="3033"/>
      <c r="C153" s="3034"/>
      <c r="D153" s="3097"/>
      <c r="E153" s="3097"/>
      <c r="F153" s="3097"/>
      <c r="G153" s="620"/>
      <c r="H153" s="2298"/>
      <c r="I153" s="2299"/>
      <c r="J153" s="3064"/>
      <c r="K153" s="3045"/>
      <c r="L153" s="3143"/>
      <c r="M153" s="3064"/>
      <c r="N153" s="3141"/>
      <c r="O153" s="3114"/>
      <c r="P153" s="3018"/>
      <c r="Q153" s="3159"/>
      <c r="R153" s="3164"/>
      <c r="S153" s="3054"/>
      <c r="T153" s="3054"/>
      <c r="U153" s="3080"/>
      <c r="V153" s="2318">
        <f>16788000+5596000</f>
        <v>22384000</v>
      </c>
      <c r="W153" s="2379">
        <v>88</v>
      </c>
      <c r="X153" s="2380" t="s">
        <v>140</v>
      </c>
      <c r="Y153" s="3148"/>
      <c r="Z153" s="3148"/>
      <c r="AA153" s="3148"/>
      <c r="AB153" s="3148"/>
      <c r="AC153" s="3148"/>
      <c r="AD153" s="3148"/>
      <c r="AE153" s="3117"/>
      <c r="AF153" s="3117"/>
      <c r="AG153" s="3117"/>
      <c r="AH153" s="3117"/>
      <c r="AI153" s="3117"/>
      <c r="AJ153" s="3117"/>
      <c r="AK153" s="3117"/>
      <c r="AL153" s="3117"/>
      <c r="AM153" s="3117"/>
      <c r="AN153" s="3117"/>
      <c r="AO153" s="3084"/>
      <c r="AP153" s="3084"/>
      <c r="AQ153" s="3158"/>
    </row>
    <row r="154" spans="1:43" s="638" customFormat="1" ht="27.75" customHeight="1" x14ac:dyDescent="0.2">
      <c r="A154" s="3029"/>
      <c r="B154" s="3033"/>
      <c r="C154" s="3034"/>
      <c r="D154" s="3097"/>
      <c r="E154" s="3097"/>
      <c r="F154" s="3097"/>
      <c r="G154" s="620"/>
      <c r="H154" s="2298"/>
      <c r="I154" s="2299"/>
      <c r="J154" s="3064"/>
      <c r="K154" s="3045"/>
      <c r="L154" s="3143"/>
      <c r="M154" s="3064"/>
      <c r="N154" s="3141"/>
      <c r="O154" s="3114"/>
      <c r="P154" s="3018"/>
      <c r="Q154" s="3159"/>
      <c r="R154" s="3164"/>
      <c r="S154" s="3054"/>
      <c r="T154" s="3054"/>
      <c r="U154" s="3079" t="s">
        <v>2458</v>
      </c>
      <c r="V154" s="2333">
        <v>53000000</v>
      </c>
      <c r="W154" s="2400">
        <v>20</v>
      </c>
      <c r="X154" s="2391" t="s">
        <v>72</v>
      </c>
      <c r="Y154" s="3148"/>
      <c r="Z154" s="3148"/>
      <c r="AA154" s="3148"/>
      <c r="AB154" s="3148"/>
      <c r="AC154" s="3148"/>
      <c r="AD154" s="3148"/>
      <c r="AE154" s="3117"/>
      <c r="AF154" s="3117"/>
      <c r="AG154" s="3117"/>
      <c r="AH154" s="3117"/>
      <c r="AI154" s="3117"/>
      <c r="AJ154" s="3117"/>
      <c r="AK154" s="3117"/>
      <c r="AL154" s="3117"/>
      <c r="AM154" s="3117"/>
      <c r="AN154" s="3117"/>
      <c r="AO154" s="3084"/>
      <c r="AP154" s="3084"/>
      <c r="AQ154" s="3158"/>
    </row>
    <row r="155" spans="1:43" s="638" customFormat="1" ht="27.75" customHeight="1" x14ac:dyDescent="0.2">
      <c r="A155" s="3029"/>
      <c r="B155" s="3033"/>
      <c r="C155" s="3034"/>
      <c r="D155" s="3097"/>
      <c r="E155" s="3097"/>
      <c r="F155" s="3097"/>
      <c r="G155" s="620"/>
      <c r="H155" s="2298"/>
      <c r="I155" s="2299"/>
      <c r="J155" s="3064"/>
      <c r="K155" s="3045"/>
      <c r="L155" s="3143"/>
      <c r="M155" s="3064"/>
      <c r="N155" s="3141"/>
      <c r="O155" s="3114"/>
      <c r="P155" s="3018"/>
      <c r="Q155" s="3159"/>
      <c r="R155" s="3164"/>
      <c r="S155" s="3054"/>
      <c r="T155" s="3054"/>
      <c r="U155" s="3096"/>
      <c r="V155" s="1063">
        <f>0+1428533</f>
        <v>1428533</v>
      </c>
      <c r="W155" s="2379">
        <v>88</v>
      </c>
      <c r="X155" s="2380" t="s">
        <v>140</v>
      </c>
      <c r="Y155" s="3149"/>
      <c r="Z155" s="3148"/>
      <c r="AA155" s="3148"/>
      <c r="AB155" s="3148"/>
      <c r="AC155" s="3148"/>
      <c r="AD155" s="3148"/>
      <c r="AE155" s="3117"/>
      <c r="AF155" s="3117"/>
      <c r="AG155" s="3117"/>
      <c r="AH155" s="3117"/>
      <c r="AI155" s="3117"/>
      <c r="AJ155" s="3117"/>
      <c r="AK155" s="3117"/>
      <c r="AL155" s="3117"/>
      <c r="AM155" s="3117"/>
      <c r="AN155" s="3117"/>
      <c r="AO155" s="3084"/>
      <c r="AP155" s="3084"/>
      <c r="AQ155" s="3158"/>
    </row>
    <row r="156" spans="1:43" s="638" customFormat="1" ht="30" customHeight="1" x14ac:dyDescent="0.2">
      <c r="A156" s="3029"/>
      <c r="B156" s="3033"/>
      <c r="C156" s="3034"/>
      <c r="D156" s="3097"/>
      <c r="E156" s="3097"/>
      <c r="F156" s="3097"/>
      <c r="G156" s="620"/>
      <c r="H156" s="2298"/>
      <c r="I156" s="2299"/>
      <c r="J156" s="3064"/>
      <c r="K156" s="3045"/>
      <c r="L156" s="3143"/>
      <c r="M156" s="3064"/>
      <c r="N156" s="3141"/>
      <c r="O156" s="3114"/>
      <c r="P156" s="3018"/>
      <c r="Q156" s="3159"/>
      <c r="R156" s="3164"/>
      <c r="S156" s="3054"/>
      <c r="T156" s="3054"/>
      <c r="U156" s="3079" t="s">
        <v>2459</v>
      </c>
      <c r="V156" s="2411">
        <f>50000000+11788000</f>
        <v>61788000</v>
      </c>
      <c r="W156" s="2397">
        <v>20</v>
      </c>
      <c r="X156" s="2398" t="s">
        <v>72</v>
      </c>
      <c r="Y156" s="3148"/>
      <c r="Z156" s="3148"/>
      <c r="AA156" s="3148"/>
      <c r="AB156" s="3148"/>
      <c r="AC156" s="3148"/>
      <c r="AD156" s="3148"/>
      <c r="AE156" s="3117"/>
      <c r="AF156" s="3117"/>
      <c r="AG156" s="3117"/>
      <c r="AH156" s="3117"/>
      <c r="AI156" s="3117"/>
      <c r="AJ156" s="3117"/>
      <c r="AK156" s="3117"/>
      <c r="AL156" s="3117"/>
      <c r="AM156" s="3117"/>
      <c r="AN156" s="3117"/>
      <c r="AO156" s="3084"/>
      <c r="AP156" s="3084"/>
      <c r="AQ156" s="3158"/>
    </row>
    <row r="157" spans="1:43" s="638" customFormat="1" ht="30" customHeight="1" x14ac:dyDescent="0.2">
      <c r="A157" s="3029"/>
      <c r="B157" s="3033"/>
      <c r="C157" s="3034"/>
      <c r="D157" s="3097"/>
      <c r="E157" s="3097"/>
      <c r="F157" s="3097"/>
      <c r="G157" s="620"/>
      <c r="H157" s="2298"/>
      <c r="I157" s="2299"/>
      <c r="J157" s="3064"/>
      <c r="K157" s="3045"/>
      <c r="L157" s="3143"/>
      <c r="M157" s="3064"/>
      <c r="N157" s="3141"/>
      <c r="O157" s="3114"/>
      <c r="P157" s="3018"/>
      <c r="Q157" s="3159"/>
      <c r="R157" s="3164"/>
      <c r="S157" s="3054"/>
      <c r="T157" s="3054"/>
      <c r="U157" s="3156"/>
      <c r="V157" s="2318">
        <f>36822000+9531600</f>
        <v>46353600</v>
      </c>
      <c r="W157" s="2379">
        <v>88</v>
      </c>
      <c r="X157" s="2380" t="s">
        <v>140</v>
      </c>
      <c r="Y157" s="3148"/>
      <c r="Z157" s="3148"/>
      <c r="AA157" s="3148"/>
      <c r="AB157" s="3148"/>
      <c r="AC157" s="3148"/>
      <c r="AD157" s="3148"/>
      <c r="AE157" s="3117"/>
      <c r="AF157" s="3117"/>
      <c r="AG157" s="3117"/>
      <c r="AH157" s="3117"/>
      <c r="AI157" s="3117"/>
      <c r="AJ157" s="3117"/>
      <c r="AK157" s="3117"/>
      <c r="AL157" s="3117"/>
      <c r="AM157" s="3117"/>
      <c r="AN157" s="3117"/>
      <c r="AO157" s="3084"/>
      <c r="AP157" s="3084"/>
      <c r="AQ157" s="3158"/>
    </row>
    <row r="158" spans="1:43" s="638" customFormat="1" ht="40.5" customHeight="1" x14ac:dyDescent="0.2">
      <c r="A158" s="3029"/>
      <c r="B158" s="3033"/>
      <c r="C158" s="3034"/>
      <c r="D158" s="3097"/>
      <c r="E158" s="3097"/>
      <c r="F158" s="3097"/>
      <c r="G158" s="620"/>
      <c r="H158" s="2298"/>
      <c r="I158" s="2299"/>
      <c r="J158" s="3064"/>
      <c r="K158" s="3045"/>
      <c r="L158" s="3143"/>
      <c r="M158" s="3064"/>
      <c r="N158" s="3141"/>
      <c r="O158" s="3114"/>
      <c r="P158" s="3018"/>
      <c r="Q158" s="3159"/>
      <c r="R158" s="3164"/>
      <c r="S158" s="3054"/>
      <c r="T158" s="3068"/>
      <c r="U158" s="3157" t="s">
        <v>2460</v>
      </c>
      <c r="V158" s="2401">
        <f>35500000+16181882</f>
        <v>51681882</v>
      </c>
      <c r="W158" s="2379">
        <v>20</v>
      </c>
      <c r="X158" s="2380" t="s">
        <v>72</v>
      </c>
      <c r="Y158" s="3148"/>
      <c r="Z158" s="3148"/>
      <c r="AA158" s="3148"/>
      <c r="AB158" s="3148"/>
      <c r="AC158" s="3148"/>
      <c r="AD158" s="3148"/>
      <c r="AE158" s="3117"/>
      <c r="AF158" s="3117"/>
      <c r="AG158" s="3117"/>
      <c r="AH158" s="3117"/>
      <c r="AI158" s="3117"/>
      <c r="AJ158" s="3117"/>
      <c r="AK158" s="3117"/>
      <c r="AL158" s="3117"/>
      <c r="AM158" s="3117"/>
      <c r="AN158" s="3117"/>
      <c r="AO158" s="3084"/>
      <c r="AP158" s="3084"/>
      <c r="AQ158" s="3158"/>
    </row>
    <row r="159" spans="1:43" s="638" customFormat="1" ht="40.5" customHeight="1" x14ac:dyDescent="0.2">
      <c r="A159" s="3029"/>
      <c r="B159" s="3033"/>
      <c r="C159" s="3034"/>
      <c r="D159" s="3097"/>
      <c r="E159" s="3097"/>
      <c r="F159" s="3097"/>
      <c r="G159" s="620"/>
      <c r="H159" s="2298"/>
      <c r="I159" s="2299"/>
      <c r="J159" s="3064"/>
      <c r="K159" s="3045"/>
      <c r="L159" s="3143"/>
      <c r="M159" s="3064"/>
      <c r="N159" s="3141"/>
      <c r="O159" s="3114"/>
      <c r="P159" s="3018"/>
      <c r="Q159" s="3159"/>
      <c r="R159" s="3164"/>
      <c r="S159" s="3054"/>
      <c r="T159" s="3068"/>
      <c r="U159" s="3157"/>
      <c r="V159" s="2401">
        <f>42076000+11192000</f>
        <v>53268000</v>
      </c>
      <c r="W159" s="2379">
        <v>88</v>
      </c>
      <c r="X159" s="2380" t="s">
        <v>140</v>
      </c>
      <c r="Y159" s="3148"/>
      <c r="Z159" s="3148"/>
      <c r="AA159" s="3148"/>
      <c r="AB159" s="3148"/>
      <c r="AC159" s="3148"/>
      <c r="AD159" s="3148"/>
      <c r="AE159" s="3117"/>
      <c r="AF159" s="3117"/>
      <c r="AG159" s="3117"/>
      <c r="AH159" s="3117"/>
      <c r="AI159" s="3117"/>
      <c r="AJ159" s="3117"/>
      <c r="AK159" s="3117"/>
      <c r="AL159" s="3117"/>
      <c r="AM159" s="3117"/>
      <c r="AN159" s="3117"/>
      <c r="AO159" s="3084"/>
      <c r="AP159" s="3084"/>
      <c r="AQ159" s="3158"/>
    </row>
    <row r="160" spans="1:43" s="638" customFormat="1" ht="30.75" customHeight="1" x14ac:dyDescent="0.2">
      <c r="A160" s="3029"/>
      <c r="B160" s="3033"/>
      <c r="C160" s="3034"/>
      <c r="D160" s="3097"/>
      <c r="E160" s="3097"/>
      <c r="F160" s="3097"/>
      <c r="G160" s="620"/>
      <c r="H160" s="2319"/>
      <c r="I160" s="2320"/>
      <c r="J160" s="3064"/>
      <c r="K160" s="3045"/>
      <c r="L160" s="3143"/>
      <c r="M160" s="3064"/>
      <c r="N160" s="3141"/>
      <c r="O160" s="3114"/>
      <c r="P160" s="3018"/>
      <c r="Q160" s="3159"/>
      <c r="R160" s="3165"/>
      <c r="S160" s="3054"/>
      <c r="T160" s="3054"/>
      <c r="U160" s="2412" t="s">
        <v>2299</v>
      </c>
      <c r="V160" s="2318">
        <f>15000000-4100917</f>
        <v>10899083</v>
      </c>
      <c r="W160" s="2337">
        <v>20</v>
      </c>
      <c r="X160" s="2302" t="s">
        <v>72</v>
      </c>
      <c r="Y160" s="3150"/>
      <c r="Z160" s="3150"/>
      <c r="AA160" s="3150"/>
      <c r="AB160" s="3150"/>
      <c r="AC160" s="3150"/>
      <c r="AD160" s="3150"/>
      <c r="AE160" s="3117"/>
      <c r="AF160" s="3117"/>
      <c r="AG160" s="3117"/>
      <c r="AH160" s="3117"/>
      <c r="AI160" s="3117"/>
      <c r="AJ160" s="3117"/>
      <c r="AK160" s="3117"/>
      <c r="AL160" s="3117"/>
      <c r="AM160" s="3117"/>
      <c r="AN160" s="3117"/>
      <c r="AO160" s="3085"/>
      <c r="AP160" s="3085"/>
      <c r="AQ160" s="3158"/>
    </row>
    <row r="161" spans="1:43" s="620" customFormat="1" ht="21" customHeight="1" x14ac:dyDescent="0.2">
      <c r="A161" s="3029"/>
      <c r="B161" s="3033"/>
      <c r="C161" s="3034"/>
      <c r="D161" s="3097"/>
      <c r="E161" s="3097"/>
      <c r="F161" s="3097"/>
      <c r="G161" s="2283">
        <v>82</v>
      </c>
      <c r="H161" s="1121" t="s">
        <v>2461</v>
      </c>
      <c r="I161" s="1121"/>
      <c r="J161" s="1154"/>
      <c r="K161" s="2321"/>
      <c r="L161" s="2322"/>
      <c r="M161" s="1220"/>
      <c r="N161" s="1214"/>
      <c r="O161" s="1215"/>
      <c r="P161" s="1123"/>
      <c r="Q161" s="2323"/>
      <c r="R161" s="2324"/>
      <c r="S161" s="2321"/>
      <c r="T161" s="2321"/>
      <c r="U161" s="2321"/>
      <c r="V161" s="2325"/>
      <c r="W161" s="1126"/>
      <c r="X161" s="1126"/>
      <c r="Y161" s="1126"/>
      <c r="Z161" s="1126"/>
      <c r="AA161" s="1126"/>
      <c r="AB161" s="1126"/>
      <c r="AC161" s="1126"/>
      <c r="AD161" s="1126"/>
      <c r="AE161" s="1126"/>
      <c r="AF161" s="1126"/>
      <c r="AG161" s="1126"/>
      <c r="AH161" s="1126"/>
      <c r="AI161" s="1126"/>
      <c r="AJ161" s="1126"/>
      <c r="AK161" s="1126"/>
      <c r="AL161" s="1126"/>
      <c r="AM161" s="1123"/>
      <c r="AN161" s="1123"/>
      <c r="AO161" s="1123"/>
      <c r="AP161" s="1123"/>
      <c r="AQ161" s="1129"/>
    </row>
    <row r="162" spans="1:43" s="638" customFormat="1" ht="46.5" customHeight="1" x14ac:dyDescent="0.2">
      <c r="A162" s="3029"/>
      <c r="B162" s="3033"/>
      <c r="C162" s="3034"/>
      <c r="D162" s="3097"/>
      <c r="E162" s="3097"/>
      <c r="F162" s="3097"/>
      <c r="G162" s="620"/>
      <c r="H162" s="2293"/>
      <c r="I162" s="2294"/>
      <c r="J162" s="3064">
        <v>241</v>
      </c>
      <c r="K162" s="3045" t="s">
        <v>2462</v>
      </c>
      <c r="L162" s="3045" t="s">
        <v>2463</v>
      </c>
      <c r="M162" s="3133">
        <v>1</v>
      </c>
      <c r="N162" s="3125" t="s">
        <v>2464</v>
      </c>
      <c r="O162" s="3114" t="s">
        <v>2465</v>
      </c>
      <c r="P162" s="3018" t="s">
        <v>2466</v>
      </c>
      <c r="Q162" s="3159">
        <f>SUM(V162:V163)/R162</f>
        <v>0.43641444500979354</v>
      </c>
      <c r="R162" s="3127">
        <f>SUM(V162:V165)</f>
        <v>84323515</v>
      </c>
      <c r="S162" s="3054" t="s">
        <v>2467</v>
      </c>
      <c r="T162" s="3054" t="s">
        <v>2468</v>
      </c>
      <c r="U162" s="2413" t="s">
        <v>2469</v>
      </c>
      <c r="V162" s="2318">
        <f>9800000-1259800</f>
        <v>8540200</v>
      </c>
      <c r="W162" s="2389" t="s">
        <v>202</v>
      </c>
      <c r="X162" s="2302" t="s">
        <v>2352</v>
      </c>
      <c r="Y162" s="3116">
        <v>1632</v>
      </c>
      <c r="Z162" s="3116">
        <v>1568</v>
      </c>
      <c r="AA162" s="3116">
        <v>974</v>
      </c>
      <c r="AB162" s="3116">
        <v>718</v>
      </c>
      <c r="AC162" s="3116">
        <v>410</v>
      </c>
      <c r="AD162" s="3116">
        <v>1098</v>
      </c>
      <c r="AE162" s="3116"/>
      <c r="AF162" s="3116"/>
      <c r="AG162" s="3116"/>
      <c r="AH162" s="3116"/>
      <c r="AI162" s="3116"/>
      <c r="AJ162" s="3116"/>
      <c r="AK162" s="3116"/>
      <c r="AL162" s="3116"/>
      <c r="AM162" s="3116"/>
      <c r="AN162" s="3116">
        <f>+Y162+Z162</f>
        <v>3200</v>
      </c>
      <c r="AO162" s="3083">
        <v>43480</v>
      </c>
      <c r="AP162" s="3083">
        <v>43819</v>
      </c>
      <c r="AQ162" s="3118" t="s">
        <v>2283</v>
      </c>
    </row>
    <row r="163" spans="1:43" s="638" customFormat="1" ht="39" customHeight="1" x14ac:dyDescent="0.2">
      <c r="A163" s="3029"/>
      <c r="B163" s="3033"/>
      <c r="C163" s="3034"/>
      <c r="D163" s="3097"/>
      <c r="E163" s="3097"/>
      <c r="F163" s="3097"/>
      <c r="G163" s="620"/>
      <c r="H163" s="2298"/>
      <c r="I163" s="2299"/>
      <c r="J163" s="3064"/>
      <c r="K163" s="3045"/>
      <c r="L163" s="3045"/>
      <c r="M163" s="3133"/>
      <c r="N163" s="3125"/>
      <c r="O163" s="3114"/>
      <c r="P163" s="3018"/>
      <c r="Q163" s="3159"/>
      <c r="R163" s="3128"/>
      <c r="S163" s="3054"/>
      <c r="T163" s="3054"/>
      <c r="U163" s="2413" t="s">
        <v>2470</v>
      </c>
      <c r="V163" s="2318">
        <f>20000000+8259800</f>
        <v>28259800</v>
      </c>
      <c r="W163" s="2337">
        <v>20</v>
      </c>
      <c r="X163" s="2302" t="s">
        <v>72</v>
      </c>
      <c r="Y163" s="3117"/>
      <c r="Z163" s="3117"/>
      <c r="AA163" s="3117"/>
      <c r="AB163" s="3117"/>
      <c r="AC163" s="3117"/>
      <c r="AD163" s="3117"/>
      <c r="AE163" s="3117"/>
      <c r="AF163" s="3117"/>
      <c r="AG163" s="3117"/>
      <c r="AH163" s="3117"/>
      <c r="AI163" s="3117"/>
      <c r="AJ163" s="3117"/>
      <c r="AK163" s="3117"/>
      <c r="AL163" s="3117"/>
      <c r="AM163" s="3117"/>
      <c r="AN163" s="3117"/>
      <c r="AO163" s="3084"/>
      <c r="AP163" s="3084"/>
      <c r="AQ163" s="3130"/>
    </row>
    <row r="164" spans="1:43" s="638" customFormat="1" ht="33.75" customHeight="1" x14ac:dyDescent="0.2">
      <c r="A164" s="3029"/>
      <c r="B164" s="3033"/>
      <c r="C164" s="3034"/>
      <c r="D164" s="3097"/>
      <c r="E164" s="3097"/>
      <c r="F164" s="3097"/>
      <c r="G164" s="620"/>
      <c r="H164" s="2298"/>
      <c r="I164" s="2299"/>
      <c r="J164" s="3057">
        <v>242</v>
      </c>
      <c r="K164" s="3055" t="s">
        <v>2471</v>
      </c>
      <c r="L164" s="3166" t="s">
        <v>2472</v>
      </c>
      <c r="M164" s="3139">
        <v>1</v>
      </c>
      <c r="N164" s="3125"/>
      <c r="O164" s="3114"/>
      <c r="P164" s="3018"/>
      <c r="Q164" s="3159">
        <f>SUM(V164:V165)/R162</f>
        <v>0.56358555499020646</v>
      </c>
      <c r="R164" s="3128"/>
      <c r="S164" s="3054"/>
      <c r="T164" s="3054"/>
      <c r="U164" s="2413" t="s">
        <v>2473</v>
      </c>
      <c r="V164" s="2318">
        <f>10000000-7000000</f>
        <v>3000000</v>
      </c>
      <c r="W164" s="2337">
        <v>20</v>
      </c>
      <c r="X164" s="2302" t="s">
        <v>72</v>
      </c>
      <c r="Y164" s="3117"/>
      <c r="Z164" s="3117"/>
      <c r="AA164" s="3117"/>
      <c r="AB164" s="3117"/>
      <c r="AC164" s="3117"/>
      <c r="AD164" s="3117"/>
      <c r="AE164" s="3117"/>
      <c r="AF164" s="3117"/>
      <c r="AG164" s="3117"/>
      <c r="AH164" s="3117"/>
      <c r="AI164" s="3117"/>
      <c r="AJ164" s="3117"/>
      <c r="AK164" s="3117"/>
      <c r="AL164" s="3117"/>
      <c r="AM164" s="3117"/>
      <c r="AN164" s="3117"/>
      <c r="AO164" s="3084"/>
      <c r="AP164" s="3084"/>
      <c r="AQ164" s="3130"/>
    </row>
    <row r="165" spans="1:43" s="638" customFormat="1" ht="36.75" customHeight="1" x14ac:dyDescent="0.2">
      <c r="A165" s="3029"/>
      <c r="B165" s="3033"/>
      <c r="C165" s="3034"/>
      <c r="D165" s="3097"/>
      <c r="E165" s="3097"/>
      <c r="F165" s="3097"/>
      <c r="G165" s="620"/>
      <c r="H165" s="2319"/>
      <c r="I165" s="2320"/>
      <c r="J165" s="3058"/>
      <c r="K165" s="3056"/>
      <c r="L165" s="3167"/>
      <c r="M165" s="3140"/>
      <c r="N165" s="3125"/>
      <c r="O165" s="3114"/>
      <c r="P165" s="3018"/>
      <c r="Q165" s="3159"/>
      <c r="R165" s="3129"/>
      <c r="S165" s="3054"/>
      <c r="T165" s="3054"/>
      <c r="U165" s="2413" t="s">
        <v>2474</v>
      </c>
      <c r="V165" s="2414">
        <v>44523515</v>
      </c>
      <c r="W165" s="2337">
        <v>20</v>
      </c>
      <c r="X165" s="2302" t="s">
        <v>72</v>
      </c>
      <c r="Y165" s="3117"/>
      <c r="Z165" s="3117"/>
      <c r="AA165" s="3117"/>
      <c r="AB165" s="3117"/>
      <c r="AC165" s="3117"/>
      <c r="AD165" s="3117"/>
      <c r="AE165" s="3117"/>
      <c r="AF165" s="3117"/>
      <c r="AG165" s="3117"/>
      <c r="AH165" s="3117"/>
      <c r="AI165" s="3117"/>
      <c r="AJ165" s="3117"/>
      <c r="AK165" s="3117"/>
      <c r="AL165" s="3117"/>
      <c r="AM165" s="3117"/>
      <c r="AN165" s="3117"/>
      <c r="AO165" s="3085"/>
      <c r="AP165" s="3085"/>
      <c r="AQ165" s="3130"/>
    </row>
    <row r="166" spans="1:43" s="620" customFormat="1" ht="15" customHeight="1" x14ac:dyDescent="0.2">
      <c r="A166" s="3029"/>
      <c r="B166" s="3033"/>
      <c r="C166" s="3034"/>
      <c r="D166" s="962">
        <v>27</v>
      </c>
      <c r="E166" s="2415" t="s">
        <v>2475</v>
      </c>
      <c r="F166" s="2415"/>
      <c r="G166" s="2416"/>
      <c r="H166" s="2416"/>
      <c r="I166" s="2272"/>
      <c r="J166" s="2342"/>
      <c r="K166" s="2343"/>
      <c r="L166" s="2065"/>
      <c r="M166" s="2064"/>
      <c r="N166" s="2276"/>
      <c r="O166" s="2273"/>
      <c r="P166" s="2275"/>
      <c r="Q166" s="2344"/>
      <c r="R166" s="2345"/>
      <c r="S166" s="2343"/>
      <c r="T166" s="2343"/>
      <c r="U166" s="2343"/>
      <c r="V166" s="2346"/>
      <c r="W166" s="2275"/>
      <c r="X166" s="2280"/>
      <c r="Y166" s="2275"/>
      <c r="Z166" s="2275"/>
      <c r="AA166" s="2275"/>
      <c r="AB166" s="2275"/>
      <c r="AC166" s="2275"/>
      <c r="AD166" s="2275"/>
      <c r="AE166" s="2275"/>
      <c r="AF166" s="2275"/>
      <c r="AG166" s="2275"/>
      <c r="AH166" s="2275"/>
      <c r="AI166" s="2275"/>
      <c r="AJ166" s="2275"/>
      <c r="AK166" s="2275"/>
      <c r="AL166" s="2275"/>
      <c r="AM166" s="2275"/>
      <c r="AN166" s="2275"/>
      <c r="AO166" s="2275"/>
      <c r="AP166" s="2275"/>
      <c r="AQ166" s="2282"/>
    </row>
    <row r="167" spans="1:43" s="620" customFormat="1" ht="15" customHeight="1" x14ac:dyDescent="0.2">
      <c r="A167" s="3029"/>
      <c r="B167" s="3033"/>
      <c r="C167" s="3034"/>
      <c r="D167" s="3174"/>
      <c r="E167" s="3177"/>
      <c r="F167" s="3180"/>
      <c r="G167" s="2283">
        <v>85</v>
      </c>
      <c r="H167" s="1121" t="s">
        <v>2476</v>
      </c>
      <c r="I167" s="1121"/>
      <c r="J167" s="2284"/>
      <c r="K167" s="2285"/>
      <c r="L167" s="2286"/>
      <c r="M167" s="1208"/>
      <c r="N167" s="1214"/>
      <c r="O167" s="1215"/>
      <c r="P167" s="1123"/>
      <c r="Q167" s="2287"/>
      <c r="R167" s="2349"/>
      <c r="S167" s="2285"/>
      <c r="T167" s="2285"/>
      <c r="U167" s="2285"/>
      <c r="V167" s="2388"/>
      <c r="W167" s="1126"/>
      <c r="X167" s="1126"/>
      <c r="Y167" s="1126"/>
      <c r="Z167" s="1126"/>
      <c r="AA167" s="1126"/>
      <c r="AB167" s="1126"/>
      <c r="AC167" s="1126"/>
      <c r="AD167" s="1126"/>
      <c r="AE167" s="1126"/>
      <c r="AF167" s="1126"/>
      <c r="AG167" s="1126"/>
      <c r="AH167" s="1126"/>
      <c r="AI167" s="1126"/>
      <c r="AJ167" s="1126"/>
      <c r="AK167" s="1126"/>
      <c r="AL167" s="1126"/>
      <c r="AM167" s="1126"/>
      <c r="AN167" s="1126"/>
      <c r="AO167" s="1126"/>
      <c r="AP167" s="1126"/>
      <c r="AQ167" s="2351"/>
    </row>
    <row r="168" spans="1:43" s="638" customFormat="1" ht="30.75" customHeight="1" x14ac:dyDescent="0.2">
      <c r="A168" s="3029"/>
      <c r="B168" s="3033"/>
      <c r="C168" s="3034"/>
      <c r="D168" s="3175"/>
      <c r="E168" s="3178"/>
      <c r="F168" s="3181"/>
      <c r="G168" s="620"/>
      <c r="H168" s="2293"/>
      <c r="I168" s="2294"/>
      <c r="J168" s="3133">
        <v>250</v>
      </c>
      <c r="K168" s="3044" t="s">
        <v>2477</v>
      </c>
      <c r="L168" s="3183" t="s">
        <v>2478</v>
      </c>
      <c r="M168" s="3133">
        <v>3</v>
      </c>
      <c r="N168" s="3060" t="s">
        <v>2479</v>
      </c>
      <c r="O168" s="3114" t="s">
        <v>2480</v>
      </c>
      <c r="P168" s="3018" t="s">
        <v>2481</v>
      </c>
      <c r="Q168" s="3168">
        <f>R168/SUM(R168:R184)</f>
        <v>1</v>
      </c>
      <c r="R168" s="3171">
        <f>SUM(V168:V194)</f>
        <v>700271633</v>
      </c>
      <c r="S168" s="3054" t="s">
        <v>2482</v>
      </c>
      <c r="T168" s="3054" t="s">
        <v>2483</v>
      </c>
      <c r="U168" s="3062" t="s">
        <v>2484</v>
      </c>
      <c r="V168" s="2417">
        <v>65420000</v>
      </c>
      <c r="W168" s="2381">
        <v>20</v>
      </c>
      <c r="X168" s="2418" t="s">
        <v>2352</v>
      </c>
      <c r="Y168" s="3116">
        <v>5202</v>
      </c>
      <c r="Z168" s="3116">
        <v>4998</v>
      </c>
      <c r="AA168" s="3116">
        <v>3103</v>
      </c>
      <c r="AB168" s="3116">
        <v>2288</v>
      </c>
      <c r="AC168" s="3116">
        <v>1306</v>
      </c>
      <c r="AD168" s="3116">
        <v>3503</v>
      </c>
      <c r="AE168" s="3116"/>
      <c r="AF168" s="3116"/>
      <c r="AG168" s="3116"/>
      <c r="AH168" s="3116"/>
      <c r="AI168" s="3116"/>
      <c r="AJ168" s="3116"/>
      <c r="AK168" s="3116"/>
      <c r="AL168" s="3116"/>
      <c r="AM168" s="3116"/>
      <c r="AN168" s="3116">
        <f>+Y168+Z168</f>
        <v>10200</v>
      </c>
      <c r="AO168" s="3083">
        <v>43753</v>
      </c>
      <c r="AP168" s="3083">
        <v>43758</v>
      </c>
      <c r="AQ168" s="3118" t="s">
        <v>2329</v>
      </c>
    </row>
    <row r="169" spans="1:43" s="638" customFormat="1" ht="30.75" customHeight="1" x14ac:dyDescent="0.2">
      <c r="A169" s="3029"/>
      <c r="B169" s="3033"/>
      <c r="C169" s="3034"/>
      <c r="D169" s="3175"/>
      <c r="E169" s="3178"/>
      <c r="F169" s="3181"/>
      <c r="G169" s="620"/>
      <c r="H169" s="2298"/>
      <c r="I169" s="2299"/>
      <c r="J169" s="3133"/>
      <c r="K169" s="3044"/>
      <c r="L169" s="3183"/>
      <c r="M169" s="3133"/>
      <c r="N169" s="3125"/>
      <c r="O169" s="3114"/>
      <c r="P169" s="3018"/>
      <c r="Q169" s="3169"/>
      <c r="R169" s="3172"/>
      <c r="S169" s="3054"/>
      <c r="T169" s="3054"/>
      <c r="U169" s="3063"/>
      <c r="V169" s="2417">
        <f>0+62420000</f>
        <v>62420000</v>
      </c>
      <c r="W169" s="2381">
        <v>88</v>
      </c>
      <c r="X169" s="2418" t="s">
        <v>140</v>
      </c>
      <c r="Y169" s="3116"/>
      <c r="Z169" s="3116"/>
      <c r="AA169" s="3116"/>
      <c r="AB169" s="3116"/>
      <c r="AC169" s="3116"/>
      <c r="AD169" s="3116"/>
      <c r="AE169" s="3116"/>
      <c r="AF169" s="3116"/>
      <c r="AG169" s="3116"/>
      <c r="AH169" s="3116"/>
      <c r="AI169" s="3116"/>
      <c r="AJ169" s="3116"/>
      <c r="AK169" s="3116"/>
      <c r="AL169" s="3116"/>
      <c r="AM169" s="3116"/>
      <c r="AN169" s="3116"/>
      <c r="AO169" s="3084"/>
      <c r="AP169" s="3084"/>
      <c r="AQ169" s="3118"/>
    </row>
    <row r="170" spans="1:43" s="638" customFormat="1" ht="32.25" customHeight="1" x14ac:dyDescent="0.2">
      <c r="A170" s="3029"/>
      <c r="B170" s="3033"/>
      <c r="C170" s="3034"/>
      <c r="D170" s="3175"/>
      <c r="E170" s="3178"/>
      <c r="F170" s="3181"/>
      <c r="G170" s="620"/>
      <c r="H170" s="2298"/>
      <c r="I170" s="2299"/>
      <c r="J170" s="3133"/>
      <c r="K170" s="3044"/>
      <c r="L170" s="3183"/>
      <c r="M170" s="3133"/>
      <c r="N170" s="3125"/>
      <c r="O170" s="3114"/>
      <c r="P170" s="3018"/>
      <c r="Q170" s="3169"/>
      <c r="R170" s="3172"/>
      <c r="S170" s="3054"/>
      <c r="T170" s="3054"/>
      <c r="U170" s="3062" t="s">
        <v>2485</v>
      </c>
      <c r="V170" s="2417">
        <v>28000000</v>
      </c>
      <c r="W170" s="2337">
        <v>20</v>
      </c>
      <c r="X170" s="2302" t="s">
        <v>72</v>
      </c>
      <c r="Y170" s="3117"/>
      <c r="Z170" s="3117"/>
      <c r="AA170" s="3117"/>
      <c r="AB170" s="3117"/>
      <c r="AC170" s="3117"/>
      <c r="AD170" s="3117"/>
      <c r="AE170" s="3117"/>
      <c r="AF170" s="3117"/>
      <c r="AG170" s="3117"/>
      <c r="AH170" s="3117"/>
      <c r="AI170" s="3117"/>
      <c r="AJ170" s="3117"/>
      <c r="AK170" s="3117"/>
      <c r="AL170" s="3117"/>
      <c r="AM170" s="3117"/>
      <c r="AN170" s="3117"/>
      <c r="AO170" s="3084"/>
      <c r="AP170" s="3084"/>
      <c r="AQ170" s="3119"/>
    </row>
    <row r="171" spans="1:43" s="638" customFormat="1" ht="32.25" customHeight="1" x14ac:dyDescent="0.2">
      <c r="A171" s="3029"/>
      <c r="B171" s="3033"/>
      <c r="C171" s="3034"/>
      <c r="D171" s="3175"/>
      <c r="E171" s="3178"/>
      <c r="F171" s="3181"/>
      <c r="G171" s="620"/>
      <c r="H171" s="2298"/>
      <c r="I171" s="2299"/>
      <c r="J171" s="3133"/>
      <c r="K171" s="3044"/>
      <c r="L171" s="3183"/>
      <c r="M171" s="3133"/>
      <c r="N171" s="3125"/>
      <c r="O171" s="3114"/>
      <c r="P171" s="3018"/>
      <c r="Q171" s="3169"/>
      <c r="R171" s="3172"/>
      <c r="S171" s="3054"/>
      <c r="T171" s="3054"/>
      <c r="U171" s="3063"/>
      <c r="V171" s="2417">
        <f>0+28000000</f>
        <v>28000000</v>
      </c>
      <c r="W171" s="2337">
        <v>88</v>
      </c>
      <c r="X171" s="2302" t="s">
        <v>72</v>
      </c>
      <c r="Y171" s="3117"/>
      <c r="Z171" s="3117"/>
      <c r="AA171" s="3117"/>
      <c r="AB171" s="3117"/>
      <c r="AC171" s="3117"/>
      <c r="AD171" s="3117"/>
      <c r="AE171" s="3117"/>
      <c r="AF171" s="3117"/>
      <c r="AG171" s="3117"/>
      <c r="AH171" s="3117"/>
      <c r="AI171" s="3117"/>
      <c r="AJ171" s="3117"/>
      <c r="AK171" s="3117"/>
      <c r="AL171" s="3117"/>
      <c r="AM171" s="3117"/>
      <c r="AN171" s="3117"/>
      <c r="AO171" s="3084"/>
      <c r="AP171" s="3084"/>
      <c r="AQ171" s="3119"/>
    </row>
    <row r="172" spans="1:43" s="638" customFormat="1" ht="30" customHeight="1" x14ac:dyDescent="0.2">
      <c r="A172" s="3029"/>
      <c r="B172" s="3033"/>
      <c r="C172" s="3034"/>
      <c r="D172" s="3175"/>
      <c r="E172" s="3178"/>
      <c r="F172" s="3181"/>
      <c r="G172" s="620"/>
      <c r="H172" s="2298"/>
      <c r="I172" s="2299"/>
      <c r="J172" s="3133"/>
      <c r="K172" s="3044"/>
      <c r="L172" s="3183"/>
      <c r="M172" s="3133"/>
      <c r="N172" s="3125"/>
      <c r="O172" s="3114"/>
      <c r="P172" s="3018"/>
      <c r="Q172" s="3169"/>
      <c r="R172" s="3172"/>
      <c r="S172" s="3054"/>
      <c r="T172" s="3054"/>
      <c r="U172" s="3062" t="s">
        <v>2486</v>
      </c>
      <c r="V172" s="2417">
        <v>5000000</v>
      </c>
      <c r="W172" s="2337">
        <v>20</v>
      </c>
      <c r="X172" s="2302" t="s">
        <v>72</v>
      </c>
      <c r="Y172" s="3117"/>
      <c r="Z172" s="3117"/>
      <c r="AA172" s="3117"/>
      <c r="AB172" s="3117"/>
      <c r="AC172" s="3117"/>
      <c r="AD172" s="3117"/>
      <c r="AE172" s="3117"/>
      <c r="AF172" s="3117"/>
      <c r="AG172" s="3117"/>
      <c r="AH172" s="3117"/>
      <c r="AI172" s="3117"/>
      <c r="AJ172" s="3117"/>
      <c r="AK172" s="3117"/>
      <c r="AL172" s="3117"/>
      <c r="AM172" s="3117"/>
      <c r="AN172" s="3117"/>
      <c r="AO172" s="3084"/>
      <c r="AP172" s="3084"/>
      <c r="AQ172" s="3119"/>
    </row>
    <row r="173" spans="1:43" s="638" customFormat="1" ht="29.25" customHeight="1" x14ac:dyDescent="0.2">
      <c r="A173" s="3029"/>
      <c r="B173" s="3033"/>
      <c r="C173" s="3034"/>
      <c r="D173" s="3175"/>
      <c r="E173" s="3178"/>
      <c r="F173" s="3181"/>
      <c r="G173" s="620"/>
      <c r="H173" s="2298"/>
      <c r="I173" s="2299"/>
      <c r="J173" s="3133"/>
      <c r="K173" s="3044"/>
      <c r="L173" s="3183"/>
      <c r="M173" s="3133"/>
      <c r="N173" s="3125"/>
      <c r="O173" s="3114"/>
      <c r="P173" s="3018"/>
      <c r="Q173" s="3169"/>
      <c r="R173" s="3172"/>
      <c r="S173" s="3054"/>
      <c r="T173" s="3054"/>
      <c r="U173" s="3063"/>
      <c r="V173" s="2417">
        <f>0+5000000</f>
        <v>5000000</v>
      </c>
      <c r="W173" s="2381">
        <v>88</v>
      </c>
      <c r="X173" s="2418" t="s">
        <v>2487</v>
      </c>
      <c r="Y173" s="3117"/>
      <c r="Z173" s="3117"/>
      <c r="AA173" s="3117"/>
      <c r="AB173" s="3117"/>
      <c r="AC173" s="3117"/>
      <c r="AD173" s="3117"/>
      <c r="AE173" s="3117"/>
      <c r="AF173" s="3117"/>
      <c r="AG173" s="3117"/>
      <c r="AH173" s="3117"/>
      <c r="AI173" s="3117"/>
      <c r="AJ173" s="3117"/>
      <c r="AK173" s="3117"/>
      <c r="AL173" s="3117"/>
      <c r="AM173" s="3117"/>
      <c r="AN173" s="3117"/>
      <c r="AO173" s="3084"/>
      <c r="AP173" s="3084"/>
      <c r="AQ173" s="3119"/>
    </row>
    <row r="174" spans="1:43" s="638" customFormat="1" ht="22.5" customHeight="1" x14ac:dyDescent="0.2">
      <c r="A174" s="3029"/>
      <c r="B174" s="3033"/>
      <c r="C174" s="3034"/>
      <c r="D174" s="3175"/>
      <c r="E174" s="3178"/>
      <c r="F174" s="3181"/>
      <c r="G174" s="620"/>
      <c r="H174" s="2298"/>
      <c r="I174" s="2299"/>
      <c r="J174" s="3133"/>
      <c r="K174" s="3044"/>
      <c r="L174" s="3183"/>
      <c r="M174" s="3133"/>
      <c r="N174" s="3125"/>
      <c r="O174" s="3114"/>
      <c r="P174" s="3018"/>
      <c r="Q174" s="3169"/>
      <c r="R174" s="3172"/>
      <c r="S174" s="3054"/>
      <c r="T174" s="3054"/>
      <c r="U174" s="3009" t="s">
        <v>2488</v>
      </c>
      <c r="V174" s="2417">
        <v>11400000</v>
      </c>
      <c r="W174" s="2337">
        <v>20</v>
      </c>
      <c r="X174" s="2302" t="s">
        <v>72</v>
      </c>
      <c r="Y174" s="3117"/>
      <c r="Z174" s="3117"/>
      <c r="AA174" s="3117"/>
      <c r="AB174" s="3117"/>
      <c r="AC174" s="3117"/>
      <c r="AD174" s="3117"/>
      <c r="AE174" s="3117"/>
      <c r="AF174" s="3117"/>
      <c r="AG174" s="3117"/>
      <c r="AH174" s="3117"/>
      <c r="AI174" s="3117"/>
      <c r="AJ174" s="3117"/>
      <c r="AK174" s="3117"/>
      <c r="AL174" s="3117"/>
      <c r="AM174" s="3117"/>
      <c r="AN174" s="3117"/>
      <c r="AO174" s="3084"/>
      <c r="AP174" s="3084"/>
      <c r="AQ174" s="3119"/>
    </row>
    <row r="175" spans="1:43" s="638" customFormat="1" ht="22.5" customHeight="1" x14ac:dyDescent="0.2">
      <c r="A175" s="3029"/>
      <c r="B175" s="3033"/>
      <c r="C175" s="3034"/>
      <c r="D175" s="3175"/>
      <c r="E175" s="3178"/>
      <c r="F175" s="3181"/>
      <c r="G175" s="620"/>
      <c r="H175" s="2298"/>
      <c r="I175" s="2299"/>
      <c r="J175" s="3133"/>
      <c r="K175" s="3044"/>
      <c r="L175" s="3183"/>
      <c r="M175" s="3133"/>
      <c r="N175" s="3125"/>
      <c r="O175" s="3114"/>
      <c r="P175" s="3018"/>
      <c r="Q175" s="3169"/>
      <c r="R175" s="3172"/>
      <c r="S175" s="3054"/>
      <c r="T175" s="3054"/>
      <c r="U175" s="3010"/>
      <c r="V175" s="2417">
        <f>0+10000000</f>
        <v>10000000</v>
      </c>
      <c r="W175" s="2337">
        <v>88</v>
      </c>
      <c r="X175" s="2418" t="s">
        <v>140</v>
      </c>
      <c r="Y175" s="3117"/>
      <c r="Z175" s="3117"/>
      <c r="AA175" s="3117"/>
      <c r="AB175" s="3117"/>
      <c r="AC175" s="3117"/>
      <c r="AD175" s="3117"/>
      <c r="AE175" s="3117"/>
      <c r="AF175" s="3117"/>
      <c r="AG175" s="3117"/>
      <c r="AH175" s="3117"/>
      <c r="AI175" s="3117"/>
      <c r="AJ175" s="3117"/>
      <c r="AK175" s="3117"/>
      <c r="AL175" s="3117"/>
      <c r="AM175" s="3117"/>
      <c r="AN175" s="3117"/>
      <c r="AO175" s="3084"/>
      <c r="AP175" s="3084"/>
      <c r="AQ175" s="3119"/>
    </row>
    <row r="176" spans="1:43" s="638" customFormat="1" ht="34.5" customHeight="1" x14ac:dyDescent="0.2">
      <c r="A176" s="3029"/>
      <c r="B176" s="3033"/>
      <c r="C176" s="3034"/>
      <c r="D176" s="3175"/>
      <c r="E176" s="3178"/>
      <c r="F176" s="3181"/>
      <c r="G176" s="620"/>
      <c r="H176" s="2298"/>
      <c r="I176" s="2299"/>
      <c r="J176" s="3133"/>
      <c r="K176" s="3044"/>
      <c r="L176" s="3183"/>
      <c r="M176" s="3133"/>
      <c r="N176" s="3125"/>
      <c r="O176" s="3114"/>
      <c r="P176" s="3018"/>
      <c r="Q176" s="3169"/>
      <c r="R176" s="3172"/>
      <c r="S176" s="3054"/>
      <c r="T176" s="3054"/>
      <c r="U176" s="269" t="s">
        <v>2489</v>
      </c>
      <c r="V176" s="2417">
        <v>5000000</v>
      </c>
      <c r="W176" s="2337">
        <v>20</v>
      </c>
      <c r="X176" s="2302" t="s">
        <v>72</v>
      </c>
      <c r="Y176" s="3117"/>
      <c r="Z176" s="3117"/>
      <c r="AA176" s="3117"/>
      <c r="AB176" s="3117"/>
      <c r="AC176" s="3117"/>
      <c r="AD176" s="3117"/>
      <c r="AE176" s="3117"/>
      <c r="AF176" s="3117"/>
      <c r="AG176" s="3117"/>
      <c r="AH176" s="3117"/>
      <c r="AI176" s="3117"/>
      <c r="AJ176" s="3117"/>
      <c r="AK176" s="3117"/>
      <c r="AL176" s="3117"/>
      <c r="AM176" s="3117"/>
      <c r="AN176" s="3117"/>
      <c r="AO176" s="3084"/>
      <c r="AP176" s="3084"/>
      <c r="AQ176" s="3119"/>
    </row>
    <row r="177" spans="1:43" s="638" customFormat="1" ht="41.25" customHeight="1" x14ac:dyDescent="0.2">
      <c r="A177" s="3029"/>
      <c r="B177" s="3033"/>
      <c r="C177" s="3034"/>
      <c r="D177" s="3175"/>
      <c r="E177" s="3178"/>
      <c r="F177" s="3181"/>
      <c r="G177" s="620"/>
      <c r="H177" s="2298"/>
      <c r="I177" s="2299"/>
      <c r="J177" s="3133"/>
      <c r="K177" s="3044"/>
      <c r="L177" s="3183"/>
      <c r="M177" s="3133"/>
      <c r="N177" s="3125"/>
      <c r="O177" s="3114"/>
      <c r="P177" s="3018"/>
      <c r="Q177" s="3169"/>
      <c r="R177" s="3172"/>
      <c r="S177" s="3054"/>
      <c r="T177" s="3054"/>
      <c r="U177" s="269" t="s">
        <v>2490</v>
      </c>
      <c r="V177" s="2417">
        <v>12000000</v>
      </c>
      <c r="W177" s="2337">
        <v>20</v>
      </c>
      <c r="X177" s="2302" t="s">
        <v>72</v>
      </c>
      <c r="Y177" s="3117"/>
      <c r="Z177" s="3117"/>
      <c r="AA177" s="3117"/>
      <c r="AB177" s="3117"/>
      <c r="AC177" s="3117"/>
      <c r="AD177" s="3117"/>
      <c r="AE177" s="3117"/>
      <c r="AF177" s="3117"/>
      <c r="AG177" s="3117"/>
      <c r="AH177" s="3117"/>
      <c r="AI177" s="3117"/>
      <c r="AJ177" s="3117"/>
      <c r="AK177" s="3117"/>
      <c r="AL177" s="3117"/>
      <c r="AM177" s="3117"/>
      <c r="AN177" s="3117"/>
      <c r="AO177" s="3084"/>
      <c r="AP177" s="3084"/>
      <c r="AQ177" s="3119"/>
    </row>
    <row r="178" spans="1:43" s="638" customFormat="1" ht="32.25" customHeight="1" x14ac:dyDescent="0.2">
      <c r="A178" s="3029"/>
      <c r="B178" s="3033"/>
      <c r="C178" s="3034"/>
      <c r="D178" s="3175"/>
      <c r="E178" s="3178"/>
      <c r="F178" s="3181"/>
      <c r="G178" s="620"/>
      <c r="H178" s="2298"/>
      <c r="I178" s="2299"/>
      <c r="J178" s="3133"/>
      <c r="K178" s="3044"/>
      <c r="L178" s="3183"/>
      <c r="M178" s="3133"/>
      <c r="N178" s="3125"/>
      <c r="O178" s="3114"/>
      <c r="P178" s="3018"/>
      <c r="Q178" s="3169"/>
      <c r="R178" s="3172"/>
      <c r="S178" s="3054"/>
      <c r="T178" s="3054"/>
      <c r="U178" s="3062" t="s">
        <v>2491</v>
      </c>
      <c r="V178" s="2417">
        <f>40000000+366848</f>
        <v>40366848</v>
      </c>
      <c r="W178" s="2337">
        <v>20</v>
      </c>
      <c r="X178" s="2302" t="s">
        <v>72</v>
      </c>
      <c r="Y178" s="3117"/>
      <c r="Z178" s="3117"/>
      <c r="AA178" s="3117"/>
      <c r="AB178" s="3117"/>
      <c r="AC178" s="3117"/>
      <c r="AD178" s="3117"/>
      <c r="AE178" s="3117"/>
      <c r="AF178" s="3117"/>
      <c r="AG178" s="3117"/>
      <c r="AH178" s="3117"/>
      <c r="AI178" s="3117"/>
      <c r="AJ178" s="3117"/>
      <c r="AK178" s="3117"/>
      <c r="AL178" s="3117"/>
      <c r="AM178" s="3117"/>
      <c r="AN178" s="3117"/>
      <c r="AO178" s="3084"/>
      <c r="AP178" s="3084"/>
      <c r="AQ178" s="3119"/>
    </row>
    <row r="179" spans="1:43" s="638" customFormat="1" ht="27.75" customHeight="1" x14ac:dyDescent="0.2">
      <c r="A179" s="3029"/>
      <c r="B179" s="3033"/>
      <c r="C179" s="3034"/>
      <c r="D179" s="3175"/>
      <c r="E179" s="3178"/>
      <c r="F179" s="3181"/>
      <c r="G179" s="620"/>
      <c r="H179" s="2298"/>
      <c r="I179" s="2299"/>
      <c r="J179" s="3133"/>
      <c r="K179" s="3044"/>
      <c r="L179" s="3183"/>
      <c r="M179" s="3133"/>
      <c r="N179" s="3125"/>
      <c r="O179" s="3114"/>
      <c r="P179" s="3018"/>
      <c r="Q179" s="3169"/>
      <c r="R179" s="3172"/>
      <c r="S179" s="3054"/>
      <c r="T179" s="3054"/>
      <c r="U179" s="3063"/>
      <c r="V179" s="2417">
        <f>43690500-366848</f>
        <v>43323652</v>
      </c>
      <c r="W179" s="2337">
        <v>88</v>
      </c>
      <c r="X179" s="2418" t="s">
        <v>140</v>
      </c>
      <c r="Y179" s="3117"/>
      <c r="Z179" s="3117"/>
      <c r="AA179" s="3117"/>
      <c r="AB179" s="3117"/>
      <c r="AC179" s="3117"/>
      <c r="AD179" s="3117"/>
      <c r="AE179" s="3117"/>
      <c r="AF179" s="3117"/>
      <c r="AG179" s="3117"/>
      <c r="AH179" s="3117"/>
      <c r="AI179" s="3117"/>
      <c r="AJ179" s="3117"/>
      <c r="AK179" s="3117"/>
      <c r="AL179" s="3117"/>
      <c r="AM179" s="3117"/>
      <c r="AN179" s="3117"/>
      <c r="AO179" s="3084"/>
      <c r="AP179" s="3084"/>
      <c r="AQ179" s="3119"/>
    </row>
    <row r="180" spans="1:43" s="638" customFormat="1" ht="27.75" customHeight="1" x14ac:dyDescent="0.2">
      <c r="A180" s="3029"/>
      <c r="B180" s="3033"/>
      <c r="C180" s="3034"/>
      <c r="D180" s="3175"/>
      <c r="E180" s="3178"/>
      <c r="F180" s="3181"/>
      <c r="G180" s="620"/>
      <c r="H180" s="2298"/>
      <c r="I180" s="2299"/>
      <c r="J180" s="3133"/>
      <c r="K180" s="3044"/>
      <c r="L180" s="3183"/>
      <c r="M180" s="3133"/>
      <c r="N180" s="3125"/>
      <c r="O180" s="3114"/>
      <c r="P180" s="3018"/>
      <c r="Q180" s="3169"/>
      <c r="R180" s="3172"/>
      <c r="S180" s="3054"/>
      <c r="T180" s="3054"/>
      <c r="U180" s="3062" t="s">
        <v>2492</v>
      </c>
      <c r="V180" s="2417">
        <f>20000000+4383152</f>
        <v>24383152</v>
      </c>
      <c r="W180" s="2381">
        <v>20</v>
      </c>
      <c r="X180" s="2418" t="s">
        <v>72</v>
      </c>
      <c r="Y180" s="3117"/>
      <c r="Z180" s="3117"/>
      <c r="AA180" s="3117"/>
      <c r="AB180" s="3117"/>
      <c r="AC180" s="3117"/>
      <c r="AD180" s="3117"/>
      <c r="AE180" s="3117"/>
      <c r="AF180" s="3117"/>
      <c r="AG180" s="3117"/>
      <c r="AH180" s="3117"/>
      <c r="AI180" s="3117"/>
      <c r="AJ180" s="3117"/>
      <c r="AK180" s="3117"/>
      <c r="AL180" s="3117"/>
      <c r="AM180" s="3117"/>
      <c r="AN180" s="3117"/>
      <c r="AO180" s="3084"/>
      <c r="AP180" s="3084"/>
      <c r="AQ180" s="3119"/>
    </row>
    <row r="181" spans="1:43" s="638" customFormat="1" ht="36" customHeight="1" x14ac:dyDescent="0.2">
      <c r="A181" s="3029"/>
      <c r="B181" s="3033"/>
      <c r="C181" s="3034"/>
      <c r="D181" s="3175"/>
      <c r="E181" s="3178"/>
      <c r="F181" s="3181"/>
      <c r="G181" s="620"/>
      <c r="H181" s="2298"/>
      <c r="I181" s="2299"/>
      <c r="J181" s="3133"/>
      <c r="K181" s="3044"/>
      <c r="L181" s="3183"/>
      <c r="M181" s="3133"/>
      <c r="N181" s="3125"/>
      <c r="O181" s="3114"/>
      <c r="P181" s="3018"/>
      <c r="Q181" s="3169"/>
      <c r="R181" s="3172"/>
      <c r="S181" s="3054"/>
      <c r="T181" s="3054"/>
      <c r="U181" s="3185"/>
      <c r="V181" s="2417">
        <f>20000000-4383152</f>
        <v>15616848</v>
      </c>
      <c r="W181" s="2337">
        <v>88</v>
      </c>
      <c r="X181" s="2418" t="s">
        <v>140</v>
      </c>
      <c r="Y181" s="3138"/>
      <c r="Z181" s="3117"/>
      <c r="AA181" s="3117"/>
      <c r="AB181" s="3117"/>
      <c r="AC181" s="3117"/>
      <c r="AD181" s="3117"/>
      <c r="AE181" s="3117"/>
      <c r="AF181" s="3117"/>
      <c r="AG181" s="3117"/>
      <c r="AH181" s="3117"/>
      <c r="AI181" s="3117"/>
      <c r="AJ181" s="3117"/>
      <c r="AK181" s="3117"/>
      <c r="AL181" s="3117"/>
      <c r="AM181" s="3117"/>
      <c r="AN181" s="3117"/>
      <c r="AO181" s="3084"/>
      <c r="AP181" s="3084"/>
      <c r="AQ181" s="3119"/>
    </row>
    <row r="182" spans="1:43" s="638" customFormat="1" ht="42" customHeight="1" x14ac:dyDescent="0.2">
      <c r="A182" s="3029"/>
      <c r="B182" s="3033"/>
      <c r="C182" s="3034"/>
      <c r="D182" s="3175"/>
      <c r="E182" s="3178"/>
      <c r="F182" s="3181"/>
      <c r="G182" s="620"/>
      <c r="H182" s="2298"/>
      <c r="I182" s="2299"/>
      <c r="J182" s="3133">
        <v>251</v>
      </c>
      <c r="K182" s="3044" t="s">
        <v>2493</v>
      </c>
      <c r="L182" s="3044" t="s">
        <v>2494</v>
      </c>
      <c r="M182" s="3133">
        <v>1</v>
      </c>
      <c r="N182" s="3125"/>
      <c r="O182" s="3114"/>
      <c r="P182" s="3018"/>
      <c r="Q182" s="3169"/>
      <c r="R182" s="3172"/>
      <c r="S182" s="3054"/>
      <c r="T182" s="3054"/>
      <c r="U182" s="269" t="s">
        <v>2495</v>
      </c>
      <c r="V182" s="2455">
        <v>18000000</v>
      </c>
      <c r="W182" s="2419">
        <v>20</v>
      </c>
      <c r="X182" s="2420" t="s">
        <v>72</v>
      </c>
      <c r="Y182" s="3117"/>
      <c r="Z182" s="3117"/>
      <c r="AA182" s="3117"/>
      <c r="AB182" s="3117"/>
      <c r="AC182" s="3117"/>
      <c r="AD182" s="3117"/>
      <c r="AE182" s="3117"/>
      <c r="AF182" s="3117"/>
      <c r="AG182" s="3117"/>
      <c r="AH182" s="3117"/>
      <c r="AI182" s="3117"/>
      <c r="AJ182" s="3117"/>
      <c r="AK182" s="3117"/>
      <c r="AL182" s="3117"/>
      <c r="AM182" s="3117"/>
      <c r="AN182" s="3117"/>
      <c r="AO182" s="3084"/>
      <c r="AP182" s="3084"/>
      <c r="AQ182" s="3119"/>
    </row>
    <row r="183" spans="1:43" s="638" customFormat="1" ht="46.5" customHeight="1" x14ac:dyDescent="0.2">
      <c r="A183" s="3029"/>
      <c r="B183" s="3033"/>
      <c r="C183" s="3034"/>
      <c r="D183" s="3175"/>
      <c r="E183" s="3178"/>
      <c r="F183" s="3181"/>
      <c r="G183" s="620"/>
      <c r="H183" s="2298"/>
      <c r="I183" s="2299"/>
      <c r="J183" s="3133"/>
      <c r="K183" s="3044"/>
      <c r="L183" s="3044"/>
      <c r="M183" s="3133"/>
      <c r="N183" s="3125"/>
      <c r="O183" s="3114"/>
      <c r="P183" s="3018"/>
      <c r="Q183" s="3169"/>
      <c r="R183" s="3172"/>
      <c r="S183" s="3054"/>
      <c r="T183" s="3054"/>
      <c r="U183" s="1176" t="s">
        <v>2496</v>
      </c>
      <c r="V183" s="2456">
        <v>5000000</v>
      </c>
      <c r="W183" s="2337">
        <v>20</v>
      </c>
      <c r="X183" s="2302" t="s">
        <v>72</v>
      </c>
      <c r="Y183" s="3117"/>
      <c r="Z183" s="3117"/>
      <c r="AA183" s="3117"/>
      <c r="AB183" s="3117"/>
      <c r="AC183" s="3117"/>
      <c r="AD183" s="3117"/>
      <c r="AE183" s="3117"/>
      <c r="AF183" s="3117"/>
      <c r="AG183" s="3117"/>
      <c r="AH183" s="3117"/>
      <c r="AI183" s="3117"/>
      <c r="AJ183" s="3117"/>
      <c r="AK183" s="3117"/>
      <c r="AL183" s="3117"/>
      <c r="AM183" s="3117"/>
      <c r="AN183" s="3117"/>
      <c r="AO183" s="3084"/>
      <c r="AP183" s="3084"/>
      <c r="AQ183" s="3119"/>
    </row>
    <row r="184" spans="1:43" s="638" customFormat="1" ht="48.75" customHeight="1" x14ac:dyDescent="0.2">
      <c r="A184" s="3029"/>
      <c r="B184" s="3033"/>
      <c r="C184" s="3034"/>
      <c r="D184" s="3175"/>
      <c r="E184" s="3178"/>
      <c r="F184" s="3181"/>
      <c r="G184" s="620"/>
      <c r="H184" s="2298"/>
      <c r="I184" s="2299"/>
      <c r="J184" s="3133"/>
      <c r="K184" s="3044"/>
      <c r="L184" s="3044"/>
      <c r="M184" s="3133"/>
      <c r="N184" s="3125"/>
      <c r="O184" s="3114"/>
      <c r="P184" s="3018"/>
      <c r="Q184" s="3169"/>
      <c r="R184" s="3172"/>
      <c r="S184" s="3054"/>
      <c r="T184" s="3054"/>
      <c r="U184" s="1176" t="s">
        <v>2497</v>
      </c>
      <c r="V184" s="2456">
        <v>14690000</v>
      </c>
      <c r="W184" s="2337">
        <v>20</v>
      </c>
      <c r="X184" s="2302" t="s">
        <v>72</v>
      </c>
      <c r="Y184" s="3117"/>
      <c r="Z184" s="3117"/>
      <c r="AA184" s="3117"/>
      <c r="AB184" s="3117"/>
      <c r="AC184" s="3117"/>
      <c r="AD184" s="3117"/>
      <c r="AE184" s="3117"/>
      <c r="AF184" s="3117"/>
      <c r="AG184" s="3117"/>
      <c r="AH184" s="3117"/>
      <c r="AI184" s="3117"/>
      <c r="AJ184" s="3117"/>
      <c r="AK184" s="3117"/>
      <c r="AL184" s="3117"/>
      <c r="AM184" s="3117"/>
      <c r="AN184" s="3117"/>
      <c r="AO184" s="3084"/>
      <c r="AP184" s="3084"/>
      <c r="AQ184" s="3119"/>
    </row>
    <row r="185" spans="1:43" s="638" customFormat="1" ht="33" customHeight="1" x14ac:dyDescent="0.2">
      <c r="A185" s="3029"/>
      <c r="B185" s="3033"/>
      <c r="C185" s="3034"/>
      <c r="D185" s="3175"/>
      <c r="E185" s="3178"/>
      <c r="F185" s="3181"/>
      <c r="G185" s="620"/>
      <c r="H185" s="2298"/>
      <c r="I185" s="2299"/>
      <c r="J185" s="3133"/>
      <c r="K185" s="3044"/>
      <c r="L185" s="3044"/>
      <c r="M185" s="3133"/>
      <c r="N185" s="3125"/>
      <c r="O185" s="3114"/>
      <c r="P185" s="3018"/>
      <c r="Q185" s="3169"/>
      <c r="R185" s="3172"/>
      <c r="S185" s="3054"/>
      <c r="T185" s="3054"/>
      <c r="U185" s="1176" t="s">
        <v>2498</v>
      </c>
      <c r="V185" s="2456">
        <v>5000000</v>
      </c>
      <c r="W185" s="2337">
        <v>20</v>
      </c>
      <c r="X185" s="2302" t="s">
        <v>72</v>
      </c>
      <c r="Y185" s="3117"/>
      <c r="Z185" s="3117"/>
      <c r="AA185" s="3117"/>
      <c r="AB185" s="3117"/>
      <c r="AC185" s="3117"/>
      <c r="AD185" s="3117"/>
      <c r="AE185" s="3117"/>
      <c r="AF185" s="3117"/>
      <c r="AG185" s="3117"/>
      <c r="AH185" s="3117"/>
      <c r="AI185" s="3117"/>
      <c r="AJ185" s="3117"/>
      <c r="AK185" s="3117"/>
      <c r="AL185" s="3117"/>
      <c r="AM185" s="3117"/>
      <c r="AN185" s="3117"/>
      <c r="AO185" s="3084"/>
      <c r="AP185" s="3084"/>
      <c r="AQ185" s="3119"/>
    </row>
    <row r="186" spans="1:43" s="638" customFormat="1" ht="21.75" customHeight="1" x14ac:dyDescent="0.2">
      <c r="A186" s="3029"/>
      <c r="B186" s="3033"/>
      <c r="C186" s="3034"/>
      <c r="D186" s="3175"/>
      <c r="E186" s="3178"/>
      <c r="F186" s="3181"/>
      <c r="G186" s="620"/>
      <c r="H186" s="2298"/>
      <c r="I186" s="2299"/>
      <c r="J186" s="3133"/>
      <c r="K186" s="3044"/>
      <c r="L186" s="3044"/>
      <c r="M186" s="3133"/>
      <c r="N186" s="3125"/>
      <c r="O186" s="3114"/>
      <c r="P186" s="3018"/>
      <c r="Q186" s="3169"/>
      <c r="R186" s="3172"/>
      <c r="S186" s="3054"/>
      <c r="T186" s="3054"/>
      <c r="U186" s="1176" t="s">
        <v>2499</v>
      </c>
      <c r="V186" s="2456">
        <v>7000000</v>
      </c>
      <c r="W186" s="2337">
        <v>20</v>
      </c>
      <c r="X186" s="2302" t="s">
        <v>72</v>
      </c>
      <c r="Y186" s="3117"/>
      <c r="Z186" s="3117"/>
      <c r="AA186" s="3117"/>
      <c r="AB186" s="3117"/>
      <c r="AC186" s="3117"/>
      <c r="AD186" s="3117"/>
      <c r="AE186" s="3117"/>
      <c r="AF186" s="3117"/>
      <c r="AG186" s="3117"/>
      <c r="AH186" s="3117"/>
      <c r="AI186" s="3117"/>
      <c r="AJ186" s="3117"/>
      <c r="AK186" s="3117"/>
      <c r="AL186" s="3117"/>
      <c r="AM186" s="3117"/>
      <c r="AN186" s="3117"/>
      <c r="AO186" s="3084"/>
      <c r="AP186" s="3084"/>
      <c r="AQ186" s="3119"/>
    </row>
    <row r="187" spans="1:43" s="638" customFormat="1" ht="73.5" customHeight="1" x14ac:dyDescent="0.2">
      <c r="A187" s="3029"/>
      <c r="B187" s="3033"/>
      <c r="C187" s="3034"/>
      <c r="D187" s="3175"/>
      <c r="E187" s="3178"/>
      <c r="F187" s="3181"/>
      <c r="G187" s="620"/>
      <c r="H187" s="2298"/>
      <c r="I187" s="2299"/>
      <c r="J187" s="2302">
        <v>252</v>
      </c>
      <c r="K187" s="2300" t="s">
        <v>2500</v>
      </c>
      <c r="L187" s="2300" t="s">
        <v>2501</v>
      </c>
      <c r="M187" s="2302">
        <v>1</v>
      </c>
      <c r="N187" s="3125"/>
      <c r="O187" s="3114"/>
      <c r="P187" s="3018"/>
      <c r="Q187" s="3169"/>
      <c r="R187" s="3172"/>
      <c r="S187" s="3054"/>
      <c r="T187" s="3054"/>
      <c r="U187" s="2308" t="s">
        <v>2502</v>
      </c>
      <c r="V187" s="2417">
        <v>24850000</v>
      </c>
      <c r="W187" s="2337">
        <v>20</v>
      </c>
      <c r="X187" s="2302" t="s">
        <v>72</v>
      </c>
      <c r="Y187" s="3117"/>
      <c r="Z187" s="3117"/>
      <c r="AA187" s="3117"/>
      <c r="AB187" s="3117"/>
      <c r="AC187" s="3117"/>
      <c r="AD187" s="3117"/>
      <c r="AE187" s="3117"/>
      <c r="AF187" s="3117"/>
      <c r="AG187" s="3117"/>
      <c r="AH187" s="3117"/>
      <c r="AI187" s="3117"/>
      <c r="AJ187" s="3117"/>
      <c r="AK187" s="3117"/>
      <c r="AL187" s="3117"/>
      <c r="AM187" s="3117"/>
      <c r="AN187" s="3117"/>
      <c r="AO187" s="3084"/>
      <c r="AP187" s="3084"/>
      <c r="AQ187" s="3119"/>
    </row>
    <row r="188" spans="1:43" s="638" customFormat="1" ht="48" customHeight="1" x14ac:dyDescent="0.2">
      <c r="A188" s="3029"/>
      <c r="B188" s="3033"/>
      <c r="C188" s="3034"/>
      <c r="D188" s="3175"/>
      <c r="E188" s="3178"/>
      <c r="F188" s="3181"/>
      <c r="G188" s="620"/>
      <c r="H188" s="2298"/>
      <c r="I188" s="2299"/>
      <c r="J188" s="3139">
        <v>253</v>
      </c>
      <c r="K188" s="3039" t="s">
        <v>2503</v>
      </c>
      <c r="L188" s="3039" t="s">
        <v>2504</v>
      </c>
      <c r="M188" s="3186">
        <f>0.5+0.125</f>
        <v>0.625</v>
      </c>
      <c r="N188" s="3125"/>
      <c r="O188" s="3114"/>
      <c r="P188" s="3018"/>
      <c r="Q188" s="3169"/>
      <c r="R188" s="3172"/>
      <c r="S188" s="3054"/>
      <c r="T188" s="3068"/>
      <c r="U188" s="3120" t="s">
        <v>2505</v>
      </c>
      <c r="V188" s="2417">
        <v>80250000</v>
      </c>
      <c r="W188" s="2337">
        <v>20</v>
      </c>
      <c r="X188" s="2302" t="s">
        <v>72</v>
      </c>
      <c r="Y188" s="3117"/>
      <c r="Z188" s="3117"/>
      <c r="AA188" s="3117"/>
      <c r="AB188" s="3117"/>
      <c r="AC188" s="3117"/>
      <c r="AD188" s="3117"/>
      <c r="AE188" s="3117"/>
      <c r="AF188" s="3117"/>
      <c r="AG188" s="3117"/>
      <c r="AH188" s="3117"/>
      <c r="AI188" s="3117"/>
      <c r="AJ188" s="3117"/>
      <c r="AK188" s="3117"/>
      <c r="AL188" s="3117"/>
      <c r="AM188" s="3117"/>
      <c r="AN188" s="3117"/>
      <c r="AO188" s="3084"/>
      <c r="AP188" s="3084"/>
      <c r="AQ188" s="3119"/>
    </row>
    <row r="189" spans="1:43" s="638" customFormat="1" ht="48" customHeight="1" x14ac:dyDescent="0.2">
      <c r="A189" s="3029"/>
      <c r="B189" s="3033"/>
      <c r="C189" s="3034"/>
      <c r="D189" s="3175"/>
      <c r="E189" s="3178"/>
      <c r="F189" s="3181"/>
      <c r="G189" s="620"/>
      <c r="H189" s="2298"/>
      <c r="I189" s="2299"/>
      <c r="J189" s="3184"/>
      <c r="K189" s="3109"/>
      <c r="L189" s="3109"/>
      <c r="M189" s="3187"/>
      <c r="N189" s="3125"/>
      <c r="O189" s="3114"/>
      <c r="P189" s="3018"/>
      <c r="Q189" s="3169"/>
      <c r="R189" s="3172"/>
      <c r="S189" s="3054"/>
      <c r="T189" s="3068"/>
      <c r="U189" s="3121"/>
      <c r="V189" s="2417">
        <v>144750000</v>
      </c>
      <c r="W189" s="2337">
        <v>88</v>
      </c>
      <c r="X189" s="2302" t="s">
        <v>140</v>
      </c>
      <c r="Y189" s="3117"/>
      <c r="Z189" s="3117"/>
      <c r="AA189" s="3117"/>
      <c r="AB189" s="3117"/>
      <c r="AC189" s="3117"/>
      <c r="AD189" s="3117"/>
      <c r="AE189" s="3117"/>
      <c r="AF189" s="3117"/>
      <c r="AG189" s="3117"/>
      <c r="AH189" s="3117"/>
      <c r="AI189" s="3117"/>
      <c r="AJ189" s="3117"/>
      <c r="AK189" s="3117"/>
      <c r="AL189" s="3117"/>
      <c r="AM189" s="3117"/>
      <c r="AN189" s="3117"/>
      <c r="AO189" s="3084"/>
      <c r="AP189" s="3084"/>
      <c r="AQ189" s="3119"/>
    </row>
    <row r="190" spans="1:43" s="638" customFormat="1" ht="37.5" customHeight="1" x14ac:dyDescent="0.2">
      <c r="A190" s="3029"/>
      <c r="B190" s="3033"/>
      <c r="C190" s="3034"/>
      <c r="D190" s="3175"/>
      <c r="E190" s="3178"/>
      <c r="F190" s="3181"/>
      <c r="G190" s="620"/>
      <c r="H190" s="2298"/>
      <c r="I190" s="2299"/>
      <c r="J190" s="3140"/>
      <c r="K190" s="3040"/>
      <c r="L190" s="3040"/>
      <c r="M190" s="3188"/>
      <c r="N190" s="3125"/>
      <c r="O190" s="3114"/>
      <c r="P190" s="3018"/>
      <c r="Q190" s="3169"/>
      <c r="R190" s="3172"/>
      <c r="S190" s="3054"/>
      <c r="T190" s="3068"/>
      <c r="U190" s="2075" t="s">
        <v>2506</v>
      </c>
      <c r="V190" s="2318">
        <v>15000000</v>
      </c>
      <c r="W190" s="2337">
        <v>20</v>
      </c>
      <c r="X190" s="2302" t="s">
        <v>72</v>
      </c>
      <c r="Y190" s="3117"/>
      <c r="Z190" s="3117"/>
      <c r="AA190" s="3117"/>
      <c r="AB190" s="3117"/>
      <c r="AC190" s="3117"/>
      <c r="AD190" s="3117"/>
      <c r="AE190" s="3117"/>
      <c r="AF190" s="3117"/>
      <c r="AG190" s="3117"/>
      <c r="AH190" s="3117"/>
      <c r="AI190" s="3117"/>
      <c r="AJ190" s="3117"/>
      <c r="AK190" s="3117"/>
      <c r="AL190" s="3117"/>
      <c r="AM190" s="3117"/>
      <c r="AN190" s="3117"/>
      <c r="AO190" s="3084"/>
      <c r="AP190" s="3084"/>
      <c r="AQ190" s="3119"/>
    </row>
    <row r="191" spans="1:43" s="638" customFormat="1" ht="43.5" customHeight="1" x14ac:dyDescent="0.2">
      <c r="A191" s="3029"/>
      <c r="B191" s="3033"/>
      <c r="C191" s="3034"/>
      <c r="D191" s="3175"/>
      <c r="E191" s="3178"/>
      <c r="F191" s="3181"/>
      <c r="G191" s="620"/>
      <c r="H191" s="2298"/>
      <c r="I191" s="2299"/>
      <c r="J191" s="3139">
        <v>254</v>
      </c>
      <c r="K191" s="3044" t="s">
        <v>2507</v>
      </c>
      <c r="L191" s="3044" t="s">
        <v>2508</v>
      </c>
      <c r="M191" s="3133">
        <v>1</v>
      </c>
      <c r="N191" s="3125"/>
      <c r="O191" s="3114"/>
      <c r="P191" s="3018"/>
      <c r="Q191" s="3169"/>
      <c r="R191" s="3172"/>
      <c r="S191" s="3054"/>
      <c r="T191" s="3068"/>
      <c r="U191" s="2247" t="s">
        <v>2509</v>
      </c>
      <c r="V191" s="2414">
        <v>17101133</v>
      </c>
      <c r="W191" s="2337">
        <v>20</v>
      </c>
      <c r="X191" s="2302" t="s">
        <v>72</v>
      </c>
      <c r="Y191" s="3117"/>
      <c r="Z191" s="3117"/>
      <c r="AA191" s="3117"/>
      <c r="AB191" s="3117"/>
      <c r="AC191" s="3117"/>
      <c r="AD191" s="3117"/>
      <c r="AE191" s="3117"/>
      <c r="AF191" s="3117"/>
      <c r="AG191" s="3117"/>
      <c r="AH191" s="3117"/>
      <c r="AI191" s="3117"/>
      <c r="AJ191" s="3117"/>
      <c r="AK191" s="3117"/>
      <c r="AL191" s="3117"/>
      <c r="AM191" s="3117"/>
      <c r="AN191" s="3117"/>
      <c r="AO191" s="3084"/>
      <c r="AP191" s="3084"/>
      <c r="AQ191" s="3119"/>
    </row>
    <row r="192" spans="1:43" s="638" customFormat="1" ht="36" customHeight="1" x14ac:dyDescent="0.2">
      <c r="A192" s="3029"/>
      <c r="B192" s="3033"/>
      <c r="C192" s="3034"/>
      <c r="D192" s="3175"/>
      <c r="E192" s="3178"/>
      <c r="F192" s="3181"/>
      <c r="G192" s="620"/>
      <c r="H192" s="2298"/>
      <c r="I192" s="2299"/>
      <c r="J192" s="3184"/>
      <c r="K192" s="3044"/>
      <c r="L192" s="3044"/>
      <c r="M192" s="3133"/>
      <c r="N192" s="3125"/>
      <c r="O192" s="3114"/>
      <c r="P192" s="3018"/>
      <c r="Q192" s="3169"/>
      <c r="R192" s="3172"/>
      <c r="S192" s="3054"/>
      <c r="T192" s="3068"/>
      <c r="U192" s="2247" t="s">
        <v>2510</v>
      </c>
      <c r="V192" s="2414">
        <v>5000000</v>
      </c>
      <c r="W192" s="2337">
        <v>20</v>
      </c>
      <c r="X192" s="2302" t="s">
        <v>72</v>
      </c>
      <c r="Y192" s="3117"/>
      <c r="Z192" s="3117"/>
      <c r="AA192" s="3117"/>
      <c r="AB192" s="3117"/>
      <c r="AC192" s="3117"/>
      <c r="AD192" s="3117"/>
      <c r="AE192" s="3117"/>
      <c r="AF192" s="3117"/>
      <c r="AG192" s="3117"/>
      <c r="AH192" s="3117"/>
      <c r="AI192" s="3117"/>
      <c r="AJ192" s="3117"/>
      <c r="AK192" s="3117"/>
      <c r="AL192" s="3117"/>
      <c r="AM192" s="3117"/>
      <c r="AN192" s="3117"/>
      <c r="AO192" s="3084"/>
      <c r="AP192" s="3084"/>
      <c r="AQ192" s="3119"/>
    </row>
    <row r="193" spans="1:43" s="638" customFormat="1" ht="39.75" customHeight="1" x14ac:dyDescent="0.2">
      <c r="A193" s="3029"/>
      <c r="B193" s="3033"/>
      <c r="C193" s="3034"/>
      <c r="D193" s="3175"/>
      <c r="E193" s="3178"/>
      <c r="F193" s="3181"/>
      <c r="G193" s="620"/>
      <c r="H193" s="2298"/>
      <c r="I193" s="2299"/>
      <c r="J193" s="3184"/>
      <c r="K193" s="3044"/>
      <c r="L193" s="3044"/>
      <c r="M193" s="3133"/>
      <c r="N193" s="3125"/>
      <c r="O193" s="3114"/>
      <c r="P193" s="3018"/>
      <c r="Q193" s="3169"/>
      <c r="R193" s="3172"/>
      <c r="S193" s="3054"/>
      <c r="T193" s="3068"/>
      <c r="U193" s="1176" t="s">
        <v>2511</v>
      </c>
      <c r="V193" s="2414">
        <v>5000000</v>
      </c>
      <c r="W193" s="2337">
        <v>20</v>
      </c>
      <c r="X193" s="2302" t="s">
        <v>72</v>
      </c>
      <c r="Y193" s="3117"/>
      <c r="Z193" s="3117"/>
      <c r="AA193" s="3117"/>
      <c r="AB193" s="3117"/>
      <c r="AC193" s="3117"/>
      <c r="AD193" s="3117"/>
      <c r="AE193" s="3117"/>
      <c r="AF193" s="3117"/>
      <c r="AG193" s="3117"/>
      <c r="AH193" s="3117"/>
      <c r="AI193" s="3117"/>
      <c r="AJ193" s="3117"/>
      <c r="AK193" s="3117"/>
      <c r="AL193" s="3117"/>
      <c r="AM193" s="3117"/>
      <c r="AN193" s="3117"/>
      <c r="AO193" s="3084"/>
      <c r="AP193" s="3084"/>
      <c r="AQ193" s="3119"/>
    </row>
    <row r="194" spans="1:43" s="638" customFormat="1" ht="27" customHeight="1" x14ac:dyDescent="0.2">
      <c r="A194" s="3029"/>
      <c r="B194" s="3033"/>
      <c r="C194" s="3034"/>
      <c r="D194" s="3176"/>
      <c r="E194" s="3179"/>
      <c r="F194" s="3182"/>
      <c r="G194" s="620"/>
      <c r="H194" s="2319"/>
      <c r="I194" s="2320"/>
      <c r="J194" s="3140"/>
      <c r="K194" s="3044"/>
      <c r="L194" s="3044"/>
      <c r="M194" s="3133"/>
      <c r="N194" s="3125"/>
      <c r="O194" s="3114"/>
      <c r="P194" s="3018"/>
      <c r="Q194" s="3170"/>
      <c r="R194" s="3173"/>
      <c r="S194" s="3054"/>
      <c r="T194" s="3068"/>
      <c r="U194" s="1176" t="s">
        <v>2488</v>
      </c>
      <c r="V194" s="2414">
        <v>2700000</v>
      </c>
      <c r="W194" s="2337">
        <v>20</v>
      </c>
      <c r="X194" s="2302" t="s">
        <v>72</v>
      </c>
      <c r="Y194" s="3117"/>
      <c r="Z194" s="3117"/>
      <c r="AA194" s="3117"/>
      <c r="AB194" s="3117"/>
      <c r="AC194" s="3117"/>
      <c r="AD194" s="3117"/>
      <c r="AE194" s="3117"/>
      <c r="AF194" s="3117"/>
      <c r="AG194" s="3117"/>
      <c r="AH194" s="3117"/>
      <c r="AI194" s="3117"/>
      <c r="AJ194" s="3117"/>
      <c r="AK194" s="3117"/>
      <c r="AL194" s="3117"/>
      <c r="AM194" s="3117"/>
      <c r="AN194" s="3117"/>
      <c r="AO194" s="3085"/>
      <c r="AP194" s="3085"/>
      <c r="AQ194" s="3119"/>
    </row>
    <row r="195" spans="1:43" s="638" customFormat="1" ht="27" customHeight="1" x14ac:dyDescent="0.2">
      <c r="A195" s="3029"/>
      <c r="B195" s="3033"/>
      <c r="C195" s="3034"/>
      <c r="D195" s="962">
        <v>27</v>
      </c>
      <c r="E195" s="2415" t="s">
        <v>2475</v>
      </c>
      <c r="F195" s="2415"/>
      <c r="G195" s="2415"/>
      <c r="H195" s="2453"/>
      <c r="I195" s="2454"/>
      <c r="J195" s="2415"/>
      <c r="K195" s="2457"/>
      <c r="L195" s="2457"/>
      <c r="M195" s="2415"/>
      <c r="N195" s="962"/>
      <c r="O195" s="2415"/>
      <c r="P195" s="2415"/>
      <c r="Q195" s="2415"/>
      <c r="R195" s="2421"/>
      <c r="S195" s="2415"/>
      <c r="T195" s="2457"/>
      <c r="U195" s="2457"/>
      <c r="V195" s="2421"/>
      <c r="W195" s="2415"/>
      <c r="X195" s="2415"/>
      <c r="Y195" s="2415"/>
      <c r="Z195" s="2415"/>
      <c r="AA195" s="2415"/>
      <c r="AB195" s="2415"/>
      <c r="AC195" s="2415"/>
      <c r="AD195" s="2415"/>
      <c r="AE195" s="2415"/>
      <c r="AF195" s="2415"/>
      <c r="AG195" s="2415"/>
      <c r="AH195" s="2415"/>
      <c r="AI195" s="2415"/>
      <c r="AJ195" s="2415"/>
      <c r="AK195" s="2415"/>
      <c r="AL195" s="2415"/>
      <c r="AM195" s="2415"/>
      <c r="AN195" s="2415"/>
      <c r="AO195" s="2415"/>
      <c r="AP195" s="2415"/>
      <c r="AQ195" s="2415"/>
    </row>
    <row r="196" spans="1:43" s="620" customFormat="1" ht="27.75" customHeight="1" x14ac:dyDescent="0.2">
      <c r="A196" s="3029"/>
      <c r="B196" s="3033"/>
      <c r="C196" s="3034"/>
      <c r="D196" s="3203"/>
      <c r="E196" s="3203"/>
      <c r="F196" s="3203"/>
      <c r="G196" s="2283">
        <v>86</v>
      </c>
      <c r="H196" s="1121" t="s">
        <v>2512</v>
      </c>
      <c r="I196" s="1121"/>
      <c r="J196" s="1154"/>
      <c r="K196" s="2321"/>
      <c r="L196" s="2322"/>
      <c r="M196" s="1220"/>
      <c r="N196" s="1214"/>
      <c r="O196" s="1215"/>
      <c r="P196" s="1123"/>
      <c r="Q196" s="2323"/>
      <c r="R196" s="2324"/>
      <c r="S196" s="2321"/>
      <c r="T196" s="2321"/>
      <c r="U196" s="2321"/>
      <c r="V196" s="2325"/>
      <c r="W196" s="1126"/>
      <c r="X196" s="1126"/>
      <c r="Y196" s="1126"/>
      <c r="Z196" s="1126"/>
      <c r="AA196" s="1126"/>
      <c r="AB196" s="1126"/>
      <c r="AC196" s="1126"/>
      <c r="AD196" s="1126"/>
      <c r="AE196" s="1126"/>
      <c r="AF196" s="1126"/>
      <c r="AG196" s="1126"/>
      <c r="AH196" s="1126"/>
      <c r="AI196" s="1126"/>
      <c r="AJ196" s="1126"/>
      <c r="AK196" s="1126"/>
      <c r="AL196" s="1126"/>
      <c r="AM196" s="1126"/>
      <c r="AN196" s="1126"/>
      <c r="AO196" s="1126"/>
      <c r="AP196" s="1126"/>
      <c r="AQ196" s="2351"/>
    </row>
    <row r="197" spans="1:43" s="638" customFormat="1" ht="45.75" customHeight="1" x14ac:dyDescent="0.2">
      <c r="A197" s="3029"/>
      <c r="B197" s="3033"/>
      <c r="C197" s="3034"/>
      <c r="D197" s="3203"/>
      <c r="E197" s="3203"/>
      <c r="F197" s="3203"/>
      <c r="G197" s="620"/>
      <c r="H197" s="2293"/>
      <c r="I197" s="2294"/>
      <c r="J197" s="3133">
        <v>255</v>
      </c>
      <c r="K197" s="3044" t="s">
        <v>2513</v>
      </c>
      <c r="L197" s="3044" t="s">
        <v>2514</v>
      </c>
      <c r="M197" s="3133">
        <v>12</v>
      </c>
      <c r="N197" s="3125" t="s">
        <v>2515</v>
      </c>
      <c r="O197" s="3114" t="s">
        <v>2516</v>
      </c>
      <c r="P197" s="3018" t="s">
        <v>2517</v>
      </c>
      <c r="Q197" s="3189">
        <f>R197/(V197+V198+V199+V200)</f>
        <v>1</v>
      </c>
      <c r="R197" s="3190">
        <f>SUM(V197:V200)</f>
        <v>99372400</v>
      </c>
      <c r="S197" s="3054" t="s">
        <v>2518</v>
      </c>
      <c r="T197" s="3054" t="s">
        <v>2519</v>
      </c>
      <c r="U197" s="2422" t="s">
        <v>2520</v>
      </c>
      <c r="V197" s="2414">
        <v>40000000</v>
      </c>
      <c r="W197" s="2423" t="s">
        <v>202</v>
      </c>
      <c r="X197" s="2317" t="s">
        <v>72</v>
      </c>
      <c r="Y197" s="3116">
        <v>2138</v>
      </c>
      <c r="Z197" s="3116">
        <v>2062</v>
      </c>
      <c r="AA197" s="3116"/>
      <c r="AB197" s="3116"/>
      <c r="AC197" s="3116">
        <v>4200</v>
      </c>
      <c r="AD197" s="3116"/>
      <c r="AE197" s="3116"/>
      <c r="AF197" s="3116"/>
      <c r="AG197" s="3116"/>
      <c r="AH197" s="3116"/>
      <c r="AI197" s="3116"/>
      <c r="AJ197" s="3116"/>
      <c r="AK197" s="3116"/>
      <c r="AL197" s="3116"/>
      <c r="AM197" s="3116"/>
      <c r="AN197" s="3116">
        <f>+Y197+Z197</f>
        <v>4200</v>
      </c>
      <c r="AO197" s="3083">
        <v>43480</v>
      </c>
      <c r="AP197" s="3083">
        <v>43814</v>
      </c>
      <c r="AQ197" s="3118" t="s">
        <v>2329</v>
      </c>
    </row>
    <row r="198" spans="1:43" s="638" customFormat="1" ht="33" customHeight="1" x14ac:dyDescent="0.2">
      <c r="A198" s="3029"/>
      <c r="B198" s="3033"/>
      <c r="C198" s="3034"/>
      <c r="D198" s="3203"/>
      <c r="E198" s="3203"/>
      <c r="F198" s="3203"/>
      <c r="G198" s="620"/>
      <c r="H198" s="2298"/>
      <c r="I198" s="2299"/>
      <c r="J198" s="3133"/>
      <c r="K198" s="3044"/>
      <c r="L198" s="3044"/>
      <c r="M198" s="3133"/>
      <c r="N198" s="3125"/>
      <c r="O198" s="3114"/>
      <c r="P198" s="3018"/>
      <c r="Q198" s="3189"/>
      <c r="R198" s="3190"/>
      <c r="S198" s="3054"/>
      <c r="T198" s="3054"/>
      <c r="U198" s="2459" t="s">
        <v>2521</v>
      </c>
      <c r="V198" s="2414">
        <v>18372400</v>
      </c>
      <c r="W198" s="2424" t="s">
        <v>2522</v>
      </c>
      <c r="X198" s="2302" t="s">
        <v>2523</v>
      </c>
      <c r="Y198" s="3117"/>
      <c r="Z198" s="3117"/>
      <c r="AA198" s="3117"/>
      <c r="AB198" s="3117"/>
      <c r="AC198" s="3117"/>
      <c r="AD198" s="3117"/>
      <c r="AE198" s="3117"/>
      <c r="AF198" s="3117"/>
      <c r="AG198" s="3117"/>
      <c r="AH198" s="3117"/>
      <c r="AI198" s="3117"/>
      <c r="AJ198" s="3117"/>
      <c r="AK198" s="3117"/>
      <c r="AL198" s="3117"/>
      <c r="AM198" s="3117"/>
      <c r="AN198" s="3117"/>
      <c r="AO198" s="3084"/>
      <c r="AP198" s="3084"/>
      <c r="AQ198" s="3130"/>
    </row>
    <row r="199" spans="1:43" s="638" customFormat="1" ht="40.5" customHeight="1" x14ac:dyDescent="0.2">
      <c r="A199" s="3029"/>
      <c r="B199" s="3033"/>
      <c r="C199" s="3034"/>
      <c r="D199" s="3203"/>
      <c r="E199" s="3203"/>
      <c r="F199" s="3203"/>
      <c r="G199" s="620"/>
      <c r="H199" s="2298"/>
      <c r="I199" s="2299"/>
      <c r="J199" s="3133"/>
      <c r="K199" s="3044"/>
      <c r="L199" s="3044"/>
      <c r="M199" s="3133"/>
      <c r="N199" s="3125"/>
      <c r="O199" s="3114"/>
      <c r="P199" s="3018"/>
      <c r="Q199" s="3189"/>
      <c r="R199" s="3190"/>
      <c r="S199" s="3054"/>
      <c r="T199" s="3054"/>
      <c r="U199" s="2422" t="s">
        <v>2524</v>
      </c>
      <c r="V199" s="2414">
        <v>5000000</v>
      </c>
      <c r="W199" s="2424" t="s">
        <v>2522</v>
      </c>
      <c r="X199" s="2302" t="s">
        <v>2523</v>
      </c>
      <c r="Y199" s="3117"/>
      <c r="Z199" s="3117"/>
      <c r="AA199" s="3117"/>
      <c r="AB199" s="3117"/>
      <c r="AC199" s="3117"/>
      <c r="AD199" s="3117"/>
      <c r="AE199" s="3117"/>
      <c r="AF199" s="3117"/>
      <c r="AG199" s="3117"/>
      <c r="AH199" s="3117"/>
      <c r="AI199" s="3117"/>
      <c r="AJ199" s="3117"/>
      <c r="AK199" s="3117"/>
      <c r="AL199" s="3117"/>
      <c r="AM199" s="3117"/>
      <c r="AN199" s="3117"/>
      <c r="AO199" s="3084"/>
      <c r="AP199" s="3084"/>
      <c r="AQ199" s="3130"/>
    </row>
    <row r="200" spans="1:43" s="638" customFormat="1" ht="50.25" customHeight="1" x14ac:dyDescent="0.2">
      <c r="A200" s="3029"/>
      <c r="B200" s="3033"/>
      <c r="C200" s="3034"/>
      <c r="D200" s="3203"/>
      <c r="E200" s="3203"/>
      <c r="F200" s="3203"/>
      <c r="G200" s="620"/>
      <c r="H200" s="2298"/>
      <c r="I200" s="2299"/>
      <c r="J200" s="3133"/>
      <c r="K200" s="3044"/>
      <c r="L200" s="3044"/>
      <c r="M200" s="3133"/>
      <c r="N200" s="3125"/>
      <c r="O200" s="3114"/>
      <c r="P200" s="3018"/>
      <c r="Q200" s="3189"/>
      <c r="R200" s="3190"/>
      <c r="S200" s="3054"/>
      <c r="T200" s="3054"/>
      <c r="U200" s="2304" t="s">
        <v>2525</v>
      </c>
      <c r="V200" s="2414">
        <v>36000000</v>
      </c>
      <c r="W200" s="2425" t="s">
        <v>2522</v>
      </c>
      <c r="X200" s="2420" t="s">
        <v>2523</v>
      </c>
      <c r="Y200" s="3117"/>
      <c r="Z200" s="3117"/>
      <c r="AA200" s="3117"/>
      <c r="AB200" s="3117"/>
      <c r="AC200" s="3117"/>
      <c r="AD200" s="3117"/>
      <c r="AE200" s="3117"/>
      <c r="AF200" s="3117"/>
      <c r="AG200" s="3117"/>
      <c r="AH200" s="3117"/>
      <c r="AI200" s="3117"/>
      <c r="AJ200" s="3117"/>
      <c r="AK200" s="3117"/>
      <c r="AL200" s="3117"/>
      <c r="AM200" s="3117"/>
      <c r="AN200" s="3117"/>
      <c r="AO200" s="3085"/>
      <c r="AP200" s="3085"/>
      <c r="AQ200" s="3130"/>
    </row>
    <row r="201" spans="1:43" s="638" customFormat="1" ht="15" customHeight="1" x14ac:dyDescent="0.2">
      <c r="A201" s="3029"/>
      <c r="B201" s="3033"/>
      <c r="C201" s="3034"/>
      <c r="D201" s="3203"/>
      <c r="E201" s="3203"/>
      <c r="F201" s="3203"/>
      <c r="G201" s="1241"/>
      <c r="H201" s="1241"/>
      <c r="I201" s="1241"/>
      <c r="J201" s="1242"/>
      <c r="K201" s="2426"/>
      <c r="L201" s="2427"/>
      <c r="M201" s="2428"/>
      <c r="N201" s="1188"/>
      <c r="O201" s="1187"/>
      <c r="P201" s="2265"/>
      <c r="Q201" s="2429"/>
      <c r="R201" s="2430"/>
      <c r="S201" s="2426"/>
      <c r="T201" s="2426"/>
      <c r="U201" s="2426"/>
      <c r="V201" s="2431"/>
      <c r="W201" s="2268"/>
      <c r="X201" s="2268"/>
      <c r="Y201" s="2268"/>
      <c r="Z201" s="2268"/>
      <c r="AA201" s="2268"/>
      <c r="AB201" s="2268"/>
      <c r="AC201" s="2268"/>
      <c r="AD201" s="2268"/>
      <c r="AE201" s="2268"/>
      <c r="AF201" s="2268"/>
      <c r="AG201" s="2268"/>
      <c r="AH201" s="2268"/>
      <c r="AI201" s="2268"/>
      <c r="AJ201" s="2268"/>
      <c r="AK201" s="2268"/>
      <c r="AL201" s="2268"/>
      <c r="AM201" s="2268"/>
      <c r="AN201" s="2268"/>
      <c r="AO201" s="2268"/>
      <c r="AP201" s="2268"/>
      <c r="AQ201" s="2432"/>
    </row>
    <row r="202" spans="1:43" s="620" customFormat="1" ht="15" customHeight="1" x14ac:dyDescent="0.2">
      <c r="A202" s="3029"/>
      <c r="B202" s="3033"/>
      <c r="C202" s="3034"/>
      <c r="D202" s="3203"/>
      <c r="E202" s="3203"/>
      <c r="F202" s="3203"/>
      <c r="G202" s="2272"/>
      <c r="H202" s="2272"/>
      <c r="I202" s="2272"/>
      <c r="J202" s="2273"/>
      <c r="K202" s="2274"/>
      <c r="L202" s="2275"/>
      <c r="M202" s="2272"/>
      <c r="N202" s="2276"/>
      <c r="O202" s="2273"/>
      <c r="P202" s="2275"/>
      <c r="Q202" s="2277"/>
      <c r="R202" s="2433"/>
      <c r="S202" s="2274"/>
      <c r="T202" s="2274"/>
      <c r="U202" s="2274"/>
      <c r="V202" s="2434"/>
      <c r="W202" s="2279"/>
      <c r="X202" s="2279"/>
      <c r="Y202" s="2279"/>
      <c r="Z202" s="2279"/>
      <c r="AA202" s="2279"/>
      <c r="AB202" s="2279"/>
      <c r="AC202" s="2279"/>
      <c r="AD202" s="2279"/>
      <c r="AE202" s="2279"/>
      <c r="AF202" s="2279"/>
      <c r="AG202" s="2279"/>
      <c r="AH202" s="2279"/>
      <c r="AI202" s="2279"/>
      <c r="AJ202" s="2279"/>
      <c r="AK202" s="2279"/>
      <c r="AL202" s="2279"/>
      <c r="AM202" s="2275"/>
      <c r="AN202" s="2275"/>
      <c r="AO202" s="2275"/>
      <c r="AP202" s="2275"/>
      <c r="AQ202" s="2282"/>
    </row>
    <row r="203" spans="1:43" s="620" customFormat="1" ht="15" customHeight="1" x14ac:dyDescent="0.2">
      <c r="A203" s="3029"/>
      <c r="B203" s="3033"/>
      <c r="C203" s="3034"/>
      <c r="D203" s="3203"/>
      <c r="E203" s="3203"/>
      <c r="F203" s="3203"/>
      <c r="G203" s="2435">
        <v>84</v>
      </c>
      <c r="H203" s="1121" t="s">
        <v>2526</v>
      </c>
      <c r="I203" s="1121"/>
      <c r="J203" s="1215"/>
      <c r="K203" s="669"/>
      <c r="L203" s="1123"/>
      <c r="M203" s="1121"/>
      <c r="N203" s="1214"/>
      <c r="O203" s="1215"/>
      <c r="P203" s="1123"/>
      <c r="Q203" s="2436"/>
      <c r="R203" s="2437"/>
      <c r="S203" s="669"/>
      <c r="T203" s="669"/>
      <c r="U203" s="669"/>
      <c r="V203" s="2438"/>
      <c r="W203" s="1126"/>
      <c r="X203" s="1126"/>
      <c r="Y203" s="1126"/>
      <c r="Z203" s="1126"/>
      <c r="AA203" s="1126"/>
      <c r="AB203" s="1126"/>
      <c r="AC203" s="1126"/>
      <c r="AD203" s="1126"/>
      <c r="AE203" s="1126"/>
      <c r="AF203" s="1126"/>
      <c r="AG203" s="1126"/>
      <c r="AH203" s="1126"/>
      <c r="AI203" s="1126"/>
      <c r="AJ203" s="1126"/>
      <c r="AK203" s="1126"/>
      <c r="AL203" s="1126"/>
      <c r="AM203" s="1126"/>
      <c r="AN203" s="1126"/>
      <c r="AO203" s="1126"/>
      <c r="AP203" s="1126"/>
      <c r="AQ203" s="2351"/>
    </row>
    <row r="204" spans="1:43" s="638" customFormat="1" ht="52.5" customHeight="1" x14ac:dyDescent="0.25">
      <c r="A204" s="3029"/>
      <c r="B204" s="3033"/>
      <c r="C204" s="3034"/>
      <c r="D204" s="3203"/>
      <c r="E204" s="3203"/>
      <c r="F204" s="3203"/>
      <c r="G204" s="2294"/>
      <c r="H204" s="2439"/>
      <c r="I204" s="2354"/>
      <c r="J204" s="3142">
        <v>247</v>
      </c>
      <c r="K204" s="3109" t="s">
        <v>2527</v>
      </c>
      <c r="L204" s="3109" t="s">
        <v>2528</v>
      </c>
      <c r="M204" s="3184">
        <v>1</v>
      </c>
      <c r="N204" s="3191" t="s">
        <v>2529</v>
      </c>
      <c r="O204" s="3114" t="s">
        <v>2530</v>
      </c>
      <c r="P204" s="3109" t="s">
        <v>2531</v>
      </c>
      <c r="Q204" s="3193">
        <f>+R204/(V204+V205+V206+V207+V208)</f>
        <v>1</v>
      </c>
      <c r="R204" s="3172">
        <f>SUM(V204:V208)</f>
        <v>49687000</v>
      </c>
      <c r="S204" s="3200" t="s">
        <v>2532</v>
      </c>
      <c r="T204" s="3201" t="s">
        <v>2533</v>
      </c>
      <c r="U204" s="2247" t="s">
        <v>2534</v>
      </c>
      <c r="V204" s="2414">
        <v>40387000</v>
      </c>
      <c r="W204" s="2381">
        <v>20</v>
      </c>
      <c r="X204" s="2302" t="s">
        <v>72</v>
      </c>
      <c r="Y204" s="3198">
        <v>357</v>
      </c>
      <c r="Z204" s="3198">
        <v>343</v>
      </c>
      <c r="AA204" s="3198"/>
      <c r="AB204" s="3198"/>
      <c r="AC204" s="3198">
        <v>700</v>
      </c>
      <c r="AD204" s="3198"/>
      <c r="AE204" s="3198"/>
      <c r="AF204" s="3198"/>
      <c r="AG204" s="3198"/>
      <c r="AH204" s="3198"/>
      <c r="AI204" s="3198"/>
      <c r="AJ204" s="3198"/>
      <c r="AK204" s="3198"/>
      <c r="AL204" s="3198"/>
      <c r="AM204" s="3198"/>
      <c r="AN204" s="3198">
        <v>700</v>
      </c>
      <c r="AO204" s="3083">
        <v>43480</v>
      </c>
      <c r="AP204" s="3083">
        <v>43697</v>
      </c>
      <c r="AQ204" s="3118" t="s">
        <v>2329</v>
      </c>
    </row>
    <row r="205" spans="1:43" s="638" customFormat="1" ht="33" customHeight="1" x14ac:dyDescent="0.25">
      <c r="A205" s="3029"/>
      <c r="B205" s="3033"/>
      <c r="C205" s="3034"/>
      <c r="D205" s="3203"/>
      <c r="E205" s="3203"/>
      <c r="F205" s="3203"/>
      <c r="G205" s="2359"/>
      <c r="H205" s="2357"/>
      <c r="I205" s="2359"/>
      <c r="J205" s="3142"/>
      <c r="K205" s="3109"/>
      <c r="L205" s="3109"/>
      <c r="M205" s="3184"/>
      <c r="N205" s="3191"/>
      <c r="O205" s="3114"/>
      <c r="P205" s="3109"/>
      <c r="Q205" s="3193"/>
      <c r="R205" s="3172"/>
      <c r="S205" s="3200"/>
      <c r="T205" s="3201"/>
      <c r="U205" s="1176" t="s">
        <v>2535</v>
      </c>
      <c r="V205" s="2414">
        <v>3300000</v>
      </c>
      <c r="W205" s="2337">
        <v>20</v>
      </c>
      <c r="X205" s="2302" t="s">
        <v>72</v>
      </c>
      <c r="Y205" s="3199"/>
      <c r="Z205" s="3199"/>
      <c r="AA205" s="3199"/>
      <c r="AB205" s="3199"/>
      <c r="AC205" s="3199"/>
      <c r="AD205" s="3199"/>
      <c r="AE205" s="3199"/>
      <c r="AF205" s="3199"/>
      <c r="AG205" s="3199"/>
      <c r="AH205" s="3199"/>
      <c r="AI205" s="3199"/>
      <c r="AJ205" s="3199"/>
      <c r="AK205" s="3199"/>
      <c r="AL205" s="3199"/>
      <c r="AM205" s="3199"/>
      <c r="AN205" s="3199"/>
      <c r="AO205" s="3084"/>
      <c r="AP205" s="3084"/>
      <c r="AQ205" s="3130"/>
    </row>
    <row r="206" spans="1:43" s="638" customFormat="1" ht="66" customHeight="1" x14ac:dyDescent="0.25">
      <c r="A206" s="3029"/>
      <c r="B206" s="3033"/>
      <c r="C206" s="3034"/>
      <c r="D206" s="3203"/>
      <c r="E206" s="3203"/>
      <c r="F206" s="3203"/>
      <c r="G206" s="2359"/>
      <c r="H206" s="2357"/>
      <c r="I206" s="2359"/>
      <c r="J206" s="3142"/>
      <c r="K206" s="3109"/>
      <c r="L206" s="3109"/>
      <c r="M206" s="3184"/>
      <c r="N206" s="3191"/>
      <c r="O206" s="3114"/>
      <c r="P206" s="3109"/>
      <c r="Q206" s="3193"/>
      <c r="R206" s="3172"/>
      <c r="S206" s="3200"/>
      <c r="T206" s="3201"/>
      <c r="U206" s="1176" t="s">
        <v>2536</v>
      </c>
      <c r="V206" s="2414">
        <v>3000000</v>
      </c>
      <c r="W206" s="2337">
        <v>20</v>
      </c>
      <c r="X206" s="2302" t="s">
        <v>72</v>
      </c>
      <c r="Y206" s="3199"/>
      <c r="Z206" s="3199"/>
      <c r="AA206" s="3199"/>
      <c r="AB206" s="3199"/>
      <c r="AC206" s="3199"/>
      <c r="AD206" s="3199"/>
      <c r="AE206" s="3199"/>
      <c r="AF206" s="3199"/>
      <c r="AG206" s="3199"/>
      <c r="AH206" s="3199"/>
      <c r="AI206" s="3199"/>
      <c r="AJ206" s="3199"/>
      <c r="AK206" s="3199"/>
      <c r="AL206" s="3199"/>
      <c r="AM206" s="3199"/>
      <c r="AN206" s="3199"/>
      <c r="AO206" s="3084"/>
      <c r="AP206" s="3084"/>
      <c r="AQ206" s="3130"/>
    </row>
    <row r="207" spans="1:43" s="638" customFormat="1" ht="78.75" customHeight="1" x14ac:dyDescent="0.25">
      <c r="A207" s="3029"/>
      <c r="B207" s="3033"/>
      <c r="C207" s="3034"/>
      <c r="D207" s="3203"/>
      <c r="E207" s="3203"/>
      <c r="F207" s="3203"/>
      <c r="G207" s="2359"/>
      <c r="H207" s="2357"/>
      <c r="I207" s="2359"/>
      <c r="J207" s="3142"/>
      <c r="K207" s="3109"/>
      <c r="L207" s="3109"/>
      <c r="M207" s="3184"/>
      <c r="N207" s="3191"/>
      <c r="O207" s="3114"/>
      <c r="P207" s="3109"/>
      <c r="Q207" s="3193"/>
      <c r="R207" s="3172"/>
      <c r="S207" s="3200"/>
      <c r="T207" s="3201"/>
      <c r="U207" s="1176" t="s">
        <v>2537</v>
      </c>
      <c r="V207" s="2414">
        <v>2000000</v>
      </c>
      <c r="W207" s="2337">
        <v>20</v>
      </c>
      <c r="X207" s="2302" t="s">
        <v>72</v>
      </c>
      <c r="Y207" s="3199"/>
      <c r="Z207" s="3199"/>
      <c r="AA207" s="3199"/>
      <c r="AB207" s="3199"/>
      <c r="AC207" s="3199"/>
      <c r="AD207" s="3199"/>
      <c r="AE207" s="3199"/>
      <c r="AF207" s="3199"/>
      <c r="AG207" s="3199"/>
      <c r="AH207" s="3199"/>
      <c r="AI207" s="3199"/>
      <c r="AJ207" s="3199"/>
      <c r="AK207" s="3199"/>
      <c r="AL207" s="3199"/>
      <c r="AM207" s="3199"/>
      <c r="AN207" s="3199"/>
      <c r="AO207" s="3084"/>
      <c r="AP207" s="3084"/>
      <c r="AQ207" s="3130"/>
    </row>
    <row r="208" spans="1:43" s="638" customFormat="1" ht="30.75" customHeight="1" x14ac:dyDescent="0.25">
      <c r="A208" s="3030"/>
      <c r="B208" s="3035"/>
      <c r="C208" s="3036"/>
      <c r="D208" s="3203"/>
      <c r="E208" s="3203"/>
      <c r="F208" s="3203"/>
      <c r="G208" s="2365"/>
      <c r="H208" s="2363"/>
      <c r="I208" s="2365"/>
      <c r="J208" s="3058"/>
      <c r="K208" s="3040"/>
      <c r="L208" s="3040"/>
      <c r="M208" s="3140"/>
      <c r="N208" s="3192"/>
      <c r="O208" s="3115"/>
      <c r="P208" s="3040"/>
      <c r="Q208" s="3194"/>
      <c r="R208" s="3173"/>
      <c r="S208" s="3001"/>
      <c r="T208" s="3202"/>
      <c r="U208" s="2247" t="s">
        <v>2538</v>
      </c>
      <c r="V208" s="2414">
        <v>1000000</v>
      </c>
      <c r="W208" s="2419">
        <v>20</v>
      </c>
      <c r="X208" s="2302" t="s">
        <v>72</v>
      </c>
      <c r="Y208" s="3199"/>
      <c r="Z208" s="3199"/>
      <c r="AA208" s="3199"/>
      <c r="AB208" s="3199"/>
      <c r="AC208" s="3199"/>
      <c r="AD208" s="3199"/>
      <c r="AE208" s="3199"/>
      <c r="AF208" s="3199"/>
      <c r="AG208" s="3199"/>
      <c r="AH208" s="3199"/>
      <c r="AI208" s="3199"/>
      <c r="AJ208" s="3199"/>
      <c r="AK208" s="3199"/>
      <c r="AL208" s="3199"/>
      <c r="AM208" s="3199"/>
      <c r="AN208" s="3199"/>
      <c r="AO208" s="3085"/>
      <c r="AP208" s="3085"/>
      <c r="AQ208" s="3130"/>
    </row>
    <row r="209" spans="1:43" s="1099" customFormat="1" ht="42" customHeight="1" x14ac:dyDescent="0.25">
      <c r="A209" s="3195" t="s">
        <v>28</v>
      </c>
      <c r="B209" s="3196"/>
      <c r="C209" s="3196"/>
      <c r="D209" s="3196"/>
      <c r="E209" s="3196"/>
      <c r="F209" s="3196"/>
      <c r="G209" s="3196"/>
      <c r="H209" s="3196"/>
      <c r="I209" s="3196"/>
      <c r="J209" s="3196"/>
      <c r="K209" s="3196"/>
      <c r="L209" s="3196"/>
      <c r="M209" s="3196"/>
      <c r="N209" s="3196"/>
      <c r="O209" s="3196"/>
      <c r="P209" s="3196"/>
      <c r="Q209" s="3197"/>
      <c r="R209" s="1274">
        <f>SUM(R13:R208)</f>
        <v>9981583583</v>
      </c>
      <c r="S209" s="2440"/>
      <c r="T209" s="2440"/>
      <c r="U209" s="2441"/>
      <c r="V209" s="1274">
        <f>SUM(V13:V208)</f>
        <v>9981583583</v>
      </c>
      <c r="W209" s="2442"/>
      <c r="X209" s="2443"/>
      <c r="Y209" s="2444"/>
      <c r="Z209" s="2444"/>
      <c r="AA209" s="2444"/>
      <c r="AB209" s="2444"/>
      <c r="AC209" s="2444"/>
      <c r="AD209" s="2444"/>
      <c r="AE209" s="2444"/>
      <c r="AF209" s="2444"/>
      <c r="AG209" s="2444"/>
      <c r="AH209" s="2444"/>
      <c r="AI209" s="2444"/>
      <c r="AJ209" s="2444"/>
      <c r="AK209" s="2444"/>
      <c r="AL209" s="2444"/>
      <c r="AM209" s="2444"/>
      <c r="AN209" s="2444"/>
      <c r="AO209" s="2445"/>
      <c r="AP209" s="2445"/>
      <c r="AQ209" s="2446"/>
    </row>
    <row r="210" spans="1:43" ht="27" customHeight="1" x14ac:dyDescent="0.2"/>
    <row r="211" spans="1:43" ht="27" customHeight="1" x14ac:dyDescent="0.2"/>
    <row r="212" spans="1:43" ht="27" customHeight="1" x14ac:dyDescent="0.2">
      <c r="B212" s="2450"/>
      <c r="C212" s="1606"/>
      <c r="D212" s="2451"/>
      <c r="E212" s="2451"/>
      <c r="F212" s="2451"/>
      <c r="G212" s="2451"/>
    </row>
    <row r="213" spans="1:43" ht="27" customHeight="1" x14ac:dyDescent="0.25">
      <c r="B213" s="2452" t="s">
        <v>2539</v>
      </c>
      <c r="C213" s="354"/>
    </row>
    <row r="214" spans="1:43" ht="27" customHeight="1" x14ac:dyDescent="0.25">
      <c r="B214" s="121" t="s">
        <v>2540</v>
      </c>
      <c r="C214" s="354"/>
    </row>
    <row r="215" spans="1:43" ht="27" customHeight="1" x14ac:dyDescent="0.2">
      <c r="B215" s="2448"/>
      <c r="C215" s="354"/>
    </row>
    <row r="216" spans="1:43" ht="93" customHeight="1" x14ac:dyDescent="0.2">
      <c r="J216" s="2527"/>
      <c r="K216" s="2527"/>
      <c r="L216" s="2527"/>
      <c r="M216" s="2527"/>
      <c r="N216" s="2527"/>
      <c r="O216" s="2527"/>
      <c r="P216" s="2527"/>
    </row>
    <row r="217" spans="1:43" ht="27" customHeight="1" x14ac:dyDescent="0.2"/>
    <row r="218" spans="1:43" ht="27" customHeight="1" x14ac:dyDescent="0.2"/>
    <row r="219" spans="1:43" ht="27" customHeight="1" x14ac:dyDescent="0.2"/>
    <row r="220" spans="1:43" ht="27" customHeight="1" x14ac:dyDescent="0.2"/>
    <row r="221" spans="1:43" ht="27" customHeight="1" x14ac:dyDescent="0.2"/>
    <row r="222" spans="1:43" ht="27" customHeight="1" x14ac:dyDescent="0.2"/>
  </sheetData>
  <sheetProtection password="A60F" sheet="1" objects="1" scenarios="1"/>
  <mergeCells count="487">
    <mergeCell ref="AO204:AO208"/>
    <mergeCell ref="AP204:AP208"/>
    <mergeCell ref="AQ204:AQ208"/>
    <mergeCell ref="A209:Q209"/>
    <mergeCell ref="J216:P216"/>
    <mergeCell ref="AI204:AI208"/>
    <mergeCell ref="AJ204:AJ208"/>
    <mergeCell ref="AK204:AK208"/>
    <mergeCell ref="AL204:AL208"/>
    <mergeCell ref="AM204:AM208"/>
    <mergeCell ref="AN204:AN208"/>
    <mergeCell ref="AC204:AC208"/>
    <mergeCell ref="AD204:AD208"/>
    <mergeCell ref="AE204:AE208"/>
    <mergeCell ref="AF204:AF208"/>
    <mergeCell ref="AG204:AG208"/>
    <mergeCell ref="AH204:AH208"/>
    <mergeCell ref="S204:S208"/>
    <mergeCell ref="T204:T208"/>
    <mergeCell ref="Y204:Y208"/>
    <mergeCell ref="Z204:Z208"/>
    <mergeCell ref="AA204:AA208"/>
    <mergeCell ref="AB204:AB208"/>
    <mergeCell ref="D196:F208"/>
    <mergeCell ref="AQ197:AQ200"/>
    <mergeCell ref="J204:J208"/>
    <mergeCell ref="K204:K208"/>
    <mergeCell ref="L204:L208"/>
    <mergeCell ref="M204:M208"/>
    <mergeCell ref="N204:N208"/>
    <mergeCell ref="O204:O208"/>
    <mergeCell ref="P204:P208"/>
    <mergeCell ref="Q204:Q208"/>
    <mergeCell ref="R204:R208"/>
    <mergeCell ref="AK197:AK200"/>
    <mergeCell ref="AL197:AL200"/>
    <mergeCell ref="AM197:AM200"/>
    <mergeCell ref="AN197:AN200"/>
    <mergeCell ref="AO197:AO200"/>
    <mergeCell ref="AP197:AP200"/>
    <mergeCell ref="AE197:AE200"/>
    <mergeCell ref="AF197:AF200"/>
    <mergeCell ref="AG197:AG200"/>
    <mergeCell ref="AH197:AH200"/>
    <mergeCell ref="AI197:AI200"/>
    <mergeCell ref="AJ197:AJ200"/>
    <mergeCell ref="Y197:Y200"/>
    <mergeCell ref="Z197:Z200"/>
    <mergeCell ref="AA197:AA200"/>
    <mergeCell ref="AB197:AB200"/>
    <mergeCell ref="AC197:AC200"/>
    <mergeCell ref="AD197:AD200"/>
    <mergeCell ref="O197:O200"/>
    <mergeCell ref="P197:P200"/>
    <mergeCell ref="Q197:Q200"/>
    <mergeCell ref="R197:R200"/>
    <mergeCell ref="S197:S200"/>
    <mergeCell ref="T197:T200"/>
    <mergeCell ref="J197:J200"/>
    <mergeCell ref="K197:K200"/>
    <mergeCell ref="L197:L200"/>
    <mergeCell ref="M197:M200"/>
    <mergeCell ref="N197:N200"/>
    <mergeCell ref="K188:K190"/>
    <mergeCell ref="L188:L190"/>
    <mergeCell ref="M188:M190"/>
    <mergeCell ref="U188:U189"/>
    <mergeCell ref="J191:J194"/>
    <mergeCell ref="K191:K194"/>
    <mergeCell ref="L191:L194"/>
    <mergeCell ref="M191:M194"/>
    <mergeCell ref="S168:S194"/>
    <mergeCell ref="T168:T194"/>
    <mergeCell ref="AN168:AN194"/>
    <mergeCell ref="AO168:AO194"/>
    <mergeCell ref="AP168:AP194"/>
    <mergeCell ref="AQ168:AQ194"/>
    <mergeCell ref="U170:U171"/>
    <mergeCell ref="U172:U173"/>
    <mergeCell ref="U174:U175"/>
    <mergeCell ref="U178:U179"/>
    <mergeCell ref="U180:U181"/>
    <mergeCell ref="AH168:AH194"/>
    <mergeCell ref="AI168:AI194"/>
    <mergeCell ref="AJ168:AJ194"/>
    <mergeCell ref="AK168:AK194"/>
    <mergeCell ref="AL168:AL194"/>
    <mergeCell ref="AM168:AM194"/>
    <mergeCell ref="AB168:AB194"/>
    <mergeCell ref="AC168:AC194"/>
    <mergeCell ref="AD168:AD194"/>
    <mergeCell ref="AE168:AE194"/>
    <mergeCell ref="AF168:AF194"/>
    <mergeCell ref="AG168:AG194"/>
    <mergeCell ref="U168:U169"/>
    <mergeCell ref="Y168:Y194"/>
    <mergeCell ref="Z168:Z194"/>
    <mergeCell ref="AA168:AA194"/>
    <mergeCell ref="M168:M181"/>
    <mergeCell ref="N168:N194"/>
    <mergeCell ref="O168:O194"/>
    <mergeCell ref="P168:P194"/>
    <mergeCell ref="Q168:Q194"/>
    <mergeCell ref="R168:R194"/>
    <mergeCell ref="M182:M186"/>
    <mergeCell ref="D167:D194"/>
    <mergeCell ref="E167:E194"/>
    <mergeCell ref="F167:F194"/>
    <mergeCell ref="J168:J181"/>
    <mergeCell ref="K168:K181"/>
    <mergeCell ref="L168:L181"/>
    <mergeCell ref="J182:J186"/>
    <mergeCell ref="K182:K186"/>
    <mergeCell ref="L182:L186"/>
    <mergeCell ref="J188:J190"/>
    <mergeCell ref="AL162:AL165"/>
    <mergeCell ref="AM162:AM165"/>
    <mergeCell ref="AN162:AN165"/>
    <mergeCell ref="AO162:AO165"/>
    <mergeCell ref="AP162:AP165"/>
    <mergeCell ref="AQ162:AQ165"/>
    <mergeCell ref="AF162:AF165"/>
    <mergeCell ref="AG162:AG165"/>
    <mergeCell ref="AH162:AH165"/>
    <mergeCell ref="AI162:AI165"/>
    <mergeCell ref="AJ162:AJ165"/>
    <mergeCell ref="AK162:AK165"/>
    <mergeCell ref="Z162:Z165"/>
    <mergeCell ref="AA162:AA165"/>
    <mergeCell ref="AB162:AB165"/>
    <mergeCell ref="AC162:AC165"/>
    <mergeCell ref="AD162:AD165"/>
    <mergeCell ref="AE162:AE165"/>
    <mergeCell ref="P162:P165"/>
    <mergeCell ref="Q162:Q163"/>
    <mergeCell ref="R162:R165"/>
    <mergeCell ref="S162:S165"/>
    <mergeCell ref="T162:T165"/>
    <mergeCell ref="Y162:Y165"/>
    <mergeCell ref="Q164:Q165"/>
    <mergeCell ref="Q145:Q148"/>
    <mergeCell ref="O131:O160"/>
    <mergeCell ref="P131:P160"/>
    <mergeCell ref="Q131:Q132"/>
    <mergeCell ref="R131:R160"/>
    <mergeCell ref="S131:S160"/>
    <mergeCell ref="T131:T160"/>
    <mergeCell ref="Q135:Q144"/>
    <mergeCell ref="J162:J163"/>
    <mergeCell ref="K162:K163"/>
    <mergeCell ref="L162:L163"/>
    <mergeCell ref="M162:M163"/>
    <mergeCell ref="N162:N165"/>
    <mergeCell ref="O162:O165"/>
    <mergeCell ref="J164:J165"/>
    <mergeCell ref="K164:K165"/>
    <mergeCell ref="L164:L165"/>
    <mergeCell ref="M164:M165"/>
    <mergeCell ref="AP131:AP160"/>
    <mergeCell ref="AQ131:AQ160"/>
    <mergeCell ref="J133:J134"/>
    <mergeCell ref="K133:K134"/>
    <mergeCell ref="L133:L134"/>
    <mergeCell ref="M133:M134"/>
    <mergeCell ref="Q133:Q134"/>
    <mergeCell ref="J135:J145"/>
    <mergeCell ref="K135:K145"/>
    <mergeCell ref="L135:L145"/>
    <mergeCell ref="AJ131:AJ160"/>
    <mergeCell ref="AK131:AK160"/>
    <mergeCell ref="AL131:AL160"/>
    <mergeCell ref="AM131:AM160"/>
    <mergeCell ref="AN131:AN160"/>
    <mergeCell ref="AO131:AO160"/>
    <mergeCell ref="AD131:AD160"/>
    <mergeCell ref="AE131:AE160"/>
    <mergeCell ref="AF131:AF160"/>
    <mergeCell ref="M149:M160"/>
    <mergeCell ref="Q149:Q160"/>
    <mergeCell ref="U150:U151"/>
    <mergeCell ref="U152:U153"/>
    <mergeCell ref="U154:U155"/>
    <mergeCell ref="AG131:AG160"/>
    <mergeCell ref="AH131:AH160"/>
    <mergeCell ref="AI131:AI160"/>
    <mergeCell ref="U131:U132"/>
    <mergeCell ref="Y131:Y160"/>
    <mergeCell ref="Z131:Z160"/>
    <mergeCell ref="AA131:AA160"/>
    <mergeCell ref="AB131:AB160"/>
    <mergeCell ref="AC131:AC160"/>
    <mergeCell ref="U135:U136"/>
    <mergeCell ref="U137:U138"/>
    <mergeCell ref="U139:U140"/>
    <mergeCell ref="U141:U142"/>
    <mergeCell ref="U146:U148"/>
    <mergeCell ref="U156:U157"/>
    <mergeCell ref="U158:U159"/>
    <mergeCell ref="U144:U145"/>
    <mergeCell ref="D130:F165"/>
    <mergeCell ref="J131:J132"/>
    <mergeCell ref="K131:K132"/>
    <mergeCell ref="L131:L132"/>
    <mergeCell ref="M131:M132"/>
    <mergeCell ref="N131:N160"/>
    <mergeCell ref="M135:M145"/>
    <mergeCell ref="J149:J160"/>
    <mergeCell ref="K149:K160"/>
    <mergeCell ref="L149:L160"/>
    <mergeCell ref="J146:J148"/>
    <mergeCell ref="K146:K148"/>
    <mergeCell ref="L146:L148"/>
    <mergeCell ref="M146:M148"/>
    <mergeCell ref="AO111:AO128"/>
    <mergeCell ref="AP111:AP128"/>
    <mergeCell ref="AQ111:AQ128"/>
    <mergeCell ref="U112:U113"/>
    <mergeCell ref="U114:U115"/>
    <mergeCell ref="AH111:AH128"/>
    <mergeCell ref="AI111:AI128"/>
    <mergeCell ref="AJ111:AJ128"/>
    <mergeCell ref="AK111:AK128"/>
    <mergeCell ref="AL111:AL128"/>
    <mergeCell ref="AM111:AM128"/>
    <mergeCell ref="AB111:AB128"/>
    <mergeCell ref="AC111:AC128"/>
    <mergeCell ref="AD111:AD128"/>
    <mergeCell ref="AE111:AE128"/>
    <mergeCell ref="AF111:AF128"/>
    <mergeCell ref="AG111:AG128"/>
    <mergeCell ref="Y111:Y128"/>
    <mergeCell ref="Z111:Z128"/>
    <mergeCell ref="AA111:AA128"/>
    <mergeCell ref="U117:U118"/>
    <mergeCell ref="U120:U121"/>
    <mergeCell ref="U125:U126"/>
    <mergeCell ref="U127:U128"/>
    <mergeCell ref="J111:J115"/>
    <mergeCell ref="K111:K115"/>
    <mergeCell ref="L111:L115"/>
    <mergeCell ref="M111:M115"/>
    <mergeCell ref="N111:N128"/>
    <mergeCell ref="O111:O128"/>
    <mergeCell ref="P111:P128"/>
    <mergeCell ref="Q111:Q115"/>
    <mergeCell ref="AN111:AN128"/>
    <mergeCell ref="J116:J128"/>
    <mergeCell ref="K116:K128"/>
    <mergeCell ref="L116:L128"/>
    <mergeCell ref="M116:M128"/>
    <mergeCell ref="Q116:Q128"/>
    <mergeCell ref="R111:R128"/>
    <mergeCell ref="S111:S128"/>
    <mergeCell ref="T111:T128"/>
    <mergeCell ref="AQ100:AQ109"/>
    <mergeCell ref="J102:J106"/>
    <mergeCell ref="K102:K106"/>
    <mergeCell ref="L102:L106"/>
    <mergeCell ref="M102:M106"/>
    <mergeCell ref="Q102:Q106"/>
    <mergeCell ref="U102:U103"/>
    <mergeCell ref="J107:J109"/>
    <mergeCell ref="K107:K109"/>
    <mergeCell ref="L107:L109"/>
    <mergeCell ref="AK100:AK109"/>
    <mergeCell ref="AL100:AL109"/>
    <mergeCell ref="AM100:AM109"/>
    <mergeCell ref="AN100:AN109"/>
    <mergeCell ref="AO100:AO109"/>
    <mergeCell ref="AP100:AP109"/>
    <mergeCell ref="AE100:AE109"/>
    <mergeCell ref="AF100:AF109"/>
    <mergeCell ref="AG100:AG109"/>
    <mergeCell ref="AH100:AH109"/>
    <mergeCell ref="AI100:AI109"/>
    <mergeCell ref="AJ100:AJ109"/>
    <mergeCell ref="Y100:Y109"/>
    <mergeCell ref="Z100:Z109"/>
    <mergeCell ref="AA100:AA109"/>
    <mergeCell ref="AB100:AB109"/>
    <mergeCell ref="AC100:AC109"/>
    <mergeCell ref="AD100:AD109"/>
    <mergeCell ref="O100:O109"/>
    <mergeCell ref="P100:P109"/>
    <mergeCell ref="Q100:Q101"/>
    <mergeCell ref="R100:R109"/>
    <mergeCell ref="S100:S109"/>
    <mergeCell ref="T100:T109"/>
    <mergeCell ref="Q107:Q109"/>
    <mergeCell ref="J95:J98"/>
    <mergeCell ref="K95:K98"/>
    <mergeCell ref="L95:L98"/>
    <mergeCell ref="M95:M98"/>
    <mergeCell ref="Q95:Q98"/>
    <mergeCell ref="J100:J101"/>
    <mergeCell ref="K100:K101"/>
    <mergeCell ref="L100:L101"/>
    <mergeCell ref="M100:M101"/>
    <mergeCell ref="N100:N109"/>
    <mergeCell ref="M107:M109"/>
    <mergeCell ref="J92:J94"/>
    <mergeCell ref="K92:K94"/>
    <mergeCell ref="L92:L94"/>
    <mergeCell ref="M92:M94"/>
    <mergeCell ref="Q92:Q94"/>
    <mergeCell ref="U92:U93"/>
    <mergeCell ref="J82:J83"/>
    <mergeCell ref="K82:K83"/>
    <mergeCell ref="L82:L83"/>
    <mergeCell ref="M82:M83"/>
    <mergeCell ref="Q82:Q83"/>
    <mergeCell ref="J84:J91"/>
    <mergeCell ref="K84:K91"/>
    <mergeCell ref="L84:L91"/>
    <mergeCell ref="M84:M91"/>
    <mergeCell ref="Q84:Q91"/>
    <mergeCell ref="AM69:AM98"/>
    <mergeCell ref="AN69:AN98"/>
    <mergeCell ref="AO69:AO98"/>
    <mergeCell ref="AP69:AP98"/>
    <mergeCell ref="AQ69:AQ98"/>
    <mergeCell ref="U72:U73"/>
    <mergeCell ref="U79:U80"/>
    <mergeCell ref="U84:U85"/>
    <mergeCell ref="U86:U87"/>
    <mergeCell ref="AG69:AG98"/>
    <mergeCell ref="AH69:AH98"/>
    <mergeCell ref="AI69:AI98"/>
    <mergeCell ref="AJ69:AJ98"/>
    <mergeCell ref="AK69:AK98"/>
    <mergeCell ref="AL69:AL98"/>
    <mergeCell ref="AA69:AA98"/>
    <mergeCell ref="AB69:AB98"/>
    <mergeCell ref="AC69:AC98"/>
    <mergeCell ref="AD69:AD98"/>
    <mergeCell ref="AE69:AE98"/>
    <mergeCell ref="AF69:AF98"/>
    <mergeCell ref="Q69:Q81"/>
    <mergeCell ref="R69:R98"/>
    <mergeCell ref="S69:S98"/>
    <mergeCell ref="T69:T98"/>
    <mergeCell ref="Y69:Y98"/>
    <mergeCell ref="Z69:Z98"/>
    <mergeCell ref="U62:U63"/>
    <mergeCell ref="U64:U65"/>
    <mergeCell ref="D68:F128"/>
    <mergeCell ref="J69:J81"/>
    <mergeCell ref="K69:K81"/>
    <mergeCell ref="L69:L81"/>
    <mergeCell ref="M69:M81"/>
    <mergeCell ref="N69:N98"/>
    <mergeCell ref="O69:O98"/>
    <mergeCell ref="P69:P98"/>
    <mergeCell ref="Z52:Z66"/>
    <mergeCell ref="J52:J58"/>
    <mergeCell ref="K52:K58"/>
    <mergeCell ref="L52:L58"/>
    <mergeCell ref="M52:M58"/>
    <mergeCell ref="O52:O66"/>
    <mergeCell ref="P52:P66"/>
    <mergeCell ref="J59:J65"/>
    <mergeCell ref="AL52:AL66"/>
    <mergeCell ref="AM52:AM66"/>
    <mergeCell ref="AN52:AN66"/>
    <mergeCell ref="AO52:AO66"/>
    <mergeCell ref="AP52:AP66"/>
    <mergeCell ref="AQ52:AQ66"/>
    <mergeCell ref="AF52:AF66"/>
    <mergeCell ref="AG52:AG66"/>
    <mergeCell ref="AH52:AH66"/>
    <mergeCell ref="AI52:AI66"/>
    <mergeCell ref="AJ52:AJ66"/>
    <mergeCell ref="AK52:AK66"/>
    <mergeCell ref="AB52:AB66"/>
    <mergeCell ref="AC52:AC66"/>
    <mergeCell ref="AD52:AD66"/>
    <mergeCell ref="AE52:AE66"/>
    <mergeCell ref="Q52:Q58"/>
    <mergeCell ref="R52:R66"/>
    <mergeCell ref="S52:S66"/>
    <mergeCell ref="T52:T66"/>
    <mergeCell ref="U52:U53"/>
    <mergeCell ref="Y52:Y66"/>
    <mergeCell ref="U54:U55"/>
    <mergeCell ref="U56:U57"/>
    <mergeCell ref="Q59:Q65"/>
    <mergeCell ref="U59:U60"/>
    <mergeCell ref="M21:M47"/>
    <mergeCell ref="Q21:Q47"/>
    <mergeCell ref="U21:U22"/>
    <mergeCell ref="U23:U24"/>
    <mergeCell ref="U25:U26"/>
    <mergeCell ref="U28:U29"/>
    <mergeCell ref="U30:U31"/>
    <mergeCell ref="T13:T50"/>
    <mergeCell ref="AA52:AA66"/>
    <mergeCell ref="AQ13:AQ50"/>
    <mergeCell ref="J16:J20"/>
    <mergeCell ref="K16:K20"/>
    <mergeCell ref="L16:L20"/>
    <mergeCell ref="M16:M20"/>
    <mergeCell ref="Q16:Q20"/>
    <mergeCell ref="AG13:AG50"/>
    <mergeCell ref="AH13:AH50"/>
    <mergeCell ref="AI13:AI50"/>
    <mergeCell ref="AJ13:AJ50"/>
    <mergeCell ref="AK13:AK50"/>
    <mergeCell ref="AL13:AL50"/>
    <mergeCell ref="AA13:AA50"/>
    <mergeCell ref="AB13:AB50"/>
    <mergeCell ref="AC13:AC50"/>
    <mergeCell ref="AD13:AD50"/>
    <mergeCell ref="AE13:AE50"/>
    <mergeCell ref="AF13:AF50"/>
    <mergeCell ref="R13:R50"/>
    <mergeCell ref="S13:S50"/>
    <mergeCell ref="L13:L14"/>
    <mergeCell ref="M13:M14"/>
    <mergeCell ref="N13:N20"/>
    <mergeCell ref="U40:U41"/>
    <mergeCell ref="AM13:AM50"/>
    <mergeCell ref="AN13:AN50"/>
    <mergeCell ref="AO13:AO50"/>
    <mergeCell ref="A12:A208"/>
    <mergeCell ref="B12:C208"/>
    <mergeCell ref="D12:F66"/>
    <mergeCell ref="J13:J14"/>
    <mergeCell ref="K13:K14"/>
    <mergeCell ref="AP13:AP50"/>
    <mergeCell ref="K59:K65"/>
    <mergeCell ref="L59:L65"/>
    <mergeCell ref="M59:M65"/>
    <mergeCell ref="U42:U43"/>
    <mergeCell ref="U44:U45"/>
    <mergeCell ref="U46:U47"/>
    <mergeCell ref="J48:J50"/>
    <mergeCell ref="K48:K50"/>
    <mergeCell ref="L48:L50"/>
    <mergeCell ref="M48:M50"/>
    <mergeCell ref="Q48:Q50"/>
    <mergeCell ref="U48:U49"/>
    <mergeCell ref="J21:J47"/>
    <mergeCell ref="K21:K47"/>
    <mergeCell ref="L21:L47"/>
    <mergeCell ref="U13:U14"/>
    <mergeCell ref="Y13:Y50"/>
    <mergeCell ref="Z13:Z50"/>
    <mergeCell ref="U18:U19"/>
    <mergeCell ref="U32:U33"/>
    <mergeCell ref="U34:U35"/>
    <mergeCell ref="U37:U38"/>
    <mergeCell ref="L8:L9"/>
    <mergeCell ref="M8:M9"/>
    <mergeCell ref="N8:N9"/>
    <mergeCell ref="O8:O9"/>
    <mergeCell ref="V8:V9"/>
    <mergeCell ref="W8:W9"/>
    <mergeCell ref="X8:X9"/>
    <mergeCell ref="Y8:Z8"/>
    <mergeCell ref="P8:P9"/>
    <mergeCell ref="Q8:Q9"/>
    <mergeCell ref="R8:R9"/>
    <mergeCell ref="S8:S9"/>
    <mergeCell ref="T8:T9"/>
    <mergeCell ref="U8:U9"/>
    <mergeCell ref="O13:O50"/>
    <mergeCell ref="P13:P50"/>
    <mergeCell ref="Q13:Q14"/>
    <mergeCell ref="A1:AO4"/>
    <mergeCell ref="A5:M6"/>
    <mergeCell ref="N5:AQ5"/>
    <mergeCell ref="Y6:AM6"/>
    <mergeCell ref="A8:A9"/>
    <mergeCell ref="B8:C9"/>
    <mergeCell ref="D8:D9"/>
    <mergeCell ref="E8:F9"/>
    <mergeCell ref="G8:G9"/>
    <mergeCell ref="H8:I9"/>
    <mergeCell ref="AK8:AM8"/>
    <mergeCell ref="AN8:AN9"/>
    <mergeCell ref="AO8:AO9"/>
    <mergeCell ref="AP8:AP9"/>
    <mergeCell ref="AQ8:AQ9"/>
    <mergeCell ref="AA8:AD8"/>
    <mergeCell ref="AE8:AJ8"/>
    <mergeCell ref="J8:J9"/>
    <mergeCell ref="K8:K9"/>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0"/>
  <sheetViews>
    <sheetView showGridLines="0" zoomScale="60" zoomScaleNormal="60" workbookViewId="0">
      <selection activeCell="A5" sqref="A5:M6"/>
    </sheetView>
  </sheetViews>
  <sheetFormatPr baseColWidth="10" defaultColWidth="11.42578125" defaultRowHeight="15" x14ac:dyDescent="0.2"/>
  <cols>
    <col min="1" max="1" width="16" style="2" customWidth="1"/>
    <col min="2" max="2" width="11.42578125" style="2" customWidth="1"/>
    <col min="3" max="3" width="10.7109375" style="2" customWidth="1"/>
    <col min="4" max="4" width="17.140625" style="2" customWidth="1"/>
    <col min="5" max="5" width="10.42578125" style="2" customWidth="1"/>
    <col min="6" max="6" width="10" style="2" customWidth="1"/>
    <col min="7" max="7" width="15.7109375" style="2" customWidth="1"/>
    <col min="8" max="8" width="11" style="2" customWidth="1"/>
    <col min="9" max="9" width="14.42578125" style="2" customWidth="1"/>
    <col min="10" max="10" width="15.85546875" style="2" customWidth="1"/>
    <col min="11" max="11" width="33.7109375" style="169" customWidth="1"/>
    <col min="12" max="12" width="30" style="169" customWidth="1"/>
    <col min="13" max="13" width="28.42578125" style="2" customWidth="1"/>
    <col min="14" max="14" width="30.42578125" style="2" customWidth="1"/>
    <col min="15" max="15" width="11.28515625" style="2" customWidth="1"/>
    <col min="16" max="16" width="26.140625" style="169" customWidth="1"/>
    <col min="17" max="17" width="16.85546875" style="2" customWidth="1"/>
    <col min="18" max="18" width="27" style="714" customWidth="1"/>
    <col min="19" max="19" width="29.42578125" style="169" customWidth="1"/>
    <col min="20" max="20" width="29" style="169" customWidth="1"/>
    <col min="21" max="21" width="44" style="169" customWidth="1"/>
    <col min="22" max="22" width="28.5703125" style="715" customWidth="1"/>
    <col min="23" max="23" width="12.85546875" style="2" customWidth="1"/>
    <col min="24" max="24" width="31.28515625" style="169" customWidth="1"/>
    <col min="25" max="39" width="12.5703125" style="2" customWidth="1"/>
    <col min="40" max="40" width="12" style="2" customWidth="1"/>
    <col min="41" max="41" width="22.28515625" style="716" customWidth="1"/>
    <col min="42" max="42" width="21" style="716" customWidth="1"/>
    <col min="43" max="43" width="29.42578125" style="2" customWidth="1"/>
    <col min="44" max="16384" width="11.42578125" style="2"/>
  </cols>
  <sheetData>
    <row r="1" spans="1:46" ht="20.25" customHeight="1" x14ac:dyDescent="0.2">
      <c r="A1" s="2851" t="s">
        <v>403</v>
      </c>
      <c r="B1" s="2852"/>
      <c r="C1" s="2852"/>
      <c r="D1" s="2852"/>
      <c r="E1" s="2852"/>
      <c r="F1" s="2852"/>
      <c r="G1" s="2852"/>
      <c r="H1" s="2852"/>
      <c r="I1" s="2852"/>
      <c r="J1" s="2852"/>
      <c r="K1" s="2852"/>
      <c r="L1" s="2852"/>
      <c r="M1" s="2852"/>
      <c r="N1" s="2852"/>
      <c r="O1" s="2852"/>
      <c r="P1" s="2852"/>
      <c r="Q1" s="2852"/>
      <c r="R1" s="2852"/>
      <c r="S1" s="2852"/>
      <c r="T1" s="2852"/>
      <c r="U1" s="2852"/>
      <c r="V1" s="2852"/>
      <c r="W1" s="2852"/>
      <c r="X1" s="2852"/>
      <c r="Y1" s="2852"/>
      <c r="Z1" s="2852"/>
      <c r="AA1" s="2852"/>
      <c r="AB1" s="2852"/>
      <c r="AC1" s="2852"/>
      <c r="AD1" s="2852"/>
      <c r="AE1" s="2852"/>
      <c r="AF1" s="2852"/>
      <c r="AG1" s="2852"/>
      <c r="AH1" s="2852"/>
      <c r="AI1" s="2852"/>
      <c r="AJ1" s="2852"/>
      <c r="AK1" s="2852"/>
      <c r="AL1" s="2852"/>
      <c r="AM1" s="2852"/>
      <c r="AN1" s="2852"/>
      <c r="AO1" s="3204"/>
      <c r="AP1" s="579" t="s">
        <v>0</v>
      </c>
      <c r="AQ1" s="580" t="s">
        <v>1</v>
      </c>
    </row>
    <row r="2" spans="1:46" ht="18.75" customHeight="1" x14ac:dyDescent="0.2">
      <c r="A2" s="2853"/>
      <c r="B2" s="2778"/>
      <c r="C2" s="2778"/>
      <c r="D2" s="2778"/>
      <c r="E2" s="2778"/>
      <c r="F2" s="2778"/>
      <c r="G2" s="2778"/>
      <c r="H2" s="2778"/>
      <c r="I2" s="2778"/>
      <c r="J2" s="2778"/>
      <c r="K2" s="2778"/>
      <c r="L2" s="2778"/>
      <c r="M2" s="2778"/>
      <c r="N2" s="2778"/>
      <c r="O2" s="2778"/>
      <c r="P2" s="2778"/>
      <c r="Q2" s="2778"/>
      <c r="R2" s="2778"/>
      <c r="S2" s="2778"/>
      <c r="T2" s="2778"/>
      <c r="U2" s="2778"/>
      <c r="V2" s="2778"/>
      <c r="W2" s="2778"/>
      <c r="X2" s="2778"/>
      <c r="Y2" s="2778"/>
      <c r="Z2" s="2778"/>
      <c r="AA2" s="2778"/>
      <c r="AB2" s="2778"/>
      <c r="AC2" s="2778"/>
      <c r="AD2" s="2778"/>
      <c r="AE2" s="2778"/>
      <c r="AF2" s="2778"/>
      <c r="AG2" s="2778"/>
      <c r="AH2" s="2778"/>
      <c r="AI2" s="2778"/>
      <c r="AJ2" s="2778"/>
      <c r="AK2" s="2778"/>
      <c r="AL2" s="2778"/>
      <c r="AM2" s="2778"/>
      <c r="AN2" s="2778"/>
      <c r="AO2" s="3205"/>
      <c r="AP2" s="123" t="s">
        <v>2</v>
      </c>
      <c r="AQ2" s="581">
        <v>6</v>
      </c>
    </row>
    <row r="3" spans="1:46" ht="16.5" customHeight="1" x14ac:dyDescent="0.2">
      <c r="A3" s="2853"/>
      <c r="B3" s="2778"/>
      <c r="C3" s="2778"/>
      <c r="D3" s="2778"/>
      <c r="E3" s="2778"/>
      <c r="F3" s="2778"/>
      <c r="G3" s="2778"/>
      <c r="H3" s="2778"/>
      <c r="I3" s="2778"/>
      <c r="J3" s="2778"/>
      <c r="K3" s="2778"/>
      <c r="L3" s="2778"/>
      <c r="M3" s="2778"/>
      <c r="N3" s="2778"/>
      <c r="O3" s="2778"/>
      <c r="P3" s="2778"/>
      <c r="Q3" s="2778"/>
      <c r="R3" s="2778"/>
      <c r="S3" s="2778"/>
      <c r="T3" s="2778"/>
      <c r="U3" s="2778"/>
      <c r="V3" s="2778"/>
      <c r="W3" s="2778"/>
      <c r="X3" s="2778"/>
      <c r="Y3" s="2778"/>
      <c r="Z3" s="2778"/>
      <c r="AA3" s="2778"/>
      <c r="AB3" s="2778"/>
      <c r="AC3" s="2778"/>
      <c r="AD3" s="2778"/>
      <c r="AE3" s="2778"/>
      <c r="AF3" s="2778"/>
      <c r="AG3" s="2778"/>
      <c r="AH3" s="2778"/>
      <c r="AI3" s="2778"/>
      <c r="AJ3" s="2778"/>
      <c r="AK3" s="2778"/>
      <c r="AL3" s="2778"/>
      <c r="AM3" s="2778"/>
      <c r="AN3" s="2778"/>
      <c r="AO3" s="3205"/>
      <c r="AP3" s="6" t="s">
        <v>3</v>
      </c>
      <c r="AQ3" s="582" t="s">
        <v>4</v>
      </c>
    </row>
    <row r="4" spans="1:46" s="8" customFormat="1" ht="24" customHeight="1" x14ac:dyDescent="0.2">
      <c r="A4" s="2854"/>
      <c r="B4" s="2779"/>
      <c r="C4" s="2779"/>
      <c r="D4" s="2779"/>
      <c r="E4" s="2779"/>
      <c r="F4" s="2779"/>
      <c r="G4" s="2779"/>
      <c r="H4" s="2779"/>
      <c r="I4" s="2779"/>
      <c r="J4" s="2779"/>
      <c r="K4" s="2779"/>
      <c r="L4" s="2779"/>
      <c r="M4" s="2779"/>
      <c r="N4" s="2779"/>
      <c r="O4" s="2779"/>
      <c r="P4" s="2779"/>
      <c r="Q4" s="2779"/>
      <c r="R4" s="2779"/>
      <c r="S4" s="2779"/>
      <c r="T4" s="2779"/>
      <c r="U4" s="2779"/>
      <c r="V4" s="2779"/>
      <c r="W4" s="2779"/>
      <c r="X4" s="2779"/>
      <c r="Y4" s="2779"/>
      <c r="Z4" s="2779"/>
      <c r="AA4" s="2779"/>
      <c r="AB4" s="2779"/>
      <c r="AC4" s="2779"/>
      <c r="AD4" s="2779"/>
      <c r="AE4" s="2779"/>
      <c r="AF4" s="2779"/>
      <c r="AG4" s="2779"/>
      <c r="AH4" s="2779"/>
      <c r="AI4" s="2779"/>
      <c r="AJ4" s="2779"/>
      <c r="AK4" s="2779"/>
      <c r="AL4" s="2779"/>
      <c r="AM4" s="2779"/>
      <c r="AN4" s="2779"/>
      <c r="AO4" s="3206"/>
      <c r="AP4" s="6" t="s">
        <v>5</v>
      </c>
      <c r="AQ4" s="583" t="s">
        <v>6</v>
      </c>
    </row>
    <row r="5" spans="1:46" ht="32.25" customHeight="1" x14ac:dyDescent="0.2">
      <c r="A5" s="3207" t="s">
        <v>7</v>
      </c>
      <c r="B5" s="2858"/>
      <c r="C5" s="2858"/>
      <c r="D5" s="2858"/>
      <c r="E5" s="2858"/>
      <c r="F5" s="2858"/>
      <c r="G5" s="2858"/>
      <c r="H5" s="2858"/>
      <c r="I5" s="2858"/>
      <c r="J5" s="2858"/>
      <c r="K5" s="2858"/>
      <c r="L5" s="2858"/>
      <c r="M5" s="2858"/>
      <c r="N5" s="524"/>
      <c r="O5" s="524"/>
      <c r="P5" s="2858" t="s">
        <v>8</v>
      </c>
      <c r="Q5" s="2858"/>
      <c r="R5" s="2858"/>
      <c r="S5" s="2858"/>
      <c r="T5" s="2858"/>
      <c r="U5" s="2858"/>
      <c r="V5" s="2858"/>
      <c r="W5" s="2858"/>
      <c r="X5" s="2858"/>
      <c r="Y5" s="2858"/>
      <c r="Z5" s="2858"/>
      <c r="AA5" s="2858"/>
      <c r="AB5" s="2858"/>
      <c r="AC5" s="2858"/>
      <c r="AD5" s="2858"/>
      <c r="AE5" s="2858"/>
      <c r="AF5" s="2858"/>
      <c r="AG5" s="2858"/>
      <c r="AH5" s="2858"/>
      <c r="AI5" s="2858"/>
      <c r="AJ5" s="2858"/>
      <c r="AK5" s="2858"/>
      <c r="AL5" s="2858"/>
      <c r="AM5" s="2858"/>
      <c r="AN5" s="2858"/>
      <c r="AO5" s="2858"/>
      <c r="AP5" s="2858"/>
      <c r="AQ5" s="2859"/>
    </row>
    <row r="6" spans="1:46" ht="24" customHeight="1" x14ac:dyDescent="0.2">
      <c r="A6" s="3207"/>
      <c r="B6" s="2858"/>
      <c r="C6" s="2858"/>
      <c r="D6" s="2858"/>
      <c r="E6" s="2858"/>
      <c r="F6" s="2858"/>
      <c r="G6" s="2858"/>
      <c r="H6" s="2858"/>
      <c r="I6" s="2858"/>
      <c r="J6" s="2858"/>
      <c r="K6" s="2858"/>
      <c r="L6" s="2858"/>
      <c r="M6" s="2858"/>
      <c r="N6" s="524"/>
      <c r="O6" s="526"/>
      <c r="P6" s="2762"/>
      <c r="Q6" s="2763"/>
      <c r="R6" s="2763"/>
      <c r="S6" s="2763"/>
      <c r="T6" s="2763"/>
      <c r="U6" s="2763"/>
      <c r="V6" s="2763"/>
      <c r="W6" s="2763"/>
      <c r="X6" s="2764"/>
      <c r="Y6" s="527"/>
      <c r="Z6" s="527"/>
      <c r="AA6" s="527"/>
      <c r="AB6" s="527"/>
      <c r="AC6" s="527"/>
      <c r="AD6" s="527"/>
      <c r="AE6" s="527"/>
      <c r="AF6" s="527"/>
      <c r="AG6" s="527"/>
      <c r="AH6" s="527"/>
      <c r="AI6" s="527"/>
      <c r="AJ6" s="527"/>
      <c r="AK6" s="527"/>
      <c r="AL6" s="527"/>
      <c r="AM6" s="527"/>
      <c r="AN6" s="527"/>
      <c r="AO6" s="2762"/>
      <c r="AP6" s="2763"/>
      <c r="AQ6" s="3208"/>
    </row>
    <row r="7" spans="1:46" s="584" customFormat="1" ht="33.75" customHeight="1" x14ac:dyDescent="0.25">
      <c r="A7" s="3209" t="s">
        <v>9</v>
      </c>
      <c r="B7" s="2781" t="s">
        <v>10</v>
      </c>
      <c r="C7" s="3211"/>
      <c r="D7" s="2993" t="s">
        <v>9</v>
      </c>
      <c r="E7" s="2993" t="s">
        <v>11</v>
      </c>
      <c r="F7" s="2993"/>
      <c r="G7" s="2993" t="s">
        <v>9</v>
      </c>
      <c r="H7" s="2993" t="s">
        <v>12</v>
      </c>
      <c r="I7" s="2993"/>
      <c r="J7" s="2993" t="s">
        <v>9</v>
      </c>
      <c r="K7" s="2993" t="s">
        <v>13</v>
      </c>
      <c r="L7" s="2993" t="s">
        <v>14</v>
      </c>
      <c r="M7" s="2993" t="s">
        <v>15</v>
      </c>
      <c r="N7" s="2993" t="s">
        <v>16</v>
      </c>
      <c r="O7" s="2993" t="s">
        <v>94</v>
      </c>
      <c r="P7" s="2993" t="s">
        <v>8</v>
      </c>
      <c r="Q7" s="3013" t="s">
        <v>18</v>
      </c>
      <c r="R7" s="3231" t="s">
        <v>19</v>
      </c>
      <c r="S7" s="2993" t="s">
        <v>20</v>
      </c>
      <c r="T7" s="2993" t="s">
        <v>21</v>
      </c>
      <c r="U7" s="2993" t="s">
        <v>22</v>
      </c>
      <c r="V7" s="3229" t="s">
        <v>19</v>
      </c>
      <c r="W7" s="3011" t="s">
        <v>9</v>
      </c>
      <c r="X7" s="2993" t="s">
        <v>23</v>
      </c>
      <c r="Y7" s="2774" t="s">
        <v>24</v>
      </c>
      <c r="Z7" s="2775"/>
      <c r="AA7" s="2792" t="s">
        <v>25</v>
      </c>
      <c r="AB7" s="2793"/>
      <c r="AC7" s="2793"/>
      <c r="AD7" s="2793"/>
      <c r="AE7" s="2794" t="s">
        <v>26</v>
      </c>
      <c r="AF7" s="2795"/>
      <c r="AG7" s="2795"/>
      <c r="AH7" s="2795"/>
      <c r="AI7" s="2795"/>
      <c r="AJ7" s="2795"/>
      <c r="AK7" s="2792" t="s">
        <v>27</v>
      </c>
      <c r="AL7" s="2793"/>
      <c r="AM7" s="2793"/>
      <c r="AN7" s="3225" t="s">
        <v>28</v>
      </c>
      <c r="AO7" s="3227" t="s">
        <v>29</v>
      </c>
      <c r="AP7" s="3227" t="s">
        <v>30</v>
      </c>
      <c r="AQ7" s="2998" t="s">
        <v>31</v>
      </c>
    </row>
    <row r="8" spans="1:46" s="584" customFormat="1" ht="153.75" customHeight="1" x14ac:dyDescent="0.25">
      <c r="A8" s="3210"/>
      <c r="B8" s="2783"/>
      <c r="C8" s="3212"/>
      <c r="D8" s="2993"/>
      <c r="E8" s="2993"/>
      <c r="F8" s="2993"/>
      <c r="G8" s="2993"/>
      <c r="H8" s="2993"/>
      <c r="I8" s="2993"/>
      <c r="J8" s="2993"/>
      <c r="K8" s="2993"/>
      <c r="L8" s="2993"/>
      <c r="M8" s="2993"/>
      <c r="N8" s="2993"/>
      <c r="O8" s="2993"/>
      <c r="P8" s="2993"/>
      <c r="Q8" s="3013"/>
      <c r="R8" s="3231"/>
      <c r="S8" s="2993"/>
      <c r="T8" s="2993"/>
      <c r="U8" s="2993"/>
      <c r="V8" s="3230"/>
      <c r="W8" s="3011"/>
      <c r="X8" s="2993"/>
      <c r="Y8" s="585" t="s">
        <v>32</v>
      </c>
      <c r="Z8" s="586" t="s">
        <v>404</v>
      </c>
      <c r="AA8" s="587" t="s">
        <v>34</v>
      </c>
      <c r="AB8" s="587" t="s">
        <v>35</v>
      </c>
      <c r="AC8" s="587" t="s">
        <v>95</v>
      </c>
      <c r="AD8" s="587" t="s">
        <v>37</v>
      </c>
      <c r="AE8" s="588" t="s">
        <v>38</v>
      </c>
      <c r="AF8" s="589" t="s">
        <v>39</v>
      </c>
      <c r="AG8" s="588" t="s">
        <v>40</v>
      </c>
      <c r="AH8" s="589" t="s">
        <v>41</v>
      </c>
      <c r="AI8" s="588" t="s">
        <v>405</v>
      </c>
      <c r="AJ8" s="588" t="s">
        <v>43</v>
      </c>
      <c r="AK8" s="587" t="s">
        <v>44</v>
      </c>
      <c r="AL8" s="587" t="s">
        <v>45</v>
      </c>
      <c r="AM8" s="587" t="s">
        <v>406</v>
      </c>
      <c r="AN8" s="3226"/>
      <c r="AO8" s="3228"/>
      <c r="AP8" s="3228"/>
      <c r="AQ8" s="2998"/>
    </row>
    <row r="9" spans="1:46" s="121" customFormat="1" ht="15" customHeight="1" x14ac:dyDescent="0.25">
      <c r="A9" s="590">
        <v>3</v>
      </c>
      <c r="B9" s="3213" t="s">
        <v>407</v>
      </c>
      <c r="C9" s="3214"/>
      <c r="D9" s="3214"/>
      <c r="E9" s="591"/>
      <c r="F9" s="591"/>
      <c r="G9" s="591"/>
      <c r="H9" s="591"/>
      <c r="I9" s="591"/>
      <c r="J9" s="591"/>
      <c r="K9" s="592"/>
      <c r="L9" s="592"/>
      <c r="M9" s="591"/>
      <c r="N9" s="591"/>
      <c r="O9" s="591"/>
      <c r="P9" s="592"/>
      <c r="Q9" s="591"/>
      <c r="R9" s="593"/>
      <c r="S9" s="592"/>
      <c r="T9" s="592"/>
      <c r="U9" s="592"/>
      <c r="V9" s="594"/>
      <c r="W9" s="595"/>
      <c r="X9" s="592"/>
      <c r="Y9" s="591"/>
      <c r="Z9" s="591"/>
      <c r="AA9" s="591"/>
      <c r="AB9" s="591"/>
      <c r="AC9" s="591"/>
      <c r="AD9" s="591"/>
      <c r="AE9" s="591"/>
      <c r="AF9" s="591"/>
      <c r="AG9" s="591"/>
      <c r="AH9" s="591"/>
      <c r="AI9" s="591"/>
      <c r="AJ9" s="591"/>
      <c r="AK9" s="591"/>
      <c r="AL9" s="591"/>
      <c r="AM9" s="591"/>
      <c r="AN9" s="591"/>
      <c r="AO9" s="3215"/>
      <c r="AP9" s="3215"/>
      <c r="AQ9" s="3216"/>
    </row>
    <row r="10" spans="1:46" s="121" customFormat="1" ht="15" customHeight="1" x14ac:dyDescent="0.25">
      <c r="A10" s="596"/>
      <c r="B10" s="597"/>
      <c r="C10" s="598"/>
      <c r="D10" s="599">
        <v>9</v>
      </c>
      <c r="E10" s="3217" t="s">
        <v>408</v>
      </c>
      <c r="F10" s="3218"/>
      <c r="G10" s="3218"/>
      <c r="H10" s="3218"/>
      <c r="I10" s="3218"/>
      <c r="J10" s="3218"/>
      <c r="K10" s="3218"/>
      <c r="L10" s="600"/>
      <c r="M10" s="601"/>
      <c r="N10" s="601"/>
      <c r="O10" s="601"/>
      <c r="P10" s="600"/>
      <c r="Q10" s="601"/>
      <c r="R10" s="602"/>
      <c r="S10" s="600"/>
      <c r="T10" s="600"/>
      <c r="U10" s="600"/>
      <c r="V10" s="603"/>
      <c r="W10" s="604"/>
      <c r="X10" s="600"/>
      <c r="Y10" s="601"/>
      <c r="Z10" s="601"/>
      <c r="AA10" s="601"/>
      <c r="AB10" s="601"/>
      <c r="AC10" s="601"/>
      <c r="AD10" s="601"/>
      <c r="AE10" s="601"/>
      <c r="AF10" s="601"/>
      <c r="AG10" s="601"/>
      <c r="AH10" s="601"/>
      <c r="AI10" s="601"/>
      <c r="AJ10" s="601"/>
      <c r="AK10" s="601"/>
      <c r="AL10" s="601"/>
      <c r="AM10" s="601"/>
      <c r="AN10" s="601"/>
      <c r="AO10" s="3219"/>
      <c r="AP10" s="3219"/>
      <c r="AQ10" s="3220"/>
    </row>
    <row r="11" spans="1:46" ht="15" customHeight="1" x14ac:dyDescent="0.2">
      <c r="A11" s="605"/>
      <c r="B11" s="71"/>
      <c r="C11" s="525"/>
      <c r="D11" s="606"/>
      <c r="E11" s="607"/>
      <c r="F11" s="608"/>
      <c r="G11" s="609">
        <v>29</v>
      </c>
      <c r="H11" s="3221" t="s">
        <v>409</v>
      </c>
      <c r="I11" s="3222"/>
      <c r="J11" s="3222"/>
      <c r="K11" s="3222"/>
      <c r="L11" s="189"/>
      <c r="M11" s="610"/>
      <c r="N11" s="610"/>
      <c r="O11" s="610"/>
      <c r="P11" s="189"/>
      <c r="Q11" s="610"/>
      <c r="R11" s="611"/>
      <c r="S11" s="189"/>
      <c r="T11" s="189"/>
      <c r="U11" s="189"/>
      <c r="V11" s="612"/>
      <c r="W11" s="613"/>
      <c r="X11" s="189"/>
      <c r="Y11" s="610"/>
      <c r="Z11" s="610"/>
      <c r="AA11" s="610"/>
      <c r="AB11" s="610"/>
      <c r="AC11" s="610"/>
      <c r="AD11" s="610"/>
      <c r="AE11" s="610"/>
      <c r="AF11" s="610"/>
      <c r="AG11" s="610"/>
      <c r="AH11" s="610"/>
      <c r="AI11" s="610"/>
      <c r="AJ11" s="610"/>
      <c r="AK11" s="610"/>
      <c r="AL11" s="610"/>
      <c r="AM11" s="610"/>
      <c r="AN11" s="610"/>
      <c r="AO11" s="3223"/>
      <c r="AP11" s="3223"/>
      <c r="AQ11" s="3224"/>
    </row>
    <row r="12" spans="1:46" s="620" customFormat="1" ht="80.25" customHeight="1" x14ac:dyDescent="0.2">
      <c r="A12" s="614"/>
      <c r="B12" s="615"/>
      <c r="C12" s="616"/>
      <c r="D12" s="614"/>
      <c r="E12" s="615"/>
      <c r="F12" s="616"/>
      <c r="G12" s="3232"/>
      <c r="H12" s="3235"/>
      <c r="I12" s="3236"/>
      <c r="J12" s="3241">
        <v>114</v>
      </c>
      <c r="K12" s="3065" t="s">
        <v>410</v>
      </c>
      <c r="L12" s="3065" t="s">
        <v>411</v>
      </c>
      <c r="M12" s="3245">
        <v>30</v>
      </c>
      <c r="N12" s="3065" t="s">
        <v>412</v>
      </c>
      <c r="O12" s="3232">
        <v>45</v>
      </c>
      <c r="P12" s="3065" t="s">
        <v>413</v>
      </c>
      <c r="Q12" s="3256">
        <f>SUM(V12:V14)/R12</f>
        <v>1</v>
      </c>
      <c r="R12" s="3259">
        <f>SUM(V12:V14)</f>
        <v>1249277717</v>
      </c>
      <c r="S12" s="3065" t="s">
        <v>414</v>
      </c>
      <c r="T12" s="3065" t="s">
        <v>415</v>
      </c>
      <c r="U12" s="3065" t="s">
        <v>416</v>
      </c>
      <c r="V12" s="617">
        <v>172896381</v>
      </c>
      <c r="W12" s="618">
        <v>33</v>
      </c>
      <c r="X12" s="619" t="s">
        <v>417</v>
      </c>
      <c r="Y12" s="3232">
        <v>26</v>
      </c>
      <c r="Z12" s="3232">
        <v>26</v>
      </c>
      <c r="AA12" s="3252">
        <v>0</v>
      </c>
      <c r="AB12" s="3252">
        <v>0</v>
      </c>
      <c r="AC12" s="3252">
        <v>52</v>
      </c>
      <c r="AD12" s="3252">
        <v>0</v>
      </c>
      <c r="AE12" s="3252">
        <v>0</v>
      </c>
      <c r="AF12" s="3252">
        <v>0</v>
      </c>
      <c r="AG12" s="3252">
        <v>0</v>
      </c>
      <c r="AH12" s="3252">
        <v>0</v>
      </c>
      <c r="AI12" s="3252">
        <v>0</v>
      </c>
      <c r="AJ12" s="3252">
        <v>0</v>
      </c>
      <c r="AK12" s="3252">
        <v>0</v>
      </c>
      <c r="AL12" s="3252">
        <v>0</v>
      </c>
      <c r="AM12" s="3252">
        <v>0</v>
      </c>
      <c r="AN12" s="3252">
        <f>Y12+Z12</f>
        <v>52</v>
      </c>
      <c r="AO12" s="3266">
        <v>43466</v>
      </c>
      <c r="AP12" s="3266">
        <v>43830</v>
      </c>
      <c r="AQ12" s="3269" t="s">
        <v>418</v>
      </c>
    </row>
    <row r="13" spans="1:46" s="620" customFormat="1" ht="48.75" customHeight="1" x14ac:dyDescent="0.25">
      <c r="A13" s="614"/>
      <c r="B13" s="615"/>
      <c r="C13" s="616"/>
      <c r="D13" s="614"/>
      <c r="E13" s="615"/>
      <c r="F13" s="616"/>
      <c r="G13" s="3233"/>
      <c r="H13" s="3237"/>
      <c r="I13" s="3238"/>
      <c r="J13" s="3242"/>
      <c r="K13" s="3244"/>
      <c r="L13" s="3244"/>
      <c r="M13" s="3246"/>
      <c r="N13" s="3244"/>
      <c r="O13" s="3233"/>
      <c r="P13" s="3244"/>
      <c r="Q13" s="3257"/>
      <c r="R13" s="3260"/>
      <c r="S13" s="3244"/>
      <c r="T13" s="3244"/>
      <c r="U13" s="3244"/>
      <c r="V13" s="617">
        <v>1075686973</v>
      </c>
      <c r="W13" s="618">
        <v>83</v>
      </c>
      <c r="X13" s="619" t="s">
        <v>419</v>
      </c>
      <c r="Y13" s="3233"/>
      <c r="Z13" s="3233"/>
      <c r="AA13" s="3253"/>
      <c r="AB13" s="3253"/>
      <c r="AC13" s="3253"/>
      <c r="AD13" s="3253"/>
      <c r="AE13" s="3253"/>
      <c r="AF13" s="3253"/>
      <c r="AG13" s="3253"/>
      <c r="AH13" s="3253"/>
      <c r="AI13" s="3253"/>
      <c r="AJ13" s="3253"/>
      <c r="AK13" s="3253"/>
      <c r="AL13" s="3253"/>
      <c r="AM13" s="3253"/>
      <c r="AN13" s="3253"/>
      <c r="AO13" s="3267"/>
      <c r="AP13" s="3267"/>
      <c r="AQ13" s="3270"/>
      <c r="AR13"/>
      <c r="AS13"/>
      <c r="AT13"/>
    </row>
    <row r="14" spans="1:46" s="620" customFormat="1" ht="63" customHeight="1" x14ac:dyDescent="0.25">
      <c r="A14" s="614"/>
      <c r="B14" s="615"/>
      <c r="C14" s="616"/>
      <c r="D14" s="614"/>
      <c r="E14" s="615"/>
      <c r="F14" s="616"/>
      <c r="G14" s="3233"/>
      <c r="H14" s="3237"/>
      <c r="I14" s="3238"/>
      <c r="J14" s="3243"/>
      <c r="K14" s="3066"/>
      <c r="L14" s="3066"/>
      <c r="M14" s="3247"/>
      <c r="N14" s="3066"/>
      <c r="O14" s="3234"/>
      <c r="P14" s="3066"/>
      <c r="Q14" s="3258"/>
      <c r="R14" s="3261"/>
      <c r="S14" s="3066"/>
      <c r="T14" s="3255"/>
      <c r="U14" s="621" t="s">
        <v>420</v>
      </c>
      <c r="V14" s="622">
        <f>694363</f>
        <v>694363</v>
      </c>
      <c r="W14" s="618">
        <v>33</v>
      </c>
      <c r="X14" s="619" t="s">
        <v>417</v>
      </c>
      <c r="Y14" s="3234"/>
      <c r="Z14" s="3234"/>
      <c r="AA14" s="3254"/>
      <c r="AB14" s="3254"/>
      <c r="AC14" s="3254"/>
      <c r="AD14" s="3254"/>
      <c r="AE14" s="3254"/>
      <c r="AF14" s="3254"/>
      <c r="AG14" s="3254"/>
      <c r="AH14" s="3254"/>
      <c r="AI14" s="3254"/>
      <c r="AJ14" s="3254"/>
      <c r="AK14" s="3254"/>
      <c r="AL14" s="3254"/>
      <c r="AM14" s="3254"/>
      <c r="AN14" s="3254"/>
      <c r="AO14" s="3268"/>
      <c r="AP14" s="3268"/>
      <c r="AQ14" s="3271"/>
      <c r="AR14"/>
      <c r="AS14"/>
      <c r="AT14"/>
    </row>
    <row r="15" spans="1:46" s="620" customFormat="1" ht="39" customHeight="1" x14ac:dyDescent="0.25">
      <c r="A15" s="614"/>
      <c r="B15" s="615"/>
      <c r="C15" s="616"/>
      <c r="D15" s="614"/>
      <c r="E15" s="615"/>
      <c r="F15" s="616"/>
      <c r="G15" s="3233"/>
      <c r="H15" s="3237"/>
      <c r="I15" s="3238"/>
      <c r="J15" s="3241">
        <v>114</v>
      </c>
      <c r="K15" s="3248" t="s">
        <v>421</v>
      </c>
      <c r="L15" s="3065" t="s">
        <v>422</v>
      </c>
      <c r="M15" s="3245">
        <v>30</v>
      </c>
      <c r="N15" s="3065" t="s">
        <v>423</v>
      </c>
      <c r="O15" s="3232">
        <v>46</v>
      </c>
      <c r="P15" s="3065" t="s">
        <v>424</v>
      </c>
      <c r="Q15" s="3256">
        <f>SUM(V15:V18)/R15</f>
        <v>0.46737569540763191</v>
      </c>
      <c r="R15" s="3252">
        <f>SUM(V15:V26)</f>
        <v>3213783215</v>
      </c>
      <c r="S15" s="3065" t="s">
        <v>425</v>
      </c>
      <c r="T15" s="3274" t="s">
        <v>426</v>
      </c>
      <c r="U15" s="623" t="s">
        <v>427</v>
      </c>
      <c r="V15" s="624">
        <f>543106000-185044900-1199868-25208999</f>
        <v>331652233</v>
      </c>
      <c r="W15" s="625">
        <v>20</v>
      </c>
      <c r="X15" s="619" t="s">
        <v>72</v>
      </c>
      <c r="Y15" s="3232">
        <v>85275</v>
      </c>
      <c r="Z15" s="3232">
        <v>85275</v>
      </c>
      <c r="AA15" s="3252">
        <v>25580</v>
      </c>
      <c r="AB15" s="3252">
        <v>42638</v>
      </c>
      <c r="AC15" s="3252">
        <v>68221</v>
      </c>
      <c r="AD15" s="3252">
        <v>17055</v>
      </c>
      <c r="AE15" s="3252">
        <v>8528</v>
      </c>
      <c r="AF15" s="3252">
        <v>8527.5</v>
      </c>
      <c r="AG15" s="3252">
        <v>0</v>
      </c>
      <c r="AH15" s="3252">
        <v>0</v>
      </c>
      <c r="AI15" s="3252">
        <v>0</v>
      </c>
      <c r="AJ15" s="3252">
        <v>0</v>
      </c>
      <c r="AK15" s="626"/>
      <c r="AL15" s="626"/>
      <c r="AM15" s="626"/>
      <c r="AN15" s="3252">
        <f>Y15+Z15</f>
        <v>170550</v>
      </c>
      <c r="AO15" s="3266">
        <v>43466</v>
      </c>
      <c r="AP15" s="3266">
        <v>43830</v>
      </c>
      <c r="AQ15" s="3252" t="s">
        <v>428</v>
      </c>
      <c r="AR15"/>
      <c r="AS15"/>
      <c r="AT15"/>
    </row>
    <row r="16" spans="1:46" s="620" customFormat="1" ht="27" customHeight="1" x14ac:dyDescent="0.25">
      <c r="A16" s="614"/>
      <c r="B16" s="615"/>
      <c r="C16" s="616"/>
      <c r="D16" s="614"/>
      <c r="E16" s="615"/>
      <c r="F16" s="616"/>
      <c r="G16" s="3233"/>
      <c r="H16" s="3237"/>
      <c r="I16" s="3238"/>
      <c r="J16" s="3242"/>
      <c r="K16" s="3249"/>
      <c r="L16" s="3244"/>
      <c r="M16" s="3246"/>
      <c r="N16" s="3244"/>
      <c r="O16" s="3233"/>
      <c r="P16" s="3244"/>
      <c r="Q16" s="3257"/>
      <c r="R16" s="3253"/>
      <c r="S16" s="3244"/>
      <c r="T16" s="3249"/>
      <c r="U16" s="3244" t="s">
        <v>429</v>
      </c>
      <c r="V16" s="627">
        <f>457100000+195470065+1199868+25208999</f>
        <v>678978932</v>
      </c>
      <c r="W16" s="628">
        <v>20</v>
      </c>
      <c r="X16" s="623" t="s">
        <v>430</v>
      </c>
      <c r="Y16" s="3262"/>
      <c r="Z16" s="3233"/>
      <c r="AA16" s="3253"/>
      <c r="AB16" s="3253"/>
      <c r="AC16" s="3253"/>
      <c r="AD16" s="3253"/>
      <c r="AE16" s="3253"/>
      <c r="AF16" s="3253"/>
      <c r="AG16" s="3253"/>
      <c r="AH16" s="3253"/>
      <c r="AI16" s="3253"/>
      <c r="AJ16" s="3253"/>
      <c r="AK16" s="629"/>
      <c r="AL16" s="629"/>
      <c r="AM16" s="629"/>
      <c r="AN16" s="3253"/>
      <c r="AO16" s="3267"/>
      <c r="AP16" s="3267"/>
      <c r="AQ16" s="3253"/>
      <c r="AR16"/>
      <c r="AS16"/>
      <c r="AT16"/>
    </row>
    <row r="17" spans="1:46" s="620" customFormat="1" ht="30" customHeight="1" x14ac:dyDescent="0.25">
      <c r="A17" s="614"/>
      <c r="B17" s="615"/>
      <c r="C17" s="616"/>
      <c r="D17" s="614"/>
      <c r="E17" s="615"/>
      <c r="F17" s="616"/>
      <c r="G17" s="3233"/>
      <c r="H17" s="3237"/>
      <c r="I17" s="3238"/>
      <c r="J17" s="3242"/>
      <c r="K17" s="3249"/>
      <c r="L17" s="3244"/>
      <c r="M17" s="3246"/>
      <c r="N17" s="3244"/>
      <c r="O17" s="3233"/>
      <c r="P17" s="3244"/>
      <c r="Q17" s="3257"/>
      <c r="R17" s="3253"/>
      <c r="S17" s="3244"/>
      <c r="T17" s="3249"/>
      <c r="U17" s="3066"/>
      <c r="V17" s="627">
        <v>400000000</v>
      </c>
      <c r="W17" s="630">
        <v>88</v>
      </c>
      <c r="X17" s="631" t="s">
        <v>61</v>
      </c>
      <c r="Y17" s="3262"/>
      <c r="Z17" s="3233"/>
      <c r="AA17" s="3253"/>
      <c r="AB17" s="3253"/>
      <c r="AC17" s="3253"/>
      <c r="AD17" s="3253"/>
      <c r="AE17" s="3253"/>
      <c r="AF17" s="3253"/>
      <c r="AG17" s="3253"/>
      <c r="AH17" s="3253"/>
      <c r="AI17" s="3253"/>
      <c r="AJ17" s="3253"/>
      <c r="AK17" s="629"/>
      <c r="AL17" s="629"/>
      <c r="AM17" s="629"/>
      <c r="AN17" s="3253"/>
      <c r="AO17" s="3267"/>
      <c r="AP17" s="3267"/>
      <c r="AQ17" s="3253"/>
      <c r="AR17"/>
      <c r="AS17"/>
      <c r="AT17"/>
    </row>
    <row r="18" spans="1:46" s="620" customFormat="1" ht="44.25" customHeight="1" x14ac:dyDescent="0.25">
      <c r="A18" s="614"/>
      <c r="B18" s="615"/>
      <c r="C18" s="616"/>
      <c r="D18" s="614"/>
      <c r="E18" s="615"/>
      <c r="F18" s="616"/>
      <c r="G18" s="3233"/>
      <c r="H18" s="3237"/>
      <c r="I18" s="3238"/>
      <c r="J18" s="3243"/>
      <c r="K18" s="3250"/>
      <c r="L18" s="3066"/>
      <c r="M18" s="3247"/>
      <c r="N18" s="3244"/>
      <c r="O18" s="3233"/>
      <c r="P18" s="3244"/>
      <c r="Q18" s="3258"/>
      <c r="R18" s="3253"/>
      <c r="S18" s="3244"/>
      <c r="T18" s="3250"/>
      <c r="U18" s="632" t="s">
        <v>431</v>
      </c>
      <c r="V18" s="627">
        <f>101838165-10425165</f>
        <v>91413000</v>
      </c>
      <c r="W18" s="633">
        <v>20</v>
      </c>
      <c r="X18" s="634" t="s">
        <v>72</v>
      </c>
      <c r="Y18" s="3233"/>
      <c r="Z18" s="3233"/>
      <c r="AA18" s="3253"/>
      <c r="AB18" s="3253"/>
      <c r="AC18" s="3253"/>
      <c r="AD18" s="3253"/>
      <c r="AE18" s="3253"/>
      <c r="AF18" s="3253"/>
      <c r="AG18" s="3253"/>
      <c r="AH18" s="3253"/>
      <c r="AI18" s="3253"/>
      <c r="AJ18" s="3253"/>
      <c r="AK18" s="629"/>
      <c r="AL18" s="629"/>
      <c r="AM18" s="629"/>
      <c r="AN18" s="3253"/>
      <c r="AO18" s="3267"/>
      <c r="AP18" s="3267"/>
      <c r="AQ18" s="3253"/>
      <c r="AR18"/>
      <c r="AS18"/>
      <c r="AT18"/>
    </row>
    <row r="19" spans="1:46" s="620" customFormat="1" ht="44.25" customHeight="1" x14ac:dyDescent="0.25">
      <c r="A19" s="614"/>
      <c r="B19" s="615"/>
      <c r="C19" s="616"/>
      <c r="D19" s="614"/>
      <c r="E19" s="615"/>
      <c r="F19" s="616"/>
      <c r="G19" s="3233"/>
      <c r="H19" s="3237"/>
      <c r="I19" s="3238"/>
      <c r="J19" s="3241">
        <v>115</v>
      </c>
      <c r="K19" s="2564" t="s">
        <v>432</v>
      </c>
      <c r="L19" s="3065" t="s">
        <v>422</v>
      </c>
      <c r="M19" s="3245">
        <v>34</v>
      </c>
      <c r="N19" s="3244" t="s">
        <v>433</v>
      </c>
      <c r="O19" s="3233"/>
      <c r="P19" s="3244"/>
      <c r="Q19" s="3256">
        <f>SUM(V19:V22)/R15</f>
        <v>0.45757094508939988</v>
      </c>
      <c r="R19" s="3253"/>
      <c r="S19" s="3244"/>
      <c r="T19" s="3248" t="s">
        <v>434</v>
      </c>
      <c r="U19" s="632" t="s">
        <v>435</v>
      </c>
      <c r="V19" s="624">
        <f>867953723*11%-33504910+621800</f>
        <v>62591799.530000001</v>
      </c>
      <c r="W19" s="625">
        <v>39</v>
      </c>
      <c r="X19" s="619" t="s">
        <v>436</v>
      </c>
      <c r="Y19" s="3233"/>
      <c r="Z19" s="3233"/>
      <c r="AA19" s="3253"/>
      <c r="AB19" s="3253"/>
      <c r="AC19" s="3253"/>
      <c r="AD19" s="3253"/>
      <c r="AE19" s="3253"/>
      <c r="AF19" s="3253"/>
      <c r="AG19" s="3253"/>
      <c r="AH19" s="3253"/>
      <c r="AI19" s="3253"/>
      <c r="AJ19" s="3253"/>
      <c r="AK19" s="629"/>
      <c r="AL19" s="629"/>
      <c r="AM19" s="629"/>
      <c r="AN19" s="3253"/>
      <c r="AO19" s="3267"/>
      <c r="AP19" s="3267"/>
      <c r="AQ19" s="3253"/>
      <c r="AR19"/>
      <c r="AS19"/>
      <c r="AT19"/>
    </row>
    <row r="20" spans="1:46" s="620" customFormat="1" ht="44.25" customHeight="1" x14ac:dyDescent="0.25">
      <c r="A20" s="614"/>
      <c r="B20" s="615"/>
      <c r="C20" s="616"/>
      <c r="D20" s="614"/>
      <c r="E20" s="615"/>
      <c r="F20" s="616"/>
      <c r="G20" s="3233"/>
      <c r="H20" s="3237"/>
      <c r="I20" s="3238"/>
      <c r="J20" s="3242"/>
      <c r="K20" s="2591"/>
      <c r="L20" s="3244"/>
      <c r="M20" s="3246"/>
      <c r="N20" s="3244"/>
      <c r="O20" s="3233"/>
      <c r="P20" s="3244"/>
      <c r="Q20" s="3257"/>
      <c r="R20" s="3253"/>
      <c r="S20" s="3244"/>
      <c r="T20" s="3249"/>
      <c r="U20" s="632" t="s">
        <v>437</v>
      </c>
      <c r="V20" s="627">
        <f>867953723*4%+33504910+56122942+7965008.08</f>
        <v>132311009</v>
      </c>
      <c r="W20" s="625">
        <v>39</v>
      </c>
      <c r="X20" s="619" t="s">
        <v>436</v>
      </c>
      <c r="Y20" s="3233"/>
      <c r="Z20" s="3233"/>
      <c r="AA20" s="3253"/>
      <c r="AB20" s="3253"/>
      <c r="AC20" s="3253"/>
      <c r="AD20" s="3253"/>
      <c r="AE20" s="3253"/>
      <c r="AF20" s="3253"/>
      <c r="AG20" s="3253"/>
      <c r="AH20" s="3253"/>
      <c r="AI20" s="3253"/>
      <c r="AJ20" s="3253"/>
      <c r="AK20" s="629"/>
      <c r="AL20" s="629"/>
      <c r="AM20" s="629"/>
      <c r="AN20" s="3253"/>
      <c r="AO20" s="3267"/>
      <c r="AP20" s="3267"/>
      <c r="AQ20" s="3253"/>
      <c r="AR20"/>
      <c r="AS20"/>
      <c r="AT20"/>
    </row>
    <row r="21" spans="1:46" s="620" customFormat="1" ht="44.25" customHeight="1" x14ac:dyDescent="0.25">
      <c r="A21" s="614"/>
      <c r="B21" s="615"/>
      <c r="C21" s="616"/>
      <c r="D21" s="614"/>
      <c r="E21" s="615"/>
      <c r="F21" s="616"/>
      <c r="G21" s="3233"/>
      <c r="H21" s="3237"/>
      <c r="I21" s="3238"/>
      <c r="J21" s="3242"/>
      <c r="K21" s="2591"/>
      <c r="L21" s="3244"/>
      <c r="M21" s="3246"/>
      <c r="N21" s="3244"/>
      <c r="O21" s="3233"/>
      <c r="P21" s="3244"/>
      <c r="Q21" s="3257"/>
      <c r="R21" s="3253"/>
      <c r="S21" s="3244"/>
      <c r="T21" s="3249"/>
      <c r="U21" s="3264" t="s">
        <v>438</v>
      </c>
      <c r="V21" s="627">
        <f>867953723*85%-56122942-621800-7965008.08</f>
        <v>673050914.46999991</v>
      </c>
      <c r="W21" s="635">
        <v>39</v>
      </c>
      <c r="X21" s="619" t="s">
        <v>436</v>
      </c>
      <c r="Y21" s="3233"/>
      <c r="Z21" s="3233"/>
      <c r="AA21" s="3253"/>
      <c r="AB21" s="3253"/>
      <c r="AC21" s="3253"/>
      <c r="AD21" s="3253"/>
      <c r="AE21" s="3253"/>
      <c r="AF21" s="3253"/>
      <c r="AG21" s="3253"/>
      <c r="AH21" s="3253"/>
      <c r="AI21" s="3253"/>
      <c r="AJ21" s="3253"/>
      <c r="AK21" s="629"/>
      <c r="AL21" s="629"/>
      <c r="AM21" s="629"/>
      <c r="AN21" s="3253"/>
      <c r="AO21" s="3267"/>
      <c r="AP21" s="3267"/>
      <c r="AQ21" s="3253"/>
      <c r="AR21"/>
      <c r="AS21"/>
      <c r="AT21"/>
    </row>
    <row r="22" spans="1:46" s="620" customFormat="1" ht="36.75" customHeight="1" x14ac:dyDescent="0.25">
      <c r="A22" s="614"/>
      <c r="B22" s="615"/>
      <c r="C22" s="616"/>
      <c r="D22" s="614"/>
      <c r="E22" s="615"/>
      <c r="F22" s="616"/>
      <c r="G22" s="3233"/>
      <c r="H22" s="3237"/>
      <c r="I22" s="3238"/>
      <c r="J22" s="3243"/>
      <c r="K22" s="2555"/>
      <c r="L22" s="3244"/>
      <c r="M22" s="3247"/>
      <c r="N22" s="3244"/>
      <c r="O22" s="3233"/>
      <c r="P22" s="3244"/>
      <c r="Q22" s="3258"/>
      <c r="R22" s="3253"/>
      <c r="S22" s="3244"/>
      <c r="T22" s="3250"/>
      <c r="U22" s="3265"/>
      <c r="V22" s="627">
        <f>0+602580100</f>
        <v>602580100</v>
      </c>
      <c r="W22" s="636">
        <v>83</v>
      </c>
      <c r="X22" s="631" t="s">
        <v>439</v>
      </c>
      <c r="Y22" s="3262"/>
      <c r="Z22" s="3233"/>
      <c r="AA22" s="3253"/>
      <c r="AB22" s="3253"/>
      <c r="AC22" s="3253"/>
      <c r="AD22" s="3253"/>
      <c r="AE22" s="3253"/>
      <c r="AF22" s="3253"/>
      <c r="AG22" s="3253"/>
      <c r="AH22" s="3253"/>
      <c r="AI22" s="3253"/>
      <c r="AJ22" s="3253"/>
      <c r="AK22" s="629"/>
      <c r="AL22" s="629"/>
      <c r="AM22" s="629"/>
      <c r="AN22" s="3253"/>
      <c r="AO22" s="3267"/>
      <c r="AP22" s="3267"/>
      <c r="AQ22" s="3253"/>
      <c r="AR22"/>
      <c r="AS22"/>
      <c r="AT22"/>
    </row>
    <row r="23" spans="1:46" s="638" customFormat="1" ht="49.5" customHeight="1" x14ac:dyDescent="0.25">
      <c r="A23" s="614"/>
      <c r="B23" s="615"/>
      <c r="C23" s="616"/>
      <c r="D23" s="614"/>
      <c r="E23" s="615"/>
      <c r="F23" s="616"/>
      <c r="G23" s="3233"/>
      <c r="H23" s="3237"/>
      <c r="I23" s="3238"/>
      <c r="J23" s="3241">
        <v>116</v>
      </c>
      <c r="K23" s="3248" t="s">
        <v>440</v>
      </c>
      <c r="L23" s="3251" t="s">
        <v>422</v>
      </c>
      <c r="M23" s="3245">
        <v>10</v>
      </c>
      <c r="N23" s="3244" t="s">
        <v>441</v>
      </c>
      <c r="O23" s="3233"/>
      <c r="P23" s="3244"/>
      <c r="Q23" s="3256">
        <f>SUM(V23:V26)/R15</f>
        <v>7.5053359502968223E-2</v>
      </c>
      <c r="R23" s="3253"/>
      <c r="S23" s="3244"/>
      <c r="T23" s="3248" t="s">
        <v>442</v>
      </c>
      <c r="U23" s="637" t="s">
        <v>435</v>
      </c>
      <c r="V23" s="624">
        <f>13887260+19454056+15026684-1074900</f>
        <v>47293100</v>
      </c>
      <c r="W23" s="633">
        <v>41</v>
      </c>
      <c r="X23" s="634" t="s">
        <v>443</v>
      </c>
      <c r="Y23" s="3233"/>
      <c r="Z23" s="3233"/>
      <c r="AA23" s="3253"/>
      <c r="AB23" s="3253"/>
      <c r="AC23" s="3253"/>
      <c r="AD23" s="3253"/>
      <c r="AE23" s="3253"/>
      <c r="AF23" s="3253"/>
      <c r="AG23" s="3253"/>
      <c r="AH23" s="3253"/>
      <c r="AI23" s="3253"/>
      <c r="AJ23" s="3253"/>
      <c r="AK23" s="629"/>
      <c r="AL23" s="629"/>
      <c r="AM23" s="629"/>
      <c r="AN23" s="3253"/>
      <c r="AO23" s="3267"/>
      <c r="AP23" s="3267"/>
      <c r="AQ23" s="3253"/>
      <c r="AR23"/>
      <c r="AS23"/>
      <c r="AT23"/>
    </row>
    <row r="24" spans="1:46" s="638" customFormat="1" ht="42" customHeight="1" x14ac:dyDescent="0.2">
      <c r="A24" s="614"/>
      <c r="B24" s="615"/>
      <c r="C24" s="616"/>
      <c r="D24" s="614"/>
      <c r="E24" s="615"/>
      <c r="F24" s="616"/>
      <c r="G24" s="3233"/>
      <c r="H24" s="3237"/>
      <c r="I24" s="3238"/>
      <c r="J24" s="3242"/>
      <c r="K24" s="3249"/>
      <c r="L24" s="3251"/>
      <c r="M24" s="3246"/>
      <c r="N24" s="3244"/>
      <c r="O24" s="3233"/>
      <c r="P24" s="3244"/>
      <c r="Q24" s="3257"/>
      <c r="R24" s="3253"/>
      <c r="S24" s="3244"/>
      <c r="T24" s="3249"/>
      <c r="U24" s="637" t="s">
        <v>444</v>
      </c>
      <c r="V24" s="627">
        <f>36454056-19454056+837227+1074900</f>
        <v>18912127</v>
      </c>
      <c r="W24" s="625">
        <v>41</v>
      </c>
      <c r="X24" s="619" t="s">
        <v>443</v>
      </c>
      <c r="Y24" s="3233"/>
      <c r="Z24" s="3233"/>
      <c r="AA24" s="3253"/>
      <c r="AB24" s="3253"/>
      <c r="AC24" s="3253"/>
      <c r="AD24" s="3253"/>
      <c r="AE24" s="3253"/>
      <c r="AF24" s="3253"/>
      <c r="AG24" s="3253"/>
      <c r="AH24" s="3253"/>
      <c r="AI24" s="3253"/>
      <c r="AJ24" s="3253"/>
      <c r="AK24" s="629"/>
      <c r="AL24" s="629"/>
      <c r="AM24" s="629"/>
      <c r="AN24" s="3253"/>
      <c r="AO24" s="3267"/>
      <c r="AP24" s="3267"/>
      <c r="AQ24" s="3253"/>
    </row>
    <row r="25" spans="1:46" s="638" customFormat="1" ht="42" customHeight="1" x14ac:dyDescent="0.2">
      <c r="A25" s="614"/>
      <c r="B25" s="615"/>
      <c r="C25" s="616"/>
      <c r="D25" s="614"/>
      <c r="E25" s="615"/>
      <c r="F25" s="616"/>
      <c r="G25" s="3233"/>
      <c r="H25" s="3237"/>
      <c r="I25" s="3238"/>
      <c r="J25" s="3242"/>
      <c r="K25" s="3249"/>
      <c r="L25" s="3251"/>
      <c r="M25" s="3246"/>
      <c r="N25" s="3244"/>
      <c r="O25" s="3233"/>
      <c r="P25" s="3244"/>
      <c r="Q25" s="3257"/>
      <c r="R25" s="3253"/>
      <c r="S25" s="3244"/>
      <c r="T25" s="3249"/>
      <c r="U25" s="3264" t="s">
        <v>438</v>
      </c>
      <c r="V25" s="627">
        <f>123249428-15026684-837227</f>
        <v>107385517</v>
      </c>
      <c r="W25" s="628">
        <v>41</v>
      </c>
      <c r="X25" s="623" t="s">
        <v>443</v>
      </c>
      <c r="Y25" s="3262"/>
      <c r="Z25" s="3233"/>
      <c r="AA25" s="3253"/>
      <c r="AB25" s="3253"/>
      <c r="AC25" s="3253"/>
      <c r="AD25" s="3253"/>
      <c r="AE25" s="3253"/>
      <c r="AF25" s="3253"/>
      <c r="AG25" s="3253"/>
      <c r="AH25" s="3253"/>
      <c r="AI25" s="3253"/>
      <c r="AJ25" s="3253"/>
      <c r="AK25" s="629"/>
      <c r="AL25" s="629"/>
      <c r="AM25" s="629"/>
      <c r="AN25" s="3253"/>
      <c r="AO25" s="3267"/>
      <c r="AP25" s="3267"/>
      <c r="AQ25" s="3253"/>
    </row>
    <row r="26" spans="1:46" s="638" customFormat="1" ht="48.75" customHeight="1" x14ac:dyDescent="0.2">
      <c r="A26" s="614"/>
      <c r="B26" s="615"/>
      <c r="C26" s="616"/>
      <c r="D26" s="614"/>
      <c r="E26" s="615"/>
      <c r="F26" s="616"/>
      <c r="G26" s="3234"/>
      <c r="H26" s="3239"/>
      <c r="I26" s="3240"/>
      <c r="J26" s="3243"/>
      <c r="K26" s="3250"/>
      <c r="L26" s="3251"/>
      <c r="M26" s="3247"/>
      <c r="N26" s="3066"/>
      <c r="O26" s="3234"/>
      <c r="P26" s="3066"/>
      <c r="Q26" s="3258"/>
      <c r="R26" s="3254"/>
      <c r="S26" s="3066"/>
      <c r="T26" s="3250"/>
      <c r="U26" s="3265"/>
      <c r="V26" s="627">
        <f>0+67614483</f>
        <v>67614483</v>
      </c>
      <c r="W26" s="636">
        <v>83</v>
      </c>
      <c r="X26" s="631" t="s">
        <v>439</v>
      </c>
      <c r="Y26" s="3263"/>
      <c r="Z26" s="3234"/>
      <c r="AA26" s="3254"/>
      <c r="AB26" s="3254"/>
      <c r="AC26" s="3254"/>
      <c r="AD26" s="3254"/>
      <c r="AE26" s="3254"/>
      <c r="AF26" s="3254"/>
      <c r="AG26" s="3254"/>
      <c r="AH26" s="3254"/>
      <c r="AI26" s="3254"/>
      <c r="AJ26" s="3254"/>
      <c r="AK26" s="639"/>
      <c r="AL26" s="639"/>
      <c r="AM26" s="639"/>
      <c r="AN26" s="3254"/>
      <c r="AO26" s="3268"/>
      <c r="AP26" s="3268"/>
      <c r="AQ26" s="3254"/>
    </row>
    <row r="27" spans="1:46" s="638" customFormat="1" ht="27.75" customHeight="1" x14ac:dyDescent="0.2">
      <c r="A27" s="614"/>
      <c r="B27" s="615"/>
      <c r="C27" s="616"/>
      <c r="D27" s="614"/>
      <c r="E27" s="615"/>
      <c r="F27" s="616"/>
      <c r="G27" s="640">
        <v>30</v>
      </c>
      <c r="H27" s="3272" t="s">
        <v>445</v>
      </c>
      <c r="I27" s="3273"/>
      <c r="J27" s="3273"/>
      <c r="K27" s="3273"/>
      <c r="L27" s="641"/>
      <c r="M27" s="642"/>
      <c r="N27" s="641"/>
      <c r="O27" s="643"/>
      <c r="P27" s="641"/>
      <c r="Q27" s="643"/>
      <c r="R27" s="644"/>
      <c r="S27" s="641"/>
      <c r="T27" s="641"/>
      <c r="U27" s="641"/>
      <c r="V27" s="645"/>
      <c r="W27" s="646"/>
      <c r="X27" s="647"/>
      <c r="Y27" s="643"/>
      <c r="Z27" s="643"/>
      <c r="AA27" s="643"/>
      <c r="AB27" s="643"/>
      <c r="AC27" s="643"/>
      <c r="AD27" s="643"/>
      <c r="AE27" s="643"/>
      <c r="AF27" s="643"/>
      <c r="AG27" s="643"/>
      <c r="AH27" s="643"/>
      <c r="AI27" s="643"/>
      <c r="AJ27" s="643"/>
      <c r="AK27" s="643"/>
      <c r="AL27" s="643"/>
      <c r="AM27" s="643"/>
      <c r="AN27" s="643"/>
      <c r="AO27" s="643"/>
      <c r="AP27" s="643"/>
      <c r="AQ27" s="648"/>
    </row>
    <row r="28" spans="1:46" s="638" customFormat="1" ht="27" customHeight="1" x14ac:dyDescent="0.2">
      <c r="A28" s="614"/>
      <c r="B28" s="615"/>
      <c r="C28" s="616"/>
      <c r="D28" s="614"/>
      <c r="E28" s="615"/>
      <c r="F28" s="616"/>
      <c r="G28" s="649"/>
      <c r="H28" s="3235"/>
      <c r="I28" s="3236"/>
      <c r="J28" s="3241">
        <v>117</v>
      </c>
      <c r="K28" s="3065" t="s">
        <v>446</v>
      </c>
      <c r="L28" s="3065" t="s">
        <v>422</v>
      </c>
      <c r="M28" s="3245">
        <v>1</v>
      </c>
      <c r="N28" s="3065" t="s">
        <v>447</v>
      </c>
      <c r="O28" s="3232">
        <v>47</v>
      </c>
      <c r="P28" s="3065" t="s">
        <v>448</v>
      </c>
      <c r="Q28" s="3277">
        <f>(V28+V29+V30)/R28</f>
        <v>1</v>
      </c>
      <c r="R28" s="3259">
        <f>V28+V30</f>
        <v>79500000</v>
      </c>
      <c r="S28" s="3065" t="s">
        <v>449</v>
      </c>
      <c r="T28" s="3065" t="s">
        <v>450</v>
      </c>
      <c r="U28" s="3251" t="s">
        <v>451</v>
      </c>
      <c r="V28" s="3275">
        <f>75525000-5525000</f>
        <v>70000000</v>
      </c>
      <c r="W28" s="3276">
        <v>20</v>
      </c>
      <c r="X28" s="3065" t="s">
        <v>72</v>
      </c>
      <c r="Y28" s="3232">
        <v>75</v>
      </c>
      <c r="Z28" s="3232">
        <v>75</v>
      </c>
      <c r="AA28" s="3252">
        <v>0</v>
      </c>
      <c r="AB28" s="3252">
        <v>0</v>
      </c>
      <c r="AC28" s="3252">
        <v>150</v>
      </c>
      <c r="AD28" s="3252">
        <v>0</v>
      </c>
      <c r="AE28" s="3252">
        <v>0</v>
      </c>
      <c r="AF28" s="3252">
        <v>0</v>
      </c>
      <c r="AG28" s="3252">
        <v>0</v>
      </c>
      <c r="AH28" s="3252">
        <v>0</v>
      </c>
      <c r="AI28" s="3252">
        <v>0</v>
      </c>
      <c r="AJ28" s="3252">
        <v>0</v>
      </c>
      <c r="AK28" s="626"/>
      <c r="AL28" s="626"/>
      <c r="AM28" s="626"/>
      <c r="AN28" s="3252">
        <f>Y28+Z28</f>
        <v>150</v>
      </c>
      <c r="AO28" s="3266">
        <v>43466</v>
      </c>
      <c r="AP28" s="3266">
        <v>43830</v>
      </c>
      <c r="AQ28" s="3269" t="s">
        <v>428</v>
      </c>
    </row>
    <row r="29" spans="1:46" s="638" customFormat="1" ht="34.5" customHeight="1" x14ac:dyDescent="0.2">
      <c r="A29" s="614"/>
      <c r="B29" s="615"/>
      <c r="C29" s="616"/>
      <c r="D29" s="614"/>
      <c r="E29" s="615"/>
      <c r="F29" s="616"/>
      <c r="G29" s="649"/>
      <c r="H29" s="3237"/>
      <c r="I29" s="3238"/>
      <c r="J29" s="3242"/>
      <c r="K29" s="3244"/>
      <c r="L29" s="3244"/>
      <c r="M29" s="3246"/>
      <c r="N29" s="3244"/>
      <c r="O29" s="3233"/>
      <c r="P29" s="3244"/>
      <c r="Q29" s="3278"/>
      <c r="R29" s="3260"/>
      <c r="S29" s="3244"/>
      <c r="T29" s="3244"/>
      <c r="U29" s="3251"/>
      <c r="V29" s="3275"/>
      <c r="W29" s="3276"/>
      <c r="X29" s="3066"/>
      <c r="Y29" s="3233"/>
      <c r="Z29" s="3233"/>
      <c r="AA29" s="3253"/>
      <c r="AB29" s="3253"/>
      <c r="AC29" s="3253"/>
      <c r="AD29" s="3253"/>
      <c r="AE29" s="3253"/>
      <c r="AF29" s="3253"/>
      <c r="AG29" s="3253"/>
      <c r="AH29" s="3253"/>
      <c r="AI29" s="3253"/>
      <c r="AJ29" s="3253"/>
      <c r="AK29" s="629"/>
      <c r="AL29" s="629"/>
      <c r="AM29" s="629"/>
      <c r="AN29" s="3253"/>
      <c r="AO29" s="3267"/>
      <c r="AP29" s="3267"/>
      <c r="AQ29" s="3270"/>
    </row>
    <row r="30" spans="1:46" s="638" customFormat="1" ht="55.5" customHeight="1" x14ac:dyDescent="0.2">
      <c r="A30" s="614"/>
      <c r="B30" s="615"/>
      <c r="C30" s="616"/>
      <c r="D30" s="614"/>
      <c r="E30" s="615"/>
      <c r="F30" s="616"/>
      <c r="G30" s="649"/>
      <c r="H30" s="3239"/>
      <c r="I30" s="3240"/>
      <c r="J30" s="3243"/>
      <c r="K30" s="3066"/>
      <c r="L30" s="3066"/>
      <c r="M30" s="3247"/>
      <c r="N30" s="3066"/>
      <c r="O30" s="3234"/>
      <c r="P30" s="3066"/>
      <c r="Q30" s="3279"/>
      <c r="R30" s="3261"/>
      <c r="S30" s="3066"/>
      <c r="T30" s="3066"/>
      <c r="U30" s="650" t="s">
        <v>452</v>
      </c>
      <c r="V30" s="651">
        <f>3975000+5525000</f>
        <v>9500000</v>
      </c>
      <c r="W30" s="652">
        <v>20</v>
      </c>
      <c r="X30" s="619" t="s">
        <v>72</v>
      </c>
      <c r="Y30" s="3234"/>
      <c r="Z30" s="3234"/>
      <c r="AA30" s="3254"/>
      <c r="AB30" s="3254"/>
      <c r="AC30" s="3254"/>
      <c r="AD30" s="3254"/>
      <c r="AE30" s="3254"/>
      <c r="AF30" s="3254"/>
      <c r="AG30" s="3254"/>
      <c r="AH30" s="3254"/>
      <c r="AI30" s="3254"/>
      <c r="AJ30" s="3254"/>
      <c r="AK30" s="639"/>
      <c r="AL30" s="639"/>
      <c r="AM30" s="639"/>
      <c r="AN30" s="3254"/>
      <c r="AO30" s="3268"/>
      <c r="AP30" s="3268"/>
      <c r="AQ30" s="3271"/>
    </row>
    <row r="31" spans="1:46" s="638" customFormat="1" ht="27" customHeight="1" x14ac:dyDescent="0.2">
      <c r="A31" s="614"/>
      <c r="B31" s="615"/>
      <c r="C31" s="616"/>
      <c r="D31" s="614"/>
      <c r="E31" s="615"/>
      <c r="F31" s="616"/>
      <c r="G31" s="640">
        <v>31</v>
      </c>
      <c r="H31" s="3272" t="s">
        <v>453</v>
      </c>
      <c r="I31" s="3273"/>
      <c r="J31" s="3273"/>
      <c r="K31" s="3273"/>
      <c r="L31" s="641"/>
      <c r="M31" s="642"/>
      <c r="N31" s="641"/>
      <c r="O31" s="643"/>
      <c r="P31" s="641"/>
      <c r="Q31" s="643"/>
      <c r="R31" s="644"/>
      <c r="S31" s="641"/>
      <c r="T31" s="641"/>
      <c r="U31" s="641"/>
      <c r="V31" s="644"/>
      <c r="W31" s="653"/>
      <c r="X31" s="641"/>
      <c r="Y31" s="643"/>
      <c r="Z31" s="643"/>
      <c r="AA31" s="643"/>
      <c r="AB31" s="643"/>
      <c r="AC31" s="643"/>
      <c r="AD31" s="643"/>
      <c r="AE31" s="643"/>
      <c r="AF31" s="643"/>
      <c r="AG31" s="643"/>
      <c r="AH31" s="643"/>
      <c r="AI31" s="643"/>
      <c r="AJ31" s="643"/>
      <c r="AK31" s="643"/>
      <c r="AL31" s="643"/>
      <c r="AM31" s="643"/>
      <c r="AN31" s="643"/>
      <c r="AO31" s="643"/>
      <c r="AP31" s="643"/>
      <c r="AQ31" s="648"/>
    </row>
    <row r="32" spans="1:46" s="638" customFormat="1" ht="51.75" customHeight="1" x14ac:dyDescent="0.2">
      <c r="A32" s="614"/>
      <c r="B32" s="615"/>
      <c r="C32" s="616"/>
      <c r="D32" s="614"/>
      <c r="E32" s="615"/>
      <c r="F32" s="616"/>
      <c r="G32" s="649"/>
      <c r="H32" s="3235"/>
      <c r="I32" s="3236"/>
      <c r="J32" s="3241">
        <v>118</v>
      </c>
      <c r="K32" s="3248" t="s">
        <v>454</v>
      </c>
      <c r="L32" s="3065" t="s">
        <v>422</v>
      </c>
      <c r="M32" s="3245">
        <v>4</v>
      </c>
      <c r="N32" s="3065" t="s">
        <v>455</v>
      </c>
      <c r="O32" s="3232">
        <v>48</v>
      </c>
      <c r="P32" s="3248" t="s">
        <v>456</v>
      </c>
      <c r="Q32" s="3277">
        <f>SUM(V32:V39)/R32</f>
        <v>1</v>
      </c>
      <c r="R32" s="3259">
        <f>SUM(V32:V39)</f>
        <v>245423575</v>
      </c>
      <c r="S32" s="3065" t="s">
        <v>457</v>
      </c>
      <c r="T32" s="3248" t="s">
        <v>458</v>
      </c>
      <c r="U32" s="650" t="s">
        <v>459</v>
      </c>
      <c r="V32" s="651">
        <f>21698843-2698843</f>
        <v>19000000</v>
      </c>
      <c r="W32" s="652">
        <v>34</v>
      </c>
      <c r="X32" s="650" t="s">
        <v>460</v>
      </c>
      <c r="Y32" s="3232">
        <v>50476</v>
      </c>
      <c r="Z32" s="3232">
        <v>50476</v>
      </c>
      <c r="AA32" s="3252">
        <v>42400</v>
      </c>
      <c r="AB32" s="3252">
        <v>30286</v>
      </c>
      <c r="AC32" s="3252">
        <v>18171</v>
      </c>
      <c r="AD32" s="3252">
        <v>10095</v>
      </c>
      <c r="AE32" s="3252">
        <v>0</v>
      </c>
      <c r="AF32" s="3252">
        <v>0</v>
      </c>
      <c r="AG32" s="3252">
        <v>0</v>
      </c>
      <c r="AH32" s="3252">
        <v>0</v>
      </c>
      <c r="AI32" s="3252">
        <v>0</v>
      </c>
      <c r="AJ32" s="3252">
        <v>0</v>
      </c>
      <c r="AK32" s="626"/>
      <c r="AL32" s="626"/>
      <c r="AM32" s="626"/>
      <c r="AN32" s="3252">
        <f>Y32+Z32</f>
        <v>100952</v>
      </c>
      <c r="AO32" s="3266">
        <v>43466</v>
      </c>
      <c r="AP32" s="3266">
        <v>43830</v>
      </c>
      <c r="AQ32" s="3269" t="s">
        <v>428</v>
      </c>
    </row>
    <row r="33" spans="1:43" s="638" customFormat="1" ht="61.5" customHeight="1" x14ac:dyDescent="0.2">
      <c r="A33" s="614"/>
      <c r="B33" s="615"/>
      <c r="C33" s="616"/>
      <c r="D33" s="614"/>
      <c r="E33" s="615"/>
      <c r="F33" s="616"/>
      <c r="G33" s="649"/>
      <c r="H33" s="3237"/>
      <c r="I33" s="3238"/>
      <c r="J33" s="3242"/>
      <c r="K33" s="3249"/>
      <c r="L33" s="3244"/>
      <c r="M33" s="3246"/>
      <c r="N33" s="3244"/>
      <c r="O33" s="3233"/>
      <c r="P33" s="3249"/>
      <c r="Q33" s="3278"/>
      <c r="R33" s="3260"/>
      <c r="S33" s="3244"/>
      <c r="T33" s="3249"/>
      <c r="U33" s="650" t="s">
        <v>461</v>
      </c>
      <c r="V33" s="651">
        <f>11283398-1283398</f>
        <v>10000000</v>
      </c>
      <c r="W33" s="652">
        <v>34</v>
      </c>
      <c r="X33" s="650" t="s">
        <v>460</v>
      </c>
      <c r="Y33" s="3233"/>
      <c r="Z33" s="3233"/>
      <c r="AA33" s="3253"/>
      <c r="AB33" s="3253"/>
      <c r="AC33" s="3253"/>
      <c r="AD33" s="3253"/>
      <c r="AE33" s="3253"/>
      <c r="AF33" s="3253"/>
      <c r="AG33" s="3253"/>
      <c r="AH33" s="3253"/>
      <c r="AI33" s="3253"/>
      <c r="AJ33" s="3253"/>
      <c r="AK33" s="629"/>
      <c r="AL33" s="629"/>
      <c r="AM33" s="629"/>
      <c r="AN33" s="3253"/>
      <c r="AO33" s="3267"/>
      <c r="AP33" s="3267"/>
      <c r="AQ33" s="3270"/>
    </row>
    <row r="34" spans="1:43" s="638" customFormat="1" ht="40.5" customHeight="1" x14ac:dyDescent="0.2">
      <c r="A34" s="614"/>
      <c r="B34" s="615"/>
      <c r="C34" s="616"/>
      <c r="D34" s="614"/>
      <c r="E34" s="615"/>
      <c r="F34" s="616"/>
      <c r="G34" s="649"/>
      <c r="H34" s="3237"/>
      <c r="I34" s="3238"/>
      <c r="J34" s="3242"/>
      <c r="K34" s="3249"/>
      <c r="L34" s="3244"/>
      <c r="M34" s="3246"/>
      <c r="N34" s="3244"/>
      <c r="O34" s="3233"/>
      <c r="P34" s="3249"/>
      <c r="Q34" s="3278"/>
      <c r="R34" s="3260"/>
      <c r="S34" s="3244"/>
      <c r="T34" s="3249"/>
      <c r="U34" s="650" t="s">
        <v>462</v>
      </c>
      <c r="V34" s="651">
        <f>26906565-26906565</f>
        <v>0</v>
      </c>
      <c r="W34" s="652">
        <v>34</v>
      </c>
      <c r="X34" s="650" t="s">
        <v>460</v>
      </c>
      <c r="Y34" s="3233"/>
      <c r="Z34" s="3233"/>
      <c r="AA34" s="3253"/>
      <c r="AB34" s="3253"/>
      <c r="AC34" s="3253"/>
      <c r="AD34" s="3253"/>
      <c r="AE34" s="3253"/>
      <c r="AF34" s="3253"/>
      <c r="AG34" s="3253"/>
      <c r="AH34" s="3253"/>
      <c r="AI34" s="3253"/>
      <c r="AJ34" s="3253"/>
      <c r="AK34" s="629"/>
      <c r="AL34" s="629"/>
      <c r="AM34" s="629"/>
      <c r="AN34" s="3253"/>
      <c r="AO34" s="3267"/>
      <c r="AP34" s="3267"/>
      <c r="AQ34" s="3270"/>
    </row>
    <row r="35" spans="1:43" s="638" customFormat="1" ht="48" customHeight="1" x14ac:dyDescent="0.2">
      <c r="A35" s="614"/>
      <c r="B35" s="615"/>
      <c r="C35" s="616"/>
      <c r="D35" s="614"/>
      <c r="E35" s="615"/>
      <c r="F35" s="616"/>
      <c r="G35" s="649"/>
      <c r="H35" s="3237"/>
      <c r="I35" s="3238"/>
      <c r="J35" s="3242"/>
      <c r="K35" s="3249"/>
      <c r="L35" s="3244"/>
      <c r="M35" s="3246"/>
      <c r="N35" s="3244"/>
      <c r="O35" s="3233"/>
      <c r="P35" s="3249"/>
      <c r="Q35" s="3278"/>
      <c r="R35" s="3260"/>
      <c r="S35" s="3244"/>
      <c r="T35" s="3249"/>
      <c r="U35" s="650" t="s">
        <v>463</v>
      </c>
      <c r="V35" s="651">
        <f>21698843-7698843</f>
        <v>14000000</v>
      </c>
      <c r="W35" s="652">
        <v>34</v>
      </c>
      <c r="X35" s="650" t="s">
        <v>460</v>
      </c>
      <c r="Y35" s="3233"/>
      <c r="Z35" s="3233"/>
      <c r="AA35" s="3253"/>
      <c r="AB35" s="3253"/>
      <c r="AC35" s="3253"/>
      <c r="AD35" s="3253"/>
      <c r="AE35" s="3253"/>
      <c r="AF35" s="3253"/>
      <c r="AG35" s="3253"/>
      <c r="AH35" s="3253"/>
      <c r="AI35" s="3253"/>
      <c r="AJ35" s="3253"/>
      <c r="AK35" s="629"/>
      <c r="AL35" s="629"/>
      <c r="AM35" s="629"/>
      <c r="AN35" s="3253"/>
      <c r="AO35" s="3267"/>
      <c r="AP35" s="3267"/>
      <c r="AQ35" s="3270"/>
    </row>
    <row r="36" spans="1:43" s="638" customFormat="1" ht="75.75" customHeight="1" x14ac:dyDescent="0.2">
      <c r="A36" s="614"/>
      <c r="B36" s="615"/>
      <c r="C36" s="616"/>
      <c r="D36" s="614"/>
      <c r="E36" s="615"/>
      <c r="F36" s="616"/>
      <c r="G36" s="649"/>
      <c r="H36" s="3237"/>
      <c r="I36" s="3238"/>
      <c r="J36" s="3242"/>
      <c r="K36" s="3249"/>
      <c r="L36" s="3244"/>
      <c r="M36" s="3246"/>
      <c r="N36" s="3244"/>
      <c r="O36" s="3233"/>
      <c r="P36" s="3249"/>
      <c r="Q36" s="3278"/>
      <c r="R36" s="3260"/>
      <c r="S36" s="3244"/>
      <c r="T36" s="3250"/>
      <c r="U36" s="637" t="s">
        <v>464</v>
      </c>
      <c r="V36" s="654">
        <f>0+28350000</f>
        <v>28350000</v>
      </c>
      <c r="W36" s="652">
        <v>159</v>
      </c>
      <c r="X36" s="650" t="s">
        <v>465</v>
      </c>
      <c r="Y36" s="3233"/>
      <c r="Z36" s="3233"/>
      <c r="AA36" s="3253"/>
      <c r="AB36" s="3253"/>
      <c r="AC36" s="3253"/>
      <c r="AD36" s="3253"/>
      <c r="AE36" s="3253"/>
      <c r="AF36" s="3253"/>
      <c r="AG36" s="3253"/>
      <c r="AH36" s="3253"/>
      <c r="AI36" s="3253"/>
      <c r="AJ36" s="3253"/>
      <c r="AK36" s="629"/>
      <c r="AL36" s="629"/>
      <c r="AM36" s="629"/>
      <c r="AN36" s="3253"/>
      <c r="AO36" s="3267"/>
      <c r="AP36" s="3267"/>
      <c r="AQ36" s="3270"/>
    </row>
    <row r="37" spans="1:43" s="638" customFormat="1" ht="42" customHeight="1" x14ac:dyDescent="0.2">
      <c r="A37" s="614"/>
      <c r="B37" s="615"/>
      <c r="C37" s="616"/>
      <c r="D37" s="614"/>
      <c r="E37" s="615"/>
      <c r="F37" s="616"/>
      <c r="G37" s="649"/>
      <c r="H37" s="3237"/>
      <c r="I37" s="3238"/>
      <c r="J37" s="3242"/>
      <c r="K37" s="3249"/>
      <c r="L37" s="3244"/>
      <c r="M37" s="3246"/>
      <c r="N37" s="3244"/>
      <c r="O37" s="3233"/>
      <c r="P37" s="3249"/>
      <c r="Q37" s="3278"/>
      <c r="R37" s="3260"/>
      <c r="S37" s="3244"/>
      <c r="T37" s="3248" t="s">
        <v>466</v>
      </c>
      <c r="U37" s="3280" t="s">
        <v>467</v>
      </c>
      <c r="V37" s="654">
        <f>26038612-8482831</f>
        <v>17555781</v>
      </c>
      <c r="W37" s="652">
        <v>34</v>
      </c>
      <c r="X37" s="650" t="s">
        <v>468</v>
      </c>
      <c r="Y37" s="3233"/>
      <c r="Z37" s="3233"/>
      <c r="AA37" s="3253"/>
      <c r="AB37" s="3253"/>
      <c r="AC37" s="3253"/>
      <c r="AD37" s="3253"/>
      <c r="AE37" s="3253"/>
      <c r="AF37" s="3253"/>
      <c r="AG37" s="3253"/>
      <c r="AH37" s="3253"/>
      <c r="AI37" s="3253"/>
      <c r="AJ37" s="3253"/>
      <c r="AK37" s="629"/>
      <c r="AL37" s="629"/>
      <c r="AM37" s="629"/>
      <c r="AN37" s="3253"/>
      <c r="AO37" s="3267"/>
      <c r="AP37" s="3267"/>
      <c r="AQ37" s="3270"/>
    </row>
    <row r="38" spans="1:43" s="638" customFormat="1" ht="42" customHeight="1" x14ac:dyDescent="0.2">
      <c r="A38" s="614"/>
      <c r="B38" s="615"/>
      <c r="C38" s="616"/>
      <c r="D38" s="614"/>
      <c r="E38" s="615"/>
      <c r="F38" s="616"/>
      <c r="G38" s="649"/>
      <c r="H38" s="3237"/>
      <c r="I38" s="3238"/>
      <c r="J38" s="3242"/>
      <c r="K38" s="3249"/>
      <c r="L38" s="3244"/>
      <c r="M38" s="3246"/>
      <c r="N38" s="3244"/>
      <c r="O38" s="3233"/>
      <c r="P38" s="3249"/>
      <c r="Q38" s="3278"/>
      <c r="R38" s="3260"/>
      <c r="S38" s="3244"/>
      <c r="T38" s="3249"/>
      <c r="U38" s="3281"/>
      <c r="V38" s="654">
        <f>0+43482831</f>
        <v>43482831</v>
      </c>
      <c r="W38" s="652">
        <v>83</v>
      </c>
      <c r="X38" s="650" t="s">
        <v>469</v>
      </c>
      <c r="Y38" s="3233"/>
      <c r="Z38" s="3233"/>
      <c r="AA38" s="3253"/>
      <c r="AB38" s="3253"/>
      <c r="AC38" s="3253"/>
      <c r="AD38" s="3253"/>
      <c r="AE38" s="3253"/>
      <c r="AF38" s="3253"/>
      <c r="AG38" s="3253"/>
      <c r="AH38" s="3253"/>
      <c r="AI38" s="3253"/>
      <c r="AJ38" s="3253"/>
      <c r="AK38" s="629"/>
      <c r="AL38" s="629"/>
      <c r="AM38" s="629"/>
      <c r="AN38" s="3253"/>
      <c r="AO38" s="3267"/>
      <c r="AP38" s="3267"/>
      <c r="AQ38" s="3270"/>
    </row>
    <row r="39" spans="1:43" s="638" customFormat="1" ht="59.25" customHeight="1" x14ac:dyDescent="0.2">
      <c r="A39" s="614"/>
      <c r="B39" s="615"/>
      <c r="C39" s="616"/>
      <c r="D39" s="614"/>
      <c r="E39" s="615"/>
      <c r="F39" s="616"/>
      <c r="G39" s="649"/>
      <c r="H39" s="3239"/>
      <c r="I39" s="3240"/>
      <c r="J39" s="3243"/>
      <c r="K39" s="3250"/>
      <c r="L39" s="3066"/>
      <c r="M39" s="3247"/>
      <c r="N39" s="3066"/>
      <c r="O39" s="3234"/>
      <c r="P39" s="3250"/>
      <c r="Q39" s="3279"/>
      <c r="R39" s="3261"/>
      <c r="S39" s="3066"/>
      <c r="T39" s="3250"/>
      <c r="U39" s="637" t="s">
        <v>470</v>
      </c>
      <c r="V39" s="654">
        <f>65964483+47070480</f>
        <v>113034963</v>
      </c>
      <c r="W39" s="652">
        <v>34</v>
      </c>
      <c r="X39" s="650" t="s">
        <v>460</v>
      </c>
      <c r="Y39" s="3234"/>
      <c r="Z39" s="3234"/>
      <c r="AA39" s="3254"/>
      <c r="AB39" s="3254"/>
      <c r="AC39" s="3254"/>
      <c r="AD39" s="3254"/>
      <c r="AE39" s="3254"/>
      <c r="AF39" s="3254"/>
      <c r="AG39" s="3254"/>
      <c r="AH39" s="3254"/>
      <c r="AI39" s="3254"/>
      <c r="AJ39" s="3254"/>
      <c r="AK39" s="639"/>
      <c r="AL39" s="639"/>
      <c r="AM39" s="639"/>
      <c r="AN39" s="3254"/>
      <c r="AO39" s="3268"/>
      <c r="AP39" s="3268"/>
      <c r="AQ39" s="3271"/>
    </row>
    <row r="40" spans="1:43" s="638" customFormat="1" ht="27" customHeight="1" x14ac:dyDescent="0.25">
      <c r="A40" s="655"/>
      <c r="B40" s="656"/>
      <c r="C40" s="657"/>
      <c r="D40" s="658">
        <v>10</v>
      </c>
      <c r="E40" s="3282" t="s">
        <v>471</v>
      </c>
      <c r="F40" s="3283"/>
      <c r="G40" s="3283"/>
      <c r="H40" s="3283"/>
      <c r="I40" s="3283"/>
      <c r="J40" s="3283"/>
      <c r="K40" s="3283"/>
      <c r="L40" s="659"/>
      <c r="M40" s="660"/>
      <c r="N40" s="659"/>
      <c r="O40" s="661"/>
      <c r="P40" s="659"/>
      <c r="Q40" s="661"/>
      <c r="R40" s="662"/>
      <c r="S40" s="659"/>
      <c r="T40" s="659"/>
      <c r="U40" s="659"/>
      <c r="V40" s="662"/>
      <c r="W40" s="663"/>
      <c r="X40" s="659"/>
      <c r="Y40" s="661"/>
      <c r="Z40" s="661"/>
      <c r="AA40" s="661"/>
      <c r="AB40" s="661"/>
      <c r="AC40" s="661"/>
      <c r="AD40" s="661"/>
      <c r="AE40" s="661"/>
      <c r="AF40" s="661"/>
      <c r="AG40" s="661"/>
      <c r="AH40" s="661"/>
      <c r="AI40" s="661"/>
      <c r="AJ40" s="661"/>
      <c r="AK40" s="661"/>
      <c r="AL40" s="661"/>
      <c r="AM40" s="661"/>
      <c r="AN40" s="661"/>
      <c r="AO40" s="661"/>
      <c r="AP40" s="661"/>
      <c r="AQ40" s="664"/>
    </row>
    <row r="41" spans="1:43" s="638" customFormat="1" ht="27" customHeight="1" x14ac:dyDescent="0.25">
      <c r="A41" s="665"/>
      <c r="B41" s="666"/>
      <c r="C41" s="666"/>
      <c r="D41" s="655"/>
      <c r="E41" s="667"/>
      <c r="F41" s="657"/>
      <c r="G41" s="640">
        <v>32</v>
      </c>
      <c r="H41" s="3272" t="s">
        <v>472</v>
      </c>
      <c r="I41" s="3273"/>
      <c r="J41" s="3273"/>
      <c r="K41" s="3273"/>
      <c r="L41" s="3273"/>
      <c r="M41" s="668"/>
      <c r="N41" s="669"/>
      <c r="O41" s="670"/>
      <c r="P41" s="669"/>
      <c r="Q41" s="670"/>
      <c r="R41" s="671"/>
      <c r="S41" s="669"/>
      <c r="T41" s="669"/>
      <c r="U41" s="669"/>
      <c r="V41" s="671"/>
      <c r="W41" s="672"/>
      <c r="X41" s="669"/>
      <c r="Y41" s="670"/>
      <c r="Z41" s="670"/>
      <c r="AA41" s="670"/>
      <c r="AB41" s="670"/>
      <c r="AC41" s="670"/>
      <c r="AD41" s="670"/>
      <c r="AE41" s="670"/>
      <c r="AF41" s="670"/>
      <c r="AG41" s="670"/>
      <c r="AH41" s="670"/>
      <c r="AI41" s="670"/>
      <c r="AJ41" s="670"/>
      <c r="AK41" s="670"/>
      <c r="AL41" s="670"/>
      <c r="AM41" s="670"/>
      <c r="AN41" s="670"/>
      <c r="AO41" s="670"/>
      <c r="AP41" s="670"/>
      <c r="AQ41" s="673"/>
    </row>
    <row r="42" spans="1:43" s="638" customFormat="1" ht="48" customHeight="1" x14ac:dyDescent="0.2">
      <c r="A42" s="614"/>
      <c r="B42" s="615"/>
      <c r="C42" s="615"/>
      <c r="D42" s="614"/>
      <c r="E42" s="3237"/>
      <c r="F42" s="3238"/>
      <c r="G42" s="649"/>
      <c r="H42" s="3235"/>
      <c r="I42" s="3236"/>
      <c r="J42" s="3241">
        <v>119</v>
      </c>
      <c r="K42" s="3065" t="s">
        <v>473</v>
      </c>
      <c r="L42" s="3065" t="s">
        <v>422</v>
      </c>
      <c r="M42" s="3245">
        <v>7</v>
      </c>
      <c r="N42" s="3232" t="s">
        <v>474</v>
      </c>
      <c r="O42" s="3232">
        <v>49</v>
      </c>
      <c r="P42" s="3065" t="s">
        <v>475</v>
      </c>
      <c r="Q42" s="3277">
        <f>SUM(V42:V48)/R42</f>
        <v>1</v>
      </c>
      <c r="R42" s="3259">
        <f>SUM(V42:V48)</f>
        <v>542559393</v>
      </c>
      <c r="S42" s="3065" t="s">
        <v>476</v>
      </c>
      <c r="T42" s="3065" t="s">
        <v>477</v>
      </c>
      <c r="U42" s="3065" t="s">
        <v>478</v>
      </c>
      <c r="V42" s="651">
        <f>175000000-8217634</f>
        <v>166782366</v>
      </c>
      <c r="W42" s="652">
        <v>47</v>
      </c>
      <c r="X42" s="650" t="s">
        <v>479</v>
      </c>
      <c r="Y42" s="3232">
        <v>85278</v>
      </c>
      <c r="Z42" s="3232">
        <v>85277</v>
      </c>
      <c r="AA42" s="3252">
        <v>17056</v>
      </c>
      <c r="AB42" s="3252">
        <v>34111</v>
      </c>
      <c r="AC42" s="3252">
        <v>85278</v>
      </c>
      <c r="AD42" s="3252">
        <v>25582</v>
      </c>
      <c r="AE42" s="3252">
        <v>4263.875</v>
      </c>
      <c r="AF42" s="3252">
        <v>4263.875</v>
      </c>
      <c r="AG42" s="3252">
        <v>0</v>
      </c>
      <c r="AH42" s="3252">
        <v>0</v>
      </c>
      <c r="AI42" s="3252">
        <v>0</v>
      </c>
      <c r="AJ42" s="3252">
        <v>0</v>
      </c>
      <c r="AK42" s="626"/>
      <c r="AL42" s="626"/>
      <c r="AM42" s="626"/>
      <c r="AN42" s="3252">
        <f>Y42+Z42</f>
        <v>170555</v>
      </c>
      <c r="AO42" s="3266">
        <v>43466</v>
      </c>
      <c r="AP42" s="3266">
        <v>43830</v>
      </c>
      <c r="AQ42" s="3269" t="s">
        <v>428</v>
      </c>
    </row>
    <row r="43" spans="1:43" s="638" customFormat="1" ht="48" customHeight="1" x14ac:dyDescent="0.2">
      <c r="A43" s="614"/>
      <c r="B43" s="615"/>
      <c r="C43" s="615"/>
      <c r="D43" s="614"/>
      <c r="E43" s="3237"/>
      <c r="F43" s="3238"/>
      <c r="G43" s="649"/>
      <c r="H43" s="3237"/>
      <c r="I43" s="3238"/>
      <c r="J43" s="3242"/>
      <c r="K43" s="3244"/>
      <c r="L43" s="3244"/>
      <c r="M43" s="3246"/>
      <c r="N43" s="3233"/>
      <c r="O43" s="3233"/>
      <c r="P43" s="3244"/>
      <c r="Q43" s="3278"/>
      <c r="R43" s="3260"/>
      <c r="S43" s="3244"/>
      <c r="T43" s="3244"/>
      <c r="U43" s="3244"/>
      <c r="V43" s="674">
        <v>61380526</v>
      </c>
      <c r="W43" s="625">
        <v>20</v>
      </c>
      <c r="X43" s="650" t="s">
        <v>480</v>
      </c>
      <c r="Y43" s="3233"/>
      <c r="Z43" s="3233"/>
      <c r="AA43" s="3253"/>
      <c r="AB43" s="3253"/>
      <c r="AC43" s="3253"/>
      <c r="AD43" s="3253"/>
      <c r="AE43" s="3253"/>
      <c r="AF43" s="3253"/>
      <c r="AG43" s="3253"/>
      <c r="AH43" s="3253"/>
      <c r="AI43" s="3253"/>
      <c r="AJ43" s="3253"/>
      <c r="AK43" s="629"/>
      <c r="AL43" s="629"/>
      <c r="AM43" s="629"/>
      <c r="AN43" s="3253"/>
      <c r="AO43" s="3267"/>
      <c r="AP43" s="3267"/>
      <c r="AQ43" s="3270"/>
    </row>
    <row r="44" spans="1:43" s="638" customFormat="1" ht="51" customHeight="1" x14ac:dyDescent="0.2">
      <c r="A44" s="614"/>
      <c r="B44" s="615"/>
      <c r="C44" s="615"/>
      <c r="D44" s="614"/>
      <c r="E44" s="3237"/>
      <c r="F44" s="3238"/>
      <c r="G44" s="649"/>
      <c r="H44" s="3237"/>
      <c r="I44" s="3238"/>
      <c r="J44" s="3242"/>
      <c r="K44" s="3244"/>
      <c r="L44" s="3244"/>
      <c r="M44" s="3246"/>
      <c r="N44" s="3233"/>
      <c r="O44" s="3233"/>
      <c r="P44" s="3244"/>
      <c r="Q44" s="3278"/>
      <c r="R44" s="3260"/>
      <c r="S44" s="3244"/>
      <c r="T44" s="3244"/>
      <c r="U44" s="3255"/>
      <c r="V44" s="675">
        <f>0+219596501</f>
        <v>219596501</v>
      </c>
      <c r="W44" s="676">
        <v>93</v>
      </c>
      <c r="X44" s="637" t="s">
        <v>481</v>
      </c>
      <c r="Y44" s="3262"/>
      <c r="Z44" s="3233"/>
      <c r="AA44" s="3253"/>
      <c r="AB44" s="3253"/>
      <c r="AC44" s="3253"/>
      <c r="AD44" s="3253"/>
      <c r="AE44" s="3253"/>
      <c r="AF44" s="3253"/>
      <c r="AG44" s="3253"/>
      <c r="AH44" s="3253"/>
      <c r="AI44" s="3253"/>
      <c r="AJ44" s="3253"/>
      <c r="AK44" s="629"/>
      <c r="AL44" s="629"/>
      <c r="AM44" s="629"/>
      <c r="AN44" s="3253"/>
      <c r="AO44" s="3267"/>
      <c r="AP44" s="3267"/>
      <c r="AQ44" s="3270"/>
    </row>
    <row r="45" spans="1:43" s="638" customFormat="1" ht="27" customHeight="1" x14ac:dyDescent="0.2">
      <c r="A45" s="614"/>
      <c r="B45" s="615"/>
      <c r="C45" s="615"/>
      <c r="D45" s="614"/>
      <c r="E45" s="3237"/>
      <c r="F45" s="3238"/>
      <c r="G45" s="649"/>
      <c r="H45" s="3237"/>
      <c r="I45" s="3238"/>
      <c r="J45" s="3242"/>
      <c r="K45" s="3244"/>
      <c r="L45" s="3244"/>
      <c r="M45" s="3246"/>
      <c r="N45" s="3233"/>
      <c r="O45" s="3233"/>
      <c r="P45" s="3244"/>
      <c r="Q45" s="3278"/>
      <c r="R45" s="3260"/>
      <c r="S45" s="3244"/>
      <c r="T45" s="3244"/>
      <c r="U45" s="677" t="s">
        <v>482</v>
      </c>
      <c r="V45" s="678">
        <v>1000000</v>
      </c>
      <c r="W45" s="679">
        <v>47</v>
      </c>
      <c r="X45" s="637" t="s">
        <v>479</v>
      </c>
      <c r="Y45" s="3233"/>
      <c r="Z45" s="3233"/>
      <c r="AA45" s="3253"/>
      <c r="AB45" s="3253"/>
      <c r="AC45" s="3253"/>
      <c r="AD45" s="3253"/>
      <c r="AE45" s="3253"/>
      <c r="AF45" s="3253"/>
      <c r="AG45" s="3253"/>
      <c r="AH45" s="3253"/>
      <c r="AI45" s="3253"/>
      <c r="AJ45" s="3253"/>
      <c r="AK45" s="629"/>
      <c r="AL45" s="629"/>
      <c r="AM45" s="629"/>
      <c r="AN45" s="3253"/>
      <c r="AO45" s="3267"/>
      <c r="AP45" s="3267"/>
      <c r="AQ45" s="3270"/>
    </row>
    <row r="46" spans="1:43" s="638" customFormat="1" ht="48" customHeight="1" x14ac:dyDescent="0.2">
      <c r="A46" s="614"/>
      <c r="B46" s="615"/>
      <c r="C46" s="615"/>
      <c r="D46" s="614"/>
      <c r="E46" s="3237"/>
      <c r="F46" s="3238"/>
      <c r="G46" s="649"/>
      <c r="H46" s="3237"/>
      <c r="I46" s="3238"/>
      <c r="J46" s="3242"/>
      <c r="K46" s="3244"/>
      <c r="L46" s="3244"/>
      <c r="M46" s="3246"/>
      <c r="N46" s="3233"/>
      <c r="O46" s="3233"/>
      <c r="P46" s="3244"/>
      <c r="Q46" s="3278"/>
      <c r="R46" s="3260"/>
      <c r="S46" s="3244"/>
      <c r="T46" s="3066"/>
      <c r="U46" s="680" t="s">
        <v>483</v>
      </c>
      <c r="V46" s="681">
        <f>33800000+5613000</f>
        <v>39413000</v>
      </c>
      <c r="W46" s="652">
        <v>20</v>
      </c>
      <c r="X46" s="637" t="s">
        <v>480</v>
      </c>
      <c r="Y46" s="3233"/>
      <c r="Z46" s="3233"/>
      <c r="AA46" s="3253"/>
      <c r="AB46" s="3253"/>
      <c r="AC46" s="3253"/>
      <c r="AD46" s="3253"/>
      <c r="AE46" s="3253"/>
      <c r="AF46" s="3253"/>
      <c r="AG46" s="3253"/>
      <c r="AH46" s="3253"/>
      <c r="AI46" s="3253"/>
      <c r="AJ46" s="3253"/>
      <c r="AK46" s="629"/>
      <c r="AL46" s="629"/>
      <c r="AM46" s="629"/>
      <c r="AN46" s="3253"/>
      <c r="AO46" s="3267"/>
      <c r="AP46" s="3267"/>
      <c r="AQ46" s="3270"/>
    </row>
    <row r="47" spans="1:43" s="638" customFormat="1" ht="33" customHeight="1" x14ac:dyDescent="0.2">
      <c r="A47" s="614"/>
      <c r="B47" s="615"/>
      <c r="C47" s="615"/>
      <c r="D47" s="614"/>
      <c r="E47" s="3237"/>
      <c r="F47" s="3238"/>
      <c r="G47" s="649"/>
      <c r="H47" s="3237"/>
      <c r="I47" s="3238"/>
      <c r="J47" s="3242"/>
      <c r="K47" s="3244"/>
      <c r="L47" s="3244"/>
      <c r="M47" s="3246"/>
      <c r="N47" s="3233"/>
      <c r="O47" s="3233"/>
      <c r="P47" s="3244"/>
      <c r="Q47" s="3278"/>
      <c r="R47" s="3260"/>
      <c r="S47" s="3244"/>
      <c r="T47" s="3065" t="s">
        <v>484</v>
      </c>
      <c r="U47" s="3065" t="s">
        <v>485</v>
      </c>
      <c r="V47" s="674">
        <f>54000000-5613000</f>
        <v>48387000</v>
      </c>
      <c r="W47" s="652">
        <v>20</v>
      </c>
      <c r="X47" s="637" t="s">
        <v>480</v>
      </c>
      <c r="Y47" s="3233"/>
      <c r="Z47" s="3233"/>
      <c r="AA47" s="3253"/>
      <c r="AB47" s="3253"/>
      <c r="AC47" s="3253"/>
      <c r="AD47" s="3253"/>
      <c r="AE47" s="3253"/>
      <c r="AF47" s="3253"/>
      <c r="AG47" s="3253"/>
      <c r="AH47" s="3253"/>
      <c r="AI47" s="3253"/>
      <c r="AJ47" s="3253"/>
      <c r="AK47" s="629"/>
      <c r="AL47" s="629"/>
      <c r="AM47" s="629"/>
      <c r="AN47" s="3253"/>
      <c r="AO47" s="3267"/>
      <c r="AP47" s="3267"/>
      <c r="AQ47" s="3270"/>
    </row>
    <row r="48" spans="1:43" s="638" customFormat="1" ht="37.5" customHeight="1" x14ac:dyDescent="0.2">
      <c r="A48" s="614"/>
      <c r="B48" s="615"/>
      <c r="C48" s="615"/>
      <c r="D48" s="614"/>
      <c r="E48" s="3237"/>
      <c r="F48" s="3238"/>
      <c r="G48" s="649"/>
      <c r="H48" s="3239"/>
      <c r="I48" s="3240"/>
      <c r="J48" s="3243"/>
      <c r="K48" s="3066"/>
      <c r="L48" s="3066"/>
      <c r="M48" s="3247"/>
      <c r="N48" s="3234"/>
      <c r="O48" s="3234"/>
      <c r="P48" s="3066"/>
      <c r="Q48" s="3279"/>
      <c r="R48" s="3261"/>
      <c r="S48" s="3066"/>
      <c r="T48" s="3066"/>
      <c r="U48" s="3066"/>
      <c r="V48" s="674">
        <v>6000000</v>
      </c>
      <c r="W48" s="652">
        <v>47</v>
      </c>
      <c r="X48" s="650" t="s">
        <v>486</v>
      </c>
      <c r="Y48" s="3234"/>
      <c r="Z48" s="3234"/>
      <c r="AA48" s="3254"/>
      <c r="AB48" s="3254"/>
      <c r="AC48" s="3254"/>
      <c r="AD48" s="3254"/>
      <c r="AE48" s="3254"/>
      <c r="AF48" s="3254"/>
      <c r="AG48" s="3254"/>
      <c r="AH48" s="3254"/>
      <c r="AI48" s="3254"/>
      <c r="AJ48" s="3254"/>
      <c r="AK48" s="639"/>
      <c r="AL48" s="639"/>
      <c r="AM48" s="639"/>
      <c r="AN48" s="3254"/>
      <c r="AO48" s="3268"/>
      <c r="AP48" s="3268"/>
      <c r="AQ48" s="3271"/>
    </row>
    <row r="49" spans="1:43" s="638" customFormat="1" ht="27" customHeight="1" x14ac:dyDescent="0.2">
      <c r="A49" s="682"/>
      <c r="B49" s="683"/>
      <c r="C49" s="683"/>
      <c r="D49" s="682"/>
      <c r="E49" s="3237"/>
      <c r="F49" s="3238"/>
      <c r="G49" s="640">
        <v>32</v>
      </c>
      <c r="H49" s="3272" t="s">
        <v>472</v>
      </c>
      <c r="I49" s="3273"/>
      <c r="J49" s="3273"/>
      <c r="K49" s="3273"/>
      <c r="L49" s="3273"/>
      <c r="M49" s="642"/>
      <c r="N49" s="641"/>
      <c r="O49" s="643"/>
      <c r="P49" s="641"/>
      <c r="Q49" s="643"/>
      <c r="R49" s="644"/>
      <c r="S49" s="641"/>
      <c r="T49" s="641"/>
      <c r="U49" s="641"/>
      <c r="V49" s="684"/>
      <c r="W49" s="653"/>
      <c r="X49" s="641"/>
      <c r="Y49" s="643"/>
      <c r="Z49" s="643"/>
      <c r="AA49" s="643"/>
      <c r="AB49" s="643"/>
      <c r="AC49" s="643"/>
      <c r="AD49" s="643"/>
      <c r="AE49" s="643"/>
      <c r="AF49" s="643"/>
      <c r="AG49" s="643"/>
      <c r="AH49" s="643"/>
      <c r="AI49" s="643"/>
      <c r="AJ49" s="643"/>
      <c r="AK49" s="643"/>
      <c r="AL49" s="643"/>
      <c r="AM49" s="643"/>
      <c r="AN49" s="643"/>
      <c r="AO49" s="643"/>
      <c r="AP49" s="643"/>
      <c r="AQ49" s="648"/>
    </row>
    <row r="50" spans="1:43" s="638" customFormat="1" ht="38.25" customHeight="1" x14ac:dyDescent="0.2">
      <c r="A50" s="614"/>
      <c r="B50" s="615"/>
      <c r="C50" s="615"/>
      <c r="D50" s="614"/>
      <c r="E50" s="3237"/>
      <c r="F50" s="3238"/>
      <c r="G50" s="649"/>
      <c r="H50" s="3235"/>
      <c r="I50" s="3236"/>
      <c r="J50" s="3241">
        <v>120</v>
      </c>
      <c r="K50" s="2564" t="s">
        <v>487</v>
      </c>
      <c r="L50" s="3065" t="s">
        <v>422</v>
      </c>
      <c r="M50" s="3245">
        <v>2</v>
      </c>
      <c r="N50" s="3232" t="s">
        <v>488</v>
      </c>
      <c r="O50" s="3232">
        <v>50</v>
      </c>
      <c r="P50" s="3065" t="s">
        <v>489</v>
      </c>
      <c r="Q50" s="3277">
        <f>(V50+V51+V52)/R50</f>
        <v>0.46469303182579563</v>
      </c>
      <c r="R50" s="3259">
        <f>SUM(V50:V55)</f>
        <v>119400000</v>
      </c>
      <c r="S50" s="3065" t="s">
        <v>490</v>
      </c>
      <c r="T50" s="2769" t="s">
        <v>491</v>
      </c>
      <c r="U50" s="650" t="s">
        <v>492</v>
      </c>
      <c r="V50" s="651">
        <f>20000000-7000000</f>
        <v>13000000</v>
      </c>
      <c r="W50" s="652">
        <v>20</v>
      </c>
      <c r="X50" s="650" t="s">
        <v>59</v>
      </c>
      <c r="Y50" s="3232">
        <v>142127</v>
      </c>
      <c r="Z50" s="3232">
        <v>142127</v>
      </c>
      <c r="AA50" s="3252">
        <v>85276</v>
      </c>
      <c r="AB50" s="3252">
        <v>85276</v>
      </c>
      <c r="AC50" s="3252">
        <v>99489</v>
      </c>
      <c r="AD50" s="3252">
        <v>14212.7</v>
      </c>
      <c r="AE50" s="3252">
        <v>0</v>
      </c>
      <c r="AF50" s="3252">
        <v>0</v>
      </c>
      <c r="AG50" s="3252">
        <v>0</v>
      </c>
      <c r="AH50" s="3252">
        <v>0</v>
      </c>
      <c r="AI50" s="3252">
        <v>0</v>
      </c>
      <c r="AJ50" s="3252">
        <v>0</v>
      </c>
      <c r="AK50" s="626"/>
      <c r="AL50" s="626"/>
      <c r="AM50" s="626"/>
      <c r="AN50" s="3252">
        <f>Y50+Z50</f>
        <v>284254</v>
      </c>
      <c r="AO50" s="3266">
        <v>43466</v>
      </c>
      <c r="AP50" s="3266">
        <v>43830</v>
      </c>
      <c r="AQ50" s="3269" t="s">
        <v>428</v>
      </c>
    </row>
    <row r="51" spans="1:43" s="638" customFormat="1" ht="38.25" customHeight="1" x14ac:dyDescent="0.2">
      <c r="A51" s="614"/>
      <c r="B51" s="615"/>
      <c r="C51" s="615"/>
      <c r="D51" s="614"/>
      <c r="E51" s="3237"/>
      <c r="F51" s="3238"/>
      <c r="G51" s="649"/>
      <c r="H51" s="3237"/>
      <c r="I51" s="3238"/>
      <c r="J51" s="3242"/>
      <c r="K51" s="2591"/>
      <c r="L51" s="3244"/>
      <c r="M51" s="3246"/>
      <c r="N51" s="3233"/>
      <c r="O51" s="3233"/>
      <c r="P51" s="3244"/>
      <c r="Q51" s="3278"/>
      <c r="R51" s="3260"/>
      <c r="S51" s="3244"/>
      <c r="T51" s="2769"/>
      <c r="U51" s="3280" t="s">
        <v>493</v>
      </c>
      <c r="V51" s="681">
        <v>2484348</v>
      </c>
      <c r="W51" s="625">
        <v>20</v>
      </c>
      <c r="X51" s="619" t="s">
        <v>59</v>
      </c>
      <c r="Y51" s="3233"/>
      <c r="Z51" s="3233"/>
      <c r="AA51" s="3253"/>
      <c r="AB51" s="3253"/>
      <c r="AC51" s="3253"/>
      <c r="AD51" s="3253"/>
      <c r="AE51" s="3253"/>
      <c r="AF51" s="3253"/>
      <c r="AG51" s="3253"/>
      <c r="AH51" s="3253"/>
      <c r="AI51" s="3253"/>
      <c r="AJ51" s="3253"/>
      <c r="AK51" s="629"/>
      <c r="AL51" s="629"/>
      <c r="AM51" s="629"/>
      <c r="AN51" s="3253"/>
      <c r="AO51" s="3267"/>
      <c r="AP51" s="3267"/>
      <c r="AQ51" s="3270"/>
    </row>
    <row r="52" spans="1:43" s="638" customFormat="1" ht="45" customHeight="1" x14ac:dyDescent="0.2">
      <c r="A52" s="614"/>
      <c r="B52" s="615"/>
      <c r="C52" s="615"/>
      <c r="D52" s="614"/>
      <c r="E52" s="3237"/>
      <c r="F52" s="3238"/>
      <c r="G52" s="649"/>
      <c r="H52" s="3237"/>
      <c r="I52" s="3238"/>
      <c r="J52" s="3242"/>
      <c r="K52" s="2591"/>
      <c r="L52" s="3244"/>
      <c r="M52" s="3246"/>
      <c r="N52" s="3233"/>
      <c r="O52" s="3233"/>
      <c r="P52" s="3244"/>
      <c r="Q52" s="3278"/>
      <c r="R52" s="3260"/>
      <c r="S52" s="3244"/>
      <c r="T52" s="2769"/>
      <c r="U52" s="3265"/>
      <c r="V52" s="685">
        <f>0+40000000</f>
        <v>40000000</v>
      </c>
      <c r="W52" s="676">
        <v>88</v>
      </c>
      <c r="X52" s="686" t="s">
        <v>494</v>
      </c>
      <c r="Y52" s="3262"/>
      <c r="Z52" s="3233"/>
      <c r="AA52" s="3253"/>
      <c r="AB52" s="3253"/>
      <c r="AC52" s="3253"/>
      <c r="AD52" s="3253"/>
      <c r="AE52" s="3253"/>
      <c r="AF52" s="3253"/>
      <c r="AG52" s="3253"/>
      <c r="AH52" s="3253"/>
      <c r="AI52" s="3253"/>
      <c r="AJ52" s="3253"/>
      <c r="AK52" s="629"/>
      <c r="AL52" s="629"/>
      <c r="AM52" s="629"/>
      <c r="AN52" s="3253"/>
      <c r="AO52" s="3267"/>
      <c r="AP52" s="3267"/>
      <c r="AQ52" s="3270"/>
    </row>
    <row r="53" spans="1:43" s="638" customFormat="1" ht="27" customHeight="1" x14ac:dyDescent="0.2">
      <c r="A53" s="614"/>
      <c r="B53" s="615"/>
      <c r="C53" s="615"/>
      <c r="D53" s="614"/>
      <c r="E53" s="3237"/>
      <c r="F53" s="3238"/>
      <c r="G53" s="649"/>
      <c r="H53" s="3237"/>
      <c r="I53" s="3238"/>
      <c r="J53" s="3241">
        <v>121</v>
      </c>
      <c r="K53" s="2564" t="s">
        <v>495</v>
      </c>
      <c r="L53" s="3244"/>
      <c r="M53" s="3245">
        <v>4</v>
      </c>
      <c r="N53" s="3233"/>
      <c r="O53" s="3233"/>
      <c r="P53" s="3244"/>
      <c r="Q53" s="3277">
        <f>(V53+V54+V55)/R50</f>
        <v>0.53530696817420431</v>
      </c>
      <c r="R53" s="3260"/>
      <c r="S53" s="3244"/>
      <c r="T53" s="3248" t="s">
        <v>496</v>
      </c>
      <c r="U53" s="637" t="s">
        <v>497</v>
      </c>
      <c r="V53" s="654">
        <f>5558000-5558000</f>
        <v>0</v>
      </c>
      <c r="W53" s="687">
        <v>20</v>
      </c>
      <c r="X53" s="637" t="s">
        <v>59</v>
      </c>
      <c r="Y53" s="3233"/>
      <c r="Z53" s="3233"/>
      <c r="AA53" s="3253"/>
      <c r="AB53" s="3253"/>
      <c r="AC53" s="3253"/>
      <c r="AD53" s="3253"/>
      <c r="AE53" s="3253"/>
      <c r="AF53" s="3253"/>
      <c r="AG53" s="3253"/>
      <c r="AH53" s="3253"/>
      <c r="AI53" s="3253"/>
      <c r="AJ53" s="3253"/>
      <c r="AK53" s="629"/>
      <c r="AL53" s="629"/>
      <c r="AM53" s="629"/>
      <c r="AN53" s="3253"/>
      <c r="AO53" s="3267"/>
      <c r="AP53" s="3267"/>
      <c r="AQ53" s="3270"/>
    </row>
    <row r="54" spans="1:43" s="638" customFormat="1" ht="36.75" customHeight="1" x14ac:dyDescent="0.2">
      <c r="A54" s="614"/>
      <c r="B54" s="615"/>
      <c r="C54" s="615"/>
      <c r="D54" s="614"/>
      <c r="E54" s="3237"/>
      <c r="F54" s="3238"/>
      <c r="G54" s="649"/>
      <c r="H54" s="3237"/>
      <c r="I54" s="3238"/>
      <c r="J54" s="3242"/>
      <c r="K54" s="2591"/>
      <c r="L54" s="3244"/>
      <c r="M54" s="3246"/>
      <c r="N54" s="3233"/>
      <c r="O54" s="3233"/>
      <c r="P54" s="3244"/>
      <c r="Q54" s="3278"/>
      <c r="R54" s="3260"/>
      <c r="S54" s="3244"/>
      <c r="T54" s="3249"/>
      <c r="U54" s="637" t="s">
        <v>498</v>
      </c>
      <c r="V54" s="654">
        <f>31760000+23772000-2484348</f>
        <v>53047652</v>
      </c>
      <c r="W54" s="652">
        <v>20</v>
      </c>
      <c r="X54" s="650" t="s">
        <v>59</v>
      </c>
      <c r="Y54" s="3233"/>
      <c r="Z54" s="3233"/>
      <c r="AA54" s="3253"/>
      <c r="AB54" s="3253"/>
      <c r="AC54" s="3253"/>
      <c r="AD54" s="3253"/>
      <c r="AE54" s="3253"/>
      <c r="AF54" s="3253"/>
      <c r="AG54" s="3253"/>
      <c r="AH54" s="3253"/>
      <c r="AI54" s="3253"/>
      <c r="AJ54" s="3253"/>
      <c r="AK54" s="629"/>
      <c r="AL54" s="629"/>
      <c r="AM54" s="629"/>
      <c r="AN54" s="3253"/>
      <c r="AO54" s="3267"/>
      <c r="AP54" s="3267"/>
      <c r="AQ54" s="3270"/>
    </row>
    <row r="55" spans="1:43" s="638" customFormat="1" ht="36" customHeight="1" thickBot="1" x14ac:dyDescent="0.25">
      <c r="A55" s="614"/>
      <c r="B55" s="688"/>
      <c r="C55" s="688"/>
      <c r="D55" s="614"/>
      <c r="E55" s="3237"/>
      <c r="F55" s="3238"/>
      <c r="G55" s="649"/>
      <c r="H55" s="3237"/>
      <c r="I55" s="3238"/>
      <c r="J55" s="3242"/>
      <c r="K55" s="2591"/>
      <c r="L55" s="3244"/>
      <c r="M55" s="3246"/>
      <c r="N55" s="3233"/>
      <c r="O55" s="3233"/>
      <c r="P55" s="3244"/>
      <c r="Q55" s="3278"/>
      <c r="R55" s="3260"/>
      <c r="S55" s="3244"/>
      <c r="T55" s="3249"/>
      <c r="U55" s="634" t="s">
        <v>499</v>
      </c>
      <c r="V55" s="681">
        <f>2382000+8486000</f>
        <v>10868000</v>
      </c>
      <c r="W55" s="625">
        <v>20</v>
      </c>
      <c r="X55" s="619" t="s">
        <v>59</v>
      </c>
      <c r="Y55" s="3233"/>
      <c r="Z55" s="3233"/>
      <c r="AA55" s="3253"/>
      <c r="AB55" s="3253"/>
      <c r="AC55" s="3253"/>
      <c r="AD55" s="3253"/>
      <c r="AE55" s="3253"/>
      <c r="AF55" s="3253"/>
      <c r="AG55" s="3253"/>
      <c r="AH55" s="3253"/>
      <c r="AI55" s="3253"/>
      <c r="AJ55" s="3253"/>
      <c r="AK55" s="629"/>
      <c r="AL55" s="629"/>
      <c r="AM55" s="629"/>
      <c r="AN55" s="3253"/>
      <c r="AO55" s="3267"/>
      <c r="AP55" s="3267"/>
      <c r="AQ55" s="3270"/>
    </row>
    <row r="56" spans="1:43" s="638" customFormat="1" ht="27" customHeight="1" thickBot="1" x14ac:dyDescent="0.25">
      <c r="A56" s="689"/>
      <c r="B56" s="690"/>
      <c r="C56" s="690"/>
      <c r="D56" s="690"/>
      <c r="E56" s="3284" t="s">
        <v>88</v>
      </c>
      <c r="F56" s="3285"/>
      <c r="G56" s="690"/>
      <c r="H56" s="690"/>
      <c r="I56" s="690"/>
      <c r="J56" s="691"/>
      <c r="K56" s="692"/>
      <c r="L56" s="692"/>
      <c r="M56" s="690"/>
      <c r="N56" s="693"/>
      <c r="O56" s="690"/>
      <c r="P56" s="694"/>
      <c r="Q56" s="695"/>
      <c r="R56" s="696">
        <f>SUM(R12:R55)</f>
        <v>5449943900</v>
      </c>
      <c r="S56" s="692"/>
      <c r="T56" s="692"/>
      <c r="U56" s="692"/>
      <c r="V56" s="696">
        <f>SUM(V12:V55)</f>
        <v>5449943900</v>
      </c>
      <c r="W56" s="697"/>
      <c r="X56" s="692"/>
      <c r="Y56" s="690"/>
      <c r="Z56" s="690"/>
      <c r="AA56" s="698"/>
      <c r="AB56" s="699"/>
      <c r="AC56" s="698"/>
      <c r="AD56" s="698"/>
      <c r="AE56" s="698"/>
      <c r="AF56" s="698"/>
      <c r="AG56" s="698"/>
      <c r="AH56" s="698"/>
      <c r="AI56" s="698"/>
      <c r="AJ56" s="698"/>
      <c r="AK56" s="698"/>
      <c r="AL56" s="698"/>
      <c r="AM56" s="698"/>
      <c r="AN56" s="698"/>
      <c r="AO56" s="700"/>
      <c r="AP56" s="700"/>
      <c r="AQ56" s="701"/>
    </row>
    <row r="57" spans="1:43" s="638" customFormat="1" ht="27" customHeight="1" x14ac:dyDescent="0.2">
      <c r="A57" s="702"/>
      <c r="K57" s="703"/>
      <c r="L57" s="620"/>
      <c r="M57" s="620"/>
      <c r="N57" s="620"/>
      <c r="O57" s="704"/>
      <c r="P57" s="703"/>
      <c r="Q57" s="705"/>
      <c r="R57" s="706"/>
      <c r="S57" s="703"/>
      <c r="T57" s="703"/>
      <c r="U57" s="703"/>
      <c r="V57" s="707"/>
      <c r="W57" s="708"/>
      <c r="X57" s="703"/>
      <c r="AO57" s="709"/>
      <c r="AP57" s="710"/>
      <c r="AQ57" s="711"/>
    </row>
    <row r="58" spans="1:43" customFormat="1" ht="40.5" customHeight="1" x14ac:dyDescent="0.25">
      <c r="A58" s="712"/>
      <c r="B58" s="712"/>
      <c r="C58" s="712"/>
      <c r="D58" s="712"/>
      <c r="E58" s="712"/>
      <c r="F58" s="712"/>
      <c r="G58" s="712"/>
      <c r="H58" s="712"/>
      <c r="I58" s="712"/>
      <c r="J58" s="712"/>
      <c r="K58" s="712"/>
      <c r="L58" s="712"/>
      <c r="M58" s="712"/>
      <c r="X58" s="713"/>
    </row>
    <row r="59" spans="1:43" s="638" customFormat="1" ht="27" customHeight="1" x14ac:dyDescent="0.2">
      <c r="A59" s="702"/>
      <c r="K59" s="703"/>
      <c r="L59" s="620"/>
      <c r="M59" s="620"/>
      <c r="N59" s="620"/>
      <c r="O59" s="704"/>
      <c r="P59" s="703"/>
      <c r="Q59" s="705"/>
      <c r="R59" s="706"/>
      <c r="S59" s="703"/>
      <c r="T59" s="703"/>
      <c r="U59" s="703"/>
      <c r="V59" s="707"/>
      <c r="W59" s="708"/>
      <c r="X59" s="703"/>
      <c r="AO59" s="709"/>
      <c r="AP59" s="710"/>
      <c r="AQ59" s="711"/>
    </row>
    <row r="60" spans="1:43" s="638" customFormat="1" ht="27" customHeight="1" x14ac:dyDescent="0.2">
      <c r="A60" s="702"/>
      <c r="K60" s="703"/>
      <c r="L60" s="620"/>
      <c r="M60" s="620"/>
      <c r="N60" s="620"/>
      <c r="O60" s="704"/>
      <c r="P60" s="703"/>
      <c r="Q60" s="705"/>
      <c r="R60" s="706"/>
      <c r="S60" s="703"/>
      <c r="T60" s="703"/>
      <c r="U60" s="703"/>
      <c r="V60" s="707"/>
      <c r="W60" s="708"/>
      <c r="X60" s="703"/>
      <c r="AO60" s="709"/>
      <c r="AP60" s="710"/>
      <c r="AQ60" s="711"/>
    </row>
    <row r="61" spans="1:43" s="638" customFormat="1" ht="27" customHeight="1" x14ac:dyDescent="0.2">
      <c r="A61" s="702"/>
      <c r="K61" s="3286" t="s">
        <v>500</v>
      </c>
      <c r="L61" s="3286"/>
      <c r="M61" s="620"/>
      <c r="N61" s="620"/>
      <c r="O61" s="704"/>
      <c r="P61" s="703"/>
      <c r="Q61" s="705"/>
      <c r="R61" s="706"/>
      <c r="S61" s="703"/>
      <c r="T61" s="703"/>
      <c r="U61" s="703"/>
      <c r="V61" s="707"/>
      <c r="W61" s="708"/>
      <c r="X61" s="703"/>
      <c r="AO61" s="709"/>
      <c r="AP61" s="710"/>
      <c r="AQ61" s="711"/>
    </row>
    <row r="62" spans="1:43" s="638" customFormat="1" ht="27" customHeight="1" x14ac:dyDescent="0.2">
      <c r="A62" s="702"/>
      <c r="K62" s="3286" t="s">
        <v>501</v>
      </c>
      <c r="L62" s="3286"/>
      <c r="M62" s="620"/>
      <c r="N62" s="620"/>
      <c r="O62" s="704"/>
      <c r="P62" s="703"/>
      <c r="Q62" s="705"/>
      <c r="R62" s="706"/>
      <c r="S62" s="703"/>
      <c r="T62" s="703"/>
      <c r="U62" s="703"/>
      <c r="V62" s="707"/>
      <c r="W62" s="708"/>
      <c r="X62" s="703"/>
      <c r="AO62" s="709"/>
      <c r="AP62" s="710"/>
      <c r="AQ62" s="711"/>
    </row>
    <row r="63" spans="1:43" s="638" customFormat="1" ht="27" customHeight="1" x14ac:dyDescent="0.2">
      <c r="A63" s="702"/>
      <c r="K63" s="703"/>
      <c r="L63" s="620"/>
      <c r="M63" s="620"/>
      <c r="N63" s="620"/>
      <c r="O63" s="704"/>
      <c r="P63" s="703"/>
      <c r="Q63" s="705"/>
      <c r="R63" s="706"/>
      <c r="S63" s="703"/>
      <c r="T63" s="703"/>
      <c r="U63" s="703"/>
      <c r="V63" s="707"/>
      <c r="W63" s="708"/>
      <c r="X63" s="703"/>
      <c r="AO63" s="709"/>
      <c r="AP63" s="710"/>
      <c r="AQ63" s="711"/>
    </row>
    <row r="64" spans="1:43" s="638" customFormat="1" ht="27" customHeight="1" x14ac:dyDescent="0.2">
      <c r="A64" s="702"/>
      <c r="K64" s="703"/>
      <c r="L64" s="620"/>
      <c r="M64" s="620"/>
      <c r="N64" s="620"/>
      <c r="O64" s="704"/>
      <c r="P64" s="703"/>
      <c r="Q64" s="705"/>
      <c r="R64" s="706"/>
      <c r="S64" s="703"/>
      <c r="T64" s="703"/>
      <c r="U64" s="703"/>
      <c r="V64" s="707"/>
      <c r="W64" s="708"/>
      <c r="X64" s="703"/>
      <c r="AO64" s="709"/>
      <c r="AP64" s="710"/>
      <c r="AQ64" s="711"/>
    </row>
    <row r="65" spans="1:43" s="638" customFormat="1" ht="27" customHeight="1" x14ac:dyDescent="0.2">
      <c r="A65" s="702"/>
      <c r="K65" s="703"/>
      <c r="L65" s="620"/>
      <c r="M65" s="620"/>
      <c r="N65" s="620"/>
      <c r="O65" s="704"/>
      <c r="P65" s="703"/>
      <c r="Q65" s="705"/>
      <c r="R65" s="706"/>
      <c r="S65" s="703"/>
      <c r="T65" s="703"/>
      <c r="U65" s="703"/>
      <c r="V65" s="707"/>
      <c r="W65" s="708"/>
      <c r="X65" s="703"/>
      <c r="AO65" s="709"/>
      <c r="AP65" s="710"/>
      <c r="AQ65" s="711"/>
    </row>
    <row r="66" spans="1:43" s="638" customFormat="1" ht="27" customHeight="1" x14ac:dyDescent="0.2">
      <c r="A66" s="702"/>
      <c r="K66" s="703"/>
      <c r="L66" s="620"/>
      <c r="M66" s="620"/>
      <c r="N66" s="620"/>
      <c r="O66" s="704"/>
      <c r="P66" s="703"/>
      <c r="Q66" s="705"/>
      <c r="R66" s="706"/>
      <c r="S66" s="703"/>
      <c r="T66" s="703"/>
      <c r="U66" s="703"/>
      <c r="V66" s="707"/>
      <c r="W66" s="708"/>
      <c r="X66" s="703"/>
      <c r="AO66" s="709"/>
      <c r="AP66" s="710"/>
      <c r="AQ66" s="711"/>
    </row>
    <row r="67" spans="1:43" s="638" customFormat="1" ht="27" customHeight="1" x14ac:dyDescent="0.2">
      <c r="A67" s="702"/>
      <c r="K67" s="703"/>
      <c r="L67" s="620"/>
      <c r="M67" s="620"/>
      <c r="N67" s="620"/>
      <c r="O67" s="704"/>
      <c r="P67" s="703"/>
      <c r="Q67" s="705"/>
      <c r="R67" s="706"/>
      <c r="S67" s="703"/>
      <c r="T67" s="703"/>
      <c r="U67" s="703"/>
      <c r="V67" s="707"/>
      <c r="W67" s="708"/>
      <c r="X67" s="703"/>
      <c r="AO67" s="709"/>
      <c r="AP67" s="710"/>
      <c r="AQ67" s="711"/>
    </row>
    <row r="68" spans="1:43" s="638" customFormat="1" ht="27" customHeight="1" x14ac:dyDescent="0.2">
      <c r="A68" s="702"/>
      <c r="K68" s="703"/>
      <c r="L68" s="620"/>
      <c r="M68" s="620"/>
      <c r="N68" s="620"/>
      <c r="O68" s="704"/>
      <c r="P68" s="703"/>
      <c r="Q68" s="705"/>
      <c r="R68" s="706"/>
      <c r="S68" s="703"/>
      <c r="T68" s="703"/>
      <c r="U68" s="703"/>
      <c r="V68" s="707"/>
      <c r="W68" s="708"/>
      <c r="X68" s="703"/>
      <c r="AO68" s="709"/>
      <c r="AP68" s="710"/>
      <c r="AQ68" s="711"/>
    </row>
    <row r="69" spans="1:43" s="638" customFormat="1" ht="27" customHeight="1" x14ac:dyDescent="0.2">
      <c r="A69" s="702"/>
      <c r="K69" s="703"/>
      <c r="L69" s="620"/>
      <c r="M69" s="620"/>
      <c r="N69" s="620"/>
      <c r="O69" s="704"/>
      <c r="P69" s="703"/>
      <c r="Q69" s="705"/>
      <c r="R69" s="706"/>
      <c r="S69" s="703"/>
      <c r="T69" s="703"/>
      <c r="U69" s="703"/>
      <c r="V69" s="707"/>
      <c r="W69" s="708"/>
      <c r="X69" s="703"/>
      <c r="AO69" s="709"/>
      <c r="AP69" s="710"/>
      <c r="AQ69" s="711"/>
    </row>
    <row r="70" spans="1:43" s="638" customFormat="1" ht="27" customHeight="1" x14ac:dyDescent="0.2">
      <c r="A70" s="702"/>
      <c r="K70" s="703"/>
      <c r="L70" s="620"/>
      <c r="M70" s="620"/>
      <c r="N70" s="620"/>
      <c r="O70" s="704"/>
      <c r="P70" s="703"/>
      <c r="Q70" s="705"/>
      <c r="R70" s="706"/>
      <c r="S70" s="703"/>
      <c r="T70" s="703"/>
      <c r="U70" s="703"/>
      <c r="V70" s="707"/>
      <c r="W70" s="708"/>
      <c r="X70" s="703"/>
      <c r="AO70" s="709"/>
      <c r="AP70" s="710"/>
      <c r="AQ70" s="711"/>
    </row>
    <row r="71" spans="1:43" s="638" customFormat="1" ht="27" customHeight="1" x14ac:dyDescent="0.2">
      <c r="A71" s="702"/>
      <c r="K71" s="703"/>
      <c r="L71" s="620"/>
      <c r="M71" s="620"/>
      <c r="N71" s="620"/>
      <c r="O71" s="704"/>
      <c r="P71" s="703"/>
      <c r="Q71" s="705"/>
      <c r="R71" s="706"/>
      <c r="S71" s="703"/>
      <c r="T71" s="703"/>
      <c r="U71" s="703"/>
      <c r="V71" s="707"/>
      <c r="W71" s="708"/>
      <c r="X71" s="703"/>
      <c r="AO71" s="709"/>
      <c r="AP71" s="710"/>
      <c r="AQ71" s="711"/>
    </row>
    <row r="72" spans="1:43" s="638" customFormat="1" ht="27" customHeight="1" x14ac:dyDescent="0.2">
      <c r="A72" s="702"/>
      <c r="K72" s="703"/>
      <c r="L72" s="620"/>
      <c r="M72" s="620"/>
      <c r="N72" s="620"/>
      <c r="O72" s="704"/>
      <c r="P72" s="703"/>
      <c r="Q72" s="705"/>
      <c r="R72" s="706"/>
      <c r="S72" s="703"/>
      <c r="T72" s="703"/>
      <c r="U72" s="703"/>
      <c r="V72" s="707"/>
      <c r="W72" s="708"/>
      <c r="X72" s="703"/>
      <c r="AO72" s="709"/>
      <c r="AP72" s="710"/>
      <c r="AQ72" s="711"/>
    </row>
    <row r="73" spans="1:43" s="638" customFormat="1" ht="27" customHeight="1" x14ac:dyDescent="0.2">
      <c r="A73" s="702"/>
      <c r="K73" s="703"/>
      <c r="L73" s="620"/>
      <c r="M73" s="620"/>
      <c r="N73" s="620"/>
      <c r="O73" s="704"/>
      <c r="P73" s="703"/>
      <c r="Q73" s="705"/>
      <c r="R73" s="706"/>
      <c r="S73" s="703"/>
      <c r="T73" s="703"/>
      <c r="U73" s="703"/>
      <c r="V73" s="707"/>
      <c r="W73" s="708"/>
      <c r="X73" s="703"/>
      <c r="AO73" s="709"/>
      <c r="AP73" s="710"/>
      <c r="AQ73" s="711"/>
    </row>
    <row r="74" spans="1:43" s="638" customFormat="1" ht="27" customHeight="1" x14ac:dyDescent="0.2">
      <c r="A74" s="702"/>
      <c r="K74" s="703"/>
      <c r="L74" s="620"/>
      <c r="M74" s="620"/>
      <c r="N74" s="620"/>
      <c r="O74" s="704"/>
      <c r="P74" s="703"/>
      <c r="Q74" s="705"/>
      <c r="R74" s="706"/>
      <c r="S74" s="703"/>
      <c r="T74" s="703"/>
      <c r="U74" s="703"/>
      <c r="V74" s="707"/>
      <c r="W74" s="708"/>
      <c r="X74" s="703"/>
      <c r="AO74" s="709"/>
      <c r="AP74" s="710"/>
      <c r="AQ74" s="711"/>
    </row>
    <row r="75" spans="1:43" s="638" customFormat="1" ht="27" customHeight="1" x14ac:dyDescent="0.2">
      <c r="A75" s="702"/>
      <c r="K75" s="703"/>
      <c r="L75" s="620"/>
      <c r="M75" s="620"/>
      <c r="N75" s="620"/>
      <c r="O75" s="704"/>
      <c r="P75" s="703"/>
      <c r="Q75" s="705"/>
      <c r="R75" s="706"/>
      <c r="S75" s="703"/>
      <c r="T75" s="703"/>
      <c r="U75" s="703"/>
      <c r="V75" s="707"/>
      <c r="W75" s="708"/>
      <c r="X75" s="703"/>
      <c r="AO75" s="709"/>
      <c r="AP75" s="710"/>
      <c r="AQ75" s="711"/>
    </row>
    <row r="76" spans="1:43" s="638" customFormat="1" ht="27" customHeight="1" x14ac:dyDescent="0.2">
      <c r="A76" s="702"/>
      <c r="K76" s="703"/>
      <c r="L76" s="620"/>
      <c r="M76" s="620"/>
      <c r="N76" s="620"/>
      <c r="O76" s="704"/>
      <c r="P76" s="703"/>
      <c r="Q76" s="705"/>
      <c r="R76" s="706"/>
      <c r="S76" s="703"/>
      <c r="T76" s="703"/>
      <c r="U76" s="703"/>
      <c r="V76" s="707"/>
      <c r="W76" s="708"/>
      <c r="X76" s="703"/>
      <c r="AO76" s="709"/>
      <c r="AP76" s="710"/>
      <c r="AQ76" s="711"/>
    </row>
    <row r="77" spans="1:43" s="638" customFormat="1" ht="27" customHeight="1" x14ac:dyDescent="0.2">
      <c r="A77" s="702"/>
      <c r="K77" s="703"/>
      <c r="L77" s="620"/>
      <c r="M77" s="620"/>
      <c r="N77" s="620"/>
      <c r="O77" s="704"/>
      <c r="P77" s="703"/>
      <c r="Q77" s="705"/>
      <c r="R77" s="706"/>
      <c r="S77" s="703"/>
      <c r="T77" s="703"/>
      <c r="U77" s="703"/>
      <c r="V77" s="707"/>
      <c r="W77" s="708"/>
      <c r="X77" s="703"/>
      <c r="AO77" s="709"/>
      <c r="AP77" s="710"/>
      <c r="AQ77" s="711"/>
    </row>
    <row r="78" spans="1:43" s="638" customFormat="1" ht="27" customHeight="1" x14ac:dyDescent="0.2">
      <c r="A78" s="702"/>
      <c r="K78" s="703"/>
      <c r="L78" s="620"/>
      <c r="M78" s="620"/>
      <c r="N78" s="620"/>
      <c r="O78" s="704"/>
      <c r="P78" s="703"/>
      <c r="Q78" s="705"/>
      <c r="R78" s="706"/>
      <c r="S78" s="703"/>
      <c r="T78" s="703"/>
      <c r="U78" s="703"/>
      <c r="V78" s="707"/>
      <c r="W78" s="708"/>
      <c r="X78" s="703"/>
      <c r="AO78" s="709"/>
      <c r="AP78" s="710"/>
      <c r="AQ78" s="711"/>
    </row>
    <row r="79" spans="1:43" s="638" customFormat="1" ht="27" customHeight="1" x14ac:dyDescent="0.2">
      <c r="A79" s="702"/>
      <c r="K79" s="703"/>
      <c r="L79" s="620"/>
      <c r="M79" s="620"/>
      <c r="N79" s="620"/>
      <c r="O79" s="704"/>
      <c r="P79" s="703"/>
      <c r="Q79" s="705"/>
      <c r="R79" s="706"/>
      <c r="S79" s="703"/>
      <c r="T79" s="703"/>
      <c r="U79" s="703"/>
      <c r="V79" s="707"/>
      <c r="W79" s="708"/>
      <c r="X79" s="703"/>
      <c r="AO79" s="709"/>
      <c r="AP79" s="710"/>
      <c r="AQ79" s="711"/>
    </row>
    <row r="80" spans="1:43" s="638" customFormat="1" ht="27" customHeight="1" x14ac:dyDescent="0.2">
      <c r="A80" s="702"/>
      <c r="K80" s="703"/>
      <c r="L80" s="620"/>
      <c r="M80" s="620"/>
      <c r="N80" s="620"/>
      <c r="O80" s="704"/>
      <c r="P80" s="703"/>
      <c r="Q80" s="705"/>
      <c r="R80" s="706"/>
      <c r="S80" s="703"/>
      <c r="T80" s="703"/>
      <c r="U80" s="703"/>
      <c r="V80" s="707"/>
      <c r="W80" s="708"/>
      <c r="X80" s="703"/>
      <c r="AO80" s="709"/>
      <c r="AP80" s="710"/>
      <c r="AQ80" s="711"/>
    </row>
    <row r="81" spans="1:43" s="638" customFormat="1" ht="27" customHeight="1" x14ac:dyDescent="0.2">
      <c r="A81" s="702"/>
      <c r="K81" s="703"/>
      <c r="L81" s="620"/>
      <c r="M81" s="620"/>
      <c r="N81" s="620"/>
      <c r="O81" s="704"/>
      <c r="P81" s="703"/>
      <c r="Q81" s="705"/>
      <c r="R81" s="706"/>
      <c r="S81" s="703"/>
      <c r="T81" s="703"/>
      <c r="U81" s="703"/>
      <c r="V81" s="707"/>
      <c r="W81" s="708"/>
      <c r="X81" s="703"/>
      <c r="AO81" s="709"/>
      <c r="AP81" s="710"/>
      <c r="AQ81" s="711"/>
    </row>
    <row r="82" spans="1:43" s="638" customFormat="1" ht="27" customHeight="1" x14ac:dyDescent="0.2">
      <c r="A82" s="702"/>
      <c r="K82" s="703"/>
      <c r="L82" s="620"/>
      <c r="M82" s="620"/>
      <c r="N82" s="620"/>
      <c r="O82" s="704"/>
      <c r="P82" s="703"/>
      <c r="Q82" s="705"/>
      <c r="R82" s="706"/>
      <c r="S82" s="703"/>
      <c r="T82" s="703"/>
      <c r="U82" s="703"/>
      <c r="V82" s="707"/>
      <c r="W82" s="708"/>
      <c r="X82" s="703"/>
      <c r="AO82" s="709"/>
      <c r="AP82" s="710"/>
      <c r="AQ82" s="711"/>
    </row>
    <row r="83" spans="1:43" s="638" customFormat="1" ht="27" customHeight="1" x14ac:dyDescent="0.2">
      <c r="A83" s="702"/>
      <c r="K83" s="703"/>
      <c r="L83" s="620"/>
      <c r="M83" s="620"/>
      <c r="N83" s="620"/>
      <c r="O83" s="704"/>
      <c r="P83" s="703"/>
      <c r="Q83" s="705"/>
      <c r="R83" s="706"/>
      <c r="S83" s="703"/>
      <c r="T83" s="703"/>
      <c r="U83" s="703"/>
      <c r="V83" s="707"/>
      <c r="W83" s="708"/>
      <c r="X83" s="703"/>
      <c r="AO83" s="709"/>
      <c r="AP83" s="710"/>
      <c r="AQ83" s="711"/>
    </row>
    <row r="84" spans="1:43" s="638" customFormat="1" ht="27" customHeight="1" x14ac:dyDescent="0.2">
      <c r="A84" s="702"/>
      <c r="K84" s="703"/>
      <c r="L84" s="620"/>
      <c r="M84" s="620"/>
      <c r="N84" s="620"/>
      <c r="O84" s="704"/>
      <c r="P84" s="703"/>
      <c r="Q84" s="705"/>
      <c r="R84" s="706"/>
      <c r="S84" s="703"/>
      <c r="T84" s="703"/>
      <c r="U84" s="703"/>
      <c r="V84" s="707"/>
      <c r="W84" s="708"/>
      <c r="X84" s="703"/>
      <c r="AO84" s="709"/>
      <c r="AP84" s="710"/>
      <c r="AQ84" s="711"/>
    </row>
    <row r="85" spans="1:43" s="638" customFormat="1" ht="27" customHeight="1" x14ac:dyDescent="0.2">
      <c r="A85" s="702"/>
      <c r="K85" s="703"/>
      <c r="L85" s="620"/>
      <c r="M85" s="620"/>
      <c r="N85" s="620"/>
      <c r="O85" s="704"/>
      <c r="P85" s="703"/>
      <c r="Q85" s="705"/>
      <c r="R85" s="706"/>
      <c r="S85" s="703"/>
      <c r="T85" s="703"/>
      <c r="U85" s="703"/>
      <c r="V85" s="707"/>
      <c r="W85" s="708"/>
      <c r="X85" s="703"/>
      <c r="AO85" s="709"/>
      <c r="AP85" s="710"/>
      <c r="AQ85" s="711"/>
    </row>
    <row r="86" spans="1:43" s="638" customFormat="1" ht="27" customHeight="1" x14ac:dyDescent="0.2">
      <c r="A86" s="702"/>
      <c r="K86" s="703"/>
      <c r="L86" s="620"/>
      <c r="M86" s="620"/>
      <c r="N86" s="620"/>
      <c r="O86" s="704"/>
      <c r="P86" s="703"/>
      <c r="Q86" s="705"/>
      <c r="R86" s="706"/>
      <c r="S86" s="703"/>
      <c r="T86" s="703"/>
      <c r="U86" s="703"/>
      <c r="V86" s="707"/>
      <c r="W86" s="708"/>
      <c r="X86" s="703"/>
      <c r="AO86" s="709"/>
      <c r="AP86" s="710"/>
      <c r="AQ86" s="711"/>
    </row>
    <row r="87" spans="1:43" s="638" customFormat="1" ht="27" customHeight="1" x14ac:dyDescent="0.2">
      <c r="A87" s="702"/>
      <c r="K87" s="703"/>
      <c r="L87" s="620"/>
      <c r="M87" s="620"/>
      <c r="N87" s="620"/>
      <c r="O87" s="704"/>
      <c r="P87" s="703"/>
      <c r="Q87" s="705"/>
      <c r="R87" s="706"/>
      <c r="S87" s="703"/>
      <c r="T87" s="703"/>
      <c r="U87" s="703"/>
      <c r="V87" s="707"/>
      <c r="W87" s="708"/>
      <c r="X87" s="703"/>
      <c r="AO87" s="709"/>
      <c r="AP87" s="710"/>
      <c r="AQ87" s="711"/>
    </row>
    <row r="88" spans="1:43" s="638" customFormat="1" ht="27" customHeight="1" x14ac:dyDescent="0.2">
      <c r="A88" s="702"/>
      <c r="K88" s="703"/>
      <c r="L88" s="620"/>
      <c r="M88" s="620"/>
      <c r="N88" s="620"/>
      <c r="O88" s="704"/>
      <c r="P88" s="703"/>
      <c r="Q88" s="705"/>
      <c r="R88" s="706"/>
      <c r="S88" s="703"/>
      <c r="T88" s="703"/>
      <c r="U88" s="703"/>
      <c r="V88" s="707"/>
      <c r="W88" s="708"/>
      <c r="X88" s="703"/>
      <c r="AO88" s="709"/>
      <c r="AP88" s="710"/>
      <c r="AQ88" s="711"/>
    </row>
    <row r="89" spans="1:43" s="638" customFormat="1" ht="27" customHeight="1" x14ac:dyDescent="0.2">
      <c r="A89" s="702"/>
      <c r="K89" s="703"/>
      <c r="L89" s="620"/>
      <c r="M89" s="620"/>
      <c r="N89" s="620"/>
      <c r="O89" s="704"/>
      <c r="P89" s="703"/>
      <c r="Q89" s="705"/>
      <c r="R89" s="706"/>
      <c r="S89" s="703"/>
      <c r="T89" s="703"/>
      <c r="U89" s="703"/>
      <c r="V89" s="707"/>
      <c r="W89" s="708"/>
      <c r="X89" s="703"/>
      <c r="AO89" s="709"/>
      <c r="AP89" s="710"/>
      <c r="AQ89" s="711"/>
    </row>
    <row r="90" spans="1:43" s="638" customFormat="1" ht="27" customHeight="1" x14ac:dyDescent="0.2">
      <c r="A90" s="702"/>
      <c r="K90" s="703"/>
      <c r="L90" s="620"/>
      <c r="M90" s="620"/>
      <c r="N90" s="620"/>
      <c r="O90" s="704"/>
      <c r="P90" s="703"/>
      <c r="Q90" s="705"/>
      <c r="R90" s="706"/>
      <c r="S90" s="703"/>
      <c r="T90" s="703"/>
      <c r="U90" s="703"/>
      <c r="V90" s="707"/>
      <c r="W90" s="708"/>
      <c r="X90" s="703"/>
      <c r="AO90" s="709"/>
      <c r="AP90" s="710"/>
      <c r="AQ90" s="711"/>
    </row>
    <row r="91" spans="1:43" s="638" customFormat="1" ht="27" customHeight="1" x14ac:dyDescent="0.2">
      <c r="A91" s="702"/>
      <c r="K91" s="703"/>
      <c r="L91" s="620"/>
      <c r="M91" s="620"/>
      <c r="N91" s="620"/>
      <c r="O91" s="704"/>
      <c r="P91" s="703"/>
      <c r="Q91" s="705"/>
      <c r="R91" s="706"/>
      <c r="S91" s="703"/>
      <c r="T91" s="703"/>
      <c r="U91" s="703"/>
      <c r="V91" s="707"/>
      <c r="W91" s="708"/>
      <c r="X91" s="703"/>
      <c r="AO91" s="709"/>
      <c r="AP91" s="710"/>
      <c r="AQ91" s="711"/>
    </row>
    <row r="92" spans="1:43" s="638" customFormat="1" ht="27" customHeight="1" x14ac:dyDescent="0.2">
      <c r="A92" s="702"/>
      <c r="K92" s="703"/>
      <c r="L92" s="620"/>
      <c r="M92" s="620"/>
      <c r="N92" s="620"/>
      <c r="O92" s="704"/>
      <c r="P92" s="703"/>
      <c r="Q92" s="705"/>
      <c r="R92" s="706"/>
      <c r="S92" s="703"/>
      <c r="T92" s="703"/>
      <c r="U92" s="703"/>
      <c r="V92" s="707"/>
      <c r="W92" s="708"/>
      <c r="X92" s="703"/>
      <c r="AO92" s="709"/>
      <c r="AP92" s="710"/>
      <c r="AQ92" s="711"/>
    </row>
    <row r="93" spans="1:43" s="638" customFormat="1" ht="27" customHeight="1" x14ac:dyDescent="0.2">
      <c r="A93" s="702"/>
      <c r="K93" s="703"/>
      <c r="L93" s="620"/>
      <c r="M93" s="620"/>
      <c r="N93" s="620"/>
      <c r="O93" s="704"/>
      <c r="P93" s="703"/>
      <c r="Q93" s="705"/>
      <c r="R93" s="706"/>
      <c r="S93" s="703"/>
      <c r="T93" s="703"/>
      <c r="U93" s="703"/>
      <c r="V93" s="707"/>
      <c r="W93" s="708"/>
      <c r="X93" s="703"/>
      <c r="AO93" s="709"/>
      <c r="AP93" s="710"/>
      <c r="AQ93" s="711"/>
    </row>
    <row r="94" spans="1:43" s="638" customFormat="1" ht="27" customHeight="1" x14ac:dyDescent="0.2">
      <c r="A94" s="702"/>
      <c r="K94" s="703"/>
      <c r="L94" s="620"/>
      <c r="M94" s="620"/>
      <c r="N94" s="620"/>
      <c r="O94" s="704"/>
      <c r="P94" s="703"/>
      <c r="Q94" s="705"/>
      <c r="R94" s="706"/>
      <c r="S94" s="703"/>
      <c r="T94" s="703"/>
      <c r="U94" s="703"/>
      <c r="V94" s="707"/>
      <c r="W94" s="708"/>
      <c r="X94" s="703"/>
      <c r="AO94" s="709"/>
      <c r="AP94" s="710"/>
      <c r="AQ94" s="711"/>
    </row>
    <row r="95" spans="1:43" s="638" customFormat="1" ht="27" customHeight="1" x14ac:dyDescent="0.2">
      <c r="A95" s="702"/>
      <c r="K95" s="703"/>
      <c r="L95" s="620"/>
      <c r="M95" s="620"/>
      <c r="N95" s="620"/>
      <c r="O95" s="704"/>
      <c r="P95" s="703"/>
      <c r="Q95" s="705"/>
      <c r="R95" s="706"/>
      <c r="S95" s="703"/>
      <c r="T95" s="703"/>
      <c r="U95" s="703"/>
      <c r="V95" s="707"/>
      <c r="W95" s="708"/>
      <c r="X95" s="703"/>
      <c r="AO95" s="709"/>
      <c r="AP95" s="710"/>
      <c r="AQ95" s="711"/>
    </row>
    <row r="96" spans="1:43" s="638" customFormat="1" ht="27" customHeight="1" x14ac:dyDescent="0.2">
      <c r="A96" s="702"/>
      <c r="K96" s="703"/>
      <c r="L96" s="620"/>
      <c r="M96" s="620"/>
      <c r="N96" s="620"/>
      <c r="O96" s="704"/>
      <c r="P96" s="703"/>
      <c r="Q96" s="705"/>
      <c r="R96" s="706"/>
      <c r="S96" s="703"/>
      <c r="T96" s="703"/>
      <c r="U96" s="703"/>
      <c r="V96" s="707"/>
      <c r="W96" s="708"/>
      <c r="X96" s="703"/>
      <c r="AO96" s="709"/>
      <c r="AP96" s="710"/>
      <c r="AQ96" s="711"/>
    </row>
    <row r="97" spans="1:43" s="638" customFormat="1" ht="27" customHeight="1" x14ac:dyDescent="0.2">
      <c r="A97" s="702"/>
      <c r="K97" s="703"/>
      <c r="L97" s="620"/>
      <c r="M97" s="620"/>
      <c r="N97" s="620"/>
      <c r="O97" s="704"/>
      <c r="P97" s="703"/>
      <c r="Q97" s="705"/>
      <c r="R97" s="706"/>
      <c r="S97" s="703"/>
      <c r="T97" s="703"/>
      <c r="U97" s="703"/>
      <c r="V97" s="707"/>
      <c r="W97" s="708"/>
      <c r="X97" s="703"/>
      <c r="AO97" s="709"/>
      <c r="AP97" s="710"/>
      <c r="AQ97" s="711"/>
    </row>
    <row r="98" spans="1:43" s="638" customFormat="1" ht="27" customHeight="1" x14ac:dyDescent="0.2">
      <c r="A98" s="702"/>
      <c r="K98" s="703"/>
      <c r="L98" s="620"/>
      <c r="M98" s="620"/>
      <c r="N98" s="620"/>
      <c r="O98" s="704"/>
      <c r="P98" s="703"/>
      <c r="Q98" s="705"/>
      <c r="R98" s="706"/>
      <c r="S98" s="703"/>
      <c r="T98" s="703"/>
      <c r="U98" s="703"/>
      <c r="V98" s="707"/>
      <c r="W98" s="708"/>
      <c r="X98" s="703"/>
      <c r="AO98" s="709"/>
      <c r="AP98" s="710"/>
      <c r="AQ98" s="711"/>
    </row>
    <row r="99" spans="1:43" s="638" customFormat="1" ht="27" customHeight="1" x14ac:dyDescent="0.2">
      <c r="A99" s="702"/>
      <c r="K99" s="703"/>
      <c r="L99" s="620"/>
      <c r="M99" s="620"/>
      <c r="N99" s="620"/>
      <c r="O99" s="704"/>
      <c r="P99" s="703"/>
      <c r="Q99" s="705"/>
      <c r="R99" s="706"/>
      <c r="S99" s="703"/>
      <c r="T99" s="703"/>
      <c r="U99" s="703"/>
      <c r="V99" s="707"/>
      <c r="W99" s="708"/>
      <c r="X99" s="703"/>
      <c r="AO99" s="709"/>
      <c r="AP99" s="710"/>
      <c r="AQ99" s="711"/>
    </row>
    <row r="100" spans="1:43" s="638" customFormat="1" ht="27" customHeight="1" x14ac:dyDescent="0.2">
      <c r="A100" s="702"/>
      <c r="K100" s="703"/>
      <c r="L100" s="620"/>
      <c r="M100" s="620"/>
      <c r="N100" s="620"/>
      <c r="O100" s="704"/>
      <c r="P100" s="703"/>
      <c r="Q100" s="705"/>
      <c r="R100" s="706"/>
      <c r="S100" s="703"/>
      <c r="T100" s="703"/>
      <c r="U100" s="703"/>
      <c r="V100" s="707"/>
      <c r="W100" s="708"/>
      <c r="X100" s="703"/>
      <c r="AO100" s="709"/>
      <c r="AP100" s="710"/>
      <c r="AQ100" s="711"/>
    </row>
    <row r="101" spans="1:43" s="638" customFormat="1" ht="27" customHeight="1" x14ac:dyDescent="0.2">
      <c r="A101" s="702"/>
      <c r="K101" s="703"/>
      <c r="L101" s="620"/>
      <c r="M101" s="620"/>
      <c r="N101" s="620"/>
      <c r="O101" s="704"/>
      <c r="P101" s="703"/>
      <c r="Q101" s="705"/>
      <c r="R101" s="706"/>
      <c r="S101" s="703"/>
      <c r="T101" s="703"/>
      <c r="U101" s="703"/>
      <c r="V101" s="707"/>
      <c r="W101" s="708"/>
      <c r="X101" s="703"/>
      <c r="AO101" s="709"/>
      <c r="AP101" s="710"/>
      <c r="AQ101" s="711"/>
    </row>
    <row r="102" spans="1:43" s="638" customFormat="1" ht="27" customHeight="1" x14ac:dyDescent="0.2">
      <c r="A102" s="702"/>
      <c r="K102" s="703"/>
      <c r="L102" s="620"/>
      <c r="M102" s="620"/>
      <c r="N102" s="620"/>
      <c r="O102" s="704"/>
      <c r="P102" s="703"/>
      <c r="Q102" s="705"/>
      <c r="R102" s="706"/>
      <c r="S102" s="703"/>
      <c r="T102" s="703"/>
      <c r="U102" s="703"/>
      <c r="V102" s="707"/>
      <c r="W102" s="708"/>
      <c r="X102" s="703"/>
      <c r="AO102" s="709"/>
      <c r="AP102" s="710"/>
      <c r="AQ102" s="711"/>
    </row>
    <row r="103" spans="1:43" s="638" customFormat="1" ht="27" customHeight="1" x14ac:dyDescent="0.2">
      <c r="A103" s="702"/>
      <c r="K103" s="703"/>
      <c r="L103" s="620"/>
      <c r="M103" s="620"/>
      <c r="N103" s="620"/>
      <c r="O103" s="704"/>
      <c r="P103" s="703"/>
      <c r="Q103" s="705"/>
      <c r="R103" s="706"/>
      <c r="S103" s="703"/>
      <c r="T103" s="703"/>
      <c r="U103" s="703"/>
      <c r="V103" s="707"/>
      <c r="W103" s="708"/>
      <c r="X103" s="703"/>
      <c r="AO103" s="709"/>
      <c r="AP103" s="710"/>
      <c r="AQ103" s="711"/>
    </row>
    <row r="104" spans="1:43" s="638" customFormat="1" ht="27" customHeight="1" x14ac:dyDescent="0.2">
      <c r="A104" s="702"/>
      <c r="K104" s="703"/>
      <c r="L104" s="620"/>
      <c r="M104" s="620"/>
      <c r="N104" s="620"/>
      <c r="O104" s="704"/>
      <c r="P104" s="703"/>
      <c r="Q104" s="705"/>
      <c r="R104" s="706"/>
      <c r="S104" s="703"/>
      <c r="T104" s="703"/>
      <c r="U104" s="703"/>
      <c r="V104" s="707"/>
      <c r="W104" s="708"/>
      <c r="X104" s="703"/>
      <c r="AO104" s="709"/>
      <c r="AP104" s="710"/>
      <c r="AQ104" s="711"/>
    </row>
    <row r="105" spans="1:43" s="638" customFormat="1" ht="27" customHeight="1" x14ac:dyDescent="0.2">
      <c r="A105" s="702"/>
      <c r="K105" s="703"/>
      <c r="L105" s="620"/>
      <c r="M105" s="620"/>
      <c r="N105" s="620"/>
      <c r="O105" s="704"/>
      <c r="P105" s="703"/>
      <c r="Q105" s="705"/>
      <c r="R105" s="706"/>
      <c r="S105" s="703"/>
      <c r="T105" s="703"/>
      <c r="U105" s="703"/>
      <c r="V105" s="707"/>
      <c r="W105" s="708"/>
      <c r="X105" s="703"/>
      <c r="AO105" s="709"/>
      <c r="AP105" s="710"/>
      <c r="AQ105" s="711"/>
    </row>
    <row r="106" spans="1:43" s="638" customFormat="1" ht="27" customHeight="1" x14ac:dyDescent="0.2">
      <c r="A106" s="702"/>
      <c r="K106" s="703"/>
      <c r="L106" s="620"/>
      <c r="M106" s="620"/>
      <c r="N106" s="620"/>
      <c r="O106" s="704"/>
      <c r="P106" s="703"/>
      <c r="Q106" s="705"/>
      <c r="R106" s="706"/>
      <c r="S106" s="703"/>
      <c r="T106" s="703"/>
      <c r="U106" s="703"/>
      <c r="V106" s="707"/>
      <c r="W106" s="708"/>
      <c r="X106" s="703"/>
      <c r="AO106" s="709"/>
      <c r="AP106" s="710"/>
      <c r="AQ106" s="711"/>
    </row>
    <row r="107" spans="1:43" s="638" customFormat="1" ht="27" customHeight="1" x14ac:dyDescent="0.2">
      <c r="A107" s="702"/>
      <c r="K107" s="703"/>
      <c r="L107" s="620"/>
      <c r="M107" s="620"/>
      <c r="N107" s="620"/>
      <c r="O107" s="704"/>
      <c r="P107" s="703"/>
      <c r="Q107" s="705"/>
      <c r="R107" s="706"/>
      <c r="S107" s="703"/>
      <c r="T107" s="703"/>
      <c r="U107" s="703"/>
      <c r="V107" s="707"/>
      <c r="W107" s="708"/>
      <c r="X107" s="703"/>
      <c r="AO107" s="709"/>
      <c r="AP107" s="710"/>
      <c r="AQ107" s="711"/>
    </row>
    <row r="108" spans="1:43" s="638" customFormat="1" ht="27" customHeight="1" x14ac:dyDescent="0.2">
      <c r="A108" s="702"/>
      <c r="K108" s="703"/>
      <c r="L108" s="620"/>
      <c r="M108" s="620"/>
      <c r="N108" s="620"/>
      <c r="O108" s="704"/>
      <c r="P108" s="703"/>
      <c r="Q108" s="705"/>
      <c r="R108" s="706"/>
      <c r="S108" s="703"/>
      <c r="T108" s="703"/>
      <c r="U108" s="703"/>
      <c r="V108" s="707"/>
      <c r="W108" s="708"/>
      <c r="X108" s="703"/>
      <c r="AO108" s="709"/>
      <c r="AP108" s="710"/>
      <c r="AQ108" s="711"/>
    </row>
    <row r="109" spans="1:43" s="638" customFormat="1" ht="27" customHeight="1" x14ac:dyDescent="0.2">
      <c r="A109" s="702"/>
      <c r="K109" s="703"/>
      <c r="L109" s="620"/>
      <c r="M109" s="620"/>
      <c r="N109" s="620"/>
      <c r="O109" s="704"/>
      <c r="P109" s="703"/>
      <c r="Q109" s="705"/>
      <c r="R109" s="706"/>
      <c r="S109" s="703"/>
      <c r="T109" s="703"/>
      <c r="U109" s="703"/>
      <c r="V109" s="707"/>
      <c r="W109" s="708"/>
      <c r="X109" s="703"/>
      <c r="AO109" s="709"/>
      <c r="AP109" s="710"/>
      <c r="AQ109" s="711"/>
    </row>
    <row r="110" spans="1:43" s="638" customFormat="1" ht="27" customHeight="1" x14ac:dyDescent="0.2">
      <c r="A110" s="702"/>
      <c r="K110" s="703"/>
      <c r="L110" s="620"/>
      <c r="M110" s="620"/>
      <c r="N110" s="620"/>
      <c r="O110" s="704"/>
      <c r="P110" s="703"/>
      <c r="Q110" s="705"/>
      <c r="R110" s="706"/>
      <c r="S110" s="703"/>
      <c r="T110" s="703"/>
      <c r="U110" s="703"/>
      <c r="V110" s="707"/>
      <c r="W110" s="708"/>
      <c r="X110" s="703"/>
      <c r="AO110" s="709"/>
      <c r="AP110" s="710"/>
      <c r="AQ110" s="711"/>
    </row>
    <row r="111" spans="1:43" s="638" customFormat="1" ht="27" customHeight="1" x14ac:dyDescent="0.2">
      <c r="A111" s="702"/>
      <c r="K111" s="703"/>
      <c r="L111" s="620"/>
      <c r="M111" s="620"/>
      <c r="N111" s="620"/>
      <c r="O111" s="704"/>
      <c r="P111" s="703"/>
      <c r="Q111" s="705"/>
      <c r="R111" s="706"/>
      <c r="S111" s="703"/>
      <c r="T111" s="703"/>
      <c r="U111" s="703"/>
      <c r="V111" s="707"/>
      <c r="W111" s="708"/>
      <c r="X111" s="703"/>
      <c r="AO111" s="709"/>
      <c r="AP111" s="710"/>
      <c r="AQ111" s="711"/>
    </row>
    <row r="112" spans="1:43" s="638" customFormat="1" ht="27" customHeight="1" x14ac:dyDescent="0.2">
      <c r="A112" s="702"/>
      <c r="K112" s="703"/>
      <c r="L112" s="620"/>
      <c r="M112" s="620"/>
      <c r="N112" s="620"/>
      <c r="O112" s="704"/>
      <c r="P112" s="703"/>
      <c r="Q112" s="705"/>
      <c r="R112" s="706"/>
      <c r="S112" s="703"/>
      <c r="T112" s="703"/>
      <c r="U112" s="703"/>
      <c r="V112" s="707"/>
      <c r="W112" s="708"/>
      <c r="X112" s="703"/>
      <c r="AO112" s="709"/>
      <c r="AP112" s="710"/>
      <c r="AQ112" s="711"/>
    </row>
    <row r="113" spans="1:43" s="638" customFormat="1" ht="27" customHeight="1" x14ac:dyDescent="0.2">
      <c r="A113" s="702"/>
      <c r="K113" s="703"/>
      <c r="L113" s="620"/>
      <c r="M113" s="620"/>
      <c r="N113" s="620"/>
      <c r="O113" s="704"/>
      <c r="P113" s="703"/>
      <c r="Q113" s="705"/>
      <c r="R113" s="706"/>
      <c r="S113" s="703"/>
      <c r="T113" s="703"/>
      <c r="U113" s="703"/>
      <c r="V113" s="707"/>
      <c r="W113" s="708"/>
      <c r="X113" s="703"/>
      <c r="AO113" s="709"/>
      <c r="AP113" s="710"/>
      <c r="AQ113" s="711"/>
    </row>
    <row r="114" spans="1:43" s="638" customFormat="1" ht="27" customHeight="1" x14ac:dyDescent="0.2">
      <c r="A114" s="702"/>
      <c r="K114" s="703"/>
      <c r="L114" s="620"/>
      <c r="M114" s="620"/>
      <c r="N114" s="620"/>
      <c r="O114" s="704"/>
      <c r="P114" s="703"/>
      <c r="Q114" s="705"/>
      <c r="R114" s="706"/>
      <c r="S114" s="703"/>
      <c r="T114" s="703"/>
      <c r="U114" s="703"/>
      <c r="V114" s="707"/>
      <c r="W114" s="708"/>
      <c r="X114" s="703"/>
      <c r="AO114" s="709"/>
      <c r="AP114" s="710"/>
      <c r="AQ114" s="711"/>
    </row>
    <row r="115" spans="1:43" s="638" customFormat="1" ht="27" customHeight="1" x14ac:dyDescent="0.2">
      <c r="A115" s="702"/>
      <c r="K115" s="703"/>
      <c r="L115" s="620"/>
      <c r="M115" s="620"/>
      <c r="N115" s="620"/>
      <c r="O115" s="704"/>
      <c r="P115" s="703"/>
      <c r="Q115" s="705"/>
      <c r="R115" s="706"/>
      <c r="S115" s="703"/>
      <c r="T115" s="703"/>
      <c r="U115" s="703"/>
      <c r="V115" s="707"/>
      <c r="W115" s="708"/>
      <c r="X115" s="703"/>
      <c r="AO115" s="709"/>
      <c r="AP115" s="710"/>
      <c r="AQ115" s="711"/>
    </row>
    <row r="116" spans="1:43" s="638" customFormat="1" ht="27" customHeight="1" x14ac:dyDescent="0.2">
      <c r="A116" s="702"/>
      <c r="K116" s="703"/>
      <c r="L116" s="620"/>
      <c r="M116" s="620"/>
      <c r="N116" s="620"/>
      <c r="O116" s="704"/>
      <c r="P116" s="703"/>
      <c r="Q116" s="705"/>
      <c r="R116" s="706"/>
      <c r="S116" s="703"/>
      <c r="T116" s="703"/>
      <c r="U116" s="703"/>
      <c r="V116" s="707"/>
      <c r="W116" s="708"/>
      <c r="X116" s="703"/>
      <c r="AO116" s="709"/>
      <c r="AP116" s="710"/>
      <c r="AQ116" s="711"/>
    </row>
    <row r="117" spans="1:43" s="638" customFormat="1" ht="27" customHeight="1" x14ac:dyDescent="0.2">
      <c r="A117" s="702"/>
      <c r="K117" s="703"/>
      <c r="L117" s="620"/>
      <c r="M117" s="620"/>
      <c r="N117" s="620"/>
      <c r="O117" s="704"/>
      <c r="P117" s="703"/>
      <c r="Q117" s="705"/>
      <c r="R117" s="706"/>
      <c r="S117" s="703"/>
      <c r="T117" s="703"/>
      <c r="U117" s="703"/>
      <c r="V117" s="707"/>
      <c r="W117" s="708"/>
      <c r="X117" s="703"/>
      <c r="AO117" s="709"/>
      <c r="AP117" s="710"/>
      <c r="AQ117" s="711"/>
    </row>
    <row r="118" spans="1:43" s="638" customFormat="1" ht="27" customHeight="1" x14ac:dyDescent="0.2">
      <c r="A118" s="702"/>
      <c r="K118" s="703"/>
      <c r="L118" s="620"/>
      <c r="M118" s="620"/>
      <c r="N118" s="620"/>
      <c r="O118" s="704"/>
      <c r="P118" s="703"/>
      <c r="Q118" s="705"/>
      <c r="R118" s="706"/>
      <c r="S118" s="703"/>
      <c r="T118" s="703"/>
      <c r="U118" s="703"/>
      <c r="V118" s="707"/>
      <c r="W118" s="708"/>
      <c r="X118" s="703"/>
      <c r="AO118" s="709"/>
      <c r="AP118" s="710"/>
      <c r="AQ118" s="711"/>
    </row>
    <row r="119" spans="1:43" s="638" customFormat="1" ht="27" customHeight="1" x14ac:dyDescent="0.2">
      <c r="A119" s="702"/>
      <c r="K119" s="703"/>
      <c r="L119" s="620"/>
      <c r="M119" s="620"/>
      <c r="N119" s="620"/>
      <c r="O119" s="704"/>
      <c r="P119" s="703"/>
      <c r="Q119" s="705"/>
      <c r="R119" s="706"/>
      <c r="S119" s="703"/>
      <c r="T119" s="703"/>
      <c r="U119" s="703"/>
      <c r="V119" s="707"/>
      <c r="W119" s="708"/>
      <c r="X119" s="703"/>
      <c r="AO119" s="709"/>
      <c r="AP119" s="710"/>
      <c r="AQ119" s="711"/>
    </row>
    <row r="120" spans="1:43" s="638" customFormat="1" ht="27" customHeight="1" x14ac:dyDescent="0.2">
      <c r="A120" s="702"/>
      <c r="K120" s="703"/>
      <c r="L120" s="620"/>
      <c r="M120" s="620"/>
      <c r="N120" s="620"/>
      <c r="O120" s="704"/>
      <c r="P120" s="703"/>
      <c r="Q120" s="705"/>
      <c r="R120" s="706"/>
      <c r="S120" s="703"/>
      <c r="T120" s="703"/>
      <c r="U120" s="703"/>
      <c r="V120" s="707"/>
      <c r="W120" s="708"/>
      <c r="X120" s="703"/>
      <c r="AO120" s="709"/>
      <c r="AP120" s="710"/>
      <c r="AQ120" s="711"/>
    </row>
    <row r="121" spans="1:43" s="638" customFormat="1" ht="27" customHeight="1" x14ac:dyDescent="0.2">
      <c r="A121" s="702"/>
      <c r="K121" s="703"/>
      <c r="L121" s="620"/>
      <c r="M121" s="620"/>
      <c r="N121" s="620"/>
      <c r="O121" s="704"/>
      <c r="P121" s="703"/>
      <c r="Q121" s="705"/>
      <c r="R121" s="706"/>
      <c r="S121" s="703"/>
      <c r="T121" s="703"/>
      <c r="U121" s="703"/>
      <c r="V121" s="707"/>
      <c r="W121" s="708"/>
      <c r="X121" s="703"/>
      <c r="AO121" s="709"/>
      <c r="AP121" s="710"/>
      <c r="AQ121" s="711"/>
    </row>
    <row r="122" spans="1:43" s="638" customFormat="1" ht="27" customHeight="1" x14ac:dyDescent="0.2">
      <c r="A122" s="702"/>
      <c r="K122" s="703"/>
      <c r="L122" s="620"/>
      <c r="M122" s="620"/>
      <c r="N122" s="620"/>
      <c r="O122" s="704"/>
      <c r="P122" s="703"/>
      <c r="Q122" s="705"/>
      <c r="R122" s="706"/>
      <c r="S122" s="703"/>
      <c r="T122" s="703"/>
      <c r="U122" s="703"/>
      <c r="V122" s="707"/>
      <c r="W122" s="708"/>
      <c r="X122" s="703"/>
      <c r="AO122" s="709"/>
      <c r="AP122" s="710"/>
      <c r="AQ122" s="711"/>
    </row>
    <row r="123" spans="1:43" s="638" customFormat="1" ht="27" customHeight="1" x14ac:dyDescent="0.2">
      <c r="A123" s="702"/>
      <c r="K123" s="703"/>
      <c r="L123" s="620"/>
      <c r="M123" s="620"/>
      <c r="N123" s="620"/>
      <c r="O123" s="704"/>
      <c r="P123" s="703"/>
      <c r="Q123" s="705"/>
      <c r="R123" s="706"/>
      <c r="S123" s="703"/>
      <c r="T123" s="703"/>
      <c r="U123" s="703"/>
      <c r="V123" s="707"/>
      <c r="W123" s="708"/>
      <c r="X123" s="703"/>
      <c r="AO123" s="709"/>
      <c r="AP123" s="710"/>
      <c r="AQ123" s="711"/>
    </row>
    <row r="124" spans="1:43" s="638" customFormat="1" ht="27" customHeight="1" x14ac:dyDescent="0.2">
      <c r="A124" s="702"/>
      <c r="K124" s="703"/>
      <c r="L124" s="620"/>
      <c r="M124" s="620"/>
      <c r="N124" s="620"/>
      <c r="O124" s="704"/>
      <c r="P124" s="703"/>
      <c r="Q124" s="705"/>
      <c r="R124" s="706"/>
      <c r="S124" s="703"/>
      <c r="T124" s="703"/>
      <c r="U124" s="703"/>
      <c r="V124" s="707"/>
      <c r="W124" s="708"/>
      <c r="X124" s="703"/>
      <c r="AO124" s="709"/>
      <c r="AP124" s="710"/>
      <c r="AQ124" s="711"/>
    </row>
    <row r="125" spans="1:43" s="638" customFormat="1" ht="27" customHeight="1" x14ac:dyDescent="0.2">
      <c r="A125" s="702"/>
      <c r="K125" s="703"/>
      <c r="L125" s="620"/>
      <c r="M125" s="620"/>
      <c r="N125" s="620"/>
      <c r="O125" s="704"/>
      <c r="P125" s="703"/>
      <c r="Q125" s="705"/>
      <c r="R125" s="706"/>
      <c r="S125" s="703"/>
      <c r="T125" s="703"/>
      <c r="U125" s="703"/>
      <c r="V125" s="707"/>
      <c r="W125" s="708"/>
      <c r="X125" s="703"/>
      <c r="AO125" s="709"/>
      <c r="AP125" s="710"/>
      <c r="AQ125" s="711"/>
    </row>
    <row r="126" spans="1:43" s="638" customFormat="1" ht="27" customHeight="1" x14ac:dyDescent="0.2">
      <c r="A126" s="702"/>
      <c r="K126" s="703"/>
      <c r="L126" s="620"/>
      <c r="M126" s="620"/>
      <c r="N126" s="620"/>
      <c r="O126" s="704"/>
      <c r="P126" s="703"/>
      <c r="Q126" s="705"/>
      <c r="R126" s="706"/>
      <c r="S126" s="703"/>
      <c r="T126" s="703"/>
      <c r="U126" s="703"/>
      <c r="V126" s="707"/>
      <c r="W126" s="708"/>
      <c r="X126" s="703"/>
      <c r="AO126" s="709"/>
      <c r="AP126" s="710"/>
      <c r="AQ126" s="711"/>
    </row>
    <row r="127" spans="1:43" s="638" customFormat="1" ht="27" customHeight="1" x14ac:dyDescent="0.2">
      <c r="A127" s="702"/>
      <c r="K127" s="703"/>
      <c r="L127" s="620"/>
      <c r="M127" s="620"/>
      <c r="N127" s="620"/>
      <c r="O127" s="704"/>
      <c r="P127" s="703"/>
      <c r="Q127" s="705"/>
      <c r="R127" s="706"/>
      <c r="S127" s="703"/>
      <c r="T127" s="703"/>
      <c r="U127" s="703"/>
      <c r="V127" s="707"/>
      <c r="W127" s="708"/>
      <c r="X127" s="703"/>
      <c r="AO127" s="709"/>
      <c r="AP127" s="710"/>
      <c r="AQ127" s="711"/>
    </row>
    <row r="128" spans="1:43" s="638" customFormat="1" ht="27" customHeight="1" x14ac:dyDescent="0.2">
      <c r="A128" s="702"/>
      <c r="K128" s="703"/>
      <c r="L128" s="620"/>
      <c r="M128" s="620"/>
      <c r="N128" s="620"/>
      <c r="O128" s="704"/>
      <c r="P128" s="703"/>
      <c r="Q128" s="705"/>
      <c r="R128" s="706"/>
      <c r="S128" s="703"/>
      <c r="T128" s="703"/>
      <c r="U128" s="703"/>
      <c r="V128" s="707"/>
      <c r="W128" s="708"/>
      <c r="X128" s="703"/>
      <c r="AO128" s="709"/>
      <c r="AP128" s="710"/>
      <c r="AQ128" s="711"/>
    </row>
    <row r="129" spans="1:43" s="638" customFormat="1" ht="27" customHeight="1" x14ac:dyDescent="0.2">
      <c r="A129" s="702"/>
      <c r="K129" s="703"/>
      <c r="L129" s="620"/>
      <c r="M129" s="620"/>
      <c r="N129" s="620"/>
      <c r="O129" s="704"/>
      <c r="P129" s="703"/>
      <c r="Q129" s="705"/>
      <c r="R129" s="706"/>
      <c r="S129" s="703"/>
      <c r="T129" s="703"/>
      <c r="U129" s="703"/>
      <c r="V129" s="707"/>
      <c r="W129" s="708"/>
      <c r="X129" s="703"/>
      <c r="AO129" s="709"/>
      <c r="AP129" s="710"/>
      <c r="AQ129" s="711"/>
    </row>
    <row r="130" spans="1:43" s="638" customFormat="1" ht="27" customHeight="1" x14ac:dyDescent="0.2">
      <c r="A130" s="702"/>
      <c r="K130" s="703"/>
      <c r="L130" s="620"/>
      <c r="M130" s="620"/>
      <c r="N130" s="620"/>
      <c r="O130" s="704"/>
      <c r="P130" s="703"/>
      <c r="Q130" s="705"/>
      <c r="R130" s="706"/>
      <c r="S130" s="703"/>
      <c r="T130" s="703"/>
      <c r="U130" s="703"/>
      <c r="V130" s="707"/>
      <c r="W130" s="708"/>
      <c r="X130" s="703"/>
      <c r="AO130" s="709"/>
      <c r="AP130" s="710"/>
      <c r="AQ130" s="711"/>
    </row>
    <row r="131" spans="1:43" s="638" customFormat="1" ht="27" customHeight="1" x14ac:dyDescent="0.2">
      <c r="A131" s="702"/>
      <c r="K131" s="703"/>
      <c r="L131" s="620"/>
      <c r="M131" s="620"/>
      <c r="N131" s="620"/>
      <c r="O131" s="704"/>
      <c r="P131" s="703"/>
      <c r="Q131" s="705"/>
      <c r="R131" s="706"/>
      <c r="S131" s="703"/>
      <c r="T131" s="703"/>
      <c r="U131" s="703"/>
      <c r="V131" s="707"/>
      <c r="W131" s="708"/>
      <c r="X131" s="703"/>
      <c r="AO131" s="709"/>
      <c r="AP131" s="710"/>
      <c r="AQ131" s="711"/>
    </row>
    <row r="132" spans="1:43" s="638" customFormat="1" ht="27" customHeight="1" x14ac:dyDescent="0.2">
      <c r="A132" s="702"/>
      <c r="K132" s="703"/>
      <c r="L132" s="620"/>
      <c r="M132" s="620"/>
      <c r="N132" s="620"/>
      <c r="O132" s="704"/>
      <c r="P132" s="703"/>
      <c r="Q132" s="705"/>
      <c r="R132" s="706"/>
      <c r="S132" s="703"/>
      <c r="T132" s="703"/>
      <c r="U132" s="703"/>
      <c r="V132" s="707"/>
      <c r="W132" s="708"/>
      <c r="X132" s="703"/>
      <c r="AO132" s="709"/>
      <c r="AP132" s="710"/>
      <c r="AQ132" s="711"/>
    </row>
    <row r="133" spans="1:43" s="638" customFormat="1" ht="27" customHeight="1" x14ac:dyDescent="0.2">
      <c r="A133" s="702"/>
      <c r="K133" s="703"/>
      <c r="L133" s="620"/>
      <c r="M133" s="620"/>
      <c r="N133" s="620"/>
      <c r="O133" s="704"/>
      <c r="P133" s="703"/>
      <c r="Q133" s="705"/>
      <c r="R133" s="706"/>
      <c r="S133" s="703"/>
      <c r="T133" s="703"/>
      <c r="U133" s="703"/>
      <c r="V133" s="707"/>
      <c r="W133" s="708"/>
      <c r="X133" s="703"/>
      <c r="AO133" s="709"/>
      <c r="AP133" s="710"/>
      <c r="AQ133" s="711"/>
    </row>
    <row r="134" spans="1:43" s="638" customFormat="1" ht="27" customHeight="1" x14ac:dyDescent="0.2">
      <c r="A134" s="702"/>
      <c r="K134" s="703"/>
      <c r="L134" s="620"/>
      <c r="M134" s="620"/>
      <c r="N134" s="620"/>
      <c r="O134" s="704"/>
      <c r="P134" s="703"/>
      <c r="Q134" s="705"/>
      <c r="R134" s="706"/>
      <c r="S134" s="703"/>
      <c r="T134" s="703"/>
      <c r="U134" s="703"/>
      <c r="V134" s="707"/>
      <c r="W134" s="708"/>
      <c r="X134" s="703"/>
      <c r="AO134" s="709"/>
      <c r="AP134" s="710"/>
      <c r="AQ134" s="711"/>
    </row>
    <row r="135" spans="1:43" s="638" customFormat="1" ht="27" customHeight="1" x14ac:dyDescent="0.2">
      <c r="A135" s="702"/>
      <c r="K135" s="703"/>
      <c r="L135" s="620"/>
      <c r="M135" s="620"/>
      <c r="N135" s="620"/>
      <c r="O135" s="704"/>
      <c r="P135" s="703"/>
      <c r="Q135" s="705"/>
      <c r="R135" s="706"/>
      <c r="S135" s="703"/>
      <c r="T135" s="703"/>
      <c r="U135" s="703"/>
      <c r="V135" s="707"/>
      <c r="W135" s="708"/>
      <c r="X135" s="703"/>
      <c r="AO135" s="709"/>
      <c r="AP135" s="710"/>
      <c r="AQ135" s="711"/>
    </row>
    <row r="136" spans="1:43" s="638" customFormat="1" ht="27" customHeight="1" x14ac:dyDescent="0.2">
      <c r="A136" s="702"/>
      <c r="K136" s="703"/>
      <c r="L136" s="620"/>
      <c r="M136" s="620"/>
      <c r="N136" s="620"/>
      <c r="O136" s="704"/>
      <c r="P136" s="703"/>
      <c r="Q136" s="705"/>
      <c r="R136" s="706"/>
      <c r="S136" s="703"/>
      <c r="T136" s="703"/>
      <c r="U136" s="703"/>
      <c r="V136" s="707"/>
      <c r="W136" s="708"/>
      <c r="X136" s="703"/>
      <c r="AO136" s="709"/>
      <c r="AP136" s="710"/>
      <c r="AQ136" s="711"/>
    </row>
    <row r="137" spans="1:43" s="638" customFormat="1" ht="27" customHeight="1" x14ac:dyDescent="0.2">
      <c r="A137" s="702"/>
      <c r="K137" s="703"/>
      <c r="L137" s="620"/>
      <c r="M137" s="620"/>
      <c r="N137" s="620"/>
      <c r="O137" s="704"/>
      <c r="P137" s="703"/>
      <c r="Q137" s="705"/>
      <c r="R137" s="706"/>
      <c r="S137" s="703"/>
      <c r="T137" s="703"/>
      <c r="U137" s="703"/>
      <c r="V137" s="707"/>
      <c r="W137" s="708"/>
      <c r="X137" s="703"/>
      <c r="AO137" s="709"/>
      <c r="AP137" s="710"/>
      <c r="AQ137" s="711"/>
    </row>
    <row r="138" spans="1:43" s="638" customFormat="1" ht="27" customHeight="1" x14ac:dyDescent="0.2">
      <c r="A138" s="702"/>
      <c r="K138" s="703"/>
      <c r="L138" s="620"/>
      <c r="M138" s="620"/>
      <c r="N138" s="620"/>
      <c r="O138" s="704"/>
      <c r="P138" s="703"/>
      <c r="Q138" s="705"/>
      <c r="R138" s="706"/>
      <c r="S138" s="703"/>
      <c r="T138" s="703"/>
      <c r="U138" s="703"/>
      <c r="V138" s="707"/>
      <c r="W138" s="708"/>
      <c r="X138" s="703"/>
      <c r="AO138" s="709"/>
      <c r="AP138" s="710"/>
      <c r="AQ138" s="711"/>
    </row>
    <row r="139" spans="1:43" s="638" customFormat="1" ht="27" customHeight="1" x14ac:dyDescent="0.2">
      <c r="A139" s="702"/>
      <c r="K139" s="703"/>
      <c r="L139" s="620"/>
      <c r="M139" s="620"/>
      <c r="N139" s="620"/>
      <c r="O139" s="704"/>
      <c r="P139" s="703"/>
      <c r="Q139" s="705"/>
      <c r="R139" s="706"/>
      <c r="S139" s="703"/>
      <c r="T139" s="703"/>
      <c r="U139" s="703"/>
      <c r="V139" s="707"/>
      <c r="W139" s="708"/>
      <c r="X139" s="703"/>
      <c r="AO139" s="709"/>
      <c r="AP139" s="710"/>
      <c r="AQ139" s="711"/>
    </row>
    <row r="140" spans="1:43" s="638" customFormat="1" ht="27" customHeight="1" x14ac:dyDescent="0.2">
      <c r="A140" s="702"/>
      <c r="K140" s="703"/>
      <c r="L140" s="620"/>
      <c r="M140" s="620"/>
      <c r="N140" s="620"/>
      <c r="O140" s="704"/>
      <c r="P140" s="703"/>
      <c r="Q140" s="705"/>
      <c r="R140" s="706"/>
      <c r="S140" s="703"/>
      <c r="T140" s="703"/>
      <c r="U140" s="703"/>
      <c r="V140" s="707"/>
      <c r="W140" s="708"/>
      <c r="X140" s="703"/>
      <c r="AO140" s="709"/>
      <c r="AP140" s="710"/>
      <c r="AQ140" s="711"/>
    </row>
    <row r="141" spans="1:43" s="638" customFormat="1" ht="27" customHeight="1" x14ac:dyDescent="0.2">
      <c r="A141" s="702"/>
      <c r="K141" s="703"/>
      <c r="L141" s="620"/>
      <c r="M141" s="620"/>
      <c r="N141" s="620"/>
      <c r="O141" s="704"/>
      <c r="P141" s="703"/>
      <c r="Q141" s="705"/>
      <c r="R141" s="706"/>
      <c r="S141" s="703"/>
      <c r="T141" s="703"/>
      <c r="U141" s="703"/>
      <c r="V141" s="707"/>
      <c r="W141" s="708"/>
      <c r="X141" s="703"/>
      <c r="AO141" s="709"/>
      <c r="AP141" s="710"/>
      <c r="AQ141" s="711"/>
    </row>
    <row r="142" spans="1:43" s="638" customFormat="1" ht="27" customHeight="1" x14ac:dyDescent="0.2">
      <c r="A142" s="702"/>
      <c r="K142" s="703"/>
      <c r="L142" s="620"/>
      <c r="M142" s="620"/>
      <c r="N142" s="620"/>
      <c r="O142" s="704"/>
      <c r="P142" s="703"/>
      <c r="Q142" s="705"/>
      <c r="R142" s="706"/>
      <c r="S142" s="703"/>
      <c r="T142" s="703"/>
      <c r="U142" s="703"/>
      <c r="V142" s="707"/>
      <c r="W142" s="708"/>
      <c r="X142" s="703"/>
      <c r="AO142" s="709"/>
      <c r="AP142" s="710"/>
      <c r="AQ142" s="711"/>
    </row>
    <row r="143" spans="1:43" s="638" customFormat="1" ht="27" customHeight="1" x14ac:dyDescent="0.2">
      <c r="A143" s="702"/>
      <c r="K143" s="703"/>
      <c r="L143" s="620"/>
      <c r="M143" s="620"/>
      <c r="N143" s="620"/>
      <c r="O143" s="704"/>
      <c r="P143" s="703"/>
      <c r="Q143" s="705"/>
      <c r="R143" s="706"/>
      <c r="S143" s="703"/>
      <c r="T143" s="703"/>
      <c r="U143" s="703"/>
      <c r="V143" s="707"/>
      <c r="W143" s="708"/>
      <c r="X143" s="703"/>
      <c r="AO143" s="709"/>
      <c r="AP143" s="710"/>
      <c r="AQ143" s="711"/>
    </row>
    <row r="144" spans="1:43" s="638" customFormat="1" ht="27" customHeight="1" x14ac:dyDescent="0.2">
      <c r="A144" s="702"/>
      <c r="K144" s="703"/>
      <c r="L144" s="620"/>
      <c r="M144" s="620"/>
      <c r="N144" s="620"/>
      <c r="O144" s="704"/>
      <c r="P144" s="703"/>
      <c r="Q144" s="705"/>
      <c r="R144" s="706"/>
      <c r="S144" s="703"/>
      <c r="T144" s="703"/>
      <c r="U144" s="703"/>
      <c r="V144" s="707"/>
      <c r="W144" s="708"/>
      <c r="X144" s="703"/>
      <c r="AO144" s="709"/>
      <c r="AP144" s="710"/>
      <c r="AQ144" s="711"/>
    </row>
    <row r="145" spans="1:43" s="638" customFormat="1" ht="27" customHeight="1" x14ac:dyDescent="0.2">
      <c r="A145" s="702"/>
      <c r="K145" s="703"/>
      <c r="L145" s="620"/>
      <c r="M145" s="620"/>
      <c r="N145" s="620"/>
      <c r="O145" s="704"/>
      <c r="P145" s="703"/>
      <c r="Q145" s="705"/>
      <c r="R145" s="706"/>
      <c r="S145" s="703"/>
      <c r="T145" s="703"/>
      <c r="U145" s="703"/>
      <c r="V145" s="707"/>
      <c r="W145" s="708"/>
      <c r="X145" s="703"/>
      <c r="AO145" s="709"/>
      <c r="AP145" s="710"/>
      <c r="AQ145" s="711"/>
    </row>
    <row r="146" spans="1:43" s="638" customFormat="1" ht="27" customHeight="1" x14ac:dyDescent="0.2">
      <c r="A146" s="702"/>
      <c r="K146" s="703"/>
      <c r="L146" s="620"/>
      <c r="M146" s="620"/>
      <c r="N146" s="620"/>
      <c r="O146" s="704"/>
      <c r="P146" s="703"/>
      <c r="Q146" s="705"/>
      <c r="R146" s="706"/>
      <c r="S146" s="703"/>
      <c r="T146" s="703"/>
      <c r="U146" s="703"/>
      <c r="V146" s="707"/>
      <c r="W146" s="708"/>
      <c r="X146" s="703"/>
      <c r="AO146" s="709"/>
      <c r="AP146" s="710"/>
      <c r="AQ146" s="711"/>
    </row>
    <row r="147" spans="1:43" s="638" customFormat="1" ht="27" customHeight="1" x14ac:dyDescent="0.2">
      <c r="A147" s="702"/>
      <c r="K147" s="703"/>
      <c r="L147" s="620"/>
      <c r="M147" s="620"/>
      <c r="N147" s="620"/>
      <c r="O147" s="704"/>
      <c r="P147" s="703"/>
      <c r="Q147" s="705"/>
      <c r="R147" s="706"/>
      <c r="S147" s="703"/>
      <c r="T147" s="703"/>
      <c r="U147" s="703"/>
      <c r="V147" s="707"/>
      <c r="W147" s="708"/>
      <c r="X147" s="703"/>
      <c r="AO147" s="709"/>
      <c r="AP147" s="710"/>
      <c r="AQ147" s="711"/>
    </row>
    <row r="148" spans="1:43" s="638" customFormat="1" ht="27" customHeight="1" x14ac:dyDescent="0.2">
      <c r="A148" s="702"/>
      <c r="K148" s="703"/>
      <c r="L148" s="620"/>
      <c r="M148" s="620"/>
      <c r="N148" s="620"/>
      <c r="O148" s="704"/>
      <c r="P148" s="703"/>
      <c r="Q148" s="705"/>
      <c r="R148" s="706"/>
      <c r="S148" s="703"/>
      <c r="T148" s="703"/>
      <c r="U148" s="703"/>
      <c r="V148" s="707"/>
      <c r="W148" s="708"/>
      <c r="X148" s="703"/>
      <c r="AO148" s="709"/>
      <c r="AP148" s="710"/>
      <c r="AQ148" s="711"/>
    </row>
    <row r="149" spans="1:43" s="638" customFormat="1" ht="27" customHeight="1" x14ac:dyDescent="0.2">
      <c r="A149" s="702"/>
      <c r="K149" s="703"/>
      <c r="L149" s="620"/>
      <c r="M149" s="620"/>
      <c r="N149" s="620"/>
      <c r="O149" s="704"/>
      <c r="P149" s="703"/>
      <c r="Q149" s="705"/>
      <c r="R149" s="706"/>
      <c r="S149" s="703"/>
      <c r="T149" s="703"/>
      <c r="U149" s="703"/>
      <c r="V149" s="707"/>
      <c r="W149" s="708"/>
      <c r="X149" s="703"/>
      <c r="AO149" s="709"/>
      <c r="AP149" s="710"/>
      <c r="AQ149" s="711"/>
    </row>
    <row r="150" spans="1:43" s="638" customFormat="1" ht="27" customHeight="1" x14ac:dyDescent="0.2">
      <c r="A150" s="702"/>
      <c r="K150" s="703"/>
      <c r="L150" s="620"/>
      <c r="M150" s="620"/>
      <c r="N150" s="620"/>
      <c r="O150" s="704"/>
      <c r="P150" s="703"/>
      <c r="Q150" s="705"/>
      <c r="R150" s="706"/>
      <c r="S150" s="703"/>
      <c r="T150" s="703"/>
      <c r="U150" s="703"/>
      <c r="V150" s="707"/>
      <c r="W150" s="708"/>
      <c r="X150" s="703"/>
      <c r="AO150" s="709"/>
      <c r="AP150" s="710"/>
      <c r="AQ150" s="711"/>
    </row>
    <row r="151" spans="1:43" s="638" customFormat="1" ht="27" customHeight="1" x14ac:dyDescent="0.2">
      <c r="A151" s="702"/>
      <c r="K151" s="703"/>
      <c r="L151" s="620"/>
      <c r="M151" s="620"/>
      <c r="N151" s="620"/>
      <c r="O151" s="704"/>
      <c r="P151" s="703"/>
      <c r="Q151" s="705"/>
      <c r="R151" s="706"/>
      <c r="S151" s="703"/>
      <c r="T151" s="703"/>
      <c r="U151" s="703"/>
      <c r="V151" s="707"/>
      <c r="W151" s="708"/>
      <c r="X151" s="703"/>
      <c r="AO151" s="709"/>
      <c r="AP151" s="710"/>
      <c r="AQ151" s="711"/>
    </row>
    <row r="152" spans="1:43" s="638" customFormat="1" ht="27" customHeight="1" x14ac:dyDescent="0.2">
      <c r="A152" s="702"/>
      <c r="K152" s="703"/>
      <c r="L152" s="620"/>
      <c r="M152" s="620"/>
      <c r="N152" s="620"/>
      <c r="O152" s="704"/>
      <c r="P152" s="703"/>
      <c r="Q152" s="705"/>
      <c r="R152" s="706"/>
      <c r="S152" s="703"/>
      <c r="T152" s="703"/>
      <c r="U152" s="703"/>
      <c r="V152" s="707"/>
      <c r="W152" s="708"/>
      <c r="X152" s="703"/>
      <c r="AO152" s="709"/>
      <c r="AP152" s="710"/>
      <c r="AQ152" s="711"/>
    </row>
    <row r="153" spans="1:43" s="638" customFormat="1" ht="27" customHeight="1" x14ac:dyDescent="0.2">
      <c r="A153" s="702"/>
      <c r="K153" s="703"/>
      <c r="L153" s="620"/>
      <c r="M153" s="620"/>
      <c r="N153" s="620"/>
      <c r="O153" s="704"/>
      <c r="P153" s="703"/>
      <c r="Q153" s="705"/>
      <c r="R153" s="706"/>
      <c r="S153" s="703"/>
      <c r="T153" s="703"/>
      <c r="U153" s="703"/>
      <c r="V153" s="707"/>
      <c r="W153" s="708"/>
      <c r="X153" s="703"/>
      <c r="AO153" s="709"/>
      <c r="AP153" s="710"/>
      <c r="AQ153" s="711"/>
    </row>
    <row r="154" spans="1:43" s="638" customFormat="1" ht="27" customHeight="1" x14ac:dyDescent="0.2">
      <c r="A154" s="702"/>
      <c r="K154" s="703"/>
      <c r="L154" s="620"/>
      <c r="M154" s="620"/>
      <c r="N154" s="620"/>
      <c r="O154" s="704"/>
      <c r="P154" s="703"/>
      <c r="Q154" s="705"/>
      <c r="R154" s="706"/>
      <c r="S154" s="703"/>
      <c r="T154" s="703"/>
      <c r="U154" s="703"/>
      <c r="V154" s="707"/>
      <c r="W154" s="708"/>
      <c r="X154" s="703"/>
      <c r="AO154" s="709"/>
      <c r="AP154" s="710"/>
      <c r="AQ154" s="711"/>
    </row>
    <row r="155" spans="1:43" s="638" customFormat="1" ht="27" customHeight="1" x14ac:dyDescent="0.2">
      <c r="A155" s="702"/>
      <c r="K155" s="703"/>
      <c r="L155" s="620"/>
      <c r="M155" s="620"/>
      <c r="N155" s="620"/>
      <c r="O155" s="704"/>
      <c r="P155" s="703"/>
      <c r="Q155" s="705"/>
      <c r="R155" s="706"/>
      <c r="S155" s="703"/>
      <c r="T155" s="703"/>
      <c r="U155" s="703"/>
      <c r="V155" s="707"/>
      <c r="W155" s="708"/>
      <c r="X155" s="703"/>
      <c r="AO155" s="709"/>
      <c r="AP155" s="710"/>
      <c r="AQ155" s="711"/>
    </row>
    <row r="156" spans="1:43" s="638" customFormat="1" ht="27" customHeight="1" x14ac:dyDescent="0.2">
      <c r="A156" s="702"/>
      <c r="K156" s="703"/>
      <c r="L156" s="620"/>
      <c r="M156" s="620"/>
      <c r="N156" s="620"/>
      <c r="O156" s="704"/>
      <c r="P156" s="703"/>
      <c r="Q156" s="705"/>
      <c r="R156" s="706"/>
      <c r="S156" s="703"/>
      <c r="T156" s="703"/>
      <c r="U156" s="703"/>
      <c r="V156" s="707"/>
      <c r="W156" s="708"/>
      <c r="X156" s="703"/>
      <c r="AO156" s="709"/>
      <c r="AP156" s="710"/>
      <c r="AQ156" s="711"/>
    </row>
    <row r="157" spans="1:43" s="638" customFormat="1" ht="27" customHeight="1" x14ac:dyDescent="0.2">
      <c r="A157" s="702"/>
      <c r="K157" s="703"/>
      <c r="L157" s="620"/>
      <c r="M157" s="620"/>
      <c r="N157" s="620"/>
      <c r="O157" s="704"/>
      <c r="P157" s="703"/>
      <c r="Q157" s="705"/>
      <c r="R157" s="706"/>
      <c r="S157" s="703"/>
      <c r="T157" s="703"/>
      <c r="U157" s="703"/>
      <c r="V157" s="707"/>
      <c r="W157" s="708"/>
      <c r="X157" s="703"/>
      <c r="AO157" s="709"/>
      <c r="AP157" s="710"/>
      <c r="AQ157" s="711"/>
    </row>
    <row r="158" spans="1:43" s="638" customFormat="1" ht="27" customHeight="1" x14ac:dyDescent="0.2">
      <c r="A158" s="702"/>
      <c r="K158" s="703"/>
      <c r="L158" s="620"/>
      <c r="M158" s="620"/>
      <c r="N158" s="620"/>
      <c r="O158" s="704"/>
      <c r="P158" s="703"/>
      <c r="Q158" s="705"/>
      <c r="R158" s="706"/>
      <c r="S158" s="703"/>
      <c r="T158" s="703"/>
      <c r="U158" s="703"/>
      <c r="V158" s="707"/>
      <c r="W158" s="708"/>
      <c r="X158" s="703"/>
      <c r="AO158" s="709"/>
      <c r="AP158" s="710"/>
      <c r="AQ158" s="711"/>
    </row>
    <row r="159" spans="1:43" s="638" customFormat="1" ht="27" customHeight="1" x14ac:dyDescent="0.2">
      <c r="A159" s="702"/>
      <c r="K159" s="703"/>
      <c r="L159" s="620"/>
      <c r="M159" s="620"/>
      <c r="N159" s="620"/>
      <c r="O159" s="704"/>
      <c r="P159" s="703"/>
      <c r="Q159" s="705"/>
      <c r="R159" s="706"/>
      <c r="S159" s="703"/>
      <c r="T159" s="703"/>
      <c r="U159" s="703"/>
      <c r="V159" s="707"/>
      <c r="W159" s="708"/>
      <c r="X159" s="703"/>
      <c r="AO159" s="709"/>
      <c r="AP159" s="710"/>
      <c r="AQ159" s="711"/>
    </row>
    <row r="160" spans="1:43" s="638" customFormat="1" ht="27" customHeight="1" x14ac:dyDescent="0.2">
      <c r="A160" s="702"/>
      <c r="K160" s="703"/>
      <c r="L160" s="620"/>
      <c r="M160" s="620"/>
      <c r="N160" s="620"/>
      <c r="O160" s="704"/>
      <c r="P160" s="703"/>
      <c r="Q160" s="705"/>
      <c r="R160" s="706"/>
      <c r="S160" s="703"/>
      <c r="T160" s="703"/>
      <c r="U160" s="703"/>
      <c r="V160" s="707"/>
      <c r="W160" s="708"/>
      <c r="X160" s="703"/>
      <c r="AO160" s="709"/>
      <c r="AP160" s="710"/>
      <c r="AQ160" s="711"/>
    </row>
  </sheetData>
  <sheetProtection password="A60F" sheet="1" objects="1" scenarios="1"/>
  <mergeCells count="253">
    <mergeCell ref="E56:F56"/>
    <mergeCell ref="K61:L61"/>
    <mergeCell ref="K62:L62"/>
    <mergeCell ref="AN50:AN55"/>
    <mergeCell ref="AO50:AO55"/>
    <mergeCell ref="AP50:AP55"/>
    <mergeCell ref="AQ50:AQ55"/>
    <mergeCell ref="U51:U52"/>
    <mergeCell ref="J53:J55"/>
    <mergeCell ref="K53:K55"/>
    <mergeCell ref="M53:M55"/>
    <mergeCell ref="Q53:Q55"/>
    <mergeCell ref="T53:T55"/>
    <mergeCell ref="AE50:AE55"/>
    <mergeCell ref="AF50:AF55"/>
    <mergeCell ref="AG50:AG55"/>
    <mergeCell ref="AH50:AH55"/>
    <mergeCell ref="AI50:AI55"/>
    <mergeCell ref="AJ50:AJ55"/>
    <mergeCell ref="Y50:Y55"/>
    <mergeCell ref="Z50:Z55"/>
    <mergeCell ref="AA50:AA55"/>
    <mergeCell ref="AB50:AB55"/>
    <mergeCell ref="AC50:AC55"/>
    <mergeCell ref="AQ42:AQ48"/>
    <mergeCell ref="T47:T48"/>
    <mergeCell ref="U47:U48"/>
    <mergeCell ref="AJ42:AJ48"/>
    <mergeCell ref="AN42:AN48"/>
    <mergeCell ref="AO42:AO48"/>
    <mergeCell ref="AP42:AP48"/>
    <mergeCell ref="P42:P48"/>
    <mergeCell ref="Q42:Q48"/>
    <mergeCell ref="R42:R48"/>
    <mergeCell ref="AE42:AE48"/>
    <mergeCell ref="AF42:AF48"/>
    <mergeCell ref="AG42:AG48"/>
    <mergeCell ref="M42:M48"/>
    <mergeCell ref="N42:N48"/>
    <mergeCell ref="O42:O48"/>
    <mergeCell ref="AD50:AD55"/>
    <mergeCell ref="O50:O55"/>
    <mergeCell ref="P50:P55"/>
    <mergeCell ref="Q50:Q52"/>
    <mergeCell ref="R50:R55"/>
    <mergeCell ref="S50:S55"/>
    <mergeCell ref="T50:T52"/>
    <mergeCell ref="AC42:AC48"/>
    <mergeCell ref="AD42:AD48"/>
    <mergeCell ref="S42:S48"/>
    <mergeCell ref="T42:T46"/>
    <mergeCell ref="U42:U44"/>
    <mergeCell ref="Y42:Y48"/>
    <mergeCell ref="Z42:Z48"/>
    <mergeCell ref="AA42:AA48"/>
    <mergeCell ref="E40:K40"/>
    <mergeCell ref="H41:L41"/>
    <mergeCell ref="E42:F55"/>
    <mergeCell ref="H42:I48"/>
    <mergeCell ref="J42:J48"/>
    <mergeCell ref="K42:K48"/>
    <mergeCell ref="L42:L48"/>
    <mergeCell ref="AN32:AN39"/>
    <mergeCell ref="AO32:AO39"/>
    <mergeCell ref="O32:O39"/>
    <mergeCell ref="P32:P39"/>
    <mergeCell ref="Q32:Q39"/>
    <mergeCell ref="R32:R39"/>
    <mergeCell ref="S32:S39"/>
    <mergeCell ref="H49:L49"/>
    <mergeCell ref="H50:I55"/>
    <mergeCell ref="J50:J52"/>
    <mergeCell ref="K50:K52"/>
    <mergeCell ref="L50:L55"/>
    <mergeCell ref="M50:M52"/>
    <mergeCell ref="N50:N55"/>
    <mergeCell ref="AH42:AH48"/>
    <mergeCell ref="AI42:AI48"/>
    <mergeCell ref="AB42:AB48"/>
    <mergeCell ref="AP32:AP39"/>
    <mergeCell ref="AQ32:AQ39"/>
    <mergeCell ref="T37:T39"/>
    <mergeCell ref="U37:U38"/>
    <mergeCell ref="AE32:AE39"/>
    <mergeCell ref="AF32:AF39"/>
    <mergeCell ref="AG32:AG39"/>
    <mergeCell ref="AH32:AH39"/>
    <mergeCell ref="AI32:AI39"/>
    <mergeCell ref="AJ32:AJ39"/>
    <mergeCell ref="Y32:Y39"/>
    <mergeCell ref="Z32:Z39"/>
    <mergeCell ref="AA32:AA39"/>
    <mergeCell ref="AB32:AB39"/>
    <mergeCell ref="AC32:AC39"/>
    <mergeCell ref="AD32:AD39"/>
    <mergeCell ref="T32:T36"/>
    <mergeCell ref="AO28:AO30"/>
    <mergeCell ref="AP28:AP30"/>
    <mergeCell ref="AQ28:AQ30"/>
    <mergeCell ref="H31:K31"/>
    <mergeCell ref="H32:I39"/>
    <mergeCell ref="J32:J39"/>
    <mergeCell ref="K32:K39"/>
    <mergeCell ref="L32:L39"/>
    <mergeCell ref="M32:M39"/>
    <mergeCell ref="N32:N39"/>
    <mergeCell ref="AF28:AF30"/>
    <mergeCell ref="AG28:AG30"/>
    <mergeCell ref="AH28:AH30"/>
    <mergeCell ref="AI28:AI30"/>
    <mergeCell ref="AJ28:AJ30"/>
    <mergeCell ref="AN28:AN30"/>
    <mergeCell ref="Z28:Z30"/>
    <mergeCell ref="AA28:AA30"/>
    <mergeCell ref="AB28:AB30"/>
    <mergeCell ref="AC28:AC30"/>
    <mergeCell ref="AD28:AD30"/>
    <mergeCell ref="AE28:AE30"/>
    <mergeCell ref="T28:T30"/>
    <mergeCell ref="U28:U29"/>
    <mergeCell ref="V28:V29"/>
    <mergeCell ref="W28:W29"/>
    <mergeCell ref="X28:X29"/>
    <mergeCell ref="Y28:Y30"/>
    <mergeCell ref="N28:N30"/>
    <mergeCell ref="O28:O30"/>
    <mergeCell ref="P28:P30"/>
    <mergeCell ref="Q28:Q30"/>
    <mergeCell ref="R28:R30"/>
    <mergeCell ref="S28:S30"/>
    <mergeCell ref="N23:N26"/>
    <mergeCell ref="Q23:Q26"/>
    <mergeCell ref="T23:T26"/>
    <mergeCell ref="U25:U26"/>
    <mergeCell ref="H27:K27"/>
    <mergeCell ref="H28:I30"/>
    <mergeCell ref="J28:J30"/>
    <mergeCell ref="K28:K30"/>
    <mergeCell ref="L28:L30"/>
    <mergeCell ref="M28:M30"/>
    <mergeCell ref="S15:S26"/>
    <mergeCell ref="T15:T18"/>
    <mergeCell ref="AP15:AP26"/>
    <mergeCell ref="AQ15:AQ26"/>
    <mergeCell ref="U16:U17"/>
    <mergeCell ref="J19:J22"/>
    <mergeCell ref="K19:K22"/>
    <mergeCell ref="L19:L22"/>
    <mergeCell ref="M19:M22"/>
    <mergeCell ref="N19:N22"/>
    <mergeCell ref="Q19:Q22"/>
    <mergeCell ref="T19:T22"/>
    <mergeCell ref="AG15:AG26"/>
    <mergeCell ref="AH15:AH26"/>
    <mergeCell ref="AI15:AI26"/>
    <mergeCell ref="AJ15:AJ26"/>
    <mergeCell ref="AN15:AN26"/>
    <mergeCell ref="AO15:AO26"/>
    <mergeCell ref="AA15:AA26"/>
    <mergeCell ref="AB15:AB26"/>
    <mergeCell ref="AC15:AC26"/>
    <mergeCell ref="AD15:AD26"/>
    <mergeCell ref="AE15:AE26"/>
    <mergeCell ref="AF15:AF26"/>
    <mergeCell ref="Q15:Q18"/>
    <mergeCell ref="R15:R26"/>
    <mergeCell ref="Y15:Y26"/>
    <mergeCell ref="Z15:Z26"/>
    <mergeCell ref="U21:U22"/>
    <mergeCell ref="AO12:AO14"/>
    <mergeCell ref="AP12:AP14"/>
    <mergeCell ref="AQ12:AQ14"/>
    <mergeCell ref="J15:J18"/>
    <mergeCell ref="K15:K18"/>
    <mergeCell ref="L15:L18"/>
    <mergeCell ref="M15:M18"/>
    <mergeCell ref="N15:N18"/>
    <mergeCell ref="O15:O26"/>
    <mergeCell ref="P15:P26"/>
    <mergeCell ref="AI12:AI14"/>
    <mergeCell ref="AJ12:AJ14"/>
    <mergeCell ref="AK12:AK14"/>
    <mergeCell ref="AL12:AL14"/>
    <mergeCell ref="AM12:AM14"/>
    <mergeCell ref="AN12:AN14"/>
    <mergeCell ref="AC12:AC14"/>
    <mergeCell ref="AD12:AD14"/>
    <mergeCell ref="AE12:AE14"/>
    <mergeCell ref="AF12:AF14"/>
    <mergeCell ref="AG12:AG14"/>
    <mergeCell ref="AH12:AH14"/>
    <mergeCell ref="T12:T14"/>
    <mergeCell ref="U12:U13"/>
    <mergeCell ref="Y12:Y14"/>
    <mergeCell ref="Z12:Z14"/>
    <mergeCell ref="AA12:AA14"/>
    <mergeCell ref="AB12:AB14"/>
    <mergeCell ref="N12:N14"/>
    <mergeCell ref="O12:O14"/>
    <mergeCell ref="P12:P14"/>
    <mergeCell ref="Q12:Q14"/>
    <mergeCell ref="R12:R14"/>
    <mergeCell ref="S12:S14"/>
    <mergeCell ref="G12:G26"/>
    <mergeCell ref="H12:I26"/>
    <mergeCell ref="J12:J14"/>
    <mergeCell ref="K12:K14"/>
    <mergeCell ref="L12:L14"/>
    <mergeCell ref="M12:M14"/>
    <mergeCell ref="J23:J26"/>
    <mergeCell ref="K23:K26"/>
    <mergeCell ref="L23:L26"/>
    <mergeCell ref="M23:M26"/>
    <mergeCell ref="B9:D9"/>
    <mergeCell ref="AO9:AQ9"/>
    <mergeCell ref="E10:K10"/>
    <mergeCell ref="AO10:AQ10"/>
    <mergeCell ref="H11:K11"/>
    <mergeCell ref="AO11:AQ11"/>
    <mergeCell ref="AE7:AJ7"/>
    <mergeCell ref="AK7:AM7"/>
    <mergeCell ref="AN7:AN8"/>
    <mergeCell ref="AO7:AO8"/>
    <mergeCell ref="AP7:AP8"/>
    <mergeCell ref="AQ7:AQ8"/>
    <mergeCell ref="U7:U8"/>
    <mergeCell ref="V7:V8"/>
    <mergeCell ref="W7:W8"/>
    <mergeCell ref="X7:X8"/>
    <mergeCell ref="Y7:Z7"/>
    <mergeCell ref="AA7:AD7"/>
    <mergeCell ref="O7:O8"/>
    <mergeCell ref="P7:P8"/>
    <mergeCell ref="Q7:Q8"/>
    <mergeCell ref="R7:R8"/>
    <mergeCell ref="S7:S8"/>
    <mergeCell ref="T7:T8"/>
    <mergeCell ref="H7:I8"/>
    <mergeCell ref="J7:J8"/>
    <mergeCell ref="K7:K8"/>
    <mergeCell ref="L7:L8"/>
    <mergeCell ref="M7:M8"/>
    <mergeCell ref="N7:N8"/>
    <mergeCell ref="A1:AO4"/>
    <mergeCell ref="A5:M6"/>
    <mergeCell ref="P5:AQ5"/>
    <mergeCell ref="P6:X6"/>
    <mergeCell ref="AO6:AQ6"/>
    <mergeCell ref="A7:A8"/>
    <mergeCell ref="B7:C8"/>
    <mergeCell ref="D7:D8"/>
    <mergeCell ref="E7:F8"/>
    <mergeCell ref="G7:G8"/>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7"/>
  <sheetViews>
    <sheetView showGridLines="0" zoomScale="60" zoomScaleNormal="60" workbookViewId="0">
      <selection activeCell="M16" sqref="M16:M20"/>
    </sheetView>
  </sheetViews>
  <sheetFormatPr baseColWidth="10" defaultColWidth="11.42578125" defaultRowHeight="15" x14ac:dyDescent="0.2"/>
  <cols>
    <col min="1" max="1" width="15.28515625" style="850" customWidth="1"/>
    <col min="2" max="2" width="4.5703125" style="2" customWidth="1"/>
    <col min="3" max="3" width="15" style="2" customWidth="1"/>
    <col min="4" max="4" width="16.7109375" style="2" customWidth="1"/>
    <col min="5" max="5" width="10.7109375" style="2" customWidth="1"/>
    <col min="6" max="6" width="8.140625" style="2" customWidth="1"/>
    <col min="7" max="7" width="15" style="2" customWidth="1"/>
    <col min="8" max="8" width="5" style="2" customWidth="1"/>
    <col min="9" max="9" width="20.7109375" style="2" customWidth="1"/>
    <col min="10" max="10" width="17.7109375" style="2" customWidth="1"/>
    <col min="11" max="11" width="42.42578125" style="354" customWidth="1"/>
    <col min="12" max="12" width="32.7109375" style="184" customWidth="1"/>
    <col min="13" max="13" width="12.7109375" style="38" customWidth="1"/>
    <col min="14" max="14" width="34.140625" style="38" customWidth="1"/>
    <col min="15" max="15" width="22.28515625" style="355" customWidth="1"/>
    <col min="16" max="16" width="26.85546875" style="354" customWidth="1"/>
    <col min="17" max="17" width="16.5703125" style="851" customWidth="1"/>
    <col min="18" max="18" width="30.85546875" style="852" customWidth="1"/>
    <col min="19" max="19" width="23.5703125" style="354" customWidth="1"/>
    <col min="20" max="20" width="30.5703125" style="354" customWidth="1"/>
    <col min="21" max="21" width="38.5703125" style="354" customWidth="1"/>
    <col min="22" max="22" width="29.5703125" style="357" customWidth="1"/>
    <col min="23" max="23" width="12.5703125" style="359" customWidth="1"/>
    <col min="24" max="24" width="18" style="360" customWidth="1"/>
    <col min="25" max="25" width="11" style="854" customWidth="1"/>
    <col min="26" max="26" width="11.85546875" style="854" customWidth="1"/>
    <col min="27" max="27" width="12.7109375" style="2" customWidth="1"/>
    <col min="28" max="28" width="11.28515625" style="2" customWidth="1"/>
    <col min="29" max="29" width="12.5703125" style="2" customWidth="1"/>
    <col min="30" max="30" width="10.140625" style="2" customWidth="1"/>
    <col min="31" max="39" width="7.5703125" style="2" customWidth="1"/>
    <col min="40" max="40" width="14.85546875" style="854" customWidth="1"/>
    <col min="41" max="41" width="18.85546875" style="855" customWidth="1"/>
    <col min="42" max="42" width="21.28515625" style="855" customWidth="1"/>
    <col min="43" max="43" width="24" style="233" customWidth="1"/>
    <col min="44" max="255" width="11.42578125" style="2"/>
    <col min="256" max="256" width="13.140625" style="2" customWidth="1"/>
    <col min="257" max="257" width="4" style="2" customWidth="1"/>
    <col min="258" max="258" width="12.85546875" style="2" customWidth="1"/>
    <col min="259" max="259" width="14.7109375" style="2" customWidth="1"/>
    <col min="260" max="260" width="10" style="2" customWidth="1"/>
    <col min="261" max="261" width="6.28515625" style="2" customWidth="1"/>
    <col min="262" max="262" width="12.28515625" style="2" customWidth="1"/>
    <col min="263" max="263" width="8.5703125" style="2" customWidth="1"/>
    <col min="264" max="264" width="13.7109375" style="2" customWidth="1"/>
    <col min="265" max="265" width="11.5703125" style="2" customWidth="1"/>
    <col min="266" max="266" width="24.7109375" style="2" customWidth="1"/>
    <col min="267" max="267" width="17.42578125" style="2" customWidth="1"/>
    <col min="268" max="268" width="20.85546875" style="2" customWidth="1"/>
    <col min="269" max="269" width="26.85546875" style="2" customWidth="1"/>
    <col min="270" max="270" width="8" style="2" customWidth="1"/>
    <col min="271" max="271" width="25" style="2" customWidth="1"/>
    <col min="272" max="272" width="12.7109375" style="2" customWidth="1"/>
    <col min="273" max="273" width="16.42578125" style="2" customWidth="1"/>
    <col min="274" max="274" width="23.5703125" style="2" customWidth="1"/>
    <col min="275" max="275" width="33.7109375" style="2" customWidth="1"/>
    <col min="276" max="276" width="31.140625" style="2" customWidth="1"/>
    <col min="277" max="277" width="19.28515625" style="2" customWidth="1"/>
    <col min="278" max="278" width="11.7109375" style="2" customWidth="1"/>
    <col min="279" max="279" width="15.42578125" style="2" customWidth="1"/>
    <col min="280" max="280" width="5.5703125" style="2" customWidth="1"/>
    <col min="281" max="281" width="4.7109375" style="2" customWidth="1"/>
    <col min="282" max="283" width="7.28515625" style="2" customWidth="1"/>
    <col min="284" max="284" width="8.42578125" style="2" customWidth="1"/>
    <col min="285" max="285" width="9.5703125" style="2" customWidth="1"/>
    <col min="286" max="286" width="6.28515625" style="2" customWidth="1"/>
    <col min="287" max="287" width="5.85546875" style="2" customWidth="1"/>
    <col min="288" max="289" width="4.42578125" style="2" customWidth="1"/>
    <col min="290" max="290" width="5" style="2" customWidth="1"/>
    <col min="291" max="291" width="5.85546875" style="2" customWidth="1"/>
    <col min="292" max="292" width="6.140625" style="2" customWidth="1"/>
    <col min="293" max="293" width="6.28515625" style="2" customWidth="1"/>
    <col min="294" max="294" width="4.85546875" style="2" customWidth="1"/>
    <col min="295" max="295" width="8.140625" style="2" customWidth="1"/>
    <col min="296" max="296" width="11.5703125" style="2" customWidth="1"/>
    <col min="297" max="297" width="13.7109375" style="2" customWidth="1"/>
    <col min="298" max="298" width="20.85546875" style="2" customWidth="1"/>
    <col min="299" max="511" width="11.42578125" style="2"/>
    <col min="512" max="512" width="13.140625" style="2" customWidth="1"/>
    <col min="513" max="513" width="4" style="2" customWidth="1"/>
    <col min="514" max="514" width="12.85546875" style="2" customWidth="1"/>
    <col min="515" max="515" width="14.7109375" style="2" customWidth="1"/>
    <col min="516" max="516" width="10" style="2" customWidth="1"/>
    <col min="517" max="517" width="6.28515625" style="2" customWidth="1"/>
    <col min="518" max="518" width="12.28515625" style="2" customWidth="1"/>
    <col min="519" max="519" width="8.5703125" style="2" customWidth="1"/>
    <col min="520" max="520" width="13.7109375" style="2" customWidth="1"/>
    <col min="521" max="521" width="11.5703125" style="2" customWidth="1"/>
    <col min="522" max="522" width="24.7109375" style="2" customWidth="1"/>
    <col min="523" max="523" width="17.42578125" style="2" customWidth="1"/>
    <col min="524" max="524" width="20.85546875" style="2" customWidth="1"/>
    <col min="525" max="525" width="26.85546875" style="2" customWidth="1"/>
    <col min="526" max="526" width="8" style="2" customWidth="1"/>
    <col min="527" max="527" width="25" style="2" customWidth="1"/>
    <col min="528" max="528" width="12.7109375" style="2" customWidth="1"/>
    <col min="529" max="529" width="16.42578125" style="2" customWidth="1"/>
    <col min="530" max="530" width="23.5703125" style="2" customWidth="1"/>
    <col min="531" max="531" width="33.7109375" style="2" customWidth="1"/>
    <col min="532" max="532" width="31.140625" style="2" customWidth="1"/>
    <col min="533" max="533" width="19.28515625" style="2" customWidth="1"/>
    <col min="534" max="534" width="11.7109375" style="2" customWidth="1"/>
    <col min="535" max="535" width="15.42578125" style="2" customWidth="1"/>
    <col min="536" max="536" width="5.5703125" style="2" customWidth="1"/>
    <col min="537" max="537" width="4.7109375" style="2" customWidth="1"/>
    <col min="538" max="539" width="7.28515625" style="2" customWidth="1"/>
    <col min="540" max="540" width="8.42578125" style="2" customWidth="1"/>
    <col min="541" max="541" width="9.5703125" style="2" customWidth="1"/>
    <col min="542" max="542" width="6.28515625" style="2" customWidth="1"/>
    <col min="543" max="543" width="5.85546875" style="2" customWidth="1"/>
    <col min="544" max="545" width="4.42578125" style="2" customWidth="1"/>
    <col min="546" max="546" width="5" style="2" customWidth="1"/>
    <col min="547" max="547" width="5.85546875" style="2" customWidth="1"/>
    <col min="548" max="548" width="6.140625" style="2" customWidth="1"/>
    <col min="549" max="549" width="6.28515625" style="2" customWidth="1"/>
    <col min="550" max="550" width="4.85546875" style="2" customWidth="1"/>
    <col min="551" max="551" width="8.140625" style="2" customWidth="1"/>
    <col min="552" max="552" width="11.5703125" style="2" customWidth="1"/>
    <col min="553" max="553" width="13.7109375" style="2" customWidth="1"/>
    <col min="554" max="554" width="20.85546875" style="2" customWidth="1"/>
    <col min="555" max="767" width="11.42578125" style="2"/>
    <col min="768" max="768" width="13.140625" style="2" customWidth="1"/>
    <col min="769" max="769" width="4" style="2" customWidth="1"/>
    <col min="770" max="770" width="12.85546875" style="2" customWidth="1"/>
    <col min="771" max="771" width="14.7109375" style="2" customWidth="1"/>
    <col min="772" max="772" width="10" style="2" customWidth="1"/>
    <col min="773" max="773" width="6.28515625" style="2" customWidth="1"/>
    <col min="774" max="774" width="12.28515625" style="2" customWidth="1"/>
    <col min="775" max="775" width="8.5703125" style="2" customWidth="1"/>
    <col min="776" max="776" width="13.7109375" style="2" customWidth="1"/>
    <col min="777" max="777" width="11.5703125" style="2" customWidth="1"/>
    <col min="778" max="778" width="24.7109375" style="2" customWidth="1"/>
    <col min="779" max="779" width="17.42578125" style="2" customWidth="1"/>
    <col min="780" max="780" width="20.85546875" style="2" customWidth="1"/>
    <col min="781" max="781" width="26.85546875" style="2" customWidth="1"/>
    <col min="782" max="782" width="8" style="2" customWidth="1"/>
    <col min="783" max="783" width="25" style="2" customWidth="1"/>
    <col min="784" max="784" width="12.7109375" style="2" customWidth="1"/>
    <col min="785" max="785" width="16.42578125" style="2" customWidth="1"/>
    <col min="786" max="786" width="23.5703125" style="2" customWidth="1"/>
    <col min="787" max="787" width="33.7109375" style="2" customWidth="1"/>
    <col min="788" max="788" width="31.140625" style="2" customWidth="1"/>
    <col min="789" max="789" width="19.28515625" style="2" customWidth="1"/>
    <col min="790" max="790" width="11.7109375" style="2" customWidth="1"/>
    <col min="791" max="791" width="15.42578125" style="2" customWidth="1"/>
    <col min="792" max="792" width="5.5703125" style="2" customWidth="1"/>
    <col min="793" max="793" width="4.7109375" style="2" customWidth="1"/>
    <col min="794" max="795" width="7.28515625" style="2" customWidth="1"/>
    <col min="796" max="796" width="8.42578125" style="2" customWidth="1"/>
    <col min="797" max="797" width="9.5703125" style="2" customWidth="1"/>
    <col min="798" max="798" width="6.28515625" style="2" customWidth="1"/>
    <col min="799" max="799" width="5.85546875" style="2" customWidth="1"/>
    <col min="800" max="801" width="4.42578125" style="2" customWidth="1"/>
    <col min="802" max="802" width="5" style="2" customWidth="1"/>
    <col min="803" max="803" width="5.85546875" style="2" customWidth="1"/>
    <col min="804" max="804" width="6.140625" style="2" customWidth="1"/>
    <col min="805" max="805" width="6.28515625" style="2" customWidth="1"/>
    <col min="806" max="806" width="4.85546875" style="2" customWidth="1"/>
    <col min="807" max="807" width="8.140625" style="2" customWidth="1"/>
    <col min="808" max="808" width="11.5703125" style="2" customWidth="1"/>
    <col min="809" max="809" width="13.7109375" style="2" customWidth="1"/>
    <col min="810" max="810" width="20.85546875" style="2" customWidth="1"/>
    <col min="811" max="1023" width="11.42578125" style="2"/>
    <col min="1024" max="1024" width="13.140625" style="2" customWidth="1"/>
    <col min="1025" max="1025" width="4" style="2" customWidth="1"/>
    <col min="1026" max="1026" width="12.85546875" style="2" customWidth="1"/>
    <col min="1027" max="1027" width="14.7109375" style="2" customWidth="1"/>
    <col min="1028" max="1028" width="10" style="2" customWidth="1"/>
    <col min="1029" max="1029" width="6.28515625" style="2" customWidth="1"/>
    <col min="1030" max="1030" width="12.28515625" style="2" customWidth="1"/>
    <col min="1031" max="1031" width="8.5703125" style="2" customWidth="1"/>
    <col min="1032" max="1032" width="13.7109375" style="2" customWidth="1"/>
    <col min="1033" max="1033" width="11.5703125" style="2" customWidth="1"/>
    <col min="1034" max="1034" width="24.7109375" style="2" customWidth="1"/>
    <col min="1035" max="1035" width="17.42578125" style="2" customWidth="1"/>
    <col min="1036" max="1036" width="20.85546875" style="2" customWidth="1"/>
    <col min="1037" max="1037" width="26.85546875" style="2" customWidth="1"/>
    <col min="1038" max="1038" width="8" style="2" customWidth="1"/>
    <col min="1039" max="1039" width="25" style="2" customWidth="1"/>
    <col min="1040" max="1040" width="12.7109375" style="2" customWidth="1"/>
    <col min="1041" max="1041" width="16.42578125" style="2" customWidth="1"/>
    <col min="1042" max="1042" width="23.5703125" style="2" customWidth="1"/>
    <col min="1043" max="1043" width="33.7109375" style="2" customWidth="1"/>
    <col min="1044" max="1044" width="31.140625" style="2" customWidth="1"/>
    <col min="1045" max="1045" width="19.28515625" style="2" customWidth="1"/>
    <col min="1046" max="1046" width="11.7109375" style="2" customWidth="1"/>
    <col min="1047" max="1047" width="15.42578125" style="2" customWidth="1"/>
    <col min="1048" max="1048" width="5.5703125" style="2" customWidth="1"/>
    <col min="1049" max="1049" width="4.7109375" style="2" customWidth="1"/>
    <col min="1050" max="1051" width="7.28515625" style="2" customWidth="1"/>
    <col min="1052" max="1052" width="8.42578125" style="2" customWidth="1"/>
    <col min="1053" max="1053" width="9.5703125" style="2" customWidth="1"/>
    <col min="1054" max="1054" width="6.28515625" style="2" customWidth="1"/>
    <col min="1055" max="1055" width="5.85546875" style="2" customWidth="1"/>
    <col min="1056" max="1057" width="4.42578125" style="2" customWidth="1"/>
    <col min="1058" max="1058" width="5" style="2" customWidth="1"/>
    <col min="1059" max="1059" width="5.85546875" style="2" customWidth="1"/>
    <col min="1060" max="1060" width="6.140625" style="2" customWidth="1"/>
    <col min="1061" max="1061" width="6.28515625" style="2" customWidth="1"/>
    <col min="1062" max="1062" width="4.85546875" style="2" customWidth="1"/>
    <col min="1063" max="1063" width="8.140625" style="2" customWidth="1"/>
    <col min="1064" max="1064" width="11.5703125" style="2" customWidth="1"/>
    <col min="1065" max="1065" width="13.7109375" style="2" customWidth="1"/>
    <col min="1066" max="1066" width="20.85546875" style="2" customWidth="1"/>
    <col min="1067" max="1279" width="11.42578125" style="2"/>
    <col min="1280" max="1280" width="13.140625" style="2" customWidth="1"/>
    <col min="1281" max="1281" width="4" style="2" customWidth="1"/>
    <col min="1282" max="1282" width="12.85546875" style="2" customWidth="1"/>
    <col min="1283" max="1283" width="14.7109375" style="2" customWidth="1"/>
    <col min="1284" max="1284" width="10" style="2" customWidth="1"/>
    <col min="1285" max="1285" width="6.28515625" style="2" customWidth="1"/>
    <col min="1286" max="1286" width="12.28515625" style="2" customWidth="1"/>
    <col min="1287" max="1287" width="8.5703125" style="2" customWidth="1"/>
    <col min="1288" max="1288" width="13.7109375" style="2" customWidth="1"/>
    <col min="1289" max="1289" width="11.5703125" style="2" customWidth="1"/>
    <col min="1290" max="1290" width="24.7109375" style="2" customWidth="1"/>
    <col min="1291" max="1291" width="17.42578125" style="2" customWidth="1"/>
    <col min="1292" max="1292" width="20.85546875" style="2" customWidth="1"/>
    <col min="1293" max="1293" width="26.85546875" style="2" customWidth="1"/>
    <col min="1294" max="1294" width="8" style="2" customWidth="1"/>
    <col min="1295" max="1295" width="25" style="2" customWidth="1"/>
    <col min="1296" max="1296" width="12.7109375" style="2" customWidth="1"/>
    <col min="1297" max="1297" width="16.42578125" style="2" customWidth="1"/>
    <col min="1298" max="1298" width="23.5703125" style="2" customWidth="1"/>
    <col min="1299" max="1299" width="33.7109375" style="2" customWidth="1"/>
    <col min="1300" max="1300" width="31.140625" style="2" customWidth="1"/>
    <col min="1301" max="1301" width="19.28515625" style="2" customWidth="1"/>
    <col min="1302" max="1302" width="11.7109375" style="2" customWidth="1"/>
    <col min="1303" max="1303" width="15.42578125" style="2" customWidth="1"/>
    <col min="1304" max="1304" width="5.5703125" style="2" customWidth="1"/>
    <col min="1305" max="1305" width="4.7109375" style="2" customWidth="1"/>
    <col min="1306" max="1307" width="7.28515625" style="2" customWidth="1"/>
    <col min="1308" max="1308" width="8.42578125" style="2" customWidth="1"/>
    <col min="1309" max="1309" width="9.5703125" style="2" customWidth="1"/>
    <col min="1310" max="1310" width="6.28515625" style="2" customWidth="1"/>
    <col min="1311" max="1311" width="5.85546875" style="2" customWidth="1"/>
    <col min="1312" max="1313" width="4.42578125" style="2" customWidth="1"/>
    <col min="1314" max="1314" width="5" style="2" customWidth="1"/>
    <col min="1315" max="1315" width="5.85546875" style="2" customWidth="1"/>
    <col min="1316" max="1316" width="6.140625" style="2" customWidth="1"/>
    <col min="1317" max="1317" width="6.28515625" style="2" customWidth="1"/>
    <col min="1318" max="1318" width="4.85546875" style="2" customWidth="1"/>
    <col min="1319" max="1319" width="8.140625" style="2" customWidth="1"/>
    <col min="1320" max="1320" width="11.5703125" style="2" customWidth="1"/>
    <col min="1321" max="1321" width="13.7109375" style="2" customWidth="1"/>
    <col min="1322" max="1322" width="20.85546875" style="2" customWidth="1"/>
    <col min="1323" max="1535" width="11.42578125" style="2"/>
    <col min="1536" max="1536" width="13.140625" style="2" customWidth="1"/>
    <col min="1537" max="1537" width="4" style="2" customWidth="1"/>
    <col min="1538" max="1538" width="12.85546875" style="2" customWidth="1"/>
    <col min="1539" max="1539" width="14.7109375" style="2" customWidth="1"/>
    <col min="1540" max="1540" width="10" style="2" customWidth="1"/>
    <col min="1541" max="1541" width="6.28515625" style="2" customWidth="1"/>
    <col min="1542" max="1542" width="12.28515625" style="2" customWidth="1"/>
    <col min="1543" max="1543" width="8.5703125" style="2" customWidth="1"/>
    <col min="1544" max="1544" width="13.7109375" style="2" customWidth="1"/>
    <col min="1545" max="1545" width="11.5703125" style="2" customWidth="1"/>
    <col min="1546" max="1546" width="24.7109375" style="2" customWidth="1"/>
    <col min="1547" max="1547" width="17.42578125" style="2" customWidth="1"/>
    <col min="1548" max="1548" width="20.85546875" style="2" customWidth="1"/>
    <col min="1549" max="1549" width="26.85546875" style="2" customWidth="1"/>
    <col min="1550" max="1550" width="8" style="2" customWidth="1"/>
    <col min="1551" max="1551" width="25" style="2" customWidth="1"/>
    <col min="1552" max="1552" width="12.7109375" style="2" customWidth="1"/>
    <col min="1553" max="1553" width="16.42578125" style="2" customWidth="1"/>
    <col min="1554" max="1554" width="23.5703125" style="2" customWidth="1"/>
    <col min="1555" max="1555" width="33.7109375" style="2" customWidth="1"/>
    <col min="1556" max="1556" width="31.140625" style="2" customWidth="1"/>
    <col min="1557" max="1557" width="19.28515625" style="2" customWidth="1"/>
    <col min="1558" max="1558" width="11.7109375" style="2" customWidth="1"/>
    <col min="1559" max="1559" width="15.42578125" style="2" customWidth="1"/>
    <col min="1560" max="1560" width="5.5703125" style="2" customWidth="1"/>
    <col min="1561" max="1561" width="4.7109375" style="2" customWidth="1"/>
    <col min="1562" max="1563" width="7.28515625" style="2" customWidth="1"/>
    <col min="1564" max="1564" width="8.42578125" style="2" customWidth="1"/>
    <col min="1565" max="1565" width="9.5703125" style="2" customWidth="1"/>
    <col min="1566" max="1566" width="6.28515625" style="2" customWidth="1"/>
    <col min="1567" max="1567" width="5.85546875" style="2" customWidth="1"/>
    <col min="1568" max="1569" width="4.42578125" style="2" customWidth="1"/>
    <col min="1570" max="1570" width="5" style="2" customWidth="1"/>
    <col min="1571" max="1571" width="5.85546875" style="2" customWidth="1"/>
    <col min="1572" max="1572" width="6.140625" style="2" customWidth="1"/>
    <col min="1573" max="1573" width="6.28515625" style="2" customWidth="1"/>
    <col min="1574" max="1574" width="4.85546875" style="2" customWidth="1"/>
    <col min="1575" max="1575" width="8.140625" style="2" customWidth="1"/>
    <col min="1576" max="1576" width="11.5703125" style="2" customWidth="1"/>
    <col min="1577" max="1577" width="13.7109375" style="2" customWidth="1"/>
    <col min="1578" max="1578" width="20.85546875" style="2" customWidth="1"/>
    <col min="1579" max="1791" width="11.42578125" style="2"/>
    <col min="1792" max="1792" width="13.140625" style="2" customWidth="1"/>
    <col min="1793" max="1793" width="4" style="2" customWidth="1"/>
    <col min="1794" max="1794" width="12.85546875" style="2" customWidth="1"/>
    <col min="1795" max="1795" width="14.7109375" style="2" customWidth="1"/>
    <col min="1796" max="1796" width="10" style="2" customWidth="1"/>
    <col min="1797" max="1797" width="6.28515625" style="2" customWidth="1"/>
    <col min="1798" max="1798" width="12.28515625" style="2" customWidth="1"/>
    <col min="1799" max="1799" width="8.5703125" style="2" customWidth="1"/>
    <col min="1800" max="1800" width="13.7109375" style="2" customWidth="1"/>
    <col min="1801" max="1801" width="11.5703125" style="2" customWidth="1"/>
    <col min="1802" max="1802" width="24.7109375" style="2" customWidth="1"/>
    <col min="1803" max="1803" width="17.42578125" style="2" customWidth="1"/>
    <col min="1804" max="1804" width="20.85546875" style="2" customWidth="1"/>
    <col min="1805" max="1805" width="26.85546875" style="2" customWidth="1"/>
    <col min="1806" max="1806" width="8" style="2" customWidth="1"/>
    <col min="1807" max="1807" width="25" style="2" customWidth="1"/>
    <col min="1808" max="1808" width="12.7109375" style="2" customWidth="1"/>
    <col min="1809" max="1809" width="16.42578125" style="2" customWidth="1"/>
    <col min="1810" max="1810" width="23.5703125" style="2" customWidth="1"/>
    <col min="1811" max="1811" width="33.7109375" style="2" customWidth="1"/>
    <col min="1812" max="1812" width="31.140625" style="2" customWidth="1"/>
    <col min="1813" max="1813" width="19.28515625" style="2" customWidth="1"/>
    <col min="1814" max="1814" width="11.7109375" style="2" customWidth="1"/>
    <col min="1815" max="1815" width="15.42578125" style="2" customWidth="1"/>
    <col min="1816" max="1816" width="5.5703125" style="2" customWidth="1"/>
    <col min="1817" max="1817" width="4.7109375" style="2" customWidth="1"/>
    <col min="1818" max="1819" width="7.28515625" style="2" customWidth="1"/>
    <col min="1820" max="1820" width="8.42578125" style="2" customWidth="1"/>
    <col min="1821" max="1821" width="9.5703125" style="2" customWidth="1"/>
    <col min="1822" max="1822" width="6.28515625" style="2" customWidth="1"/>
    <col min="1823" max="1823" width="5.85546875" style="2" customWidth="1"/>
    <col min="1824" max="1825" width="4.42578125" style="2" customWidth="1"/>
    <col min="1826" max="1826" width="5" style="2" customWidth="1"/>
    <col min="1827" max="1827" width="5.85546875" style="2" customWidth="1"/>
    <col min="1828" max="1828" width="6.140625" style="2" customWidth="1"/>
    <col min="1829" max="1829" width="6.28515625" style="2" customWidth="1"/>
    <col min="1830" max="1830" width="4.85546875" style="2" customWidth="1"/>
    <col min="1831" max="1831" width="8.140625" style="2" customWidth="1"/>
    <col min="1832" max="1832" width="11.5703125" style="2" customWidth="1"/>
    <col min="1833" max="1833" width="13.7109375" style="2" customWidth="1"/>
    <col min="1834" max="1834" width="20.85546875" style="2" customWidth="1"/>
    <col min="1835" max="2047" width="11.42578125" style="2"/>
    <col min="2048" max="2048" width="13.140625" style="2" customWidth="1"/>
    <col min="2049" max="2049" width="4" style="2" customWidth="1"/>
    <col min="2050" max="2050" width="12.85546875" style="2" customWidth="1"/>
    <col min="2051" max="2051" width="14.7109375" style="2" customWidth="1"/>
    <col min="2052" max="2052" width="10" style="2" customWidth="1"/>
    <col min="2053" max="2053" width="6.28515625" style="2" customWidth="1"/>
    <col min="2054" max="2054" width="12.28515625" style="2" customWidth="1"/>
    <col min="2055" max="2055" width="8.5703125" style="2" customWidth="1"/>
    <col min="2056" max="2056" width="13.7109375" style="2" customWidth="1"/>
    <col min="2057" max="2057" width="11.5703125" style="2" customWidth="1"/>
    <col min="2058" max="2058" width="24.7109375" style="2" customWidth="1"/>
    <col min="2059" max="2059" width="17.42578125" style="2" customWidth="1"/>
    <col min="2060" max="2060" width="20.85546875" style="2" customWidth="1"/>
    <col min="2061" max="2061" width="26.85546875" style="2" customWidth="1"/>
    <col min="2062" max="2062" width="8" style="2" customWidth="1"/>
    <col min="2063" max="2063" width="25" style="2" customWidth="1"/>
    <col min="2064" max="2064" width="12.7109375" style="2" customWidth="1"/>
    <col min="2065" max="2065" width="16.42578125" style="2" customWidth="1"/>
    <col min="2066" max="2066" width="23.5703125" style="2" customWidth="1"/>
    <col min="2067" max="2067" width="33.7109375" style="2" customWidth="1"/>
    <col min="2068" max="2068" width="31.140625" style="2" customWidth="1"/>
    <col min="2069" max="2069" width="19.28515625" style="2" customWidth="1"/>
    <col min="2070" max="2070" width="11.7109375" style="2" customWidth="1"/>
    <col min="2071" max="2071" width="15.42578125" style="2" customWidth="1"/>
    <col min="2072" max="2072" width="5.5703125" style="2" customWidth="1"/>
    <col min="2073" max="2073" width="4.7109375" style="2" customWidth="1"/>
    <col min="2074" max="2075" width="7.28515625" style="2" customWidth="1"/>
    <col min="2076" max="2076" width="8.42578125" style="2" customWidth="1"/>
    <col min="2077" max="2077" width="9.5703125" style="2" customWidth="1"/>
    <col min="2078" max="2078" width="6.28515625" style="2" customWidth="1"/>
    <col min="2079" max="2079" width="5.85546875" style="2" customWidth="1"/>
    <col min="2080" max="2081" width="4.42578125" style="2" customWidth="1"/>
    <col min="2082" max="2082" width="5" style="2" customWidth="1"/>
    <col min="2083" max="2083" width="5.85546875" style="2" customWidth="1"/>
    <col min="2084" max="2084" width="6.140625" style="2" customWidth="1"/>
    <col min="2085" max="2085" width="6.28515625" style="2" customWidth="1"/>
    <col min="2086" max="2086" width="4.85546875" style="2" customWidth="1"/>
    <col min="2087" max="2087" width="8.140625" style="2" customWidth="1"/>
    <col min="2088" max="2088" width="11.5703125" style="2" customWidth="1"/>
    <col min="2089" max="2089" width="13.7109375" style="2" customWidth="1"/>
    <col min="2090" max="2090" width="20.85546875" style="2" customWidth="1"/>
    <col min="2091" max="2303" width="11.42578125" style="2"/>
    <col min="2304" max="2304" width="13.140625" style="2" customWidth="1"/>
    <col min="2305" max="2305" width="4" style="2" customWidth="1"/>
    <col min="2306" max="2306" width="12.85546875" style="2" customWidth="1"/>
    <col min="2307" max="2307" width="14.7109375" style="2" customWidth="1"/>
    <col min="2308" max="2308" width="10" style="2" customWidth="1"/>
    <col min="2309" max="2309" width="6.28515625" style="2" customWidth="1"/>
    <col min="2310" max="2310" width="12.28515625" style="2" customWidth="1"/>
    <col min="2311" max="2311" width="8.5703125" style="2" customWidth="1"/>
    <col min="2312" max="2312" width="13.7109375" style="2" customWidth="1"/>
    <col min="2313" max="2313" width="11.5703125" style="2" customWidth="1"/>
    <col min="2314" max="2314" width="24.7109375" style="2" customWidth="1"/>
    <col min="2315" max="2315" width="17.42578125" style="2" customWidth="1"/>
    <col min="2316" max="2316" width="20.85546875" style="2" customWidth="1"/>
    <col min="2317" max="2317" width="26.85546875" style="2" customWidth="1"/>
    <col min="2318" max="2318" width="8" style="2" customWidth="1"/>
    <col min="2319" max="2319" width="25" style="2" customWidth="1"/>
    <col min="2320" max="2320" width="12.7109375" style="2" customWidth="1"/>
    <col min="2321" max="2321" width="16.42578125" style="2" customWidth="1"/>
    <col min="2322" max="2322" width="23.5703125" style="2" customWidth="1"/>
    <col min="2323" max="2323" width="33.7109375" style="2" customWidth="1"/>
    <col min="2324" max="2324" width="31.140625" style="2" customWidth="1"/>
    <col min="2325" max="2325" width="19.28515625" style="2" customWidth="1"/>
    <col min="2326" max="2326" width="11.7109375" style="2" customWidth="1"/>
    <col min="2327" max="2327" width="15.42578125" style="2" customWidth="1"/>
    <col min="2328" max="2328" width="5.5703125" style="2" customWidth="1"/>
    <col min="2329" max="2329" width="4.7109375" style="2" customWidth="1"/>
    <col min="2330" max="2331" width="7.28515625" style="2" customWidth="1"/>
    <col min="2332" max="2332" width="8.42578125" style="2" customWidth="1"/>
    <col min="2333" max="2333" width="9.5703125" style="2" customWidth="1"/>
    <col min="2334" max="2334" width="6.28515625" style="2" customWidth="1"/>
    <col min="2335" max="2335" width="5.85546875" style="2" customWidth="1"/>
    <col min="2336" max="2337" width="4.42578125" style="2" customWidth="1"/>
    <col min="2338" max="2338" width="5" style="2" customWidth="1"/>
    <col min="2339" max="2339" width="5.85546875" style="2" customWidth="1"/>
    <col min="2340" max="2340" width="6.140625" style="2" customWidth="1"/>
    <col min="2341" max="2341" width="6.28515625" style="2" customWidth="1"/>
    <col min="2342" max="2342" width="4.85546875" style="2" customWidth="1"/>
    <col min="2343" max="2343" width="8.140625" style="2" customWidth="1"/>
    <col min="2344" max="2344" width="11.5703125" style="2" customWidth="1"/>
    <col min="2345" max="2345" width="13.7109375" style="2" customWidth="1"/>
    <col min="2346" max="2346" width="20.85546875" style="2" customWidth="1"/>
    <col min="2347" max="2559" width="11.42578125" style="2"/>
    <col min="2560" max="2560" width="13.140625" style="2" customWidth="1"/>
    <col min="2561" max="2561" width="4" style="2" customWidth="1"/>
    <col min="2562" max="2562" width="12.85546875" style="2" customWidth="1"/>
    <col min="2563" max="2563" width="14.7109375" style="2" customWidth="1"/>
    <col min="2564" max="2564" width="10" style="2" customWidth="1"/>
    <col min="2565" max="2565" width="6.28515625" style="2" customWidth="1"/>
    <col min="2566" max="2566" width="12.28515625" style="2" customWidth="1"/>
    <col min="2567" max="2567" width="8.5703125" style="2" customWidth="1"/>
    <col min="2568" max="2568" width="13.7109375" style="2" customWidth="1"/>
    <col min="2569" max="2569" width="11.5703125" style="2" customWidth="1"/>
    <col min="2570" max="2570" width="24.7109375" style="2" customWidth="1"/>
    <col min="2571" max="2571" width="17.42578125" style="2" customWidth="1"/>
    <col min="2572" max="2572" width="20.85546875" style="2" customWidth="1"/>
    <col min="2573" max="2573" width="26.85546875" style="2" customWidth="1"/>
    <col min="2574" max="2574" width="8" style="2" customWidth="1"/>
    <col min="2575" max="2575" width="25" style="2" customWidth="1"/>
    <col min="2576" max="2576" width="12.7109375" style="2" customWidth="1"/>
    <col min="2577" max="2577" width="16.42578125" style="2" customWidth="1"/>
    <col min="2578" max="2578" width="23.5703125" style="2" customWidth="1"/>
    <col min="2579" max="2579" width="33.7109375" style="2" customWidth="1"/>
    <col min="2580" max="2580" width="31.140625" style="2" customWidth="1"/>
    <col min="2581" max="2581" width="19.28515625" style="2" customWidth="1"/>
    <col min="2582" max="2582" width="11.7109375" style="2" customWidth="1"/>
    <col min="2583" max="2583" width="15.42578125" style="2" customWidth="1"/>
    <col min="2584" max="2584" width="5.5703125" style="2" customWidth="1"/>
    <col min="2585" max="2585" width="4.7109375" style="2" customWidth="1"/>
    <col min="2586" max="2587" width="7.28515625" style="2" customWidth="1"/>
    <col min="2588" max="2588" width="8.42578125" style="2" customWidth="1"/>
    <col min="2589" max="2589" width="9.5703125" style="2" customWidth="1"/>
    <col min="2590" max="2590" width="6.28515625" style="2" customWidth="1"/>
    <col min="2591" max="2591" width="5.85546875" style="2" customWidth="1"/>
    <col min="2592" max="2593" width="4.42578125" style="2" customWidth="1"/>
    <col min="2594" max="2594" width="5" style="2" customWidth="1"/>
    <col min="2595" max="2595" width="5.85546875" style="2" customWidth="1"/>
    <col min="2596" max="2596" width="6.140625" style="2" customWidth="1"/>
    <col min="2597" max="2597" width="6.28515625" style="2" customWidth="1"/>
    <col min="2598" max="2598" width="4.85546875" style="2" customWidth="1"/>
    <col min="2599" max="2599" width="8.140625" style="2" customWidth="1"/>
    <col min="2600" max="2600" width="11.5703125" style="2" customWidth="1"/>
    <col min="2601" max="2601" width="13.7109375" style="2" customWidth="1"/>
    <col min="2602" max="2602" width="20.85546875" style="2" customWidth="1"/>
    <col min="2603" max="2815" width="11.42578125" style="2"/>
    <col min="2816" max="2816" width="13.140625" style="2" customWidth="1"/>
    <col min="2817" max="2817" width="4" style="2" customWidth="1"/>
    <col min="2818" max="2818" width="12.85546875" style="2" customWidth="1"/>
    <col min="2819" max="2819" width="14.7109375" style="2" customWidth="1"/>
    <col min="2820" max="2820" width="10" style="2" customWidth="1"/>
    <col min="2821" max="2821" width="6.28515625" style="2" customWidth="1"/>
    <col min="2822" max="2822" width="12.28515625" style="2" customWidth="1"/>
    <col min="2823" max="2823" width="8.5703125" style="2" customWidth="1"/>
    <col min="2824" max="2824" width="13.7109375" style="2" customWidth="1"/>
    <col min="2825" max="2825" width="11.5703125" style="2" customWidth="1"/>
    <col min="2826" max="2826" width="24.7109375" style="2" customWidth="1"/>
    <col min="2827" max="2827" width="17.42578125" style="2" customWidth="1"/>
    <col min="2828" max="2828" width="20.85546875" style="2" customWidth="1"/>
    <col min="2829" max="2829" width="26.85546875" style="2" customWidth="1"/>
    <col min="2830" max="2830" width="8" style="2" customWidth="1"/>
    <col min="2831" max="2831" width="25" style="2" customWidth="1"/>
    <col min="2832" max="2832" width="12.7109375" style="2" customWidth="1"/>
    <col min="2833" max="2833" width="16.42578125" style="2" customWidth="1"/>
    <col min="2834" max="2834" width="23.5703125" style="2" customWidth="1"/>
    <col min="2835" max="2835" width="33.7109375" style="2" customWidth="1"/>
    <col min="2836" max="2836" width="31.140625" style="2" customWidth="1"/>
    <col min="2837" max="2837" width="19.28515625" style="2" customWidth="1"/>
    <col min="2838" max="2838" width="11.7109375" style="2" customWidth="1"/>
    <col min="2839" max="2839" width="15.42578125" style="2" customWidth="1"/>
    <col min="2840" max="2840" width="5.5703125" style="2" customWidth="1"/>
    <col min="2841" max="2841" width="4.7109375" style="2" customWidth="1"/>
    <col min="2842" max="2843" width="7.28515625" style="2" customWidth="1"/>
    <col min="2844" max="2844" width="8.42578125" style="2" customWidth="1"/>
    <col min="2845" max="2845" width="9.5703125" style="2" customWidth="1"/>
    <col min="2846" max="2846" width="6.28515625" style="2" customWidth="1"/>
    <col min="2847" max="2847" width="5.85546875" style="2" customWidth="1"/>
    <col min="2848" max="2849" width="4.42578125" style="2" customWidth="1"/>
    <col min="2850" max="2850" width="5" style="2" customWidth="1"/>
    <col min="2851" max="2851" width="5.85546875" style="2" customWidth="1"/>
    <col min="2852" max="2852" width="6.140625" style="2" customWidth="1"/>
    <col min="2853" max="2853" width="6.28515625" style="2" customWidth="1"/>
    <col min="2854" max="2854" width="4.85546875" style="2" customWidth="1"/>
    <col min="2855" max="2855" width="8.140625" style="2" customWidth="1"/>
    <col min="2856" max="2856" width="11.5703125" style="2" customWidth="1"/>
    <col min="2857" max="2857" width="13.7109375" style="2" customWidth="1"/>
    <col min="2858" max="2858" width="20.85546875" style="2" customWidth="1"/>
    <col min="2859" max="3071" width="11.42578125" style="2"/>
    <col min="3072" max="3072" width="13.140625" style="2" customWidth="1"/>
    <col min="3073" max="3073" width="4" style="2" customWidth="1"/>
    <col min="3074" max="3074" width="12.85546875" style="2" customWidth="1"/>
    <col min="3075" max="3075" width="14.7109375" style="2" customWidth="1"/>
    <col min="3076" max="3076" width="10" style="2" customWidth="1"/>
    <col min="3077" max="3077" width="6.28515625" style="2" customWidth="1"/>
    <col min="3078" max="3078" width="12.28515625" style="2" customWidth="1"/>
    <col min="3079" max="3079" width="8.5703125" style="2" customWidth="1"/>
    <col min="3080" max="3080" width="13.7109375" style="2" customWidth="1"/>
    <col min="3081" max="3081" width="11.5703125" style="2" customWidth="1"/>
    <col min="3082" max="3082" width="24.7109375" style="2" customWidth="1"/>
    <col min="3083" max="3083" width="17.42578125" style="2" customWidth="1"/>
    <col min="3084" max="3084" width="20.85546875" style="2" customWidth="1"/>
    <col min="3085" max="3085" width="26.85546875" style="2" customWidth="1"/>
    <col min="3086" max="3086" width="8" style="2" customWidth="1"/>
    <col min="3087" max="3087" width="25" style="2" customWidth="1"/>
    <col min="3088" max="3088" width="12.7109375" style="2" customWidth="1"/>
    <col min="3089" max="3089" width="16.42578125" style="2" customWidth="1"/>
    <col min="3090" max="3090" width="23.5703125" style="2" customWidth="1"/>
    <col min="3091" max="3091" width="33.7109375" style="2" customWidth="1"/>
    <col min="3092" max="3092" width="31.140625" style="2" customWidth="1"/>
    <col min="3093" max="3093" width="19.28515625" style="2" customWidth="1"/>
    <col min="3094" max="3094" width="11.7109375" style="2" customWidth="1"/>
    <col min="3095" max="3095" width="15.42578125" style="2" customWidth="1"/>
    <col min="3096" max="3096" width="5.5703125" style="2" customWidth="1"/>
    <col min="3097" max="3097" width="4.7109375" style="2" customWidth="1"/>
    <col min="3098" max="3099" width="7.28515625" style="2" customWidth="1"/>
    <col min="3100" max="3100" width="8.42578125" style="2" customWidth="1"/>
    <col min="3101" max="3101" width="9.5703125" style="2" customWidth="1"/>
    <col min="3102" max="3102" width="6.28515625" style="2" customWidth="1"/>
    <col min="3103" max="3103" width="5.85546875" style="2" customWidth="1"/>
    <col min="3104" max="3105" width="4.42578125" style="2" customWidth="1"/>
    <col min="3106" max="3106" width="5" style="2" customWidth="1"/>
    <col min="3107" max="3107" width="5.85546875" style="2" customWidth="1"/>
    <col min="3108" max="3108" width="6.140625" style="2" customWidth="1"/>
    <col min="3109" max="3109" width="6.28515625" style="2" customWidth="1"/>
    <col min="3110" max="3110" width="4.85546875" style="2" customWidth="1"/>
    <col min="3111" max="3111" width="8.140625" style="2" customWidth="1"/>
    <col min="3112" max="3112" width="11.5703125" style="2" customWidth="1"/>
    <col min="3113" max="3113" width="13.7109375" style="2" customWidth="1"/>
    <col min="3114" max="3114" width="20.85546875" style="2" customWidth="1"/>
    <col min="3115" max="3327" width="11.42578125" style="2"/>
    <col min="3328" max="3328" width="13.140625" style="2" customWidth="1"/>
    <col min="3329" max="3329" width="4" style="2" customWidth="1"/>
    <col min="3330" max="3330" width="12.85546875" style="2" customWidth="1"/>
    <col min="3331" max="3331" width="14.7109375" style="2" customWidth="1"/>
    <col min="3332" max="3332" width="10" style="2" customWidth="1"/>
    <col min="3333" max="3333" width="6.28515625" style="2" customWidth="1"/>
    <col min="3334" max="3334" width="12.28515625" style="2" customWidth="1"/>
    <col min="3335" max="3335" width="8.5703125" style="2" customWidth="1"/>
    <col min="3336" max="3336" width="13.7109375" style="2" customWidth="1"/>
    <col min="3337" max="3337" width="11.5703125" style="2" customWidth="1"/>
    <col min="3338" max="3338" width="24.7109375" style="2" customWidth="1"/>
    <col min="3339" max="3339" width="17.42578125" style="2" customWidth="1"/>
    <col min="3340" max="3340" width="20.85546875" style="2" customWidth="1"/>
    <col min="3341" max="3341" width="26.85546875" style="2" customWidth="1"/>
    <col min="3342" max="3342" width="8" style="2" customWidth="1"/>
    <col min="3343" max="3343" width="25" style="2" customWidth="1"/>
    <col min="3344" max="3344" width="12.7109375" style="2" customWidth="1"/>
    <col min="3345" max="3345" width="16.42578125" style="2" customWidth="1"/>
    <col min="3346" max="3346" width="23.5703125" style="2" customWidth="1"/>
    <col min="3347" max="3347" width="33.7109375" style="2" customWidth="1"/>
    <col min="3348" max="3348" width="31.140625" style="2" customWidth="1"/>
    <col min="3349" max="3349" width="19.28515625" style="2" customWidth="1"/>
    <col min="3350" max="3350" width="11.7109375" style="2" customWidth="1"/>
    <col min="3351" max="3351" width="15.42578125" style="2" customWidth="1"/>
    <col min="3352" max="3352" width="5.5703125" style="2" customWidth="1"/>
    <col min="3353" max="3353" width="4.7109375" style="2" customWidth="1"/>
    <col min="3354" max="3355" width="7.28515625" style="2" customWidth="1"/>
    <col min="3356" max="3356" width="8.42578125" style="2" customWidth="1"/>
    <col min="3357" max="3357" width="9.5703125" style="2" customWidth="1"/>
    <col min="3358" max="3358" width="6.28515625" style="2" customWidth="1"/>
    <col min="3359" max="3359" width="5.85546875" style="2" customWidth="1"/>
    <col min="3360" max="3361" width="4.42578125" style="2" customWidth="1"/>
    <col min="3362" max="3362" width="5" style="2" customWidth="1"/>
    <col min="3363" max="3363" width="5.85546875" style="2" customWidth="1"/>
    <col min="3364" max="3364" width="6.140625" style="2" customWidth="1"/>
    <col min="3365" max="3365" width="6.28515625" style="2" customWidth="1"/>
    <col min="3366" max="3366" width="4.85546875" style="2" customWidth="1"/>
    <col min="3367" max="3367" width="8.140625" style="2" customWidth="1"/>
    <col min="3368" max="3368" width="11.5703125" style="2" customWidth="1"/>
    <col min="3369" max="3369" width="13.7109375" style="2" customWidth="1"/>
    <col min="3370" max="3370" width="20.85546875" style="2" customWidth="1"/>
    <col min="3371" max="3583" width="11.42578125" style="2"/>
    <col min="3584" max="3584" width="13.140625" style="2" customWidth="1"/>
    <col min="3585" max="3585" width="4" style="2" customWidth="1"/>
    <col min="3586" max="3586" width="12.85546875" style="2" customWidth="1"/>
    <col min="3587" max="3587" width="14.7109375" style="2" customWidth="1"/>
    <col min="3588" max="3588" width="10" style="2" customWidth="1"/>
    <col min="3589" max="3589" width="6.28515625" style="2" customWidth="1"/>
    <col min="3590" max="3590" width="12.28515625" style="2" customWidth="1"/>
    <col min="3591" max="3591" width="8.5703125" style="2" customWidth="1"/>
    <col min="3592" max="3592" width="13.7109375" style="2" customWidth="1"/>
    <col min="3593" max="3593" width="11.5703125" style="2" customWidth="1"/>
    <col min="3594" max="3594" width="24.7109375" style="2" customWidth="1"/>
    <col min="3595" max="3595" width="17.42578125" style="2" customWidth="1"/>
    <col min="3596" max="3596" width="20.85546875" style="2" customWidth="1"/>
    <col min="3597" max="3597" width="26.85546875" style="2" customWidth="1"/>
    <col min="3598" max="3598" width="8" style="2" customWidth="1"/>
    <col min="3599" max="3599" width="25" style="2" customWidth="1"/>
    <col min="3600" max="3600" width="12.7109375" style="2" customWidth="1"/>
    <col min="3601" max="3601" width="16.42578125" style="2" customWidth="1"/>
    <col min="3602" max="3602" width="23.5703125" style="2" customWidth="1"/>
    <col min="3603" max="3603" width="33.7109375" style="2" customWidth="1"/>
    <col min="3604" max="3604" width="31.140625" style="2" customWidth="1"/>
    <col min="3605" max="3605" width="19.28515625" style="2" customWidth="1"/>
    <col min="3606" max="3606" width="11.7109375" style="2" customWidth="1"/>
    <col min="3607" max="3607" width="15.42578125" style="2" customWidth="1"/>
    <col min="3608" max="3608" width="5.5703125" style="2" customWidth="1"/>
    <col min="3609" max="3609" width="4.7109375" style="2" customWidth="1"/>
    <col min="3610" max="3611" width="7.28515625" style="2" customWidth="1"/>
    <col min="3612" max="3612" width="8.42578125" style="2" customWidth="1"/>
    <col min="3613" max="3613" width="9.5703125" style="2" customWidth="1"/>
    <col min="3614" max="3614" width="6.28515625" style="2" customWidth="1"/>
    <col min="3615" max="3615" width="5.85546875" style="2" customWidth="1"/>
    <col min="3616" max="3617" width="4.42578125" style="2" customWidth="1"/>
    <col min="3618" max="3618" width="5" style="2" customWidth="1"/>
    <col min="3619" max="3619" width="5.85546875" style="2" customWidth="1"/>
    <col min="3620" max="3620" width="6.140625" style="2" customWidth="1"/>
    <col min="3621" max="3621" width="6.28515625" style="2" customWidth="1"/>
    <col min="3622" max="3622" width="4.85546875" style="2" customWidth="1"/>
    <col min="3623" max="3623" width="8.140625" style="2" customWidth="1"/>
    <col min="3624" max="3624" width="11.5703125" style="2" customWidth="1"/>
    <col min="3625" max="3625" width="13.7109375" style="2" customWidth="1"/>
    <col min="3626" max="3626" width="20.85546875" style="2" customWidth="1"/>
    <col min="3627" max="3839" width="11.42578125" style="2"/>
    <col min="3840" max="3840" width="13.140625" style="2" customWidth="1"/>
    <col min="3841" max="3841" width="4" style="2" customWidth="1"/>
    <col min="3842" max="3842" width="12.85546875" style="2" customWidth="1"/>
    <col min="3843" max="3843" width="14.7109375" style="2" customWidth="1"/>
    <col min="3844" max="3844" width="10" style="2" customWidth="1"/>
    <col min="3845" max="3845" width="6.28515625" style="2" customWidth="1"/>
    <col min="3846" max="3846" width="12.28515625" style="2" customWidth="1"/>
    <col min="3847" max="3847" width="8.5703125" style="2" customWidth="1"/>
    <col min="3848" max="3848" width="13.7109375" style="2" customWidth="1"/>
    <col min="3849" max="3849" width="11.5703125" style="2" customWidth="1"/>
    <col min="3850" max="3850" width="24.7109375" style="2" customWidth="1"/>
    <col min="3851" max="3851" width="17.42578125" style="2" customWidth="1"/>
    <col min="3852" max="3852" width="20.85546875" style="2" customWidth="1"/>
    <col min="3853" max="3853" width="26.85546875" style="2" customWidth="1"/>
    <col min="3854" max="3854" width="8" style="2" customWidth="1"/>
    <col min="3855" max="3855" width="25" style="2" customWidth="1"/>
    <col min="3856" max="3856" width="12.7109375" style="2" customWidth="1"/>
    <col min="3857" max="3857" width="16.42578125" style="2" customWidth="1"/>
    <col min="3858" max="3858" width="23.5703125" style="2" customWidth="1"/>
    <col min="3859" max="3859" width="33.7109375" style="2" customWidth="1"/>
    <col min="3860" max="3860" width="31.140625" style="2" customWidth="1"/>
    <col min="3861" max="3861" width="19.28515625" style="2" customWidth="1"/>
    <col min="3862" max="3862" width="11.7109375" style="2" customWidth="1"/>
    <col min="3863" max="3863" width="15.42578125" style="2" customWidth="1"/>
    <col min="3864" max="3864" width="5.5703125" style="2" customWidth="1"/>
    <col min="3865" max="3865" width="4.7109375" style="2" customWidth="1"/>
    <col min="3866" max="3867" width="7.28515625" style="2" customWidth="1"/>
    <col min="3868" max="3868" width="8.42578125" style="2" customWidth="1"/>
    <col min="3869" max="3869" width="9.5703125" style="2" customWidth="1"/>
    <col min="3870" max="3870" width="6.28515625" style="2" customWidth="1"/>
    <col min="3871" max="3871" width="5.85546875" style="2" customWidth="1"/>
    <col min="3872" max="3873" width="4.42578125" style="2" customWidth="1"/>
    <col min="3874" max="3874" width="5" style="2" customWidth="1"/>
    <col min="3875" max="3875" width="5.85546875" style="2" customWidth="1"/>
    <col min="3876" max="3876" width="6.140625" style="2" customWidth="1"/>
    <col min="3877" max="3877" width="6.28515625" style="2" customWidth="1"/>
    <col min="3878" max="3878" width="4.85546875" style="2" customWidth="1"/>
    <col min="3879" max="3879" width="8.140625" style="2" customWidth="1"/>
    <col min="3880" max="3880" width="11.5703125" style="2" customWidth="1"/>
    <col min="3881" max="3881" width="13.7109375" style="2" customWidth="1"/>
    <col min="3882" max="3882" width="20.85546875" style="2" customWidth="1"/>
    <col min="3883" max="4095" width="11.42578125" style="2"/>
    <col min="4096" max="4096" width="13.140625" style="2" customWidth="1"/>
    <col min="4097" max="4097" width="4" style="2" customWidth="1"/>
    <col min="4098" max="4098" width="12.85546875" style="2" customWidth="1"/>
    <col min="4099" max="4099" width="14.7109375" style="2" customWidth="1"/>
    <col min="4100" max="4100" width="10" style="2" customWidth="1"/>
    <col min="4101" max="4101" width="6.28515625" style="2" customWidth="1"/>
    <col min="4102" max="4102" width="12.28515625" style="2" customWidth="1"/>
    <col min="4103" max="4103" width="8.5703125" style="2" customWidth="1"/>
    <col min="4104" max="4104" width="13.7109375" style="2" customWidth="1"/>
    <col min="4105" max="4105" width="11.5703125" style="2" customWidth="1"/>
    <col min="4106" max="4106" width="24.7109375" style="2" customWidth="1"/>
    <col min="4107" max="4107" width="17.42578125" style="2" customWidth="1"/>
    <col min="4108" max="4108" width="20.85546875" style="2" customWidth="1"/>
    <col min="4109" max="4109" width="26.85546875" style="2" customWidth="1"/>
    <col min="4110" max="4110" width="8" style="2" customWidth="1"/>
    <col min="4111" max="4111" width="25" style="2" customWidth="1"/>
    <col min="4112" max="4112" width="12.7109375" style="2" customWidth="1"/>
    <col min="4113" max="4113" width="16.42578125" style="2" customWidth="1"/>
    <col min="4114" max="4114" width="23.5703125" style="2" customWidth="1"/>
    <col min="4115" max="4115" width="33.7109375" style="2" customWidth="1"/>
    <col min="4116" max="4116" width="31.140625" style="2" customWidth="1"/>
    <col min="4117" max="4117" width="19.28515625" style="2" customWidth="1"/>
    <col min="4118" max="4118" width="11.7109375" style="2" customWidth="1"/>
    <col min="4119" max="4119" width="15.42578125" style="2" customWidth="1"/>
    <col min="4120" max="4120" width="5.5703125" style="2" customWidth="1"/>
    <col min="4121" max="4121" width="4.7109375" style="2" customWidth="1"/>
    <col min="4122" max="4123" width="7.28515625" style="2" customWidth="1"/>
    <col min="4124" max="4124" width="8.42578125" style="2" customWidth="1"/>
    <col min="4125" max="4125" width="9.5703125" style="2" customWidth="1"/>
    <col min="4126" max="4126" width="6.28515625" style="2" customWidth="1"/>
    <col min="4127" max="4127" width="5.85546875" style="2" customWidth="1"/>
    <col min="4128" max="4129" width="4.42578125" style="2" customWidth="1"/>
    <col min="4130" max="4130" width="5" style="2" customWidth="1"/>
    <col min="4131" max="4131" width="5.85546875" style="2" customWidth="1"/>
    <col min="4132" max="4132" width="6.140625" style="2" customWidth="1"/>
    <col min="4133" max="4133" width="6.28515625" style="2" customWidth="1"/>
    <col min="4134" max="4134" width="4.85546875" style="2" customWidth="1"/>
    <col min="4135" max="4135" width="8.140625" style="2" customWidth="1"/>
    <col min="4136" max="4136" width="11.5703125" style="2" customWidth="1"/>
    <col min="4137" max="4137" width="13.7109375" style="2" customWidth="1"/>
    <col min="4138" max="4138" width="20.85546875" style="2" customWidth="1"/>
    <col min="4139" max="4351" width="11.42578125" style="2"/>
    <col min="4352" max="4352" width="13.140625" style="2" customWidth="1"/>
    <col min="4353" max="4353" width="4" style="2" customWidth="1"/>
    <col min="4354" max="4354" width="12.85546875" style="2" customWidth="1"/>
    <col min="4355" max="4355" width="14.7109375" style="2" customWidth="1"/>
    <col min="4356" max="4356" width="10" style="2" customWidth="1"/>
    <col min="4357" max="4357" width="6.28515625" style="2" customWidth="1"/>
    <col min="4358" max="4358" width="12.28515625" style="2" customWidth="1"/>
    <col min="4359" max="4359" width="8.5703125" style="2" customWidth="1"/>
    <col min="4360" max="4360" width="13.7109375" style="2" customWidth="1"/>
    <col min="4361" max="4361" width="11.5703125" style="2" customWidth="1"/>
    <col min="4362" max="4362" width="24.7109375" style="2" customWidth="1"/>
    <col min="4363" max="4363" width="17.42578125" style="2" customWidth="1"/>
    <col min="4364" max="4364" width="20.85546875" style="2" customWidth="1"/>
    <col min="4365" max="4365" width="26.85546875" style="2" customWidth="1"/>
    <col min="4366" max="4366" width="8" style="2" customWidth="1"/>
    <col min="4367" max="4367" width="25" style="2" customWidth="1"/>
    <col min="4368" max="4368" width="12.7109375" style="2" customWidth="1"/>
    <col min="4369" max="4369" width="16.42578125" style="2" customWidth="1"/>
    <col min="4370" max="4370" width="23.5703125" style="2" customWidth="1"/>
    <col min="4371" max="4371" width="33.7109375" style="2" customWidth="1"/>
    <col min="4372" max="4372" width="31.140625" style="2" customWidth="1"/>
    <col min="4373" max="4373" width="19.28515625" style="2" customWidth="1"/>
    <col min="4374" max="4374" width="11.7109375" style="2" customWidth="1"/>
    <col min="4375" max="4375" width="15.42578125" style="2" customWidth="1"/>
    <col min="4376" max="4376" width="5.5703125" style="2" customWidth="1"/>
    <col min="4377" max="4377" width="4.7109375" style="2" customWidth="1"/>
    <col min="4378" max="4379" width="7.28515625" style="2" customWidth="1"/>
    <col min="4380" max="4380" width="8.42578125" style="2" customWidth="1"/>
    <col min="4381" max="4381" width="9.5703125" style="2" customWidth="1"/>
    <col min="4382" max="4382" width="6.28515625" style="2" customWidth="1"/>
    <col min="4383" max="4383" width="5.85546875" style="2" customWidth="1"/>
    <col min="4384" max="4385" width="4.42578125" style="2" customWidth="1"/>
    <col min="4386" max="4386" width="5" style="2" customWidth="1"/>
    <col min="4387" max="4387" width="5.85546875" style="2" customWidth="1"/>
    <col min="4388" max="4388" width="6.140625" style="2" customWidth="1"/>
    <col min="4389" max="4389" width="6.28515625" style="2" customWidth="1"/>
    <col min="4390" max="4390" width="4.85546875" style="2" customWidth="1"/>
    <col min="4391" max="4391" width="8.140625" style="2" customWidth="1"/>
    <col min="4392" max="4392" width="11.5703125" style="2" customWidth="1"/>
    <col min="4393" max="4393" width="13.7109375" style="2" customWidth="1"/>
    <col min="4394" max="4394" width="20.85546875" style="2" customWidth="1"/>
    <col min="4395" max="4607" width="11.42578125" style="2"/>
    <col min="4608" max="4608" width="13.140625" style="2" customWidth="1"/>
    <col min="4609" max="4609" width="4" style="2" customWidth="1"/>
    <col min="4610" max="4610" width="12.85546875" style="2" customWidth="1"/>
    <col min="4611" max="4611" width="14.7109375" style="2" customWidth="1"/>
    <col min="4612" max="4612" width="10" style="2" customWidth="1"/>
    <col min="4613" max="4613" width="6.28515625" style="2" customWidth="1"/>
    <col min="4614" max="4614" width="12.28515625" style="2" customWidth="1"/>
    <col min="4615" max="4615" width="8.5703125" style="2" customWidth="1"/>
    <col min="4616" max="4616" width="13.7109375" style="2" customWidth="1"/>
    <col min="4617" max="4617" width="11.5703125" style="2" customWidth="1"/>
    <col min="4618" max="4618" width="24.7109375" style="2" customWidth="1"/>
    <col min="4619" max="4619" width="17.42578125" style="2" customWidth="1"/>
    <col min="4620" max="4620" width="20.85546875" style="2" customWidth="1"/>
    <col min="4621" max="4621" width="26.85546875" style="2" customWidth="1"/>
    <col min="4622" max="4622" width="8" style="2" customWidth="1"/>
    <col min="4623" max="4623" width="25" style="2" customWidth="1"/>
    <col min="4624" max="4624" width="12.7109375" style="2" customWidth="1"/>
    <col min="4625" max="4625" width="16.42578125" style="2" customWidth="1"/>
    <col min="4626" max="4626" width="23.5703125" style="2" customWidth="1"/>
    <col min="4627" max="4627" width="33.7109375" style="2" customWidth="1"/>
    <col min="4628" max="4628" width="31.140625" style="2" customWidth="1"/>
    <col min="4629" max="4629" width="19.28515625" style="2" customWidth="1"/>
    <col min="4630" max="4630" width="11.7109375" style="2" customWidth="1"/>
    <col min="4631" max="4631" width="15.42578125" style="2" customWidth="1"/>
    <col min="4632" max="4632" width="5.5703125" style="2" customWidth="1"/>
    <col min="4633" max="4633" width="4.7109375" style="2" customWidth="1"/>
    <col min="4634" max="4635" width="7.28515625" style="2" customWidth="1"/>
    <col min="4636" max="4636" width="8.42578125" style="2" customWidth="1"/>
    <col min="4637" max="4637" width="9.5703125" style="2" customWidth="1"/>
    <col min="4638" max="4638" width="6.28515625" style="2" customWidth="1"/>
    <col min="4639" max="4639" width="5.85546875" style="2" customWidth="1"/>
    <col min="4640" max="4641" width="4.42578125" style="2" customWidth="1"/>
    <col min="4642" max="4642" width="5" style="2" customWidth="1"/>
    <col min="4643" max="4643" width="5.85546875" style="2" customWidth="1"/>
    <col min="4644" max="4644" width="6.140625" style="2" customWidth="1"/>
    <col min="4645" max="4645" width="6.28515625" style="2" customWidth="1"/>
    <col min="4646" max="4646" width="4.85546875" style="2" customWidth="1"/>
    <col min="4647" max="4647" width="8.140625" style="2" customWidth="1"/>
    <col min="4648" max="4648" width="11.5703125" style="2" customWidth="1"/>
    <col min="4649" max="4649" width="13.7109375" style="2" customWidth="1"/>
    <col min="4650" max="4650" width="20.85546875" style="2" customWidth="1"/>
    <col min="4651" max="4863" width="11.42578125" style="2"/>
    <col min="4864" max="4864" width="13.140625" style="2" customWidth="1"/>
    <col min="4865" max="4865" width="4" style="2" customWidth="1"/>
    <col min="4866" max="4866" width="12.85546875" style="2" customWidth="1"/>
    <col min="4867" max="4867" width="14.7109375" style="2" customWidth="1"/>
    <col min="4868" max="4868" width="10" style="2" customWidth="1"/>
    <col min="4869" max="4869" width="6.28515625" style="2" customWidth="1"/>
    <col min="4870" max="4870" width="12.28515625" style="2" customWidth="1"/>
    <col min="4871" max="4871" width="8.5703125" style="2" customWidth="1"/>
    <col min="4872" max="4872" width="13.7109375" style="2" customWidth="1"/>
    <col min="4873" max="4873" width="11.5703125" style="2" customWidth="1"/>
    <col min="4874" max="4874" width="24.7109375" style="2" customWidth="1"/>
    <col min="4875" max="4875" width="17.42578125" style="2" customWidth="1"/>
    <col min="4876" max="4876" width="20.85546875" style="2" customWidth="1"/>
    <col min="4877" max="4877" width="26.85546875" style="2" customWidth="1"/>
    <col min="4878" max="4878" width="8" style="2" customWidth="1"/>
    <col min="4879" max="4879" width="25" style="2" customWidth="1"/>
    <col min="4880" max="4880" width="12.7109375" style="2" customWidth="1"/>
    <col min="4881" max="4881" width="16.42578125" style="2" customWidth="1"/>
    <col min="4882" max="4882" width="23.5703125" style="2" customWidth="1"/>
    <col min="4883" max="4883" width="33.7109375" style="2" customWidth="1"/>
    <col min="4884" max="4884" width="31.140625" style="2" customWidth="1"/>
    <col min="4885" max="4885" width="19.28515625" style="2" customWidth="1"/>
    <col min="4886" max="4886" width="11.7109375" style="2" customWidth="1"/>
    <col min="4887" max="4887" width="15.42578125" style="2" customWidth="1"/>
    <col min="4888" max="4888" width="5.5703125" style="2" customWidth="1"/>
    <col min="4889" max="4889" width="4.7109375" style="2" customWidth="1"/>
    <col min="4890" max="4891" width="7.28515625" style="2" customWidth="1"/>
    <col min="4892" max="4892" width="8.42578125" style="2" customWidth="1"/>
    <col min="4893" max="4893" width="9.5703125" style="2" customWidth="1"/>
    <col min="4894" max="4894" width="6.28515625" style="2" customWidth="1"/>
    <col min="4895" max="4895" width="5.85546875" style="2" customWidth="1"/>
    <col min="4896" max="4897" width="4.42578125" style="2" customWidth="1"/>
    <col min="4898" max="4898" width="5" style="2" customWidth="1"/>
    <col min="4899" max="4899" width="5.85546875" style="2" customWidth="1"/>
    <col min="4900" max="4900" width="6.140625" style="2" customWidth="1"/>
    <col min="4901" max="4901" width="6.28515625" style="2" customWidth="1"/>
    <col min="4902" max="4902" width="4.85546875" style="2" customWidth="1"/>
    <col min="4903" max="4903" width="8.140625" style="2" customWidth="1"/>
    <col min="4904" max="4904" width="11.5703125" style="2" customWidth="1"/>
    <col min="4905" max="4905" width="13.7109375" style="2" customWidth="1"/>
    <col min="4906" max="4906" width="20.85546875" style="2" customWidth="1"/>
    <col min="4907" max="5119" width="11.42578125" style="2"/>
    <col min="5120" max="5120" width="13.140625" style="2" customWidth="1"/>
    <col min="5121" max="5121" width="4" style="2" customWidth="1"/>
    <col min="5122" max="5122" width="12.85546875" style="2" customWidth="1"/>
    <col min="5123" max="5123" width="14.7109375" style="2" customWidth="1"/>
    <col min="5124" max="5124" width="10" style="2" customWidth="1"/>
    <col min="5125" max="5125" width="6.28515625" style="2" customWidth="1"/>
    <col min="5126" max="5126" width="12.28515625" style="2" customWidth="1"/>
    <col min="5127" max="5127" width="8.5703125" style="2" customWidth="1"/>
    <col min="5128" max="5128" width="13.7109375" style="2" customWidth="1"/>
    <col min="5129" max="5129" width="11.5703125" style="2" customWidth="1"/>
    <col min="5130" max="5130" width="24.7109375" style="2" customWidth="1"/>
    <col min="5131" max="5131" width="17.42578125" style="2" customWidth="1"/>
    <col min="5132" max="5132" width="20.85546875" style="2" customWidth="1"/>
    <col min="5133" max="5133" width="26.85546875" style="2" customWidth="1"/>
    <col min="5134" max="5134" width="8" style="2" customWidth="1"/>
    <col min="5135" max="5135" width="25" style="2" customWidth="1"/>
    <col min="5136" max="5136" width="12.7109375" style="2" customWidth="1"/>
    <col min="5137" max="5137" width="16.42578125" style="2" customWidth="1"/>
    <col min="5138" max="5138" width="23.5703125" style="2" customWidth="1"/>
    <col min="5139" max="5139" width="33.7109375" style="2" customWidth="1"/>
    <col min="5140" max="5140" width="31.140625" style="2" customWidth="1"/>
    <col min="5141" max="5141" width="19.28515625" style="2" customWidth="1"/>
    <col min="5142" max="5142" width="11.7109375" style="2" customWidth="1"/>
    <col min="5143" max="5143" width="15.42578125" style="2" customWidth="1"/>
    <col min="5144" max="5144" width="5.5703125" style="2" customWidth="1"/>
    <col min="5145" max="5145" width="4.7109375" style="2" customWidth="1"/>
    <col min="5146" max="5147" width="7.28515625" style="2" customWidth="1"/>
    <col min="5148" max="5148" width="8.42578125" style="2" customWidth="1"/>
    <col min="5149" max="5149" width="9.5703125" style="2" customWidth="1"/>
    <col min="5150" max="5150" width="6.28515625" style="2" customWidth="1"/>
    <col min="5151" max="5151" width="5.85546875" style="2" customWidth="1"/>
    <col min="5152" max="5153" width="4.42578125" style="2" customWidth="1"/>
    <col min="5154" max="5154" width="5" style="2" customWidth="1"/>
    <col min="5155" max="5155" width="5.85546875" style="2" customWidth="1"/>
    <col min="5156" max="5156" width="6.140625" style="2" customWidth="1"/>
    <col min="5157" max="5157" width="6.28515625" style="2" customWidth="1"/>
    <col min="5158" max="5158" width="4.85546875" style="2" customWidth="1"/>
    <col min="5159" max="5159" width="8.140625" style="2" customWidth="1"/>
    <col min="5160" max="5160" width="11.5703125" style="2" customWidth="1"/>
    <col min="5161" max="5161" width="13.7109375" style="2" customWidth="1"/>
    <col min="5162" max="5162" width="20.85546875" style="2" customWidth="1"/>
    <col min="5163" max="5375" width="11.42578125" style="2"/>
    <col min="5376" max="5376" width="13.140625" style="2" customWidth="1"/>
    <col min="5377" max="5377" width="4" style="2" customWidth="1"/>
    <col min="5378" max="5378" width="12.85546875" style="2" customWidth="1"/>
    <col min="5379" max="5379" width="14.7109375" style="2" customWidth="1"/>
    <col min="5380" max="5380" width="10" style="2" customWidth="1"/>
    <col min="5381" max="5381" width="6.28515625" style="2" customWidth="1"/>
    <col min="5382" max="5382" width="12.28515625" style="2" customWidth="1"/>
    <col min="5383" max="5383" width="8.5703125" style="2" customWidth="1"/>
    <col min="5384" max="5384" width="13.7109375" style="2" customWidth="1"/>
    <col min="5385" max="5385" width="11.5703125" style="2" customWidth="1"/>
    <col min="5386" max="5386" width="24.7109375" style="2" customWidth="1"/>
    <col min="5387" max="5387" width="17.42578125" style="2" customWidth="1"/>
    <col min="5388" max="5388" width="20.85546875" style="2" customWidth="1"/>
    <col min="5389" max="5389" width="26.85546875" style="2" customWidth="1"/>
    <col min="5390" max="5390" width="8" style="2" customWidth="1"/>
    <col min="5391" max="5391" width="25" style="2" customWidth="1"/>
    <col min="5392" max="5392" width="12.7109375" style="2" customWidth="1"/>
    <col min="5393" max="5393" width="16.42578125" style="2" customWidth="1"/>
    <col min="5394" max="5394" width="23.5703125" style="2" customWidth="1"/>
    <col min="5395" max="5395" width="33.7109375" style="2" customWidth="1"/>
    <col min="5396" max="5396" width="31.140625" style="2" customWidth="1"/>
    <col min="5397" max="5397" width="19.28515625" style="2" customWidth="1"/>
    <col min="5398" max="5398" width="11.7109375" style="2" customWidth="1"/>
    <col min="5399" max="5399" width="15.42578125" style="2" customWidth="1"/>
    <col min="5400" max="5400" width="5.5703125" style="2" customWidth="1"/>
    <col min="5401" max="5401" width="4.7109375" style="2" customWidth="1"/>
    <col min="5402" max="5403" width="7.28515625" style="2" customWidth="1"/>
    <col min="5404" max="5404" width="8.42578125" style="2" customWidth="1"/>
    <col min="5405" max="5405" width="9.5703125" style="2" customWidth="1"/>
    <col min="5406" max="5406" width="6.28515625" style="2" customWidth="1"/>
    <col min="5407" max="5407" width="5.85546875" style="2" customWidth="1"/>
    <col min="5408" max="5409" width="4.42578125" style="2" customWidth="1"/>
    <col min="5410" max="5410" width="5" style="2" customWidth="1"/>
    <col min="5411" max="5411" width="5.85546875" style="2" customWidth="1"/>
    <col min="5412" max="5412" width="6.140625" style="2" customWidth="1"/>
    <col min="5413" max="5413" width="6.28515625" style="2" customWidth="1"/>
    <col min="5414" max="5414" width="4.85546875" style="2" customWidth="1"/>
    <col min="5415" max="5415" width="8.140625" style="2" customWidth="1"/>
    <col min="5416" max="5416" width="11.5703125" style="2" customWidth="1"/>
    <col min="5417" max="5417" width="13.7109375" style="2" customWidth="1"/>
    <col min="5418" max="5418" width="20.85546875" style="2" customWidth="1"/>
    <col min="5419" max="5631" width="11.42578125" style="2"/>
    <col min="5632" max="5632" width="13.140625" style="2" customWidth="1"/>
    <col min="5633" max="5633" width="4" style="2" customWidth="1"/>
    <col min="5634" max="5634" width="12.85546875" style="2" customWidth="1"/>
    <col min="5635" max="5635" width="14.7109375" style="2" customWidth="1"/>
    <col min="5636" max="5636" width="10" style="2" customWidth="1"/>
    <col min="5637" max="5637" width="6.28515625" style="2" customWidth="1"/>
    <col min="5638" max="5638" width="12.28515625" style="2" customWidth="1"/>
    <col min="5639" max="5639" width="8.5703125" style="2" customWidth="1"/>
    <col min="5640" max="5640" width="13.7109375" style="2" customWidth="1"/>
    <col min="5641" max="5641" width="11.5703125" style="2" customWidth="1"/>
    <col min="5642" max="5642" width="24.7109375" style="2" customWidth="1"/>
    <col min="5643" max="5643" width="17.42578125" style="2" customWidth="1"/>
    <col min="5644" max="5644" width="20.85546875" style="2" customWidth="1"/>
    <col min="5645" max="5645" width="26.85546875" style="2" customWidth="1"/>
    <col min="5646" max="5646" width="8" style="2" customWidth="1"/>
    <col min="5647" max="5647" width="25" style="2" customWidth="1"/>
    <col min="5648" max="5648" width="12.7109375" style="2" customWidth="1"/>
    <col min="5649" max="5649" width="16.42578125" style="2" customWidth="1"/>
    <col min="5650" max="5650" width="23.5703125" style="2" customWidth="1"/>
    <col min="5651" max="5651" width="33.7109375" style="2" customWidth="1"/>
    <col min="5652" max="5652" width="31.140625" style="2" customWidth="1"/>
    <col min="5653" max="5653" width="19.28515625" style="2" customWidth="1"/>
    <col min="5654" max="5654" width="11.7109375" style="2" customWidth="1"/>
    <col min="5655" max="5655" width="15.42578125" style="2" customWidth="1"/>
    <col min="5656" max="5656" width="5.5703125" style="2" customWidth="1"/>
    <col min="5657" max="5657" width="4.7109375" style="2" customWidth="1"/>
    <col min="5658" max="5659" width="7.28515625" style="2" customWidth="1"/>
    <col min="5660" max="5660" width="8.42578125" style="2" customWidth="1"/>
    <col min="5661" max="5661" width="9.5703125" style="2" customWidth="1"/>
    <col min="5662" max="5662" width="6.28515625" style="2" customWidth="1"/>
    <col min="5663" max="5663" width="5.85546875" style="2" customWidth="1"/>
    <col min="5664" max="5665" width="4.42578125" style="2" customWidth="1"/>
    <col min="5666" max="5666" width="5" style="2" customWidth="1"/>
    <col min="5667" max="5667" width="5.85546875" style="2" customWidth="1"/>
    <col min="5668" max="5668" width="6.140625" style="2" customWidth="1"/>
    <col min="5669" max="5669" width="6.28515625" style="2" customWidth="1"/>
    <col min="5670" max="5670" width="4.85546875" style="2" customWidth="1"/>
    <col min="5671" max="5671" width="8.140625" style="2" customWidth="1"/>
    <col min="5672" max="5672" width="11.5703125" style="2" customWidth="1"/>
    <col min="5673" max="5673" width="13.7109375" style="2" customWidth="1"/>
    <col min="5674" max="5674" width="20.85546875" style="2" customWidth="1"/>
    <col min="5675" max="5887" width="11.42578125" style="2"/>
    <col min="5888" max="5888" width="13.140625" style="2" customWidth="1"/>
    <col min="5889" max="5889" width="4" style="2" customWidth="1"/>
    <col min="5890" max="5890" width="12.85546875" style="2" customWidth="1"/>
    <col min="5891" max="5891" width="14.7109375" style="2" customWidth="1"/>
    <col min="5892" max="5892" width="10" style="2" customWidth="1"/>
    <col min="5893" max="5893" width="6.28515625" style="2" customWidth="1"/>
    <col min="5894" max="5894" width="12.28515625" style="2" customWidth="1"/>
    <col min="5895" max="5895" width="8.5703125" style="2" customWidth="1"/>
    <col min="5896" max="5896" width="13.7109375" style="2" customWidth="1"/>
    <col min="5897" max="5897" width="11.5703125" style="2" customWidth="1"/>
    <col min="5898" max="5898" width="24.7109375" style="2" customWidth="1"/>
    <col min="5899" max="5899" width="17.42578125" style="2" customWidth="1"/>
    <col min="5900" max="5900" width="20.85546875" style="2" customWidth="1"/>
    <col min="5901" max="5901" width="26.85546875" style="2" customWidth="1"/>
    <col min="5902" max="5902" width="8" style="2" customWidth="1"/>
    <col min="5903" max="5903" width="25" style="2" customWidth="1"/>
    <col min="5904" max="5904" width="12.7109375" style="2" customWidth="1"/>
    <col min="5905" max="5905" width="16.42578125" style="2" customWidth="1"/>
    <col min="5906" max="5906" width="23.5703125" style="2" customWidth="1"/>
    <col min="5907" max="5907" width="33.7109375" style="2" customWidth="1"/>
    <col min="5908" max="5908" width="31.140625" style="2" customWidth="1"/>
    <col min="5909" max="5909" width="19.28515625" style="2" customWidth="1"/>
    <col min="5910" max="5910" width="11.7109375" style="2" customWidth="1"/>
    <col min="5911" max="5911" width="15.42578125" style="2" customWidth="1"/>
    <col min="5912" max="5912" width="5.5703125" style="2" customWidth="1"/>
    <col min="5913" max="5913" width="4.7109375" style="2" customWidth="1"/>
    <col min="5914" max="5915" width="7.28515625" style="2" customWidth="1"/>
    <col min="5916" max="5916" width="8.42578125" style="2" customWidth="1"/>
    <col min="5917" max="5917" width="9.5703125" style="2" customWidth="1"/>
    <col min="5918" max="5918" width="6.28515625" style="2" customWidth="1"/>
    <col min="5919" max="5919" width="5.85546875" style="2" customWidth="1"/>
    <col min="5920" max="5921" width="4.42578125" style="2" customWidth="1"/>
    <col min="5922" max="5922" width="5" style="2" customWidth="1"/>
    <col min="5923" max="5923" width="5.85546875" style="2" customWidth="1"/>
    <col min="5924" max="5924" width="6.140625" style="2" customWidth="1"/>
    <col min="5925" max="5925" width="6.28515625" style="2" customWidth="1"/>
    <col min="5926" max="5926" width="4.85546875" style="2" customWidth="1"/>
    <col min="5927" max="5927" width="8.140625" style="2" customWidth="1"/>
    <col min="5928" max="5928" width="11.5703125" style="2" customWidth="1"/>
    <col min="5929" max="5929" width="13.7109375" style="2" customWidth="1"/>
    <col min="5930" max="5930" width="20.85546875" style="2" customWidth="1"/>
    <col min="5931" max="6143" width="11.42578125" style="2"/>
    <col min="6144" max="6144" width="13.140625" style="2" customWidth="1"/>
    <col min="6145" max="6145" width="4" style="2" customWidth="1"/>
    <col min="6146" max="6146" width="12.85546875" style="2" customWidth="1"/>
    <col min="6147" max="6147" width="14.7109375" style="2" customWidth="1"/>
    <col min="6148" max="6148" width="10" style="2" customWidth="1"/>
    <col min="6149" max="6149" width="6.28515625" style="2" customWidth="1"/>
    <col min="6150" max="6150" width="12.28515625" style="2" customWidth="1"/>
    <col min="6151" max="6151" width="8.5703125" style="2" customWidth="1"/>
    <col min="6152" max="6152" width="13.7109375" style="2" customWidth="1"/>
    <col min="6153" max="6153" width="11.5703125" style="2" customWidth="1"/>
    <col min="6154" max="6154" width="24.7109375" style="2" customWidth="1"/>
    <col min="6155" max="6155" width="17.42578125" style="2" customWidth="1"/>
    <col min="6156" max="6156" width="20.85546875" style="2" customWidth="1"/>
    <col min="6157" max="6157" width="26.85546875" style="2" customWidth="1"/>
    <col min="6158" max="6158" width="8" style="2" customWidth="1"/>
    <col min="6159" max="6159" width="25" style="2" customWidth="1"/>
    <col min="6160" max="6160" width="12.7109375" style="2" customWidth="1"/>
    <col min="6161" max="6161" width="16.42578125" style="2" customWidth="1"/>
    <col min="6162" max="6162" width="23.5703125" style="2" customWidth="1"/>
    <col min="6163" max="6163" width="33.7109375" style="2" customWidth="1"/>
    <col min="6164" max="6164" width="31.140625" style="2" customWidth="1"/>
    <col min="6165" max="6165" width="19.28515625" style="2" customWidth="1"/>
    <col min="6166" max="6166" width="11.7109375" style="2" customWidth="1"/>
    <col min="6167" max="6167" width="15.42578125" style="2" customWidth="1"/>
    <col min="6168" max="6168" width="5.5703125" style="2" customWidth="1"/>
    <col min="6169" max="6169" width="4.7109375" style="2" customWidth="1"/>
    <col min="6170" max="6171" width="7.28515625" style="2" customWidth="1"/>
    <col min="6172" max="6172" width="8.42578125" style="2" customWidth="1"/>
    <col min="6173" max="6173" width="9.5703125" style="2" customWidth="1"/>
    <col min="6174" max="6174" width="6.28515625" style="2" customWidth="1"/>
    <col min="6175" max="6175" width="5.85546875" style="2" customWidth="1"/>
    <col min="6176" max="6177" width="4.42578125" style="2" customWidth="1"/>
    <col min="6178" max="6178" width="5" style="2" customWidth="1"/>
    <col min="6179" max="6179" width="5.85546875" style="2" customWidth="1"/>
    <col min="6180" max="6180" width="6.140625" style="2" customWidth="1"/>
    <col min="6181" max="6181" width="6.28515625" style="2" customWidth="1"/>
    <col min="6182" max="6182" width="4.85546875" style="2" customWidth="1"/>
    <col min="6183" max="6183" width="8.140625" style="2" customWidth="1"/>
    <col min="6184" max="6184" width="11.5703125" style="2" customWidth="1"/>
    <col min="6185" max="6185" width="13.7109375" style="2" customWidth="1"/>
    <col min="6186" max="6186" width="20.85546875" style="2" customWidth="1"/>
    <col min="6187" max="6399" width="11.42578125" style="2"/>
    <col min="6400" max="6400" width="13.140625" style="2" customWidth="1"/>
    <col min="6401" max="6401" width="4" style="2" customWidth="1"/>
    <col min="6402" max="6402" width="12.85546875" style="2" customWidth="1"/>
    <col min="6403" max="6403" width="14.7109375" style="2" customWidth="1"/>
    <col min="6404" max="6404" width="10" style="2" customWidth="1"/>
    <col min="6405" max="6405" width="6.28515625" style="2" customWidth="1"/>
    <col min="6406" max="6406" width="12.28515625" style="2" customWidth="1"/>
    <col min="6407" max="6407" width="8.5703125" style="2" customWidth="1"/>
    <col min="6408" max="6408" width="13.7109375" style="2" customWidth="1"/>
    <col min="6409" max="6409" width="11.5703125" style="2" customWidth="1"/>
    <col min="6410" max="6410" width="24.7109375" style="2" customWidth="1"/>
    <col min="6411" max="6411" width="17.42578125" style="2" customWidth="1"/>
    <col min="6412" max="6412" width="20.85546875" style="2" customWidth="1"/>
    <col min="6413" max="6413" width="26.85546875" style="2" customWidth="1"/>
    <col min="6414" max="6414" width="8" style="2" customWidth="1"/>
    <col min="6415" max="6415" width="25" style="2" customWidth="1"/>
    <col min="6416" max="6416" width="12.7109375" style="2" customWidth="1"/>
    <col min="6417" max="6417" width="16.42578125" style="2" customWidth="1"/>
    <col min="6418" max="6418" width="23.5703125" style="2" customWidth="1"/>
    <col min="6419" max="6419" width="33.7109375" style="2" customWidth="1"/>
    <col min="6420" max="6420" width="31.140625" style="2" customWidth="1"/>
    <col min="6421" max="6421" width="19.28515625" style="2" customWidth="1"/>
    <col min="6422" max="6422" width="11.7109375" style="2" customWidth="1"/>
    <col min="6423" max="6423" width="15.42578125" style="2" customWidth="1"/>
    <col min="6424" max="6424" width="5.5703125" style="2" customWidth="1"/>
    <col min="6425" max="6425" width="4.7109375" style="2" customWidth="1"/>
    <col min="6426" max="6427" width="7.28515625" style="2" customWidth="1"/>
    <col min="6428" max="6428" width="8.42578125" style="2" customWidth="1"/>
    <col min="6429" max="6429" width="9.5703125" style="2" customWidth="1"/>
    <col min="6430" max="6430" width="6.28515625" style="2" customWidth="1"/>
    <col min="6431" max="6431" width="5.85546875" style="2" customWidth="1"/>
    <col min="6432" max="6433" width="4.42578125" style="2" customWidth="1"/>
    <col min="6434" max="6434" width="5" style="2" customWidth="1"/>
    <col min="6435" max="6435" width="5.85546875" style="2" customWidth="1"/>
    <col min="6436" max="6436" width="6.140625" style="2" customWidth="1"/>
    <col min="6437" max="6437" width="6.28515625" style="2" customWidth="1"/>
    <col min="6438" max="6438" width="4.85546875" style="2" customWidth="1"/>
    <col min="6439" max="6439" width="8.140625" style="2" customWidth="1"/>
    <col min="6440" max="6440" width="11.5703125" style="2" customWidth="1"/>
    <col min="6441" max="6441" width="13.7109375" style="2" customWidth="1"/>
    <col min="6442" max="6442" width="20.85546875" style="2" customWidth="1"/>
    <col min="6443" max="6655" width="11.42578125" style="2"/>
    <col min="6656" max="6656" width="13.140625" style="2" customWidth="1"/>
    <col min="6657" max="6657" width="4" style="2" customWidth="1"/>
    <col min="6658" max="6658" width="12.85546875" style="2" customWidth="1"/>
    <col min="6659" max="6659" width="14.7109375" style="2" customWidth="1"/>
    <col min="6660" max="6660" width="10" style="2" customWidth="1"/>
    <col min="6661" max="6661" width="6.28515625" style="2" customWidth="1"/>
    <col min="6662" max="6662" width="12.28515625" style="2" customWidth="1"/>
    <col min="6663" max="6663" width="8.5703125" style="2" customWidth="1"/>
    <col min="6664" max="6664" width="13.7109375" style="2" customWidth="1"/>
    <col min="6665" max="6665" width="11.5703125" style="2" customWidth="1"/>
    <col min="6666" max="6666" width="24.7109375" style="2" customWidth="1"/>
    <col min="6667" max="6667" width="17.42578125" style="2" customWidth="1"/>
    <col min="6668" max="6668" width="20.85546875" style="2" customWidth="1"/>
    <col min="6669" max="6669" width="26.85546875" style="2" customWidth="1"/>
    <col min="6670" max="6670" width="8" style="2" customWidth="1"/>
    <col min="6671" max="6671" width="25" style="2" customWidth="1"/>
    <col min="6672" max="6672" width="12.7109375" style="2" customWidth="1"/>
    <col min="6673" max="6673" width="16.42578125" style="2" customWidth="1"/>
    <col min="6674" max="6674" width="23.5703125" style="2" customWidth="1"/>
    <col min="6675" max="6675" width="33.7109375" style="2" customWidth="1"/>
    <col min="6676" max="6676" width="31.140625" style="2" customWidth="1"/>
    <col min="6677" max="6677" width="19.28515625" style="2" customWidth="1"/>
    <col min="6678" max="6678" width="11.7109375" style="2" customWidth="1"/>
    <col min="6679" max="6679" width="15.42578125" style="2" customWidth="1"/>
    <col min="6680" max="6680" width="5.5703125" style="2" customWidth="1"/>
    <col min="6681" max="6681" width="4.7109375" style="2" customWidth="1"/>
    <col min="6682" max="6683" width="7.28515625" style="2" customWidth="1"/>
    <col min="6684" max="6684" width="8.42578125" style="2" customWidth="1"/>
    <col min="6685" max="6685" width="9.5703125" style="2" customWidth="1"/>
    <col min="6686" max="6686" width="6.28515625" style="2" customWidth="1"/>
    <col min="6687" max="6687" width="5.85546875" style="2" customWidth="1"/>
    <col min="6688" max="6689" width="4.42578125" style="2" customWidth="1"/>
    <col min="6690" max="6690" width="5" style="2" customWidth="1"/>
    <col min="6691" max="6691" width="5.85546875" style="2" customWidth="1"/>
    <col min="6692" max="6692" width="6.140625" style="2" customWidth="1"/>
    <col min="6693" max="6693" width="6.28515625" style="2" customWidth="1"/>
    <col min="6694" max="6694" width="4.85546875" style="2" customWidth="1"/>
    <col min="6695" max="6695" width="8.140625" style="2" customWidth="1"/>
    <col min="6696" max="6696" width="11.5703125" style="2" customWidth="1"/>
    <col min="6697" max="6697" width="13.7109375" style="2" customWidth="1"/>
    <col min="6698" max="6698" width="20.85546875" style="2" customWidth="1"/>
    <col min="6699" max="6911" width="11.42578125" style="2"/>
    <col min="6912" max="6912" width="13.140625" style="2" customWidth="1"/>
    <col min="6913" max="6913" width="4" style="2" customWidth="1"/>
    <col min="6914" max="6914" width="12.85546875" style="2" customWidth="1"/>
    <col min="6915" max="6915" width="14.7109375" style="2" customWidth="1"/>
    <col min="6916" max="6916" width="10" style="2" customWidth="1"/>
    <col min="6917" max="6917" width="6.28515625" style="2" customWidth="1"/>
    <col min="6918" max="6918" width="12.28515625" style="2" customWidth="1"/>
    <col min="6919" max="6919" width="8.5703125" style="2" customWidth="1"/>
    <col min="6920" max="6920" width="13.7109375" style="2" customWidth="1"/>
    <col min="6921" max="6921" width="11.5703125" style="2" customWidth="1"/>
    <col min="6922" max="6922" width="24.7109375" style="2" customWidth="1"/>
    <col min="6923" max="6923" width="17.42578125" style="2" customWidth="1"/>
    <col min="6924" max="6924" width="20.85546875" style="2" customWidth="1"/>
    <col min="6925" max="6925" width="26.85546875" style="2" customWidth="1"/>
    <col min="6926" max="6926" width="8" style="2" customWidth="1"/>
    <col min="6927" max="6927" width="25" style="2" customWidth="1"/>
    <col min="6928" max="6928" width="12.7109375" style="2" customWidth="1"/>
    <col min="6929" max="6929" width="16.42578125" style="2" customWidth="1"/>
    <col min="6930" max="6930" width="23.5703125" style="2" customWidth="1"/>
    <col min="6931" max="6931" width="33.7109375" style="2" customWidth="1"/>
    <col min="6932" max="6932" width="31.140625" style="2" customWidth="1"/>
    <col min="6933" max="6933" width="19.28515625" style="2" customWidth="1"/>
    <col min="6934" max="6934" width="11.7109375" style="2" customWidth="1"/>
    <col min="6935" max="6935" width="15.42578125" style="2" customWidth="1"/>
    <col min="6936" max="6936" width="5.5703125" style="2" customWidth="1"/>
    <col min="6937" max="6937" width="4.7109375" style="2" customWidth="1"/>
    <col min="6938" max="6939" width="7.28515625" style="2" customWidth="1"/>
    <col min="6940" max="6940" width="8.42578125" style="2" customWidth="1"/>
    <col min="6941" max="6941" width="9.5703125" style="2" customWidth="1"/>
    <col min="6942" max="6942" width="6.28515625" style="2" customWidth="1"/>
    <col min="6943" max="6943" width="5.85546875" style="2" customWidth="1"/>
    <col min="6944" max="6945" width="4.42578125" style="2" customWidth="1"/>
    <col min="6946" max="6946" width="5" style="2" customWidth="1"/>
    <col min="6947" max="6947" width="5.85546875" style="2" customWidth="1"/>
    <col min="6948" max="6948" width="6.140625" style="2" customWidth="1"/>
    <col min="6949" max="6949" width="6.28515625" style="2" customWidth="1"/>
    <col min="6950" max="6950" width="4.85546875" style="2" customWidth="1"/>
    <col min="6951" max="6951" width="8.140625" style="2" customWidth="1"/>
    <col min="6952" max="6952" width="11.5703125" style="2" customWidth="1"/>
    <col min="6953" max="6953" width="13.7109375" style="2" customWidth="1"/>
    <col min="6954" max="6954" width="20.85546875" style="2" customWidth="1"/>
    <col min="6955" max="7167" width="11.42578125" style="2"/>
    <col min="7168" max="7168" width="13.140625" style="2" customWidth="1"/>
    <col min="7169" max="7169" width="4" style="2" customWidth="1"/>
    <col min="7170" max="7170" width="12.85546875" style="2" customWidth="1"/>
    <col min="7171" max="7171" width="14.7109375" style="2" customWidth="1"/>
    <col min="7172" max="7172" width="10" style="2" customWidth="1"/>
    <col min="7173" max="7173" width="6.28515625" style="2" customWidth="1"/>
    <col min="7174" max="7174" width="12.28515625" style="2" customWidth="1"/>
    <col min="7175" max="7175" width="8.5703125" style="2" customWidth="1"/>
    <col min="7176" max="7176" width="13.7109375" style="2" customWidth="1"/>
    <col min="7177" max="7177" width="11.5703125" style="2" customWidth="1"/>
    <col min="7178" max="7178" width="24.7109375" style="2" customWidth="1"/>
    <col min="7179" max="7179" width="17.42578125" style="2" customWidth="1"/>
    <col min="7180" max="7180" width="20.85546875" style="2" customWidth="1"/>
    <col min="7181" max="7181" width="26.85546875" style="2" customWidth="1"/>
    <col min="7182" max="7182" width="8" style="2" customWidth="1"/>
    <col min="7183" max="7183" width="25" style="2" customWidth="1"/>
    <col min="7184" max="7184" width="12.7109375" style="2" customWidth="1"/>
    <col min="7185" max="7185" width="16.42578125" style="2" customWidth="1"/>
    <col min="7186" max="7186" width="23.5703125" style="2" customWidth="1"/>
    <col min="7187" max="7187" width="33.7109375" style="2" customWidth="1"/>
    <col min="7188" max="7188" width="31.140625" style="2" customWidth="1"/>
    <col min="7189" max="7189" width="19.28515625" style="2" customWidth="1"/>
    <col min="7190" max="7190" width="11.7109375" style="2" customWidth="1"/>
    <col min="7191" max="7191" width="15.42578125" style="2" customWidth="1"/>
    <col min="7192" max="7192" width="5.5703125" style="2" customWidth="1"/>
    <col min="7193" max="7193" width="4.7109375" style="2" customWidth="1"/>
    <col min="7194" max="7195" width="7.28515625" style="2" customWidth="1"/>
    <col min="7196" max="7196" width="8.42578125" style="2" customWidth="1"/>
    <col min="7197" max="7197" width="9.5703125" style="2" customWidth="1"/>
    <col min="7198" max="7198" width="6.28515625" style="2" customWidth="1"/>
    <col min="7199" max="7199" width="5.85546875" style="2" customWidth="1"/>
    <col min="7200" max="7201" width="4.42578125" style="2" customWidth="1"/>
    <col min="7202" max="7202" width="5" style="2" customWidth="1"/>
    <col min="7203" max="7203" width="5.85546875" style="2" customWidth="1"/>
    <col min="7204" max="7204" width="6.140625" style="2" customWidth="1"/>
    <col min="7205" max="7205" width="6.28515625" style="2" customWidth="1"/>
    <col min="7206" max="7206" width="4.85546875" style="2" customWidth="1"/>
    <col min="7207" max="7207" width="8.140625" style="2" customWidth="1"/>
    <col min="7208" max="7208" width="11.5703125" style="2" customWidth="1"/>
    <col min="7209" max="7209" width="13.7109375" style="2" customWidth="1"/>
    <col min="7210" max="7210" width="20.85546875" style="2" customWidth="1"/>
    <col min="7211" max="7423" width="11.42578125" style="2"/>
    <col min="7424" max="7424" width="13.140625" style="2" customWidth="1"/>
    <col min="7425" max="7425" width="4" style="2" customWidth="1"/>
    <col min="7426" max="7426" width="12.85546875" style="2" customWidth="1"/>
    <col min="7427" max="7427" width="14.7109375" style="2" customWidth="1"/>
    <col min="7428" max="7428" width="10" style="2" customWidth="1"/>
    <col min="7429" max="7429" width="6.28515625" style="2" customWidth="1"/>
    <col min="7430" max="7430" width="12.28515625" style="2" customWidth="1"/>
    <col min="7431" max="7431" width="8.5703125" style="2" customWidth="1"/>
    <col min="7432" max="7432" width="13.7109375" style="2" customWidth="1"/>
    <col min="7433" max="7433" width="11.5703125" style="2" customWidth="1"/>
    <col min="7434" max="7434" width="24.7109375" style="2" customWidth="1"/>
    <col min="7435" max="7435" width="17.42578125" style="2" customWidth="1"/>
    <col min="7436" max="7436" width="20.85546875" style="2" customWidth="1"/>
    <col min="7437" max="7437" width="26.85546875" style="2" customWidth="1"/>
    <col min="7438" max="7438" width="8" style="2" customWidth="1"/>
    <col min="7439" max="7439" width="25" style="2" customWidth="1"/>
    <col min="7440" max="7440" width="12.7109375" style="2" customWidth="1"/>
    <col min="7441" max="7441" width="16.42578125" style="2" customWidth="1"/>
    <col min="7442" max="7442" width="23.5703125" style="2" customWidth="1"/>
    <col min="7443" max="7443" width="33.7109375" style="2" customWidth="1"/>
    <col min="7444" max="7444" width="31.140625" style="2" customWidth="1"/>
    <col min="7445" max="7445" width="19.28515625" style="2" customWidth="1"/>
    <col min="7446" max="7446" width="11.7109375" style="2" customWidth="1"/>
    <col min="7447" max="7447" width="15.42578125" style="2" customWidth="1"/>
    <col min="7448" max="7448" width="5.5703125" style="2" customWidth="1"/>
    <col min="7449" max="7449" width="4.7109375" style="2" customWidth="1"/>
    <col min="7450" max="7451" width="7.28515625" style="2" customWidth="1"/>
    <col min="7452" max="7452" width="8.42578125" style="2" customWidth="1"/>
    <col min="7453" max="7453" width="9.5703125" style="2" customWidth="1"/>
    <col min="7454" max="7454" width="6.28515625" style="2" customWidth="1"/>
    <col min="7455" max="7455" width="5.85546875" style="2" customWidth="1"/>
    <col min="7456" max="7457" width="4.42578125" style="2" customWidth="1"/>
    <col min="7458" max="7458" width="5" style="2" customWidth="1"/>
    <col min="7459" max="7459" width="5.85546875" style="2" customWidth="1"/>
    <col min="7460" max="7460" width="6.140625" style="2" customWidth="1"/>
    <col min="7461" max="7461" width="6.28515625" style="2" customWidth="1"/>
    <col min="7462" max="7462" width="4.85546875" style="2" customWidth="1"/>
    <col min="7463" max="7463" width="8.140625" style="2" customWidth="1"/>
    <col min="7464" max="7464" width="11.5703125" style="2" customWidth="1"/>
    <col min="7465" max="7465" width="13.7109375" style="2" customWidth="1"/>
    <col min="7466" max="7466" width="20.85546875" style="2" customWidth="1"/>
    <col min="7467" max="7679" width="11.42578125" style="2"/>
    <col min="7680" max="7680" width="13.140625" style="2" customWidth="1"/>
    <col min="7681" max="7681" width="4" style="2" customWidth="1"/>
    <col min="7682" max="7682" width="12.85546875" style="2" customWidth="1"/>
    <col min="7683" max="7683" width="14.7109375" style="2" customWidth="1"/>
    <col min="7684" max="7684" width="10" style="2" customWidth="1"/>
    <col min="7685" max="7685" width="6.28515625" style="2" customWidth="1"/>
    <col min="7686" max="7686" width="12.28515625" style="2" customWidth="1"/>
    <col min="7687" max="7687" width="8.5703125" style="2" customWidth="1"/>
    <col min="7688" max="7688" width="13.7109375" style="2" customWidth="1"/>
    <col min="7689" max="7689" width="11.5703125" style="2" customWidth="1"/>
    <col min="7690" max="7690" width="24.7109375" style="2" customWidth="1"/>
    <col min="7691" max="7691" width="17.42578125" style="2" customWidth="1"/>
    <col min="7692" max="7692" width="20.85546875" style="2" customWidth="1"/>
    <col min="7693" max="7693" width="26.85546875" style="2" customWidth="1"/>
    <col min="7694" max="7694" width="8" style="2" customWidth="1"/>
    <col min="7695" max="7695" width="25" style="2" customWidth="1"/>
    <col min="7696" max="7696" width="12.7109375" style="2" customWidth="1"/>
    <col min="7697" max="7697" width="16.42578125" style="2" customWidth="1"/>
    <col min="7698" max="7698" width="23.5703125" style="2" customWidth="1"/>
    <col min="7699" max="7699" width="33.7109375" style="2" customWidth="1"/>
    <col min="7700" max="7700" width="31.140625" style="2" customWidth="1"/>
    <col min="7701" max="7701" width="19.28515625" style="2" customWidth="1"/>
    <col min="7702" max="7702" width="11.7109375" style="2" customWidth="1"/>
    <col min="7703" max="7703" width="15.42578125" style="2" customWidth="1"/>
    <col min="7704" max="7704" width="5.5703125" style="2" customWidth="1"/>
    <col min="7705" max="7705" width="4.7109375" style="2" customWidth="1"/>
    <col min="7706" max="7707" width="7.28515625" style="2" customWidth="1"/>
    <col min="7708" max="7708" width="8.42578125" style="2" customWidth="1"/>
    <col min="7709" max="7709" width="9.5703125" style="2" customWidth="1"/>
    <col min="7710" max="7710" width="6.28515625" style="2" customWidth="1"/>
    <col min="7711" max="7711" width="5.85546875" style="2" customWidth="1"/>
    <col min="7712" max="7713" width="4.42578125" style="2" customWidth="1"/>
    <col min="7714" max="7714" width="5" style="2" customWidth="1"/>
    <col min="7715" max="7715" width="5.85546875" style="2" customWidth="1"/>
    <col min="7716" max="7716" width="6.140625" style="2" customWidth="1"/>
    <col min="7717" max="7717" width="6.28515625" style="2" customWidth="1"/>
    <col min="7718" max="7718" width="4.85546875" style="2" customWidth="1"/>
    <col min="7719" max="7719" width="8.140625" style="2" customWidth="1"/>
    <col min="7720" max="7720" width="11.5703125" style="2" customWidth="1"/>
    <col min="7721" max="7721" width="13.7109375" style="2" customWidth="1"/>
    <col min="7722" max="7722" width="20.85546875" style="2" customWidth="1"/>
    <col min="7723" max="7935" width="11.42578125" style="2"/>
    <col min="7936" max="7936" width="13.140625" style="2" customWidth="1"/>
    <col min="7937" max="7937" width="4" style="2" customWidth="1"/>
    <col min="7938" max="7938" width="12.85546875" style="2" customWidth="1"/>
    <col min="7939" max="7939" width="14.7109375" style="2" customWidth="1"/>
    <col min="7940" max="7940" width="10" style="2" customWidth="1"/>
    <col min="7941" max="7941" width="6.28515625" style="2" customWidth="1"/>
    <col min="7942" max="7942" width="12.28515625" style="2" customWidth="1"/>
    <col min="7943" max="7943" width="8.5703125" style="2" customWidth="1"/>
    <col min="7944" max="7944" width="13.7109375" style="2" customWidth="1"/>
    <col min="7945" max="7945" width="11.5703125" style="2" customWidth="1"/>
    <col min="7946" max="7946" width="24.7109375" style="2" customWidth="1"/>
    <col min="7947" max="7947" width="17.42578125" style="2" customWidth="1"/>
    <col min="7948" max="7948" width="20.85546875" style="2" customWidth="1"/>
    <col min="7949" max="7949" width="26.85546875" style="2" customWidth="1"/>
    <col min="7950" max="7950" width="8" style="2" customWidth="1"/>
    <col min="7951" max="7951" width="25" style="2" customWidth="1"/>
    <col min="7952" max="7952" width="12.7109375" style="2" customWidth="1"/>
    <col min="7953" max="7953" width="16.42578125" style="2" customWidth="1"/>
    <col min="7954" max="7954" width="23.5703125" style="2" customWidth="1"/>
    <col min="7955" max="7955" width="33.7109375" style="2" customWidth="1"/>
    <col min="7956" max="7956" width="31.140625" style="2" customWidth="1"/>
    <col min="7957" max="7957" width="19.28515625" style="2" customWidth="1"/>
    <col min="7958" max="7958" width="11.7109375" style="2" customWidth="1"/>
    <col min="7959" max="7959" width="15.42578125" style="2" customWidth="1"/>
    <col min="7960" max="7960" width="5.5703125" style="2" customWidth="1"/>
    <col min="7961" max="7961" width="4.7109375" style="2" customWidth="1"/>
    <col min="7962" max="7963" width="7.28515625" style="2" customWidth="1"/>
    <col min="7964" max="7964" width="8.42578125" style="2" customWidth="1"/>
    <col min="7965" max="7965" width="9.5703125" style="2" customWidth="1"/>
    <col min="7966" max="7966" width="6.28515625" style="2" customWidth="1"/>
    <col min="7967" max="7967" width="5.85546875" style="2" customWidth="1"/>
    <col min="7968" max="7969" width="4.42578125" style="2" customWidth="1"/>
    <col min="7970" max="7970" width="5" style="2" customWidth="1"/>
    <col min="7971" max="7971" width="5.85546875" style="2" customWidth="1"/>
    <col min="7972" max="7972" width="6.140625" style="2" customWidth="1"/>
    <col min="7973" max="7973" width="6.28515625" style="2" customWidth="1"/>
    <col min="7974" max="7974" width="4.85546875" style="2" customWidth="1"/>
    <col min="7975" max="7975" width="8.140625" style="2" customWidth="1"/>
    <col min="7976" max="7976" width="11.5703125" style="2" customWidth="1"/>
    <col min="7977" max="7977" width="13.7109375" style="2" customWidth="1"/>
    <col min="7978" max="7978" width="20.85546875" style="2" customWidth="1"/>
    <col min="7979" max="8191" width="11.42578125" style="2"/>
    <col min="8192" max="8192" width="13.140625" style="2" customWidth="1"/>
    <col min="8193" max="8193" width="4" style="2" customWidth="1"/>
    <col min="8194" max="8194" width="12.85546875" style="2" customWidth="1"/>
    <col min="8195" max="8195" width="14.7109375" style="2" customWidth="1"/>
    <col min="8196" max="8196" width="10" style="2" customWidth="1"/>
    <col min="8197" max="8197" width="6.28515625" style="2" customWidth="1"/>
    <col min="8198" max="8198" width="12.28515625" style="2" customWidth="1"/>
    <col min="8199" max="8199" width="8.5703125" style="2" customWidth="1"/>
    <col min="8200" max="8200" width="13.7109375" style="2" customWidth="1"/>
    <col min="8201" max="8201" width="11.5703125" style="2" customWidth="1"/>
    <col min="8202" max="8202" width="24.7109375" style="2" customWidth="1"/>
    <col min="8203" max="8203" width="17.42578125" style="2" customWidth="1"/>
    <col min="8204" max="8204" width="20.85546875" style="2" customWidth="1"/>
    <col min="8205" max="8205" width="26.85546875" style="2" customWidth="1"/>
    <col min="8206" max="8206" width="8" style="2" customWidth="1"/>
    <col min="8207" max="8207" width="25" style="2" customWidth="1"/>
    <col min="8208" max="8208" width="12.7109375" style="2" customWidth="1"/>
    <col min="8209" max="8209" width="16.42578125" style="2" customWidth="1"/>
    <col min="8210" max="8210" width="23.5703125" style="2" customWidth="1"/>
    <col min="8211" max="8211" width="33.7109375" style="2" customWidth="1"/>
    <col min="8212" max="8212" width="31.140625" style="2" customWidth="1"/>
    <col min="8213" max="8213" width="19.28515625" style="2" customWidth="1"/>
    <col min="8214" max="8214" width="11.7109375" style="2" customWidth="1"/>
    <col min="8215" max="8215" width="15.42578125" style="2" customWidth="1"/>
    <col min="8216" max="8216" width="5.5703125" style="2" customWidth="1"/>
    <col min="8217" max="8217" width="4.7109375" style="2" customWidth="1"/>
    <col min="8218" max="8219" width="7.28515625" style="2" customWidth="1"/>
    <col min="8220" max="8220" width="8.42578125" style="2" customWidth="1"/>
    <col min="8221" max="8221" width="9.5703125" style="2" customWidth="1"/>
    <col min="8222" max="8222" width="6.28515625" style="2" customWidth="1"/>
    <col min="8223" max="8223" width="5.85546875" style="2" customWidth="1"/>
    <col min="8224" max="8225" width="4.42578125" style="2" customWidth="1"/>
    <col min="8226" max="8226" width="5" style="2" customWidth="1"/>
    <col min="8227" max="8227" width="5.85546875" style="2" customWidth="1"/>
    <col min="8228" max="8228" width="6.140625" style="2" customWidth="1"/>
    <col min="8229" max="8229" width="6.28515625" style="2" customWidth="1"/>
    <col min="8230" max="8230" width="4.85546875" style="2" customWidth="1"/>
    <col min="8231" max="8231" width="8.140625" style="2" customWidth="1"/>
    <col min="8232" max="8232" width="11.5703125" style="2" customWidth="1"/>
    <col min="8233" max="8233" width="13.7109375" style="2" customWidth="1"/>
    <col min="8234" max="8234" width="20.85546875" style="2" customWidth="1"/>
    <col min="8235" max="8447" width="11.42578125" style="2"/>
    <col min="8448" max="8448" width="13.140625" style="2" customWidth="1"/>
    <col min="8449" max="8449" width="4" style="2" customWidth="1"/>
    <col min="8450" max="8450" width="12.85546875" style="2" customWidth="1"/>
    <col min="8451" max="8451" width="14.7109375" style="2" customWidth="1"/>
    <col min="8452" max="8452" width="10" style="2" customWidth="1"/>
    <col min="8453" max="8453" width="6.28515625" style="2" customWidth="1"/>
    <col min="8454" max="8454" width="12.28515625" style="2" customWidth="1"/>
    <col min="8455" max="8455" width="8.5703125" style="2" customWidth="1"/>
    <col min="8456" max="8456" width="13.7109375" style="2" customWidth="1"/>
    <col min="8457" max="8457" width="11.5703125" style="2" customWidth="1"/>
    <col min="8458" max="8458" width="24.7109375" style="2" customWidth="1"/>
    <col min="8459" max="8459" width="17.42578125" style="2" customWidth="1"/>
    <col min="8460" max="8460" width="20.85546875" style="2" customWidth="1"/>
    <col min="8461" max="8461" width="26.85546875" style="2" customWidth="1"/>
    <col min="8462" max="8462" width="8" style="2" customWidth="1"/>
    <col min="8463" max="8463" width="25" style="2" customWidth="1"/>
    <col min="8464" max="8464" width="12.7109375" style="2" customWidth="1"/>
    <col min="8465" max="8465" width="16.42578125" style="2" customWidth="1"/>
    <col min="8466" max="8466" width="23.5703125" style="2" customWidth="1"/>
    <col min="8467" max="8467" width="33.7109375" style="2" customWidth="1"/>
    <col min="8468" max="8468" width="31.140625" style="2" customWidth="1"/>
    <col min="8469" max="8469" width="19.28515625" style="2" customWidth="1"/>
    <col min="8470" max="8470" width="11.7109375" style="2" customWidth="1"/>
    <col min="8471" max="8471" width="15.42578125" style="2" customWidth="1"/>
    <col min="8472" max="8472" width="5.5703125" style="2" customWidth="1"/>
    <col min="8473" max="8473" width="4.7109375" style="2" customWidth="1"/>
    <col min="8474" max="8475" width="7.28515625" style="2" customWidth="1"/>
    <col min="8476" max="8476" width="8.42578125" style="2" customWidth="1"/>
    <col min="8477" max="8477" width="9.5703125" style="2" customWidth="1"/>
    <col min="8478" max="8478" width="6.28515625" style="2" customWidth="1"/>
    <col min="8479" max="8479" width="5.85546875" style="2" customWidth="1"/>
    <col min="8480" max="8481" width="4.42578125" style="2" customWidth="1"/>
    <col min="8482" max="8482" width="5" style="2" customWidth="1"/>
    <col min="8483" max="8483" width="5.85546875" style="2" customWidth="1"/>
    <col min="8484" max="8484" width="6.140625" style="2" customWidth="1"/>
    <col min="8485" max="8485" width="6.28515625" style="2" customWidth="1"/>
    <col min="8486" max="8486" width="4.85546875" style="2" customWidth="1"/>
    <col min="8487" max="8487" width="8.140625" style="2" customWidth="1"/>
    <col min="8488" max="8488" width="11.5703125" style="2" customWidth="1"/>
    <col min="8489" max="8489" width="13.7109375" style="2" customWidth="1"/>
    <col min="8490" max="8490" width="20.85546875" style="2" customWidth="1"/>
    <col min="8491" max="8703" width="11.42578125" style="2"/>
    <col min="8704" max="8704" width="13.140625" style="2" customWidth="1"/>
    <col min="8705" max="8705" width="4" style="2" customWidth="1"/>
    <col min="8706" max="8706" width="12.85546875" style="2" customWidth="1"/>
    <col min="8707" max="8707" width="14.7109375" style="2" customWidth="1"/>
    <col min="8708" max="8708" width="10" style="2" customWidth="1"/>
    <col min="8709" max="8709" width="6.28515625" style="2" customWidth="1"/>
    <col min="8710" max="8710" width="12.28515625" style="2" customWidth="1"/>
    <col min="8711" max="8711" width="8.5703125" style="2" customWidth="1"/>
    <col min="8712" max="8712" width="13.7109375" style="2" customWidth="1"/>
    <col min="8713" max="8713" width="11.5703125" style="2" customWidth="1"/>
    <col min="8714" max="8714" width="24.7109375" style="2" customWidth="1"/>
    <col min="8715" max="8715" width="17.42578125" style="2" customWidth="1"/>
    <col min="8716" max="8716" width="20.85546875" style="2" customWidth="1"/>
    <col min="8717" max="8717" width="26.85546875" style="2" customWidth="1"/>
    <col min="8718" max="8718" width="8" style="2" customWidth="1"/>
    <col min="8719" max="8719" width="25" style="2" customWidth="1"/>
    <col min="8720" max="8720" width="12.7109375" style="2" customWidth="1"/>
    <col min="8721" max="8721" width="16.42578125" style="2" customWidth="1"/>
    <col min="8722" max="8722" width="23.5703125" style="2" customWidth="1"/>
    <col min="8723" max="8723" width="33.7109375" style="2" customWidth="1"/>
    <col min="8724" max="8724" width="31.140625" style="2" customWidth="1"/>
    <col min="8725" max="8725" width="19.28515625" style="2" customWidth="1"/>
    <col min="8726" max="8726" width="11.7109375" style="2" customWidth="1"/>
    <col min="8727" max="8727" width="15.42578125" style="2" customWidth="1"/>
    <col min="8728" max="8728" width="5.5703125" style="2" customWidth="1"/>
    <col min="8729" max="8729" width="4.7109375" style="2" customWidth="1"/>
    <col min="8730" max="8731" width="7.28515625" style="2" customWidth="1"/>
    <col min="8732" max="8732" width="8.42578125" style="2" customWidth="1"/>
    <col min="8733" max="8733" width="9.5703125" style="2" customWidth="1"/>
    <col min="8734" max="8734" width="6.28515625" style="2" customWidth="1"/>
    <col min="8735" max="8735" width="5.85546875" style="2" customWidth="1"/>
    <col min="8736" max="8737" width="4.42578125" style="2" customWidth="1"/>
    <col min="8738" max="8738" width="5" style="2" customWidth="1"/>
    <col min="8739" max="8739" width="5.85546875" style="2" customWidth="1"/>
    <col min="8740" max="8740" width="6.140625" style="2" customWidth="1"/>
    <col min="8741" max="8741" width="6.28515625" style="2" customWidth="1"/>
    <col min="8742" max="8742" width="4.85546875" style="2" customWidth="1"/>
    <col min="8743" max="8743" width="8.140625" style="2" customWidth="1"/>
    <col min="8744" max="8744" width="11.5703125" style="2" customWidth="1"/>
    <col min="8745" max="8745" width="13.7109375" style="2" customWidth="1"/>
    <col min="8746" max="8746" width="20.85546875" style="2" customWidth="1"/>
    <col min="8747" max="8959" width="11.42578125" style="2"/>
    <col min="8960" max="8960" width="13.140625" style="2" customWidth="1"/>
    <col min="8961" max="8961" width="4" style="2" customWidth="1"/>
    <col min="8962" max="8962" width="12.85546875" style="2" customWidth="1"/>
    <col min="8963" max="8963" width="14.7109375" style="2" customWidth="1"/>
    <col min="8964" max="8964" width="10" style="2" customWidth="1"/>
    <col min="8965" max="8965" width="6.28515625" style="2" customWidth="1"/>
    <col min="8966" max="8966" width="12.28515625" style="2" customWidth="1"/>
    <col min="8967" max="8967" width="8.5703125" style="2" customWidth="1"/>
    <col min="8968" max="8968" width="13.7109375" style="2" customWidth="1"/>
    <col min="8969" max="8969" width="11.5703125" style="2" customWidth="1"/>
    <col min="8970" max="8970" width="24.7109375" style="2" customWidth="1"/>
    <col min="8971" max="8971" width="17.42578125" style="2" customWidth="1"/>
    <col min="8972" max="8972" width="20.85546875" style="2" customWidth="1"/>
    <col min="8973" max="8973" width="26.85546875" style="2" customWidth="1"/>
    <col min="8974" max="8974" width="8" style="2" customWidth="1"/>
    <col min="8975" max="8975" width="25" style="2" customWidth="1"/>
    <col min="8976" max="8976" width="12.7109375" style="2" customWidth="1"/>
    <col min="8977" max="8977" width="16.42578125" style="2" customWidth="1"/>
    <col min="8978" max="8978" width="23.5703125" style="2" customWidth="1"/>
    <col min="8979" max="8979" width="33.7109375" style="2" customWidth="1"/>
    <col min="8980" max="8980" width="31.140625" style="2" customWidth="1"/>
    <col min="8981" max="8981" width="19.28515625" style="2" customWidth="1"/>
    <col min="8982" max="8982" width="11.7109375" style="2" customWidth="1"/>
    <col min="8983" max="8983" width="15.42578125" style="2" customWidth="1"/>
    <col min="8984" max="8984" width="5.5703125" style="2" customWidth="1"/>
    <col min="8985" max="8985" width="4.7109375" style="2" customWidth="1"/>
    <col min="8986" max="8987" width="7.28515625" style="2" customWidth="1"/>
    <col min="8988" max="8988" width="8.42578125" style="2" customWidth="1"/>
    <col min="8989" max="8989" width="9.5703125" style="2" customWidth="1"/>
    <col min="8990" max="8990" width="6.28515625" style="2" customWidth="1"/>
    <col min="8991" max="8991" width="5.85546875" style="2" customWidth="1"/>
    <col min="8992" max="8993" width="4.42578125" style="2" customWidth="1"/>
    <col min="8994" max="8994" width="5" style="2" customWidth="1"/>
    <col min="8995" max="8995" width="5.85546875" style="2" customWidth="1"/>
    <col min="8996" max="8996" width="6.140625" style="2" customWidth="1"/>
    <col min="8997" max="8997" width="6.28515625" style="2" customWidth="1"/>
    <col min="8998" max="8998" width="4.85546875" style="2" customWidth="1"/>
    <col min="8999" max="8999" width="8.140625" style="2" customWidth="1"/>
    <col min="9000" max="9000" width="11.5703125" style="2" customWidth="1"/>
    <col min="9001" max="9001" width="13.7109375" style="2" customWidth="1"/>
    <col min="9002" max="9002" width="20.85546875" style="2" customWidth="1"/>
    <col min="9003" max="9215" width="11.42578125" style="2"/>
    <col min="9216" max="9216" width="13.140625" style="2" customWidth="1"/>
    <col min="9217" max="9217" width="4" style="2" customWidth="1"/>
    <col min="9218" max="9218" width="12.85546875" style="2" customWidth="1"/>
    <col min="9219" max="9219" width="14.7109375" style="2" customWidth="1"/>
    <col min="9220" max="9220" width="10" style="2" customWidth="1"/>
    <col min="9221" max="9221" width="6.28515625" style="2" customWidth="1"/>
    <col min="9222" max="9222" width="12.28515625" style="2" customWidth="1"/>
    <col min="9223" max="9223" width="8.5703125" style="2" customWidth="1"/>
    <col min="9224" max="9224" width="13.7109375" style="2" customWidth="1"/>
    <col min="9225" max="9225" width="11.5703125" style="2" customWidth="1"/>
    <col min="9226" max="9226" width="24.7109375" style="2" customWidth="1"/>
    <col min="9227" max="9227" width="17.42578125" style="2" customWidth="1"/>
    <col min="9228" max="9228" width="20.85546875" style="2" customWidth="1"/>
    <col min="9229" max="9229" width="26.85546875" style="2" customWidth="1"/>
    <col min="9230" max="9230" width="8" style="2" customWidth="1"/>
    <col min="9231" max="9231" width="25" style="2" customWidth="1"/>
    <col min="9232" max="9232" width="12.7109375" style="2" customWidth="1"/>
    <col min="9233" max="9233" width="16.42578125" style="2" customWidth="1"/>
    <col min="9234" max="9234" width="23.5703125" style="2" customWidth="1"/>
    <col min="9235" max="9235" width="33.7109375" style="2" customWidth="1"/>
    <col min="9236" max="9236" width="31.140625" style="2" customWidth="1"/>
    <col min="9237" max="9237" width="19.28515625" style="2" customWidth="1"/>
    <col min="9238" max="9238" width="11.7109375" style="2" customWidth="1"/>
    <col min="9239" max="9239" width="15.42578125" style="2" customWidth="1"/>
    <col min="9240" max="9240" width="5.5703125" style="2" customWidth="1"/>
    <col min="9241" max="9241" width="4.7109375" style="2" customWidth="1"/>
    <col min="9242" max="9243" width="7.28515625" style="2" customWidth="1"/>
    <col min="9244" max="9244" width="8.42578125" style="2" customWidth="1"/>
    <col min="9245" max="9245" width="9.5703125" style="2" customWidth="1"/>
    <col min="9246" max="9246" width="6.28515625" style="2" customWidth="1"/>
    <col min="9247" max="9247" width="5.85546875" style="2" customWidth="1"/>
    <col min="9248" max="9249" width="4.42578125" style="2" customWidth="1"/>
    <col min="9250" max="9250" width="5" style="2" customWidth="1"/>
    <col min="9251" max="9251" width="5.85546875" style="2" customWidth="1"/>
    <col min="9252" max="9252" width="6.140625" style="2" customWidth="1"/>
    <col min="9253" max="9253" width="6.28515625" style="2" customWidth="1"/>
    <col min="9254" max="9254" width="4.85546875" style="2" customWidth="1"/>
    <col min="9255" max="9255" width="8.140625" style="2" customWidth="1"/>
    <col min="9256" max="9256" width="11.5703125" style="2" customWidth="1"/>
    <col min="9257" max="9257" width="13.7109375" style="2" customWidth="1"/>
    <col min="9258" max="9258" width="20.85546875" style="2" customWidth="1"/>
    <col min="9259" max="9471" width="11.42578125" style="2"/>
    <col min="9472" max="9472" width="13.140625" style="2" customWidth="1"/>
    <col min="9473" max="9473" width="4" style="2" customWidth="1"/>
    <col min="9474" max="9474" width="12.85546875" style="2" customWidth="1"/>
    <col min="9475" max="9475" width="14.7109375" style="2" customWidth="1"/>
    <col min="9476" max="9476" width="10" style="2" customWidth="1"/>
    <col min="9477" max="9477" width="6.28515625" style="2" customWidth="1"/>
    <col min="9478" max="9478" width="12.28515625" style="2" customWidth="1"/>
    <col min="9479" max="9479" width="8.5703125" style="2" customWidth="1"/>
    <col min="9480" max="9480" width="13.7109375" style="2" customWidth="1"/>
    <col min="9481" max="9481" width="11.5703125" style="2" customWidth="1"/>
    <col min="9482" max="9482" width="24.7109375" style="2" customWidth="1"/>
    <col min="9483" max="9483" width="17.42578125" style="2" customWidth="1"/>
    <col min="9484" max="9484" width="20.85546875" style="2" customWidth="1"/>
    <col min="9485" max="9485" width="26.85546875" style="2" customWidth="1"/>
    <col min="9486" max="9486" width="8" style="2" customWidth="1"/>
    <col min="9487" max="9487" width="25" style="2" customWidth="1"/>
    <col min="9488" max="9488" width="12.7109375" style="2" customWidth="1"/>
    <col min="9489" max="9489" width="16.42578125" style="2" customWidth="1"/>
    <col min="9490" max="9490" width="23.5703125" style="2" customWidth="1"/>
    <col min="9491" max="9491" width="33.7109375" style="2" customWidth="1"/>
    <col min="9492" max="9492" width="31.140625" style="2" customWidth="1"/>
    <col min="9493" max="9493" width="19.28515625" style="2" customWidth="1"/>
    <col min="9494" max="9494" width="11.7109375" style="2" customWidth="1"/>
    <col min="9495" max="9495" width="15.42578125" style="2" customWidth="1"/>
    <col min="9496" max="9496" width="5.5703125" style="2" customWidth="1"/>
    <col min="9497" max="9497" width="4.7109375" style="2" customWidth="1"/>
    <col min="9498" max="9499" width="7.28515625" style="2" customWidth="1"/>
    <col min="9500" max="9500" width="8.42578125" style="2" customWidth="1"/>
    <col min="9501" max="9501" width="9.5703125" style="2" customWidth="1"/>
    <col min="9502" max="9502" width="6.28515625" style="2" customWidth="1"/>
    <col min="9503" max="9503" width="5.85546875" style="2" customWidth="1"/>
    <col min="9504" max="9505" width="4.42578125" style="2" customWidth="1"/>
    <col min="9506" max="9506" width="5" style="2" customWidth="1"/>
    <col min="9507" max="9507" width="5.85546875" style="2" customWidth="1"/>
    <col min="9508" max="9508" width="6.140625" style="2" customWidth="1"/>
    <col min="9509" max="9509" width="6.28515625" style="2" customWidth="1"/>
    <col min="9510" max="9510" width="4.85546875" style="2" customWidth="1"/>
    <col min="9511" max="9511" width="8.140625" style="2" customWidth="1"/>
    <col min="9512" max="9512" width="11.5703125" style="2" customWidth="1"/>
    <col min="9513" max="9513" width="13.7109375" style="2" customWidth="1"/>
    <col min="9514" max="9514" width="20.85546875" style="2" customWidth="1"/>
    <col min="9515" max="9727" width="11.42578125" style="2"/>
    <col min="9728" max="9728" width="13.140625" style="2" customWidth="1"/>
    <col min="9729" max="9729" width="4" style="2" customWidth="1"/>
    <col min="9730" max="9730" width="12.85546875" style="2" customWidth="1"/>
    <col min="9731" max="9731" width="14.7109375" style="2" customWidth="1"/>
    <col min="9732" max="9732" width="10" style="2" customWidth="1"/>
    <col min="9733" max="9733" width="6.28515625" style="2" customWidth="1"/>
    <col min="9734" max="9734" width="12.28515625" style="2" customWidth="1"/>
    <col min="9735" max="9735" width="8.5703125" style="2" customWidth="1"/>
    <col min="9736" max="9736" width="13.7109375" style="2" customWidth="1"/>
    <col min="9737" max="9737" width="11.5703125" style="2" customWidth="1"/>
    <col min="9738" max="9738" width="24.7109375" style="2" customWidth="1"/>
    <col min="9739" max="9739" width="17.42578125" style="2" customWidth="1"/>
    <col min="9740" max="9740" width="20.85546875" style="2" customWidth="1"/>
    <col min="9741" max="9741" width="26.85546875" style="2" customWidth="1"/>
    <col min="9742" max="9742" width="8" style="2" customWidth="1"/>
    <col min="9743" max="9743" width="25" style="2" customWidth="1"/>
    <col min="9744" max="9744" width="12.7109375" style="2" customWidth="1"/>
    <col min="9745" max="9745" width="16.42578125" style="2" customWidth="1"/>
    <col min="9746" max="9746" width="23.5703125" style="2" customWidth="1"/>
    <col min="9747" max="9747" width="33.7109375" style="2" customWidth="1"/>
    <col min="9748" max="9748" width="31.140625" style="2" customWidth="1"/>
    <col min="9749" max="9749" width="19.28515625" style="2" customWidth="1"/>
    <col min="9750" max="9750" width="11.7109375" style="2" customWidth="1"/>
    <col min="9751" max="9751" width="15.42578125" style="2" customWidth="1"/>
    <col min="9752" max="9752" width="5.5703125" style="2" customWidth="1"/>
    <col min="9753" max="9753" width="4.7109375" style="2" customWidth="1"/>
    <col min="9754" max="9755" width="7.28515625" style="2" customWidth="1"/>
    <col min="9756" max="9756" width="8.42578125" style="2" customWidth="1"/>
    <col min="9757" max="9757" width="9.5703125" style="2" customWidth="1"/>
    <col min="9758" max="9758" width="6.28515625" style="2" customWidth="1"/>
    <col min="9759" max="9759" width="5.85546875" style="2" customWidth="1"/>
    <col min="9760" max="9761" width="4.42578125" style="2" customWidth="1"/>
    <col min="9762" max="9762" width="5" style="2" customWidth="1"/>
    <col min="9763" max="9763" width="5.85546875" style="2" customWidth="1"/>
    <col min="9764" max="9764" width="6.140625" style="2" customWidth="1"/>
    <col min="9765" max="9765" width="6.28515625" style="2" customWidth="1"/>
    <col min="9766" max="9766" width="4.85546875" style="2" customWidth="1"/>
    <col min="9767" max="9767" width="8.140625" style="2" customWidth="1"/>
    <col min="9768" max="9768" width="11.5703125" style="2" customWidth="1"/>
    <col min="9769" max="9769" width="13.7109375" style="2" customWidth="1"/>
    <col min="9770" max="9770" width="20.85546875" style="2" customWidth="1"/>
    <col min="9771" max="9983" width="11.42578125" style="2"/>
    <col min="9984" max="9984" width="13.140625" style="2" customWidth="1"/>
    <col min="9985" max="9985" width="4" style="2" customWidth="1"/>
    <col min="9986" max="9986" width="12.85546875" style="2" customWidth="1"/>
    <col min="9987" max="9987" width="14.7109375" style="2" customWidth="1"/>
    <col min="9988" max="9988" width="10" style="2" customWidth="1"/>
    <col min="9989" max="9989" width="6.28515625" style="2" customWidth="1"/>
    <col min="9990" max="9990" width="12.28515625" style="2" customWidth="1"/>
    <col min="9991" max="9991" width="8.5703125" style="2" customWidth="1"/>
    <col min="9992" max="9992" width="13.7109375" style="2" customWidth="1"/>
    <col min="9993" max="9993" width="11.5703125" style="2" customWidth="1"/>
    <col min="9994" max="9994" width="24.7109375" style="2" customWidth="1"/>
    <col min="9995" max="9995" width="17.42578125" style="2" customWidth="1"/>
    <col min="9996" max="9996" width="20.85546875" style="2" customWidth="1"/>
    <col min="9997" max="9997" width="26.85546875" style="2" customWidth="1"/>
    <col min="9998" max="9998" width="8" style="2" customWidth="1"/>
    <col min="9999" max="9999" width="25" style="2" customWidth="1"/>
    <col min="10000" max="10000" width="12.7109375" style="2" customWidth="1"/>
    <col min="10001" max="10001" width="16.42578125" style="2" customWidth="1"/>
    <col min="10002" max="10002" width="23.5703125" style="2" customWidth="1"/>
    <col min="10003" max="10003" width="33.7109375" style="2" customWidth="1"/>
    <col min="10004" max="10004" width="31.140625" style="2" customWidth="1"/>
    <col min="10005" max="10005" width="19.28515625" style="2" customWidth="1"/>
    <col min="10006" max="10006" width="11.7109375" style="2" customWidth="1"/>
    <col min="10007" max="10007" width="15.42578125" style="2" customWidth="1"/>
    <col min="10008" max="10008" width="5.5703125" style="2" customWidth="1"/>
    <col min="10009" max="10009" width="4.7109375" style="2" customWidth="1"/>
    <col min="10010" max="10011" width="7.28515625" style="2" customWidth="1"/>
    <col min="10012" max="10012" width="8.42578125" style="2" customWidth="1"/>
    <col min="10013" max="10013" width="9.5703125" style="2" customWidth="1"/>
    <col min="10014" max="10014" width="6.28515625" style="2" customWidth="1"/>
    <col min="10015" max="10015" width="5.85546875" style="2" customWidth="1"/>
    <col min="10016" max="10017" width="4.42578125" style="2" customWidth="1"/>
    <col min="10018" max="10018" width="5" style="2" customWidth="1"/>
    <col min="10019" max="10019" width="5.85546875" style="2" customWidth="1"/>
    <col min="10020" max="10020" width="6.140625" style="2" customWidth="1"/>
    <col min="10021" max="10021" width="6.28515625" style="2" customWidth="1"/>
    <col min="10022" max="10022" width="4.85546875" style="2" customWidth="1"/>
    <col min="10023" max="10023" width="8.140625" style="2" customWidth="1"/>
    <col min="10024" max="10024" width="11.5703125" style="2" customWidth="1"/>
    <col min="10025" max="10025" width="13.7109375" style="2" customWidth="1"/>
    <col min="10026" max="10026" width="20.85546875" style="2" customWidth="1"/>
    <col min="10027" max="10239" width="11.42578125" style="2"/>
    <col min="10240" max="10240" width="13.140625" style="2" customWidth="1"/>
    <col min="10241" max="10241" width="4" style="2" customWidth="1"/>
    <col min="10242" max="10242" width="12.85546875" style="2" customWidth="1"/>
    <col min="10243" max="10243" width="14.7109375" style="2" customWidth="1"/>
    <col min="10244" max="10244" width="10" style="2" customWidth="1"/>
    <col min="10245" max="10245" width="6.28515625" style="2" customWidth="1"/>
    <col min="10246" max="10246" width="12.28515625" style="2" customWidth="1"/>
    <col min="10247" max="10247" width="8.5703125" style="2" customWidth="1"/>
    <col min="10248" max="10248" width="13.7109375" style="2" customWidth="1"/>
    <col min="10249" max="10249" width="11.5703125" style="2" customWidth="1"/>
    <col min="10250" max="10250" width="24.7109375" style="2" customWidth="1"/>
    <col min="10251" max="10251" width="17.42578125" style="2" customWidth="1"/>
    <col min="10252" max="10252" width="20.85546875" style="2" customWidth="1"/>
    <col min="10253" max="10253" width="26.85546875" style="2" customWidth="1"/>
    <col min="10254" max="10254" width="8" style="2" customWidth="1"/>
    <col min="10255" max="10255" width="25" style="2" customWidth="1"/>
    <col min="10256" max="10256" width="12.7109375" style="2" customWidth="1"/>
    <col min="10257" max="10257" width="16.42578125" style="2" customWidth="1"/>
    <col min="10258" max="10258" width="23.5703125" style="2" customWidth="1"/>
    <col min="10259" max="10259" width="33.7109375" style="2" customWidth="1"/>
    <col min="10260" max="10260" width="31.140625" style="2" customWidth="1"/>
    <col min="10261" max="10261" width="19.28515625" style="2" customWidth="1"/>
    <col min="10262" max="10262" width="11.7109375" style="2" customWidth="1"/>
    <col min="10263" max="10263" width="15.42578125" style="2" customWidth="1"/>
    <col min="10264" max="10264" width="5.5703125" style="2" customWidth="1"/>
    <col min="10265" max="10265" width="4.7109375" style="2" customWidth="1"/>
    <col min="10266" max="10267" width="7.28515625" style="2" customWidth="1"/>
    <col min="10268" max="10268" width="8.42578125" style="2" customWidth="1"/>
    <col min="10269" max="10269" width="9.5703125" style="2" customWidth="1"/>
    <col min="10270" max="10270" width="6.28515625" style="2" customWidth="1"/>
    <col min="10271" max="10271" width="5.85546875" style="2" customWidth="1"/>
    <col min="10272" max="10273" width="4.42578125" style="2" customWidth="1"/>
    <col min="10274" max="10274" width="5" style="2" customWidth="1"/>
    <col min="10275" max="10275" width="5.85546875" style="2" customWidth="1"/>
    <col min="10276" max="10276" width="6.140625" style="2" customWidth="1"/>
    <col min="10277" max="10277" width="6.28515625" style="2" customWidth="1"/>
    <col min="10278" max="10278" width="4.85546875" style="2" customWidth="1"/>
    <col min="10279" max="10279" width="8.140625" style="2" customWidth="1"/>
    <col min="10280" max="10280" width="11.5703125" style="2" customWidth="1"/>
    <col min="10281" max="10281" width="13.7109375" style="2" customWidth="1"/>
    <col min="10282" max="10282" width="20.85546875" style="2" customWidth="1"/>
    <col min="10283" max="10495" width="11.42578125" style="2"/>
    <col min="10496" max="10496" width="13.140625" style="2" customWidth="1"/>
    <col min="10497" max="10497" width="4" style="2" customWidth="1"/>
    <col min="10498" max="10498" width="12.85546875" style="2" customWidth="1"/>
    <col min="10499" max="10499" width="14.7109375" style="2" customWidth="1"/>
    <col min="10500" max="10500" width="10" style="2" customWidth="1"/>
    <col min="10501" max="10501" width="6.28515625" style="2" customWidth="1"/>
    <col min="10502" max="10502" width="12.28515625" style="2" customWidth="1"/>
    <col min="10503" max="10503" width="8.5703125" style="2" customWidth="1"/>
    <col min="10504" max="10504" width="13.7109375" style="2" customWidth="1"/>
    <col min="10505" max="10505" width="11.5703125" style="2" customWidth="1"/>
    <col min="10506" max="10506" width="24.7109375" style="2" customWidth="1"/>
    <col min="10507" max="10507" width="17.42578125" style="2" customWidth="1"/>
    <col min="10508" max="10508" width="20.85546875" style="2" customWidth="1"/>
    <col min="10509" max="10509" width="26.85546875" style="2" customWidth="1"/>
    <col min="10510" max="10510" width="8" style="2" customWidth="1"/>
    <col min="10511" max="10511" width="25" style="2" customWidth="1"/>
    <col min="10512" max="10512" width="12.7109375" style="2" customWidth="1"/>
    <col min="10513" max="10513" width="16.42578125" style="2" customWidth="1"/>
    <col min="10514" max="10514" width="23.5703125" style="2" customWidth="1"/>
    <col min="10515" max="10515" width="33.7109375" style="2" customWidth="1"/>
    <col min="10516" max="10516" width="31.140625" style="2" customWidth="1"/>
    <col min="10517" max="10517" width="19.28515625" style="2" customWidth="1"/>
    <col min="10518" max="10518" width="11.7109375" style="2" customWidth="1"/>
    <col min="10519" max="10519" width="15.42578125" style="2" customWidth="1"/>
    <col min="10520" max="10520" width="5.5703125" style="2" customWidth="1"/>
    <col min="10521" max="10521" width="4.7109375" style="2" customWidth="1"/>
    <col min="10522" max="10523" width="7.28515625" style="2" customWidth="1"/>
    <col min="10524" max="10524" width="8.42578125" style="2" customWidth="1"/>
    <col min="10525" max="10525" width="9.5703125" style="2" customWidth="1"/>
    <col min="10526" max="10526" width="6.28515625" style="2" customWidth="1"/>
    <col min="10527" max="10527" width="5.85546875" style="2" customWidth="1"/>
    <col min="10528" max="10529" width="4.42578125" style="2" customWidth="1"/>
    <col min="10530" max="10530" width="5" style="2" customWidth="1"/>
    <col min="10531" max="10531" width="5.85546875" style="2" customWidth="1"/>
    <col min="10532" max="10532" width="6.140625" style="2" customWidth="1"/>
    <col min="10533" max="10533" width="6.28515625" style="2" customWidth="1"/>
    <col min="10534" max="10534" width="4.85546875" style="2" customWidth="1"/>
    <col min="10535" max="10535" width="8.140625" style="2" customWidth="1"/>
    <col min="10536" max="10536" width="11.5703125" style="2" customWidth="1"/>
    <col min="10537" max="10537" width="13.7109375" style="2" customWidth="1"/>
    <col min="10538" max="10538" width="20.85546875" style="2" customWidth="1"/>
    <col min="10539" max="10751" width="11.42578125" style="2"/>
    <col min="10752" max="10752" width="13.140625" style="2" customWidth="1"/>
    <col min="10753" max="10753" width="4" style="2" customWidth="1"/>
    <col min="10754" max="10754" width="12.85546875" style="2" customWidth="1"/>
    <col min="10755" max="10755" width="14.7109375" style="2" customWidth="1"/>
    <col min="10756" max="10756" width="10" style="2" customWidth="1"/>
    <col min="10757" max="10757" width="6.28515625" style="2" customWidth="1"/>
    <col min="10758" max="10758" width="12.28515625" style="2" customWidth="1"/>
    <col min="10759" max="10759" width="8.5703125" style="2" customWidth="1"/>
    <col min="10760" max="10760" width="13.7109375" style="2" customWidth="1"/>
    <col min="10761" max="10761" width="11.5703125" style="2" customWidth="1"/>
    <col min="10762" max="10762" width="24.7109375" style="2" customWidth="1"/>
    <col min="10763" max="10763" width="17.42578125" style="2" customWidth="1"/>
    <col min="10764" max="10764" width="20.85546875" style="2" customWidth="1"/>
    <col min="10765" max="10765" width="26.85546875" style="2" customWidth="1"/>
    <col min="10766" max="10766" width="8" style="2" customWidth="1"/>
    <col min="10767" max="10767" width="25" style="2" customWidth="1"/>
    <col min="10768" max="10768" width="12.7109375" style="2" customWidth="1"/>
    <col min="10769" max="10769" width="16.42578125" style="2" customWidth="1"/>
    <col min="10770" max="10770" width="23.5703125" style="2" customWidth="1"/>
    <col min="10771" max="10771" width="33.7109375" style="2" customWidth="1"/>
    <col min="10772" max="10772" width="31.140625" style="2" customWidth="1"/>
    <col min="10773" max="10773" width="19.28515625" style="2" customWidth="1"/>
    <col min="10774" max="10774" width="11.7109375" style="2" customWidth="1"/>
    <col min="10775" max="10775" width="15.42578125" style="2" customWidth="1"/>
    <col min="10776" max="10776" width="5.5703125" style="2" customWidth="1"/>
    <col min="10777" max="10777" width="4.7109375" style="2" customWidth="1"/>
    <col min="10778" max="10779" width="7.28515625" style="2" customWidth="1"/>
    <col min="10780" max="10780" width="8.42578125" style="2" customWidth="1"/>
    <col min="10781" max="10781" width="9.5703125" style="2" customWidth="1"/>
    <col min="10782" max="10782" width="6.28515625" style="2" customWidth="1"/>
    <col min="10783" max="10783" width="5.85546875" style="2" customWidth="1"/>
    <col min="10784" max="10785" width="4.42578125" style="2" customWidth="1"/>
    <col min="10786" max="10786" width="5" style="2" customWidth="1"/>
    <col min="10787" max="10787" width="5.85546875" style="2" customWidth="1"/>
    <col min="10788" max="10788" width="6.140625" style="2" customWidth="1"/>
    <col min="10789" max="10789" width="6.28515625" style="2" customWidth="1"/>
    <col min="10790" max="10790" width="4.85546875" style="2" customWidth="1"/>
    <col min="10791" max="10791" width="8.140625" style="2" customWidth="1"/>
    <col min="10792" max="10792" width="11.5703125" style="2" customWidth="1"/>
    <col min="10793" max="10793" width="13.7109375" style="2" customWidth="1"/>
    <col min="10794" max="10794" width="20.85546875" style="2" customWidth="1"/>
    <col min="10795" max="11007" width="11.42578125" style="2"/>
    <col min="11008" max="11008" width="13.140625" style="2" customWidth="1"/>
    <col min="11009" max="11009" width="4" style="2" customWidth="1"/>
    <col min="11010" max="11010" width="12.85546875" style="2" customWidth="1"/>
    <col min="11011" max="11011" width="14.7109375" style="2" customWidth="1"/>
    <col min="11012" max="11012" width="10" style="2" customWidth="1"/>
    <col min="11013" max="11013" width="6.28515625" style="2" customWidth="1"/>
    <col min="11014" max="11014" width="12.28515625" style="2" customWidth="1"/>
    <col min="11015" max="11015" width="8.5703125" style="2" customWidth="1"/>
    <col min="11016" max="11016" width="13.7109375" style="2" customWidth="1"/>
    <col min="11017" max="11017" width="11.5703125" style="2" customWidth="1"/>
    <col min="11018" max="11018" width="24.7109375" style="2" customWidth="1"/>
    <col min="11019" max="11019" width="17.42578125" style="2" customWidth="1"/>
    <col min="11020" max="11020" width="20.85546875" style="2" customWidth="1"/>
    <col min="11021" max="11021" width="26.85546875" style="2" customWidth="1"/>
    <col min="11022" max="11022" width="8" style="2" customWidth="1"/>
    <col min="11023" max="11023" width="25" style="2" customWidth="1"/>
    <col min="11024" max="11024" width="12.7109375" style="2" customWidth="1"/>
    <col min="11025" max="11025" width="16.42578125" style="2" customWidth="1"/>
    <col min="11026" max="11026" width="23.5703125" style="2" customWidth="1"/>
    <col min="11027" max="11027" width="33.7109375" style="2" customWidth="1"/>
    <col min="11028" max="11028" width="31.140625" style="2" customWidth="1"/>
    <col min="11029" max="11029" width="19.28515625" style="2" customWidth="1"/>
    <col min="11030" max="11030" width="11.7109375" style="2" customWidth="1"/>
    <col min="11031" max="11031" width="15.42578125" style="2" customWidth="1"/>
    <col min="11032" max="11032" width="5.5703125" style="2" customWidth="1"/>
    <col min="11033" max="11033" width="4.7109375" style="2" customWidth="1"/>
    <col min="11034" max="11035" width="7.28515625" style="2" customWidth="1"/>
    <col min="11036" max="11036" width="8.42578125" style="2" customWidth="1"/>
    <col min="11037" max="11037" width="9.5703125" style="2" customWidth="1"/>
    <col min="11038" max="11038" width="6.28515625" style="2" customWidth="1"/>
    <col min="11039" max="11039" width="5.85546875" style="2" customWidth="1"/>
    <col min="11040" max="11041" width="4.42578125" style="2" customWidth="1"/>
    <col min="11042" max="11042" width="5" style="2" customWidth="1"/>
    <col min="11043" max="11043" width="5.85546875" style="2" customWidth="1"/>
    <col min="11044" max="11044" width="6.140625" style="2" customWidth="1"/>
    <col min="11045" max="11045" width="6.28515625" style="2" customWidth="1"/>
    <col min="11046" max="11046" width="4.85546875" style="2" customWidth="1"/>
    <col min="11047" max="11047" width="8.140625" style="2" customWidth="1"/>
    <col min="11048" max="11048" width="11.5703125" style="2" customWidth="1"/>
    <col min="11049" max="11049" width="13.7109375" style="2" customWidth="1"/>
    <col min="11050" max="11050" width="20.85546875" style="2" customWidth="1"/>
    <col min="11051" max="11263" width="11.42578125" style="2"/>
    <col min="11264" max="11264" width="13.140625" style="2" customWidth="1"/>
    <col min="11265" max="11265" width="4" style="2" customWidth="1"/>
    <col min="11266" max="11266" width="12.85546875" style="2" customWidth="1"/>
    <col min="11267" max="11267" width="14.7109375" style="2" customWidth="1"/>
    <col min="11268" max="11268" width="10" style="2" customWidth="1"/>
    <col min="11269" max="11269" width="6.28515625" style="2" customWidth="1"/>
    <col min="11270" max="11270" width="12.28515625" style="2" customWidth="1"/>
    <col min="11271" max="11271" width="8.5703125" style="2" customWidth="1"/>
    <col min="11272" max="11272" width="13.7109375" style="2" customWidth="1"/>
    <col min="11273" max="11273" width="11.5703125" style="2" customWidth="1"/>
    <col min="11274" max="11274" width="24.7109375" style="2" customWidth="1"/>
    <col min="11275" max="11275" width="17.42578125" style="2" customWidth="1"/>
    <col min="11276" max="11276" width="20.85546875" style="2" customWidth="1"/>
    <col min="11277" max="11277" width="26.85546875" style="2" customWidth="1"/>
    <col min="11278" max="11278" width="8" style="2" customWidth="1"/>
    <col min="11279" max="11279" width="25" style="2" customWidth="1"/>
    <col min="11280" max="11280" width="12.7109375" style="2" customWidth="1"/>
    <col min="11281" max="11281" width="16.42578125" style="2" customWidth="1"/>
    <col min="11282" max="11282" width="23.5703125" style="2" customWidth="1"/>
    <col min="11283" max="11283" width="33.7109375" style="2" customWidth="1"/>
    <col min="11284" max="11284" width="31.140625" style="2" customWidth="1"/>
    <col min="11285" max="11285" width="19.28515625" style="2" customWidth="1"/>
    <col min="11286" max="11286" width="11.7109375" style="2" customWidth="1"/>
    <col min="11287" max="11287" width="15.42578125" style="2" customWidth="1"/>
    <col min="11288" max="11288" width="5.5703125" style="2" customWidth="1"/>
    <col min="11289" max="11289" width="4.7109375" style="2" customWidth="1"/>
    <col min="11290" max="11291" width="7.28515625" style="2" customWidth="1"/>
    <col min="11292" max="11292" width="8.42578125" style="2" customWidth="1"/>
    <col min="11293" max="11293" width="9.5703125" style="2" customWidth="1"/>
    <col min="11294" max="11294" width="6.28515625" style="2" customWidth="1"/>
    <col min="11295" max="11295" width="5.85546875" style="2" customWidth="1"/>
    <col min="11296" max="11297" width="4.42578125" style="2" customWidth="1"/>
    <col min="11298" max="11298" width="5" style="2" customWidth="1"/>
    <col min="11299" max="11299" width="5.85546875" style="2" customWidth="1"/>
    <col min="11300" max="11300" width="6.140625" style="2" customWidth="1"/>
    <col min="11301" max="11301" width="6.28515625" style="2" customWidth="1"/>
    <col min="11302" max="11302" width="4.85546875" style="2" customWidth="1"/>
    <col min="11303" max="11303" width="8.140625" style="2" customWidth="1"/>
    <col min="11304" max="11304" width="11.5703125" style="2" customWidth="1"/>
    <col min="11305" max="11305" width="13.7109375" style="2" customWidth="1"/>
    <col min="11306" max="11306" width="20.85546875" style="2" customWidth="1"/>
    <col min="11307" max="11519" width="11.42578125" style="2"/>
    <col min="11520" max="11520" width="13.140625" style="2" customWidth="1"/>
    <col min="11521" max="11521" width="4" style="2" customWidth="1"/>
    <col min="11522" max="11522" width="12.85546875" style="2" customWidth="1"/>
    <col min="11523" max="11523" width="14.7109375" style="2" customWidth="1"/>
    <col min="11524" max="11524" width="10" style="2" customWidth="1"/>
    <col min="11525" max="11525" width="6.28515625" style="2" customWidth="1"/>
    <col min="11526" max="11526" width="12.28515625" style="2" customWidth="1"/>
    <col min="11527" max="11527" width="8.5703125" style="2" customWidth="1"/>
    <col min="11528" max="11528" width="13.7109375" style="2" customWidth="1"/>
    <col min="11529" max="11529" width="11.5703125" style="2" customWidth="1"/>
    <col min="11530" max="11530" width="24.7109375" style="2" customWidth="1"/>
    <col min="11531" max="11531" width="17.42578125" style="2" customWidth="1"/>
    <col min="11532" max="11532" width="20.85546875" style="2" customWidth="1"/>
    <col min="11533" max="11533" width="26.85546875" style="2" customWidth="1"/>
    <col min="11534" max="11534" width="8" style="2" customWidth="1"/>
    <col min="11535" max="11535" width="25" style="2" customWidth="1"/>
    <col min="11536" max="11536" width="12.7109375" style="2" customWidth="1"/>
    <col min="11537" max="11537" width="16.42578125" style="2" customWidth="1"/>
    <col min="11538" max="11538" width="23.5703125" style="2" customWidth="1"/>
    <col min="11539" max="11539" width="33.7109375" style="2" customWidth="1"/>
    <col min="11540" max="11540" width="31.140625" style="2" customWidth="1"/>
    <col min="11541" max="11541" width="19.28515625" style="2" customWidth="1"/>
    <col min="11542" max="11542" width="11.7109375" style="2" customWidth="1"/>
    <col min="11543" max="11543" width="15.42578125" style="2" customWidth="1"/>
    <col min="11544" max="11544" width="5.5703125" style="2" customWidth="1"/>
    <col min="11545" max="11545" width="4.7109375" style="2" customWidth="1"/>
    <col min="11546" max="11547" width="7.28515625" style="2" customWidth="1"/>
    <col min="11548" max="11548" width="8.42578125" style="2" customWidth="1"/>
    <col min="11549" max="11549" width="9.5703125" style="2" customWidth="1"/>
    <col min="11550" max="11550" width="6.28515625" style="2" customWidth="1"/>
    <col min="11551" max="11551" width="5.85546875" style="2" customWidth="1"/>
    <col min="11552" max="11553" width="4.42578125" style="2" customWidth="1"/>
    <col min="11554" max="11554" width="5" style="2" customWidth="1"/>
    <col min="11555" max="11555" width="5.85546875" style="2" customWidth="1"/>
    <col min="11556" max="11556" width="6.140625" style="2" customWidth="1"/>
    <col min="11557" max="11557" width="6.28515625" style="2" customWidth="1"/>
    <col min="11558" max="11558" width="4.85546875" style="2" customWidth="1"/>
    <col min="11559" max="11559" width="8.140625" style="2" customWidth="1"/>
    <col min="11560" max="11560" width="11.5703125" style="2" customWidth="1"/>
    <col min="11561" max="11561" width="13.7109375" style="2" customWidth="1"/>
    <col min="11562" max="11562" width="20.85546875" style="2" customWidth="1"/>
    <col min="11563" max="11775" width="11.42578125" style="2"/>
    <col min="11776" max="11776" width="13.140625" style="2" customWidth="1"/>
    <col min="11777" max="11777" width="4" style="2" customWidth="1"/>
    <col min="11778" max="11778" width="12.85546875" style="2" customWidth="1"/>
    <col min="11779" max="11779" width="14.7109375" style="2" customWidth="1"/>
    <col min="11780" max="11780" width="10" style="2" customWidth="1"/>
    <col min="11781" max="11781" width="6.28515625" style="2" customWidth="1"/>
    <col min="11782" max="11782" width="12.28515625" style="2" customWidth="1"/>
    <col min="11783" max="11783" width="8.5703125" style="2" customWidth="1"/>
    <col min="11784" max="11784" width="13.7109375" style="2" customWidth="1"/>
    <col min="11785" max="11785" width="11.5703125" style="2" customWidth="1"/>
    <col min="11786" max="11786" width="24.7109375" style="2" customWidth="1"/>
    <col min="11787" max="11787" width="17.42578125" style="2" customWidth="1"/>
    <col min="11788" max="11788" width="20.85546875" style="2" customWidth="1"/>
    <col min="11789" max="11789" width="26.85546875" style="2" customWidth="1"/>
    <col min="11790" max="11790" width="8" style="2" customWidth="1"/>
    <col min="11791" max="11791" width="25" style="2" customWidth="1"/>
    <col min="11792" max="11792" width="12.7109375" style="2" customWidth="1"/>
    <col min="11793" max="11793" width="16.42578125" style="2" customWidth="1"/>
    <col min="11794" max="11794" width="23.5703125" style="2" customWidth="1"/>
    <col min="11795" max="11795" width="33.7109375" style="2" customWidth="1"/>
    <col min="11796" max="11796" width="31.140625" style="2" customWidth="1"/>
    <col min="11797" max="11797" width="19.28515625" style="2" customWidth="1"/>
    <col min="11798" max="11798" width="11.7109375" style="2" customWidth="1"/>
    <col min="11799" max="11799" width="15.42578125" style="2" customWidth="1"/>
    <col min="11800" max="11800" width="5.5703125" style="2" customWidth="1"/>
    <col min="11801" max="11801" width="4.7109375" style="2" customWidth="1"/>
    <col min="11802" max="11803" width="7.28515625" style="2" customWidth="1"/>
    <col min="11804" max="11804" width="8.42578125" style="2" customWidth="1"/>
    <col min="11805" max="11805" width="9.5703125" style="2" customWidth="1"/>
    <col min="11806" max="11806" width="6.28515625" style="2" customWidth="1"/>
    <col min="11807" max="11807" width="5.85546875" style="2" customWidth="1"/>
    <col min="11808" max="11809" width="4.42578125" style="2" customWidth="1"/>
    <col min="11810" max="11810" width="5" style="2" customWidth="1"/>
    <col min="11811" max="11811" width="5.85546875" style="2" customWidth="1"/>
    <col min="11812" max="11812" width="6.140625" style="2" customWidth="1"/>
    <col min="11813" max="11813" width="6.28515625" style="2" customWidth="1"/>
    <col min="11814" max="11814" width="4.85546875" style="2" customWidth="1"/>
    <col min="11815" max="11815" width="8.140625" style="2" customWidth="1"/>
    <col min="11816" max="11816" width="11.5703125" style="2" customWidth="1"/>
    <col min="11817" max="11817" width="13.7109375" style="2" customWidth="1"/>
    <col min="11818" max="11818" width="20.85546875" style="2" customWidth="1"/>
    <col min="11819" max="12031" width="11.42578125" style="2"/>
    <col min="12032" max="12032" width="13.140625" style="2" customWidth="1"/>
    <col min="12033" max="12033" width="4" style="2" customWidth="1"/>
    <col min="12034" max="12034" width="12.85546875" style="2" customWidth="1"/>
    <col min="12035" max="12035" width="14.7109375" style="2" customWidth="1"/>
    <col min="12036" max="12036" width="10" style="2" customWidth="1"/>
    <col min="12037" max="12037" width="6.28515625" style="2" customWidth="1"/>
    <col min="12038" max="12038" width="12.28515625" style="2" customWidth="1"/>
    <col min="12039" max="12039" width="8.5703125" style="2" customWidth="1"/>
    <col min="12040" max="12040" width="13.7109375" style="2" customWidth="1"/>
    <col min="12041" max="12041" width="11.5703125" style="2" customWidth="1"/>
    <col min="12042" max="12042" width="24.7109375" style="2" customWidth="1"/>
    <col min="12043" max="12043" width="17.42578125" style="2" customWidth="1"/>
    <col min="12044" max="12044" width="20.85546875" style="2" customWidth="1"/>
    <col min="12045" max="12045" width="26.85546875" style="2" customWidth="1"/>
    <col min="12046" max="12046" width="8" style="2" customWidth="1"/>
    <col min="12047" max="12047" width="25" style="2" customWidth="1"/>
    <col min="12048" max="12048" width="12.7109375" style="2" customWidth="1"/>
    <col min="12049" max="12049" width="16.42578125" style="2" customWidth="1"/>
    <col min="12050" max="12050" width="23.5703125" style="2" customWidth="1"/>
    <col min="12051" max="12051" width="33.7109375" style="2" customWidth="1"/>
    <col min="12052" max="12052" width="31.140625" style="2" customWidth="1"/>
    <col min="12053" max="12053" width="19.28515625" style="2" customWidth="1"/>
    <col min="12054" max="12054" width="11.7109375" style="2" customWidth="1"/>
    <col min="12055" max="12055" width="15.42578125" style="2" customWidth="1"/>
    <col min="12056" max="12056" width="5.5703125" style="2" customWidth="1"/>
    <col min="12057" max="12057" width="4.7109375" style="2" customWidth="1"/>
    <col min="12058" max="12059" width="7.28515625" style="2" customWidth="1"/>
    <col min="12060" max="12060" width="8.42578125" style="2" customWidth="1"/>
    <col min="12061" max="12061" width="9.5703125" style="2" customWidth="1"/>
    <col min="12062" max="12062" width="6.28515625" style="2" customWidth="1"/>
    <col min="12063" max="12063" width="5.85546875" style="2" customWidth="1"/>
    <col min="12064" max="12065" width="4.42578125" style="2" customWidth="1"/>
    <col min="12066" max="12066" width="5" style="2" customWidth="1"/>
    <col min="12067" max="12067" width="5.85546875" style="2" customWidth="1"/>
    <col min="12068" max="12068" width="6.140625" style="2" customWidth="1"/>
    <col min="12069" max="12069" width="6.28515625" style="2" customWidth="1"/>
    <col min="12070" max="12070" width="4.85546875" style="2" customWidth="1"/>
    <col min="12071" max="12071" width="8.140625" style="2" customWidth="1"/>
    <col min="12072" max="12072" width="11.5703125" style="2" customWidth="1"/>
    <col min="12073" max="12073" width="13.7109375" style="2" customWidth="1"/>
    <col min="12074" max="12074" width="20.85546875" style="2" customWidth="1"/>
    <col min="12075" max="12287" width="11.42578125" style="2"/>
    <col min="12288" max="12288" width="13.140625" style="2" customWidth="1"/>
    <col min="12289" max="12289" width="4" style="2" customWidth="1"/>
    <col min="12290" max="12290" width="12.85546875" style="2" customWidth="1"/>
    <col min="12291" max="12291" width="14.7109375" style="2" customWidth="1"/>
    <col min="12292" max="12292" width="10" style="2" customWidth="1"/>
    <col min="12293" max="12293" width="6.28515625" style="2" customWidth="1"/>
    <col min="12294" max="12294" width="12.28515625" style="2" customWidth="1"/>
    <col min="12295" max="12295" width="8.5703125" style="2" customWidth="1"/>
    <col min="12296" max="12296" width="13.7109375" style="2" customWidth="1"/>
    <col min="12297" max="12297" width="11.5703125" style="2" customWidth="1"/>
    <col min="12298" max="12298" width="24.7109375" style="2" customWidth="1"/>
    <col min="12299" max="12299" width="17.42578125" style="2" customWidth="1"/>
    <col min="12300" max="12300" width="20.85546875" style="2" customWidth="1"/>
    <col min="12301" max="12301" width="26.85546875" style="2" customWidth="1"/>
    <col min="12302" max="12302" width="8" style="2" customWidth="1"/>
    <col min="12303" max="12303" width="25" style="2" customWidth="1"/>
    <col min="12304" max="12304" width="12.7109375" style="2" customWidth="1"/>
    <col min="12305" max="12305" width="16.42578125" style="2" customWidth="1"/>
    <col min="12306" max="12306" width="23.5703125" style="2" customWidth="1"/>
    <col min="12307" max="12307" width="33.7109375" style="2" customWidth="1"/>
    <col min="12308" max="12308" width="31.140625" style="2" customWidth="1"/>
    <col min="12309" max="12309" width="19.28515625" style="2" customWidth="1"/>
    <col min="12310" max="12310" width="11.7109375" style="2" customWidth="1"/>
    <col min="12311" max="12311" width="15.42578125" style="2" customWidth="1"/>
    <col min="12312" max="12312" width="5.5703125" style="2" customWidth="1"/>
    <col min="12313" max="12313" width="4.7109375" style="2" customWidth="1"/>
    <col min="12314" max="12315" width="7.28515625" style="2" customWidth="1"/>
    <col min="12316" max="12316" width="8.42578125" style="2" customWidth="1"/>
    <col min="12317" max="12317" width="9.5703125" style="2" customWidth="1"/>
    <col min="12318" max="12318" width="6.28515625" style="2" customWidth="1"/>
    <col min="12319" max="12319" width="5.85546875" style="2" customWidth="1"/>
    <col min="12320" max="12321" width="4.42578125" style="2" customWidth="1"/>
    <col min="12322" max="12322" width="5" style="2" customWidth="1"/>
    <col min="12323" max="12323" width="5.85546875" style="2" customWidth="1"/>
    <col min="12324" max="12324" width="6.140625" style="2" customWidth="1"/>
    <col min="12325" max="12325" width="6.28515625" style="2" customWidth="1"/>
    <col min="12326" max="12326" width="4.85546875" style="2" customWidth="1"/>
    <col min="12327" max="12327" width="8.140625" style="2" customWidth="1"/>
    <col min="12328" max="12328" width="11.5703125" style="2" customWidth="1"/>
    <col min="12329" max="12329" width="13.7109375" style="2" customWidth="1"/>
    <col min="12330" max="12330" width="20.85546875" style="2" customWidth="1"/>
    <col min="12331" max="12543" width="11.42578125" style="2"/>
    <col min="12544" max="12544" width="13.140625" style="2" customWidth="1"/>
    <col min="12545" max="12545" width="4" style="2" customWidth="1"/>
    <col min="12546" max="12546" width="12.85546875" style="2" customWidth="1"/>
    <col min="12547" max="12547" width="14.7109375" style="2" customWidth="1"/>
    <col min="12548" max="12548" width="10" style="2" customWidth="1"/>
    <col min="12549" max="12549" width="6.28515625" style="2" customWidth="1"/>
    <col min="12550" max="12550" width="12.28515625" style="2" customWidth="1"/>
    <col min="12551" max="12551" width="8.5703125" style="2" customWidth="1"/>
    <col min="12552" max="12552" width="13.7109375" style="2" customWidth="1"/>
    <col min="12553" max="12553" width="11.5703125" style="2" customWidth="1"/>
    <col min="12554" max="12554" width="24.7109375" style="2" customWidth="1"/>
    <col min="12555" max="12555" width="17.42578125" style="2" customWidth="1"/>
    <col min="12556" max="12556" width="20.85546875" style="2" customWidth="1"/>
    <col min="12557" max="12557" width="26.85546875" style="2" customWidth="1"/>
    <col min="12558" max="12558" width="8" style="2" customWidth="1"/>
    <col min="12559" max="12559" width="25" style="2" customWidth="1"/>
    <col min="12560" max="12560" width="12.7109375" style="2" customWidth="1"/>
    <col min="12561" max="12561" width="16.42578125" style="2" customWidth="1"/>
    <col min="12562" max="12562" width="23.5703125" style="2" customWidth="1"/>
    <col min="12563" max="12563" width="33.7109375" style="2" customWidth="1"/>
    <col min="12564" max="12564" width="31.140625" style="2" customWidth="1"/>
    <col min="12565" max="12565" width="19.28515625" style="2" customWidth="1"/>
    <col min="12566" max="12566" width="11.7109375" style="2" customWidth="1"/>
    <col min="12567" max="12567" width="15.42578125" style="2" customWidth="1"/>
    <col min="12568" max="12568" width="5.5703125" style="2" customWidth="1"/>
    <col min="12569" max="12569" width="4.7109375" style="2" customWidth="1"/>
    <col min="12570" max="12571" width="7.28515625" style="2" customWidth="1"/>
    <col min="12572" max="12572" width="8.42578125" style="2" customWidth="1"/>
    <col min="12573" max="12573" width="9.5703125" style="2" customWidth="1"/>
    <col min="12574" max="12574" width="6.28515625" style="2" customWidth="1"/>
    <col min="12575" max="12575" width="5.85546875" style="2" customWidth="1"/>
    <col min="12576" max="12577" width="4.42578125" style="2" customWidth="1"/>
    <col min="12578" max="12578" width="5" style="2" customWidth="1"/>
    <col min="12579" max="12579" width="5.85546875" style="2" customWidth="1"/>
    <col min="12580" max="12580" width="6.140625" style="2" customWidth="1"/>
    <col min="12581" max="12581" width="6.28515625" style="2" customWidth="1"/>
    <col min="12582" max="12582" width="4.85546875" style="2" customWidth="1"/>
    <col min="12583" max="12583" width="8.140625" style="2" customWidth="1"/>
    <col min="12584" max="12584" width="11.5703125" style="2" customWidth="1"/>
    <col min="12585" max="12585" width="13.7109375" style="2" customWidth="1"/>
    <col min="12586" max="12586" width="20.85546875" style="2" customWidth="1"/>
    <col min="12587" max="12799" width="11.42578125" style="2"/>
    <col min="12800" max="12800" width="13.140625" style="2" customWidth="1"/>
    <col min="12801" max="12801" width="4" style="2" customWidth="1"/>
    <col min="12802" max="12802" width="12.85546875" style="2" customWidth="1"/>
    <col min="12803" max="12803" width="14.7109375" style="2" customWidth="1"/>
    <col min="12804" max="12804" width="10" style="2" customWidth="1"/>
    <col min="12805" max="12805" width="6.28515625" style="2" customWidth="1"/>
    <col min="12806" max="12806" width="12.28515625" style="2" customWidth="1"/>
    <col min="12807" max="12807" width="8.5703125" style="2" customWidth="1"/>
    <col min="12808" max="12808" width="13.7109375" style="2" customWidth="1"/>
    <col min="12809" max="12809" width="11.5703125" style="2" customWidth="1"/>
    <col min="12810" max="12810" width="24.7109375" style="2" customWidth="1"/>
    <col min="12811" max="12811" width="17.42578125" style="2" customWidth="1"/>
    <col min="12812" max="12812" width="20.85546875" style="2" customWidth="1"/>
    <col min="12813" max="12813" width="26.85546875" style="2" customWidth="1"/>
    <col min="12814" max="12814" width="8" style="2" customWidth="1"/>
    <col min="12815" max="12815" width="25" style="2" customWidth="1"/>
    <col min="12816" max="12816" width="12.7109375" style="2" customWidth="1"/>
    <col min="12817" max="12817" width="16.42578125" style="2" customWidth="1"/>
    <col min="12818" max="12818" width="23.5703125" style="2" customWidth="1"/>
    <col min="12819" max="12819" width="33.7109375" style="2" customWidth="1"/>
    <col min="12820" max="12820" width="31.140625" style="2" customWidth="1"/>
    <col min="12821" max="12821" width="19.28515625" style="2" customWidth="1"/>
    <col min="12822" max="12822" width="11.7109375" style="2" customWidth="1"/>
    <col min="12823" max="12823" width="15.42578125" style="2" customWidth="1"/>
    <col min="12824" max="12824" width="5.5703125" style="2" customWidth="1"/>
    <col min="12825" max="12825" width="4.7109375" style="2" customWidth="1"/>
    <col min="12826" max="12827" width="7.28515625" style="2" customWidth="1"/>
    <col min="12828" max="12828" width="8.42578125" style="2" customWidth="1"/>
    <col min="12829" max="12829" width="9.5703125" style="2" customWidth="1"/>
    <col min="12830" max="12830" width="6.28515625" style="2" customWidth="1"/>
    <col min="12831" max="12831" width="5.85546875" style="2" customWidth="1"/>
    <col min="12832" max="12833" width="4.42578125" style="2" customWidth="1"/>
    <col min="12834" max="12834" width="5" style="2" customWidth="1"/>
    <col min="12835" max="12835" width="5.85546875" style="2" customWidth="1"/>
    <col min="12836" max="12836" width="6.140625" style="2" customWidth="1"/>
    <col min="12837" max="12837" width="6.28515625" style="2" customWidth="1"/>
    <col min="12838" max="12838" width="4.85546875" style="2" customWidth="1"/>
    <col min="12839" max="12839" width="8.140625" style="2" customWidth="1"/>
    <col min="12840" max="12840" width="11.5703125" style="2" customWidth="1"/>
    <col min="12841" max="12841" width="13.7109375" style="2" customWidth="1"/>
    <col min="12842" max="12842" width="20.85546875" style="2" customWidth="1"/>
    <col min="12843" max="13055" width="11.42578125" style="2"/>
    <col min="13056" max="13056" width="13.140625" style="2" customWidth="1"/>
    <col min="13057" max="13057" width="4" style="2" customWidth="1"/>
    <col min="13058" max="13058" width="12.85546875" style="2" customWidth="1"/>
    <col min="13059" max="13059" width="14.7109375" style="2" customWidth="1"/>
    <col min="13060" max="13060" width="10" style="2" customWidth="1"/>
    <col min="13061" max="13061" width="6.28515625" style="2" customWidth="1"/>
    <col min="13062" max="13062" width="12.28515625" style="2" customWidth="1"/>
    <col min="13063" max="13063" width="8.5703125" style="2" customWidth="1"/>
    <col min="13064" max="13064" width="13.7109375" style="2" customWidth="1"/>
    <col min="13065" max="13065" width="11.5703125" style="2" customWidth="1"/>
    <col min="13066" max="13066" width="24.7109375" style="2" customWidth="1"/>
    <col min="13067" max="13067" width="17.42578125" style="2" customWidth="1"/>
    <col min="13068" max="13068" width="20.85546875" style="2" customWidth="1"/>
    <col min="13069" max="13069" width="26.85546875" style="2" customWidth="1"/>
    <col min="13070" max="13070" width="8" style="2" customWidth="1"/>
    <col min="13071" max="13071" width="25" style="2" customWidth="1"/>
    <col min="13072" max="13072" width="12.7109375" style="2" customWidth="1"/>
    <col min="13073" max="13073" width="16.42578125" style="2" customWidth="1"/>
    <col min="13074" max="13074" width="23.5703125" style="2" customWidth="1"/>
    <col min="13075" max="13075" width="33.7109375" style="2" customWidth="1"/>
    <col min="13076" max="13076" width="31.140625" style="2" customWidth="1"/>
    <col min="13077" max="13077" width="19.28515625" style="2" customWidth="1"/>
    <col min="13078" max="13078" width="11.7109375" style="2" customWidth="1"/>
    <col min="13079" max="13079" width="15.42578125" style="2" customWidth="1"/>
    <col min="13080" max="13080" width="5.5703125" style="2" customWidth="1"/>
    <col min="13081" max="13081" width="4.7109375" style="2" customWidth="1"/>
    <col min="13082" max="13083" width="7.28515625" style="2" customWidth="1"/>
    <col min="13084" max="13084" width="8.42578125" style="2" customWidth="1"/>
    <col min="13085" max="13085" width="9.5703125" style="2" customWidth="1"/>
    <col min="13086" max="13086" width="6.28515625" style="2" customWidth="1"/>
    <col min="13087" max="13087" width="5.85546875" style="2" customWidth="1"/>
    <col min="13088" max="13089" width="4.42578125" style="2" customWidth="1"/>
    <col min="13090" max="13090" width="5" style="2" customWidth="1"/>
    <col min="13091" max="13091" width="5.85546875" style="2" customWidth="1"/>
    <col min="13092" max="13092" width="6.140625" style="2" customWidth="1"/>
    <col min="13093" max="13093" width="6.28515625" style="2" customWidth="1"/>
    <col min="13094" max="13094" width="4.85546875" style="2" customWidth="1"/>
    <col min="13095" max="13095" width="8.140625" style="2" customWidth="1"/>
    <col min="13096" max="13096" width="11.5703125" style="2" customWidth="1"/>
    <col min="13097" max="13097" width="13.7109375" style="2" customWidth="1"/>
    <col min="13098" max="13098" width="20.85546875" style="2" customWidth="1"/>
    <col min="13099" max="13311" width="11.42578125" style="2"/>
    <col min="13312" max="13312" width="13.140625" style="2" customWidth="1"/>
    <col min="13313" max="13313" width="4" style="2" customWidth="1"/>
    <col min="13314" max="13314" width="12.85546875" style="2" customWidth="1"/>
    <col min="13315" max="13315" width="14.7109375" style="2" customWidth="1"/>
    <col min="13316" max="13316" width="10" style="2" customWidth="1"/>
    <col min="13317" max="13317" width="6.28515625" style="2" customWidth="1"/>
    <col min="13318" max="13318" width="12.28515625" style="2" customWidth="1"/>
    <col min="13319" max="13319" width="8.5703125" style="2" customWidth="1"/>
    <col min="13320" max="13320" width="13.7109375" style="2" customWidth="1"/>
    <col min="13321" max="13321" width="11.5703125" style="2" customWidth="1"/>
    <col min="13322" max="13322" width="24.7109375" style="2" customWidth="1"/>
    <col min="13323" max="13323" width="17.42578125" style="2" customWidth="1"/>
    <col min="13324" max="13324" width="20.85546875" style="2" customWidth="1"/>
    <col min="13325" max="13325" width="26.85546875" style="2" customWidth="1"/>
    <col min="13326" max="13326" width="8" style="2" customWidth="1"/>
    <col min="13327" max="13327" width="25" style="2" customWidth="1"/>
    <col min="13328" max="13328" width="12.7109375" style="2" customWidth="1"/>
    <col min="13329" max="13329" width="16.42578125" style="2" customWidth="1"/>
    <col min="13330" max="13330" width="23.5703125" style="2" customWidth="1"/>
    <col min="13331" max="13331" width="33.7109375" style="2" customWidth="1"/>
    <col min="13332" max="13332" width="31.140625" style="2" customWidth="1"/>
    <col min="13333" max="13333" width="19.28515625" style="2" customWidth="1"/>
    <col min="13334" max="13334" width="11.7109375" style="2" customWidth="1"/>
    <col min="13335" max="13335" width="15.42578125" style="2" customWidth="1"/>
    <col min="13336" max="13336" width="5.5703125" style="2" customWidth="1"/>
    <col min="13337" max="13337" width="4.7109375" style="2" customWidth="1"/>
    <col min="13338" max="13339" width="7.28515625" style="2" customWidth="1"/>
    <col min="13340" max="13340" width="8.42578125" style="2" customWidth="1"/>
    <col min="13341" max="13341" width="9.5703125" style="2" customWidth="1"/>
    <col min="13342" max="13342" width="6.28515625" style="2" customWidth="1"/>
    <col min="13343" max="13343" width="5.85546875" style="2" customWidth="1"/>
    <col min="13344" max="13345" width="4.42578125" style="2" customWidth="1"/>
    <col min="13346" max="13346" width="5" style="2" customWidth="1"/>
    <col min="13347" max="13347" width="5.85546875" style="2" customWidth="1"/>
    <col min="13348" max="13348" width="6.140625" style="2" customWidth="1"/>
    <col min="13349" max="13349" width="6.28515625" style="2" customWidth="1"/>
    <col min="13350" max="13350" width="4.85546875" style="2" customWidth="1"/>
    <col min="13351" max="13351" width="8.140625" style="2" customWidth="1"/>
    <col min="13352" max="13352" width="11.5703125" style="2" customWidth="1"/>
    <col min="13353" max="13353" width="13.7109375" style="2" customWidth="1"/>
    <col min="13354" max="13354" width="20.85546875" style="2" customWidth="1"/>
    <col min="13355" max="13567" width="11.42578125" style="2"/>
    <col min="13568" max="13568" width="13.140625" style="2" customWidth="1"/>
    <col min="13569" max="13569" width="4" style="2" customWidth="1"/>
    <col min="13570" max="13570" width="12.85546875" style="2" customWidth="1"/>
    <col min="13571" max="13571" width="14.7109375" style="2" customWidth="1"/>
    <col min="13572" max="13572" width="10" style="2" customWidth="1"/>
    <col min="13573" max="13573" width="6.28515625" style="2" customWidth="1"/>
    <col min="13574" max="13574" width="12.28515625" style="2" customWidth="1"/>
    <col min="13575" max="13575" width="8.5703125" style="2" customWidth="1"/>
    <col min="13576" max="13576" width="13.7109375" style="2" customWidth="1"/>
    <col min="13577" max="13577" width="11.5703125" style="2" customWidth="1"/>
    <col min="13578" max="13578" width="24.7109375" style="2" customWidth="1"/>
    <col min="13579" max="13579" width="17.42578125" style="2" customWidth="1"/>
    <col min="13580" max="13580" width="20.85546875" style="2" customWidth="1"/>
    <col min="13581" max="13581" width="26.85546875" style="2" customWidth="1"/>
    <col min="13582" max="13582" width="8" style="2" customWidth="1"/>
    <col min="13583" max="13583" width="25" style="2" customWidth="1"/>
    <col min="13584" max="13584" width="12.7109375" style="2" customWidth="1"/>
    <col min="13585" max="13585" width="16.42578125" style="2" customWidth="1"/>
    <col min="13586" max="13586" width="23.5703125" style="2" customWidth="1"/>
    <col min="13587" max="13587" width="33.7109375" style="2" customWidth="1"/>
    <col min="13588" max="13588" width="31.140625" style="2" customWidth="1"/>
    <col min="13589" max="13589" width="19.28515625" style="2" customWidth="1"/>
    <col min="13590" max="13590" width="11.7109375" style="2" customWidth="1"/>
    <col min="13591" max="13591" width="15.42578125" style="2" customWidth="1"/>
    <col min="13592" max="13592" width="5.5703125" style="2" customWidth="1"/>
    <col min="13593" max="13593" width="4.7109375" style="2" customWidth="1"/>
    <col min="13594" max="13595" width="7.28515625" style="2" customWidth="1"/>
    <col min="13596" max="13596" width="8.42578125" style="2" customWidth="1"/>
    <col min="13597" max="13597" width="9.5703125" style="2" customWidth="1"/>
    <col min="13598" max="13598" width="6.28515625" style="2" customWidth="1"/>
    <col min="13599" max="13599" width="5.85546875" style="2" customWidth="1"/>
    <col min="13600" max="13601" width="4.42578125" style="2" customWidth="1"/>
    <col min="13602" max="13602" width="5" style="2" customWidth="1"/>
    <col min="13603" max="13603" width="5.85546875" style="2" customWidth="1"/>
    <col min="13604" max="13604" width="6.140625" style="2" customWidth="1"/>
    <col min="13605" max="13605" width="6.28515625" style="2" customWidth="1"/>
    <col min="13606" max="13606" width="4.85546875" style="2" customWidth="1"/>
    <col min="13607" max="13607" width="8.140625" style="2" customWidth="1"/>
    <col min="13608" max="13608" width="11.5703125" style="2" customWidth="1"/>
    <col min="13609" max="13609" width="13.7109375" style="2" customWidth="1"/>
    <col min="13610" max="13610" width="20.85546875" style="2" customWidth="1"/>
    <col min="13611" max="13823" width="11.42578125" style="2"/>
    <col min="13824" max="13824" width="13.140625" style="2" customWidth="1"/>
    <col min="13825" max="13825" width="4" style="2" customWidth="1"/>
    <col min="13826" max="13826" width="12.85546875" style="2" customWidth="1"/>
    <col min="13827" max="13827" width="14.7109375" style="2" customWidth="1"/>
    <col min="13828" max="13828" width="10" style="2" customWidth="1"/>
    <col min="13829" max="13829" width="6.28515625" style="2" customWidth="1"/>
    <col min="13830" max="13830" width="12.28515625" style="2" customWidth="1"/>
    <col min="13831" max="13831" width="8.5703125" style="2" customWidth="1"/>
    <col min="13832" max="13832" width="13.7109375" style="2" customWidth="1"/>
    <col min="13833" max="13833" width="11.5703125" style="2" customWidth="1"/>
    <col min="13834" max="13834" width="24.7109375" style="2" customWidth="1"/>
    <col min="13835" max="13835" width="17.42578125" style="2" customWidth="1"/>
    <col min="13836" max="13836" width="20.85546875" style="2" customWidth="1"/>
    <col min="13837" max="13837" width="26.85546875" style="2" customWidth="1"/>
    <col min="13838" max="13838" width="8" style="2" customWidth="1"/>
    <col min="13839" max="13839" width="25" style="2" customWidth="1"/>
    <col min="13840" max="13840" width="12.7109375" style="2" customWidth="1"/>
    <col min="13841" max="13841" width="16.42578125" style="2" customWidth="1"/>
    <col min="13842" max="13842" width="23.5703125" style="2" customWidth="1"/>
    <col min="13843" max="13843" width="33.7109375" style="2" customWidth="1"/>
    <col min="13844" max="13844" width="31.140625" style="2" customWidth="1"/>
    <col min="13845" max="13845" width="19.28515625" style="2" customWidth="1"/>
    <col min="13846" max="13846" width="11.7109375" style="2" customWidth="1"/>
    <col min="13847" max="13847" width="15.42578125" style="2" customWidth="1"/>
    <col min="13848" max="13848" width="5.5703125" style="2" customWidth="1"/>
    <col min="13849" max="13849" width="4.7109375" style="2" customWidth="1"/>
    <col min="13850" max="13851" width="7.28515625" style="2" customWidth="1"/>
    <col min="13852" max="13852" width="8.42578125" style="2" customWidth="1"/>
    <col min="13853" max="13853" width="9.5703125" style="2" customWidth="1"/>
    <col min="13854" max="13854" width="6.28515625" style="2" customWidth="1"/>
    <col min="13855" max="13855" width="5.85546875" style="2" customWidth="1"/>
    <col min="13856" max="13857" width="4.42578125" style="2" customWidth="1"/>
    <col min="13858" max="13858" width="5" style="2" customWidth="1"/>
    <col min="13859" max="13859" width="5.85546875" style="2" customWidth="1"/>
    <col min="13860" max="13860" width="6.140625" style="2" customWidth="1"/>
    <col min="13861" max="13861" width="6.28515625" style="2" customWidth="1"/>
    <col min="13862" max="13862" width="4.85546875" style="2" customWidth="1"/>
    <col min="13863" max="13863" width="8.140625" style="2" customWidth="1"/>
    <col min="13864" max="13864" width="11.5703125" style="2" customWidth="1"/>
    <col min="13865" max="13865" width="13.7109375" style="2" customWidth="1"/>
    <col min="13866" max="13866" width="20.85546875" style="2" customWidth="1"/>
    <col min="13867" max="14079" width="11.42578125" style="2"/>
    <col min="14080" max="14080" width="13.140625" style="2" customWidth="1"/>
    <col min="14081" max="14081" width="4" style="2" customWidth="1"/>
    <col min="14082" max="14082" width="12.85546875" style="2" customWidth="1"/>
    <col min="14083" max="14083" width="14.7109375" style="2" customWidth="1"/>
    <col min="14084" max="14084" width="10" style="2" customWidth="1"/>
    <col min="14085" max="14085" width="6.28515625" style="2" customWidth="1"/>
    <col min="14086" max="14086" width="12.28515625" style="2" customWidth="1"/>
    <col min="14087" max="14087" width="8.5703125" style="2" customWidth="1"/>
    <col min="14088" max="14088" width="13.7109375" style="2" customWidth="1"/>
    <col min="14089" max="14089" width="11.5703125" style="2" customWidth="1"/>
    <col min="14090" max="14090" width="24.7109375" style="2" customWidth="1"/>
    <col min="14091" max="14091" width="17.42578125" style="2" customWidth="1"/>
    <col min="14092" max="14092" width="20.85546875" style="2" customWidth="1"/>
    <col min="14093" max="14093" width="26.85546875" style="2" customWidth="1"/>
    <col min="14094" max="14094" width="8" style="2" customWidth="1"/>
    <col min="14095" max="14095" width="25" style="2" customWidth="1"/>
    <col min="14096" max="14096" width="12.7109375" style="2" customWidth="1"/>
    <col min="14097" max="14097" width="16.42578125" style="2" customWidth="1"/>
    <col min="14098" max="14098" width="23.5703125" style="2" customWidth="1"/>
    <col min="14099" max="14099" width="33.7109375" style="2" customWidth="1"/>
    <col min="14100" max="14100" width="31.140625" style="2" customWidth="1"/>
    <col min="14101" max="14101" width="19.28515625" style="2" customWidth="1"/>
    <col min="14102" max="14102" width="11.7109375" style="2" customWidth="1"/>
    <col min="14103" max="14103" width="15.42578125" style="2" customWidth="1"/>
    <col min="14104" max="14104" width="5.5703125" style="2" customWidth="1"/>
    <col min="14105" max="14105" width="4.7109375" style="2" customWidth="1"/>
    <col min="14106" max="14107" width="7.28515625" style="2" customWidth="1"/>
    <col min="14108" max="14108" width="8.42578125" style="2" customWidth="1"/>
    <col min="14109" max="14109" width="9.5703125" style="2" customWidth="1"/>
    <col min="14110" max="14110" width="6.28515625" style="2" customWidth="1"/>
    <col min="14111" max="14111" width="5.85546875" style="2" customWidth="1"/>
    <col min="14112" max="14113" width="4.42578125" style="2" customWidth="1"/>
    <col min="14114" max="14114" width="5" style="2" customWidth="1"/>
    <col min="14115" max="14115" width="5.85546875" style="2" customWidth="1"/>
    <col min="14116" max="14116" width="6.140625" style="2" customWidth="1"/>
    <col min="14117" max="14117" width="6.28515625" style="2" customWidth="1"/>
    <col min="14118" max="14118" width="4.85546875" style="2" customWidth="1"/>
    <col min="14119" max="14119" width="8.140625" style="2" customWidth="1"/>
    <col min="14120" max="14120" width="11.5703125" style="2" customWidth="1"/>
    <col min="14121" max="14121" width="13.7109375" style="2" customWidth="1"/>
    <col min="14122" max="14122" width="20.85546875" style="2" customWidth="1"/>
    <col min="14123" max="14335" width="11.42578125" style="2"/>
    <col min="14336" max="14336" width="13.140625" style="2" customWidth="1"/>
    <col min="14337" max="14337" width="4" style="2" customWidth="1"/>
    <col min="14338" max="14338" width="12.85546875" style="2" customWidth="1"/>
    <col min="14339" max="14339" width="14.7109375" style="2" customWidth="1"/>
    <col min="14340" max="14340" width="10" style="2" customWidth="1"/>
    <col min="14341" max="14341" width="6.28515625" style="2" customWidth="1"/>
    <col min="14342" max="14342" width="12.28515625" style="2" customWidth="1"/>
    <col min="14343" max="14343" width="8.5703125" style="2" customWidth="1"/>
    <col min="14344" max="14344" width="13.7109375" style="2" customWidth="1"/>
    <col min="14345" max="14345" width="11.5703125" style="2" customWidth="1"/>
    <col min="14346" max="14346" width="24.7109375" style="2" customWidth="1"/>
    <col min="14347" max="14347" width="17.42578125" style="2" customWidth="1"/>
    <col min="14348" max="14348" width="20.85546875" style="2" customWidth="1"/>
    <col min="14349" max="14349" width="26.85546875" style="2" customWidth="1"/>
    <col min="14350" max="14350" width="8" style="2" customWidth="1"/>
    <col min="14351" max="14351" width="25" style="2" customWidth="1"/>
    <col min="14352" max="14352" width="12.7109375" style="2" customWidth="1"/>
    <col min="14353" max="14353" width="16.42578125" style="2" customWidth="1"/>
    <col min="14354" max="14354" width="23.5703125" style="2" customWidth="1"/>
    <col min="14355" max="14355" width="33.7109375" style="2" customWidth="1"/>
    <col min="14356" max="14356" width="31.140625" style="2" customWidth="1"/>
    <col min="14357" max="14357" width="19.28515625" style="2" customWidth="1"/>
    <col min="14358" max="14358" width="11.7109375" style="2" customWidth="1"/>
    <col min="14359" max="14359" width="15.42578125" style="2" customWidth="1"/>
    <col min="14360" max="14360" width="5.5703125" style="2" customWidth="1"/>
    <col min="14361" max="14361" width="4.7109375" style="2" customWidth="1"/>
    <col min="14362" max="14363" width="7.28515625" style="2" customWidth="1"/>
    <col min="14364" max="14364" width="8.42578125" style="2" customWidth="1"/>
    <col min="14365" max="14365" width="9.5703125" style="2" customWidth="1"/>
    <col min="14366" max="14366" width="6.28515625" style="2" customWidth="1"/>
    <col min="14367" max="14367" width="5.85546875" style="2" customWidth="1"/>
    <col min="14368" max="14369" width="4.42578125" style="2" customWidth="1"/>
    <col min="14370" max="14370" width="5" style="2" customWidth="1"/>
    <col min="14371" max="14371" width="5.85546875" style="2" customWidth="1"/>
    <col min="14372" max="14372" width="6.140625" style="2" customWidth="1"/>
    <col min="14373" max="14373" width="6.28515625" style="2" customWidth="1"/>
    <col min="14374" max="14374" width="4.85546875" style="2" customWidth="1"/>
    <col min="14375" max="14375" width="8.140625" style="2" customWidth="1"/>
    <col min="14376" max="14376" width="11.5703125" style="2" customWidth="1"/>
    <col min="14377" max="14377" width="13.7109375" style="2" customWidth="1"/>
    <col min="14378" max="14378" width="20.85546875" style="2" customWidth="1"/>
    <col min="14379" max="14591" width="11.42578125" style="2"/>
    <col min="14592" max="14592" width="13.140625" style="2" customWidth="1"/>
    <col min="14593" max="14593" width="4" style="2" customWidth="1"/>
    <col min="14594" max="14594" width="12.85546875" style="2" customWidth="1"/>
    <col min="14595" max="14595" width="14.7109375" style="2" customWidth="1"/>
    <col min="14596" max="14596" width="10" style="2" customWidth="1"/>
    <col min="14597" max="14597" width="6.28515625" style="2" customWidth="1"/>
    <col min="14598" max="14598" width="12.28515625" style="2" customWidth="1"/>
    <col min="14599" max="14599" width="8.5703125" style="2" customWidth="1"/>
    <col min="14600" max="14600" width="13.7109375" style="2" customWidth="1"/>
    <col min="14601" max="14601" width="11.5703125" style="2" customWidth="1"/>
    <col min="14602" max="14602" width="24.7109375" style="2" customWidth="1"/>
    <col min="14603" max="14603" width="17.42578125" style="2" customWidth="1"/>
    <col min="14604" max="14604" width="20.85546875" style="2" customWidth="1"/>
    <col min="14605" max="14605" width="26.85546875" style="2" customWidth="1"/>
    <col min="14606" max="14606" width="8" style="2" customWidth="1"/>
    <col min="14607" max="14607" width="25" style="2" customWidth="1"/>
    <col min="14608" max="14608" width="12.7109375" style="2" customWidth="1"/>
    <col min="14609" max="14609" width="16.42578125" style="2" customWidth="1"/>
    <col min="14610" max="14610" width="23.5703125" style="2" customWidth="1"/>
    <col min="14611" max="14611" width="33.7109375" style="2" customWidth="1"/>
    <col min="14612" max="14612" width="31.140625" style="2" customWidth="1"/>
    <col min="14613" max="14613" width="19.28515625" style="2" customWidth="1"/>
    <col min="14614" max="14614" width="11.7109375" style="2" customWidth="1"/>
    <col min="14615" max="14615" width="15.42578125" style="2" customWidth="1"/>
    <col min="14616" max="14616" width="5.5703125" style="2" customWidth="1"/>
    <col min="14617" max="14617" width="4.7109375" style="2" customWidth="1"/>
    <col min="14618" max="14619" width="7.28515625" style="2" customWidth="1"/>
    <col min="14620" max="14620" width="8.42578125" style="2" customWidth="1"/>
    <col min="14621" max="14621" width="9.5703125" style="2" customWidth="1"/>
    <col min="14622" max="14622" width="6.28515625" style="2" customWidth="1"/>
    <col min="14623" max="14623" width="5.85546875" style="2" customWidth="1"/>
    <col min="14624" max="14625" width="4.42578125" style="2" customWidth="1"/>
    <col min="14626" max="14626" width="5" style="2" customWidth="1"/>
    <col min="14627" max="14627" width="5.85546875" style="2" customWidth="1"/>
    <col min="14628" max="14628" width="6.140625" style="2" customWidth="1"/>
    <col min="14629" max="14629" width="6.28515625" style="2" customWidth="1"/>
    <col min="14630" max="14630" width="4.85546875" style="2" customWidth="1"/>
    <col min="14631" max="14631" width="8.140625" style="2" customWidth="1"/>
    <col min="14632" max="14632" width="11.5703125" style="2" customWidth="1"/>
    <col min="14633" max="14633" width="13.7109375" style="2" customWidth="1"/>
    <col min="14634" max="14634" width="20.85546875" style="2" customWidth="1"/>
    <col min="14635" max="14847" width="11.42578125" style="2"/>
    <col min="14848" max="14848" width="13.140625" style="2" customWidth="1"/>
    <col min="14849" max="14849" width="4" style="2" customWidth="1"/>
    <col min="14850" max="14850" width="12.85546875" style="2" customWidth="1"/>
    <col min="14851" max="14851" width="14.7109375" style="2" customWidth="1"/>
    <col min="14852" max="14852" width="10" style="2" customWidth="1"/>
    <col min="14853" max="14853" width="6.28515625" style="2" customWidth="1"/>
    <col min="14854" max="14854" width="12.28515625" style="2" customWidth="1"/>
    <col min="14855" max="14855" width="8.5703125" style="2" customWidth="1"/>
    <col min="14856" max="14856" width="13.7109375" style="2" customWidth="1"/>
    <col min="14857" max="14857" width="11.5703125" style="2" customWidth="1"/>
    <col min="14858" max="14858" width="24.7109375" style="2" customWidth="1"/>
    <col min="14859" max="14859" width="17.42578125" style="2" customWidth="1"/>
    <col min="14860" max="14860" width="20.85546875" style="2" customWidth="1"/>
    <col min="14861" max="14861" width="26.85546875" style="2" customWidth="1"/>
    <col min="14862" max="14862" width="8" style="2" customWidth="1"/>
    <col min="14863" max="14863" width="25" style="2" customWidth="1"/>
    <col min="14864" max="14864" width="12.7109375" style="2" customWidth="1"/>
    <col min="14865" max="14865" width="16.42578125" style="2" customWidth="1"/>
    <col min="14866" max="14866" width="23.5703125" style="2" customWidth="1"/>
    <col min="14867" max="14867" width="33.7109375" style="2" customWidth="1"/>
    <col min="14868" max="14868" width="31.140625" style="2" customWidth="1"/>
    <col min="14869" max="14869" width="19.28515625" style="2" customWidth="1"/>
    <col min="14870" max="14870" width="11.7109375" style="2" customWidth="1"/>
    <col min="14871" max="14871" width="15.42578125" style="2" customWidth="1"/>
    <col min="14872" max="14872" width="5.5703125" style="2" customWidth="1"/>
    <col min="14873" max="14873" width="4.7109375" style="2" customWidth="1"/>
    <col min="14874" max="14875" width="7.28515625" style="2" customWidth="1"/>
    <col min="14876" max="14876" width="8.42578125" style="2" customWidth="1"/>
    <col min="14877" max="14877" width="9.5703125" style="2" customWidth="1"/>
    <col min="14878" max="14878" width="6.28515625" style="2" customWidth="1"/>
    <col min="14879" max="14879" width="5.85546875" style="2" customWidth="1"/>
    <col min="14880" max="14881" width="4.42578125" style="2" customWidth="1"/>
    <col min="14882" max="14882" width="5" style="2" customWidth="1"/>
    <col min="14883" max="14883" width="5.85546875" style="2" customWidth="1"/>
    <col min="14884" max="14884" width="6.140625" style="2" customWidth="1"/>
    <col min="14885" max="14885" width="6.28515625" style="2" customWidth="1"/>
    <col min="14886" max="14886" width="4.85546875" style="2" customWidth="1"/>
    <col min="14887" max="14887" width="8.140625" style="2" customWidth="1"/>
    <col min="14888" max="14888" width="11.5703125" style="2" customWidth="1"/>
    <col min="14889" max="14889" width="13.7109375" style="2" customWidth="1"/>
    <col min="14890" max="14890" width="20.85546875" style="2" customWidth="1"/>
    <col min="14891" max="15103" width="11.42578125" style="2"/>
    <col min="15104" max="15104" width="13.140625" style="2" customWidth="1"/>
    <col min="15105" max="15105" width="4" style="2" customWidth="1"/>
    <col min="15106" max="15106" width="12.85546875" style="2" customWidth="1"/>
    <col min="15107" max="15107" width="14.7109375" style="2" customWidth="1"/>
    <col min="15108" max="15108" width="10" style="2" customWidth="1"/>
    <col min="15109" max="15109" width="6.28515625" style="2" customWidth="1"/>
    <col min="15110" max="15110" width="12.28515625" style="2" customWidth="1"/>
    <col min="15111" max="15111" width="8.5703125" style="2" customWidth="1"/>
    <col min="15112" max="15112" width="13.7109375" style="2" customWidth="1"/>
    <col min="15113" max="15113" width="11.5703125" style="2" customWidth="1"/>
    <col min="15114" max="15114" width="24.7109375" style="2" customWidth="1"/>
    <col min="15115" max="15115" width="17.42578125" style="2" customWidth="1"/>
    <col min="15116" max="15116" width="20.85546875" style="2" customWidth="1"/>
    <col min="15117" max="15117" width="26.85546875" style="2" customWidth="1"/>
    <col min="15118" max="15118" width="8" style="2" customWidth="1"/>
    <col min="15119" max="15119" width="25" style="2" customWidth="1"/>
    <col min="15120" max="15120" width="12.7109375" style="2" customWidth="1"/>
    <col min="15121" max="15121" width="16.42578125" style="2" customWidth="1"/>
    <col min="15122" max="15122" width="23.5703125" style="2" customWidth="1"/>
    <col min="15123" max="15123" width="33.7109375" style="2" customWidth="1"/>
    <col min="15124" max="15124" width="31.140625" style="2" customWidth="1"/>
    <col min="15125" max="15125" width="19.28515625" style="2" customWidth="1"/>
    <col min="15126" max="15126" width="11.7109375" style="2" customWidth="1"/>
    <col min="15127" max="15127" width="15.42578125" style="2" customWidth="1"/>
    <col min="15128" max="15128" width="5.5703125" style="2" customWidth="1"/>
    <col min="15129" max="15129" width="4.7109375" style="2" customWidth="1"/>
    <col min="15130" max="15131" width="7.28515625" style="2" customWidth="1"/>
    <col min="15132" max="15132" width="8.42578125" style="2" customWidth="1"/>
    <col min="15133" max="15133" width="9.5703125" style="2" customWidth="1"/>
    <col min="15134" max="15134" width="6.28515625" style="2" customWidth="1"/>
    <col min="15135" max="15135" width="5.85546875" style="2" customWidth="1"/>
    <col min="15136" max="15137" width="4.42578125" style="2" customWidth="1"/>
    <col min="15138" max="15138" width="5" style="2" customWidth="1"/>
    <col min="15139" max="15139" width="5.85546875" style="2" customWidth="1"/>
    <col min="15140" max="15140" width="6.140625" style="2" customWidth="1"/>
    <col min="15141" max="15141" width="6.28515625" style="2" customWidth="1"/>
    <col min="15142" max="15142" width="4.85546875" style="2" customWidth="1"/>
    <col min="15143" max="15143" width="8.140625" style="2" customWidth="1"/>
    <col min="15144" max="15144" width="11.5703125" style="2" customWidth="1"/>
    <col min="15145" max="15145" width="13.7109375" style="2" customWidth="1"/>
    <col min="15146" max="15146" width="20.85546875" style="2" customWidth="1"/>
    <col min="15147" max="15359" width="11.42578125" style="2"/>
    <col min="15360" max="15360" width="13.140625" style="2" customWidth="1"/>
    <col min="15361" max="15361" width="4" style="2" customWidth="1"/>
    <col min="15362" max="15362" width="12.85546875" style="2" customWidth="1"/>
    <col min="15363" max="15363" width="14.7109375" style="2" customWidth="1"/>
    <col min="15364" max="15364" width="10" style="2" customWidth="1"/>
    <col min="15365" max="15365" width="6.28515625" style="2" customWidth="1"/>
    <col min="15366" max="15366" width="12.28515625" style="2" customWidth="1"/>
    <col min="15367" max="15367" width="8.5703125" style="2" customWidth="1"/>
    <col min="15368" max="15368" width="13.7109375" style="2" customWidth="1"/>
    <col min="15369" max="15369" width="11.5703125" style="2" customWidth="1"/>
    <col min="15370" max="15370" width="24.7109375" style="2" customWidth="1"/>
    <col min="15371" max="15371" width="17.42578125" style="2" customWidth="1"/>
    <col min="15372" max="15372" width="20.85546875" style="2" customWidth="1"/>
    <col min="15373" max="15373" width="26.85546875" style="2" customWidth="1"/>
    <col min="15374" max="15374" width="8" style="2" customWidth="1"/>
    <col min="15375" max="15375" width="25" style="2" customWidth="1"/>
    <col min="15376" max="15376" width="12.7109375" style="2" customWidth="1"/>
    <col min="15377" max="15377" width="16.42578125" style="2" customWidth="1"/>
    <col min="15378" max="15378" width="23.5703125" style="2" customWidth="1"/>
    <col min="15379" max="15379" width="33.7109375" style="2" customWidth="1"/>
    <col min="15380" max="15380" width="31.140625" style="2" customWidth="1"/>
    <col min="15381" max="15381" width="19.28515625" style="2" customWidth="1"/>
    <col min="15382" max="15382" width="11.7109375" style="2" customWidth="1"/>
    <col min="15383" max="15383" width="15.42578125" style="2" customWidth="1"/>
    <col min="15384" max="15384" width="5.5703125" style="2" customWidth="1"/>
    <col min="15385" max="15385" width="4.7109375" style="2" customWidth="1"/>
    <col min="15386" max="15387" width="7.28515625" style="2" customWidth="1"/>
    <col min="15388" max="15388" width="8.42578125" style="2" customWidth="1"/>
    <col min="15389" max="15389" width="9.5703125" style="2" customWidth="1"/>
    <col min="15390" max="15390" width="6.28515625" style="2" customWidth="1"/>
    <col min="15391" max="15391" width="5.85546875" style="2" customWidth="1"/>
    <col min="15392" max="15393" width="4.42578125" style="2" customWidth="1"/>
    <col min="15394" max="15394" width="5" style="2" customWidth="1"/>
    <col min="15395" max="15395" width="5.85546875" style="2" customWidth="1"/>
    <col min="15396" max="15396" width="6.140625" style="2" customWidth="1"/>
    <col min="15397" max="15397" width="6.28515625" style="2" customWidth="1"/>
    <col min="15398" max="15398" width="4.85546875" style="2" customWidth="1"/>
    <col min="15399" max="15399" width="8.140625" style="2" customWidth="1"/>
    <col min="15400" max="15400" width="11.5703125" style="2" customWidth="1"/>
    <col min="15401" max="15401" width="13.7109375" style="2" customWidth="1"/>
    <col min="15402" max="15402" width="20.85546875" style="2" customWidth="1"/>
    <col min="15403" max="15615" width="11.42578125" style="2"/>
    <col min="15616" max="15616" width="13.140625" style="2" customWidth="1"/>
    <col min="15617" max="15617" width="4" style="2" customWidth="1"/>
    <col min="15618" max="15618" width="12.85546875" style="2" customWidth="1"/>
    <col min="15619" max="15619" width="14.7109375" style="2" customWidth="1"/>
    <col min="15620" max="15620" width="10" style="2" customWidth="1"/>
    <col min="15621" max="15621" width="6.28515625" style="2" customWidth="1"/>
    <col min="15622" max="15622" width="12.28515625" style="2" customWidth="1"/>
    <col min="15623" max="15623" width="8.5703125" style="2" customWidth="1"/>
    <col min="15624" max="15624" width="13.7109375" style="2" customWidth="1"/>
    <col min="15625" max="15625" width="11.5703125" style="2" customWidth="1"/>
    <col min="15626" max="15626" width="24.7109375" style="2" customWidth="1"/>
    <col min="15627" max="15627" width="17.42578125" style="2" customWidth="1"/>
    <col min="15628" max="15628" width="20.85546875" style="2" customWidth="1"/>
    <col min="15629" max="15629" width="26.85546875" style="2" customWidth="1"/>
    <col min="15630" max="15630" width="8" style="2" customWidth="1"/>
    <col min="15631" max="15631" width="25" style="2" customWidth="1"/>
    <col min="15632" max="15632" width="12.7109375" style="2" customWidth="1"/>
    <col min="15633" max="15633" width="16.42578125" style="2" customWidth="1"/>
    <col min="15634" max="15634" width="23.5703125" style="2" customWidth="1"/>
    <col min="15635" max="15635" width="33.7109375" style="2" customWidth="1"/>
    <col min="15636" max="15636" width="31.140625" style="2" customWidth="1"/>
    <col min="15637" max="15637" width="19.28515625" style="2" customWidth="1"/>
    <col min="15638" max="15638" width="11.7109375" style="2" customWidth="1"/>
    <col min="15639" max="15639" width="15.42578125" style="2" customWidth="1"/>
    <col min="15640" max="15640" width="5.5703125" style="2" customWidth="1"/>
    <col min="15641" max="15641" width="4.7109375" style="2" customWidth="1"/>
    <col min="15642" max="15643" width="7.28515625" style="2" customWidth="1"/>
    <col min="15644" max="15644" width="8.42578125" style="2" customWidth="1"/>
    <col min="15645" max="15645" width="9.5703125" style="2" customWidth="1"/>
    <col min="15646" max="15646" width="6.28515625" style="2" customWidth="1"/>
    <col min="15647" max="15647" width="5.85546875" style="2" customWidth="1"/>
    <col min="15648" max="15649" width="4.42578125" style="2" customWidth="1"/>
    <col min="15650" max="15650" width="5" style="2" customWidth="1"/>
    <col min="15651" max="15651" width="5.85546875" style="2" customWidth="1"/>
    <col min="15652" max="15652" width="6.140625" style="2" customWidth="1"/>
    <col min="15653" max="15653" width="6.28515625" style="2" customWidth="1"/>
    <col min="15654" max="15654" width="4.85546875" style="2" customWidth="1"/>
    <col min="15655" max="15655" width="8.140625" style="2" customWidth="1"/>
    <col min="15656" max="15656" width="11.5703125" style="2" customWidth="1"/>
    <col min="15657" max="15657" width="13.7109375" style="2" customWidth="1"/>
    <col min="15658" max="15658" width="20.85546875" style="2" customWidth="1"/>
    <col min="15659" max="15871" width="11.42578125" style="2"/>
    <col min="15872" max="15872" width="13.140625" style="2" customWidth="1"/>
    <col min="15873" max="15873" width="4" style="2" customWidth="1"/>
    <col min="15874" max="15874" width="12.85546875" style="2" customWidth="1"/>
    <col min="15875" max="15875" width="14.7109375" style="2" customWidth="1"/>
    <col min="15876" max="15876" width="10" style="2" customWidth="1"/>
    <col min="15877" max="15877" width="6.28515625" style="2" customWidth="1"/>
    <col min="15878" max="15878" width="12.28515625" style="2" customWidth="1"/>
    <col min="15879" max="15879" width="8.5703125" style="2" customWidth="1"/>
    <col min="15880" max="15880" width="13.7109375" style="2" customWidth="1"/>
    <col min="15881" max="15881" width="11.5703125" style="2" customWidth="1"/>
    <col min="15882" max="15882" width="24.7109375" style="2" customWidth="1"/>
    <col min="15883" max="15883" width="17.42578125" style="2" customWidth="1"/>
    <col min="15884" max="15884" width="20.85546875" style="2" customWidth="1"/>
    <col min="15885" max="15885" width="26.85546875" style="2" customWidth="1"/>
    <col min="15886" max="15886" width="8" style="2" customWidth="1"/>
    <col min="15887" max="15887" width="25" style="2" customWidth="1"/>
    <col min="15888" max="15888" width="12.7109375" style="2" customWidth="1"/>
    <col min="15889" max="15889" width="16.42578125" style="2" customWidth="1"/>
    <col min="15890" max="15890" width="23.5703125" style="2" customWidth="1"/>
    <col min="15891" max="15891" width="33.7109375" style="2" customWidth="1"/>
    <col min="15892" max="15892" width="31.140625" style="2" customWidth="1"/>
    <col min="15893" max="15893" width="19.28515625" style="2" customWidth="1"/>
    <col min="15894" max="15894" width="11.7109375" style="2" customWidth="1"/>
    <col min="15895" max="15895" width="15.42578125" style="2" customWidth="1"/>
    <col min="15896" max="15896" width="5.5703125" style="2" customWidth="1"/>
    <col min="15897" max="15897" width="4.7109375" style="2" customWidth="1"/>
    <col min="15898" max="15899" width="7.28515625" style="2" customWidth="1"/>
    <col min="15900" max="15900" width="8.42578125" style="2" customWidth="1"/>
    <col min="15901" max="15901" width="9.5703125" style="2" customWidth="1"/>
    <col min="15902" max="15902" width="6.28515625" style="2" customWidth="1"/>
    <col min="15903" max="15903" width="5.85546875" style="2" customWidth="1"/>
    <col min="15904" max="15905" width="4.42578125" style="2" customWidth="1"/>
    <col min="15906" max="15906" width="5" style="2" customWidth="1"/>
    <col min="15907" max="15907" width="5.85546875" style="2" customWidth="1"/>
    <col min="15908" max="15908" width="6.140625" style="2" customWidth="1"/>
    <col min="15909" max="15909" width="6.28515625" style="2" customWidth="1"/>
    <col min="15910" max="15910" width="4.85546875" style="2" customWidth="1"/>
    <col min="15911" max="15911" width="8.140625" style="2" customWidth="1"/>
    <col min="15912" max="15912" width="11.5703125" style="2" customWidth="1"/>
    <col min="15913" max="15913" width="13.7109375" style="2" customWidth="1"/>
    <col min="15914" max="15914" width="20.85546875" style="2" customWidth="1"/>
    <col min="15915" max="16127" width="11.42578125" style="2"/>
    <col min="16128" max="16128" width="13.140625" style="2" customWidth="1"/>
    <col min="16129" max="16129" width="4" style="2" customWidth="1"/>
    <col min="16130" max="16130" width="12.85546875" style="2" customWidth="1"/>
    <col min="16131" max="16131" width="14.7109375" style="2" customWidth="1"/>
    <col min="16132" max="16132" width="10" style="2" customWidth="1"/>
    <col min="16133" max="16133" width="6.28515625" style="2" customWidth="1"/>
    <col min="16134" max="16134" width="12.28515625" style="2" customWidth="1"/>
    <col min="16135" max="16135" width="8.5703125" style="2" customWidth="1"/>
    <col min="16136" max="16136" width="13.7109375" style="2" customWidth="1"/>
    <col min="16137" max="16137" width="11.5703125" style="2" customWidth="1"/>
    <col min="16138" max="16138" width="24.7109375" style="2" customWidth="1"/>
    <col min="16139" max="16139" width="17.42578125" style="2" customWidth="1"/>
    <col min="16140" max="16140" width="20.85546875" style="2" customWidth="1"/>
    <col min="16141" max="16141" width="26.85546875" style="2" customWidth="1"/>
    <col min="16142" max="16142" width="8" style="2" customWidth="1"/>
    <col min="16143" max="16143" width="25" style="2" customWidth="1"/>
    <col min="16144" max="16144" width="12.7109375" style="2" customWidth="1"/>
    <col min="16145" max="16145" width="16.42578125" style="2" customWidth="1"/>
    <col min="16146" max="16146" width="23.5703125" style="2" customWidth="1"/>
    <col min="16147" max="16147" width="33.7109375" style="2" customWidth="1"/>
    <col min="16148" max="16148" width="31.140625" style="2" customWidth="1"/>
    <col min="16149" max="16149" width="19.28515625" style="2" customWidth="1"/>
    <col min="16150" max="16150" width="11.7109375" style="2" customWidth="1"/>
    <col min="16151" max="16151" width="15.42578125" style="2" customWidth="1"/>
    <col min="16152" max="16152" width="5.5703125" style="2" customWidth="1"/>
    <col min="16153" max="16153" width="4.7109375" style="2" customWidth="1"/>
    <col min="16154" max="16155" width="7.28515625" style="2" customWidth="1"/>
    <col min="16156" max="16156" width="8.42578125" style="2" customWidth="1"/>
    <col min="16157" max="16157" width="9.5703125" style="2" customWidth="1"/>
    <col min="16158" max="16158" width="6.28515625" style="2" customWidth="1"/>
    <col min="16159" max="16159" width="5.85546875" style="2" customWidth="1"/>
    <col min="16160" max="16161" width="4.42578125" style="2" customWidth="1"/>
    <col min="16162" max="16162" width="5" style="2" customWidth="1"/>
    <col min="16163" max="16163" width="5.85546875" style="2" customWidth="1"/>
    <col min="16164" max="16164" width="6.140625" style="2" customWidth="1"/>
    <col min="16165" max="16165" width="6.28515625" style="2" customWidth="1"/>
    <col min="16166" max="16166" width="4.85546875" style="2" customWidth="1"/>
    <col min="16167" max="16167" width="8.140625" style="2" customWidth="1"/>
    <col min="16168" max="16168" width="11.5703125" style="2" customWidth="1"/>
    <col min="16169" max="16169" width="13.7109375" style="2" customWidth="1"/>
    <col min="16170" max="16170" width="20.85546875" style="2" customWidth="1"/>
    <col min="16171" max="16384" width="11.42578125" style="2"/>
  </cols>
  <sheetData>
    <row r="1" spans="1:62" x14ac:dyDescent="0.2">
      <c r="A1" s="2851" t="s">
        <v>522</v>
      </c>
      <c r="B1" s="2852"/>
      <c r="C1" s="2852"/>
      <c r="D1" s="2852"/>
      <c r="E1" s="2852"/>
      <c r="F1" s="2852"/>
      <c r="G1" s="2852"/>
      <c r="H1" s="2852"/>
      <c r="I1" s="2852"/>
      <c r="J1" s="2852"/>
      <c r="K1" s="2852"/>
      <c r="L1" s="2852"/>
      <c r="M1" s="2852"/>
      <c r="N1" s="2852"/>
      <c r="O1" s="2852"/>
      <c r="P1" s="2852"/>
      <c r="Q1" s="2852"/>
      <c r="R1" s="2852"/>
      <c r="S1" s="2852"/>
      <c r="T1" s="2852"/>
      <c r="U1" s="2852"/>
      <c r="V1" s="2852"/>
      <c r="W1" s="2852"/>
      <c r="X1" s="2852"/>
      <c r="Y1" s="2852"/>
      <c r="Z1" s="2852"/>
      <c r="AA1" s="2852"/>
      <c r="AB1" s="2852"/>
      <c r="AC1" s="2852"/>
      <c r="AD1" s="2852"/>
      <c r="AE1" s="2852"/>
      <c r="AF1" s="2852"/>
      <c r="AG1" s="2852"/>
      <c r="AH1" s="2852"/>
      <c r="AI1" s="2852"/>
      <c r="AJ1" s="2852"/>
      <c r="AK1" s="2852"/>
      <c r="AL1" s="2852"/>
      <c r="AM1" s="2852"/>
      <c r="AN1" s="2852"/>
      <c r="AO1" s="2852"/>
      <c r="AP1" s="3204"/>
      <c r="AQ1" s="757" t="s">
        <v>1</v>
      </c>
    </row>
    <row r="2" spans="1:62" x14ac:dyDescent="0.2">
      <c r="A2" s="2853"/>
      <c r="B2" s="2778"/>
      <c r="C2" s="2778"/>
      <c r="D2" s="2778"/>
      <c r="E2" s="2778"/>
      <c r="F2" s="2778"/>
      <c r="G2" s="2778"/>
      <c r="H2" s="2778"/>
      <c r="I2" s="2778"/>
      <c r="J2" s="2778"/>
      <c r="K2" s="2778"/>
      <c r="L2" s="2778"/>
      <c r="M2" s="2778"/>
      <c r="N2" s="2778"/>
      <c r="O2" s="2778"/>
      <c r="P2" s="2778"/>
      <c r="Q2" s="2778"/>
      <c r="R2" s="2778"/>
      <c r="S2" s="2778"/>
      <c r="T2" s="2778"/>
      <c r="U2" s="2778"/>
      <c r="V2" s="2778"/>
      <c r="W2" s="2778"/>
      <c r="X2" s="2778"/>
      <c r="Y2" s="2778"/>
      <c r="Z2" s="2778"/>
      <c r="AA2" s="2778"/>
      <c r="AB2" s="2778"/>
      <c r="AC2" s="2778"/>
      <c r="AD2" s="2778"/>
      <c r="AE2" s="2778"/>
      <c r="AF2" s="2778"/>
      <c r="AG2" s="2778"/>
      <c r="AH2" s="2778"/>
      <c r="AI2" s="2778"/>
      <c r="AJ2" s="2778"/>
      <c r="AK2" s="2778"/>
      <c r="AL2" s="2778"/>
      <c r="AM2" s="2778"/>
      <c r="AN2" s="2778"/>
      <c r="AO2" s="2778"/>
      <c r="AP2" s="3205"/>
      <c r="AQ2" s="758">
        <v>6</v>
      </c>
    </row>
    <row r="3" spans="1:62" x14ac:dyDescent="0.2">
      <c r="A3" s="2853"/>
      <c r="B3" s="2778"/>
      <c r="C3" s="2778"/>
      <c r="D3" s="2778"/>
      <c r="E3" s="2778"/>
      <c r="F3" s="2778"/>
      <c r="G3" s="2778"/>
      <c r="H3" s="2778"/>
      <c r="I3" s="2778"/>
      <c r="J3" s="2778"/>
      <c r="K3" s="2778"/>
      <c r="L3" s="2778"/>
      <c r="M3" s="2778"/>
      <c r="N3" s="2778"/>
      <c r="O3" s="2778"/>
      <c r="P3" s="2778"/>
      <c r="Q3" s="2778"/>
      <c r="R3" s="2778"/>
      <c r="S3" s="2778"/>
      <c r="T3" s="2778"/>
      <c r="U3" s="2778"/>
      <c r="V3" s="2778"/>
      <c r="W3" s="2778"/>
      <c r="X3" s="2778"/>
      <c r="Y3" s="2778"/>
      <c r="Z3" s="2778"/>
      <c r="AA3" s="2778"/>
      <c r="AB3" s="2778"/>
      <c r="AC3" s="2778"/>
      <c r="AD3" s="2778"/>
      <c r="AE3" s="2778"/>
      <c r="AF3" s="2778"/>
      <c r="AG3" s="2778"/>
      <c r="AH3" s="2778"/>
      <c r="AI3" s="2778"/>
      <c r="AJ3" s="2778"/>
      <c r="AK3" s="2778"/>
      <c r="AL3" s="2778"/>
      <c r="AM3" s="2778"/>
      <c r="AN3" s="2778"/>
      <c r="AO3" s="2778"/>
      <c r="AP3" s="3205"/>
      <c r="AQ3" s="759" t="s">
        <v>4</v>
      </c>
    </row>
    <row r="4" spans="1:62" s="8" customFormat="1" x14ac:dyDescent="0.2">
      <c r="A4" s="2854"/>
      <c r="B4" s="2779"/>
      <c r="C4" s="2779"/>
      <c r="D4" s="2779"/>
      <c r="E4" s="2779"/>
      <c r="F4" s="2779"/>
      <c r="G4" s="2779"/>
      <c r="H4" s="2779"/>
      <c r="I4" s="2779"/>
      <c r="J4" s="2779"/>
      <c r="K4" s="2779"/>
      <c r="L4" s="2779"/>
      <c r="M4" s="2779"/>
      <c r="N4" s="2779"/>
      <c r="O4" s="2779"/>
      <c r="P4" s="2779"/>
      <c r="Q4" s="2779"/>
      <c r="R4" s="2779"/>
      <c r="S4" s="2779"/>
      <c r="T4" s="2779"/>
      <c r="U4" s="2779"/>
      <c r="V4" s="2779"/>
      <c r="W4" s="2779"/>
      <c r="X4" s="2779"/>
      <c r="Y4" s="2779"/>
      <c r="Z4" s="2779"/>
      <c r="AA4" s="2779"/>
      <c r="AB4" s="2779"/>
      <c r="AC4" s="2779"/>
      <c r="AD4" s="2779"/>
      <c r="AE4" s="2779"/>
      <c r="AF4" s="2779"/>
      <c r="AG4" s="2779"/>
      <c r="AH4" s="2779"/>
      <c r="AI4" s="2779"/>
      <c r="AJ4" s="2779"/>
      <c r="AK4" s="2779"/>
      <c r="AL4" s="2779"/>
      <c r="AM4" s="2779"/>
      <c r="AN4" s="2779"/>
      <c r="AO4" s="2779"/>
      <c r="AP4" s="3206"/>
      <c r="AQ4" s="760" t="s">
        <v>6</v>
      </c>
    </row>
    <row r="5" spans="1:62" ht="15.75" x14ac:dyDescent="0.2">
      <c r="A5" s="2855" t="s">
        <v>7</v>
      </c>
      <c r="B5" s="2780"/>
      <c r="C5" s="2780"/>
      <c r="D5" s="2780"/>
      <c r="E5" s="2780"/>
      <c r="F5" s="2780"/>
      <c r="G5" s="2780"/>
      <c r="H5" s="2780"/>
      <c r="I5" s="2780"/>
      <c r="J5" s="2780"/>
      <c r="K5" s="2780"/>
      <c r="L5" s="2780"/>
      <c r="M5" s="2780"/>
      <c r="N5" s="2858" t="s">
        <v>8</v>
      </c>
      <c r="O5" s="2858"/>
      <c r="P5" s="2858"/>
      <c r="Q5" s="2858"/>
      <c r="R5" s="2858"/>
      <c r="S5" s="2858"/>
      <c r="T5" s="2858"/>
      <c r="U5" s="2858"/>
      <c r="V5" s="2858"/>
      <c r="W5" s="2858"/>
      <c r="X5" s="2858"/>
      <c r="Y5" s="2858"/>
      <c r="Z5" s="2858"/>
      <c r="AA5" s="2858"/>
      <c r="AB5" s="2858"/>
      <c r="AC5" s="2858"/>
      <c r="AD5" s="2858"/>
      <c r="AE5" s="2858"/>
      <c r="AF5" s="2858"/>
      <c r="AG5" s="2858"/>
      <c r="AH5" s="2858"/>
      <c r="AI5" s="2858"/>
      <c r="AJ5" s="2858"/>
      <c r="AK5" s="2858"/>
      <c r="AL5" s="2858"/>
      <c r="AM5" s="2858"/>
      <c r="AN5" s="2858"/>
      <c r="AO5" s="2858"/>
      <c r="AP5" s="2858"/>
      <c r="AQ5" s="2859"/>
      <c r="AR5" s="38"/>
      <c r="AS5" s="38"/>
      <c r="AT5" s="38"/>
      <c r="AU5" s="38"/>
      <c r="AV5" s="38"/>
      <c r="AW5" s="38"/>
      <c r="AX5" s="38"/>
      <c r="AY5" s="38"/>
      <c r="AZ5" s="38"/>
      <c r="BA5" s="38"/>
      <c r="BB5" s="38"/>
      <c r="BC5" s="38"/>
      <c r="BD5" s="38"/>
      <c r="BE5" s="38"/>
      <c r="BF5" s="38"/>
      <c r="BG5" s="38"/>
      <c r="BH5" s="38"/>
      <c r="BI5" s="38"/>
      <c r="BJ5" s="38"/>
    </row>
    <row r="6" spans="1:62" ht="15.75" x14ac:dyDescent="0.2">
      <c r="A6" s="2856"/>
      <c r="B6" s="2857"/>
      <c r="C6" s="2857"/>
      <c r="D6" s="2857"/>
      <c r="E6" s="2857"/>
      <c r="F6" s="2857"/>
      <c r="G6" s="2857"/>
      <c r="H6" s="2857"/>
      <c r="I6" s="2857"/>
      <c r="J6" s="2857"/>
      <c r="K6" s="2857"/>
      <c r="L6" s="2857"/>
      <c r="M6" s="2857"/>
      <c r="N6" s="761"/>
      <c r="O6" s="762"/>
      <c r="P6" s="763"/>
      <c r="Q6" s="764"/>
      <c r="R6" s="765"/>
      <c r="S6" s="763"/>
      <c r="T6" s="763"/>
      <c r="U6" s="763"/>
      <c r="V6" s="764"/>
      <c r="W6" s="764"/>
      <c r="X6" s="764"/>
      <c r="Y6" s="2990" t="s">
        <v>320</v>
      </c>
      <c r="Z6" s="2857"/>
      <c r="AA6" s="2857"/>
      <c r="AB6" s="2857"/>
      <c r="AC6" s="2857"/>
      <c r="AD6" s="2857"/>
      <c r="AE6" s="2857"/>
      <c r="AF6" s="2857"/>
      <c r="AG6" s="2857"/>
      <c r="AH6" s="2857"/>
      <c r="AI6" s="2857"/>
      <c r="AJ6" s="2857"/>
      <c r="AK6" s="2857"/>
      <c r="AL6" s="2857"/>
      <c r="AM6" s="2857"/>
      <c r="AN6" s="766"/>
      <c r="AO6" s="767"/>
      <c r="AP6" s="767"/>
      <c r="AQ6" s="768"/>
      <c r="AR6" s="38"/>
      <c r="AS6" s="38"/>
      <c r="AT6" s="38"/>
      <c r="AU6" s="38"/>
      <c r="AV6" s="38"/>
      <c r="AW6" s="38"/>
      <c r="AX6" s="38"/>
      <c r="AY6" s="38"/>
      <c r="AZ6" s="38"/>
      <c r="BA6" s="38"/>
      <c r="BB6" s="38"/>
      <c r="BC6" s="38"/>
      <c r="BD6" s="38"/>
      <c r="BE6" s="38"/>
      <c r="BF6" s="38"/>
      <c r="BG6" s="38"/>
      <c r="BH6" s="38"/>
      <c r="BI6" s="38"/>
      <c r="BJ6" s="38"/>
    </row>
    <row r="7" spans="1:62" s="114" customFormat="1" ht="15.75" x14ac:dyDescent="0.2">
      <c r="A7" s="3209" t="s">
        <v>9</v>
      </c>
      <c r="B7" s="2781" t="s">
        <v>10</v>
      </c>
      <c r="C7" s="2782"/>
      <c r="D7" s="2782" t="s">
        <v>9</v>
      </c>
      <c r="E7" s="2781" t="s">
        <v>11</v>
      </c>
      <c r="F7" s="2782"/>
      <c r="G7" s="2782" t="s">
        <v>9</v>
      </c>
      <c r="H7" s="2781" t="s">
        <v>12</v>
      </c>
      <c r="I7" s="2782"/>
      <c r="J7" s="2782" t="s">
        <v>9</v>
      </c>
      <c r="K7" s="2781" t="s">
        <v>13</v>
      </c>
      <c r="L7" s="2772" t="s">
        <v>14</v>
      </c>
      <c r="M7" s="2772" t="s">
        <v>523</v>
      </c>
      <c r="N7" s="2772" t="s">
        <v>16</v>
      </c>
      <c r="O7" s="2772" t="s">
        <v>94</v>
      </c>
      <c r="P7" s="2772" t="s">
        <v>8</v>
      </c>
      <c r="Q7" s="3312" t="s">
        <v>18</v>
      </c>
      <c r="R7" s="3314" t="s">
        <v>19</v>
      </c>
      <c r="S7" s="2781" t="s">
        <v>20</v>
      </c>
      <c r="T7" s="2781" t="s">
        <v>21</v>
      </c>
      <c r="U7" s="2772" t="s">
        <v>22</v>
      </c>
      <c r="V7" s="3309" t="s">
        <v>19</v>
      </c>
      <c r="W7" s="2770" t="s">
        <v>9</v>
      </c>
      <c r="X7" s="2772" t="s">
        <v>23</v>
      </c>
      <c r="Y7" s="3311" t="s">
        <v>24</v>
      </c>
      <c r="Z7" s="3311"/>
      <c r="AA7" s="2793" t="s">
        <v>25</v>
      </c>
      <c r="AB7" s="2793"/>
      <c r="AC7" s="2793"/>
      <c r="AD7" s="2793"/>
      <c r="AE7" s="2794" t="s">
        <v>26</v>
      </c>
      <c r="AF7" s="2795"/>
      <c r="AG7" s="2795"/>
      <c r="AH7" s="2795"/>
      <c r="AI7" s="2795"/>
      <c r="AJ7" s="2795"/>
      <c r="AK7" s="2792" t="s">
        <v>27</v>
      </c>
      <c r="AL7" s="2793"/>
      <c r="AM7" s="2793"/>
      <c r="AN7" s="3225" t="s">
        <v>28</v>
      </c>
      <c r="AO7" s="3287" t="s">
        <v>29</v>
      </c>
      <c r="AP7" s="3287" t="s">
        <v>30</v>
      </c>
      <c r="AQ7" s="3288" t="s">
        <v>31</v>
      </c>
      <c r="AR7" s="355"/>
      <c r="AS7" s="355"/>
      <c r="AT7" s="355"/>
      <c r="AU7" s="355"/>
      <c r="AV7" s="355"/>
      <c r="AW7" s="355"/>
      <c r="AX7" s="355"/>
      <c r="AY7" s="355"/>
      <c r="AZ7" s="355"/>
      <c r="BA7" s="355"/>
      <c r="BB7" s="355"/>
      <c r="BC7" s="355"/>
      <c r="BD7" s="355"/>
      <c r="BE7" s="355"/>
      <c r="BF7" s="355"/>
      <c r="BG7" s="355"/>
      <c r="BH7" s="355"/>
      <c r="BI7" s="355"/>
      <c r="BJ7" s="355"/>
    </row>
    <row r="8" spans="1:62" s="114" customFormat="1" ht="131.25" x14ac:dyDescent="0.2">
      <c r="A8" s="3210"/>
      <c r="B8" s="2783"/>
      <c r="C8" s="2784"/>
      <c r="D8" s="2784"/>
      <c r="E8" s="2783"/>
      <c r="F8" s="2784"/>
      <c r="G8" s="2784"/>
      <c r="H8" s="2783"/>
      <c r="I8" s="2784"/>
      <c r="J8" s="2784"/>
      <c r="K8" s="2783"/>
      <c r="L8" s="2773"/>
      <c r="M8" s="2773"/>
      <c r="N8" s="2773"/>
      <c r="O8" s="2773"/>
      <c r="P8" s="2773"/>
      <c r="Q8" s="3313"/>
      <c r="R8" s="3315"/>
      <c r="S8" s="2783"/>
      <c r="T8" s="2783"/>
      <c r="U8" s="2773"/>
      <c r="V8" s="3310"/>
      <c r="W8" s="2771"/>
      <c r="X8" s="2773"/>
      <c r="Y8" s="126" t="s">
        <v>32</v>
      </c>
      <c r="Z8" s="126" t="s">
        <v>33</v>
      </c>
      <c r="AA8" s="126" t="s">
        <v>34</v>
      </c>
      <c r="AB8" s="126" t="s">
        <v>35</v>
      </c>
      <c r="AC8" s="769" t="s">
        <v>524</v>
      </c>
      <c r="AD8" s="126" t="s">
        <v>37</v>
      </c>
      <c r="AE8" s="126" t="s">
        <v>38</v>
      </c>
      <c r="AF8" s="126" t="s">
        <v>39</v>
      </c>
      <c r="AG8" s="126" t="s">
        <v>40</v>
      </c>
      <c r="AH8" s="126" t="s">
        <v>41</v>
      </c>
      <c r="AI8" s="126" t="s">
        <v>42</v>
      </c>
      <c r="AJ8" s="126" t="s">
        <v>43</v>
      </c>
      <c r="AK8" s="126" t="s">
        <v>44</v>
      </c>
      <c r="AL8" s="126" t="s">
        <v>45</v>
      </c>
      <c r="AM8" s="126" t="s">
        <v>46</v>
      </c>
      <c r="AN8" s="3226"/>
      <c r="AO8" s="3287"/>
      <c r="AP8" s="3287"/>
      <c r="AQ8" s="3289"/>
      <c r="AR8" s="355"/>
      <c r="AS8" s="355"/>
      <c r="AT8" s="355"/>
      <c r="AU8" s="355"/>
      <c r="AV8" s="355"/>
      <c r="AW8" s="355"/>
      <c r="AX8" s="355"/>
      <c r="AY8" s="355"/>
      <c r="AZ8" s="355"/>
      <c r="BA8" s="355"/>
      <c r="BB8" s="355"/>
      <c r="BC8" s="355"/>
      <c r="BD8" s="355"/>
      <c r="BE8" s="355"/>
      <c r="BF8" s="355"/>
      <c r="BG8" s="355"/>
      <c r="BH8" s="355"/>
      <c r="BI8" s="355"/>
      <c r="BJ8" s="355"/>
    </row>
    <row r="9" spans="1:62" ht="15.75" x14ac:dyDescent="0.2">
      <c r="A9" s="770">
        <v>2</v>
      </c>
      <c r="B9" s="137"/>
      <c r="C9" s="137" t="s">
        <v>525</v>
      </c>
      <c r="D9" s="717"/>
      <c r="E9" s="137"/>
      <c r="F9" s="137"/>
      <c r="G9" s="137"/>
      <c r="H9" s="137"/>
      <c r="I9" s="137"/>
      <c r="J9" s="137"/>
      <c r="K9" s="130"/>
      <c r="L9" s="130"/>
      <c r="M9" s="137"/>
      <c r="N9" s="137"/>
      <c r="O9" s="771"/>
      <c r="P9" s="130"/>
      <c r="Q9" s="772"/>
      <c r="R9" s="773"/>
      <c r="S9" s="130"/>
      <c r="T9" s="130"/>
      <c r="U9" s="130"/>
      <c r="V9" s="133"/>
      <c r="W9" s="136"/>
      <c r="X9" s="131"/>
      <c r="Y9" s="774"/>
      <c r="Z9" s="774"/>
      <c r="AA9" s="137"/>
      <c r="AB9" s="137"/>
      <c r="AC9" s="137"/>
      <c r="AD9" s="137"/>
      <c r="AE9" s="137"/>
      <c r="AF9" s="137"/>
      <c r="AG9" s="137"/>
      <c r="AH9" s="137"/>
      <c r="AI9" s="137"/>
      <c r="AJ9" s="137"/>
      <c r="AK9" s="137"/>
      <c r="AL9" s="137"/>
      <c r="AM9" s="137"/>
      <c r="AN9" s="775"/>
      <c r="AO9" s="776"/>
      <c r="AP9" s="776"/>
      <c r="AQ9" s="777"/>
      <c r="AR9" s="38"/>
      <c r="AS9" s="38"/>
      <c r="AT9" s="38"/>
      <c r="AU9" s="38"/>
      <c r="AV9" s="38"/>
      <c r="AW9" s="38"/>
      <c r="AX9" s="38"/>
      <c r="AY9" s="38"/>
      <c r="AZ9" s="38"/>
      <c r="BA9" s="38"/>
      <c r="BB9" s="38"/>
      <c r="BC9" s="38"/>
      <c r="BD9" s="38"/>
      <c r="BE9" s="38"/>
      <c r="BF9" s="38"/>
      <c r="BG9" s="38"/>
      <c r="BH9" s="38"/>
      <c r="BI9" s="38"/>
      <c r="BJ9" s="38"/>
    </row>
    <row r="10" spans="1:62" s="38" customFormat="1" ht="15.75" x14ac:dyDescent="0.2">
      <c r="A10" s="3290"/>
      <c r="B10" s="3291"/>
      <c r="C10" s="3292"/>
      <c r="D10" s="778">
        <v>2</v>
      </c>
      <c r="E10" s="35" t="s">
        <v>526</v>
      </c>
      <c r="F10" s="35"/>
      <c r="G10" s="35"/>
      <c r="H10" s="35"/>
      <c r="I10" s="35"/>
      <c r="J10" s="151"/>
      <c r="K10" s="144"/>
      <c r="L10" s="144"/>
      <c r="M10" s="151"/>
      <c r="N10" s="151"/>
      <c r="O10" s="779"/>
      <c r="P10" s="144"/>
      <c r="Q10" s="780"/>
      <c r="R10" s="781"/>
      <c r="S10" s="144"/>
      <c r="T10" s="144"/>
      <c r="U10" s="144"/>
      <c r="V10" s="147"/>
      <c r="W10" s="150"/>
      <c r="X10" s="145"/>
      <c r="Y10" s="782"/>
      <c r="Z10" s="782"/>
      <c r="AA10" s="151"/>
      <c r="AB10" s="151"/>
      <c r="AC10" s="151"/>
      <c r="AD10" s="151"/>
      <c r="AE10" s="151"/>
      <c r="AF10" s="151"/>
      <c r="AG10" s="151"/>
      <c r="AH10" s="151"/>
      <c r="AI10" s="151"/>
      <c r="AJ10" s="151"/>
      <c r="AK10" s="151"/>
      <c r="AL10" s="151"/>
      <c r="AM10" s="151"/>
      <c r="AN10" s="783"/>
      <c r="AO10" s="784"/>
      <c r="AP10" s="784"/>
      <c r="AQ10" s="785"/>
    </row>
    <row r="11" spans="1:62" s="38" customFormat="1" ht="15.75" x14ac:dyDescent="0.2">
      <c r="A11" s="3293"/>
      <c r="B11" s="3294"/>
      <c r="C11" s="3295"/>
      <c r="D11" s="3296"/>
      <c r="E11" s="3296"/>
      <c r="F11" s="3297"/>
      <c r="G11" s="81">
        <v>8</v>
      </c>
      <c r="H11" s="44" t="s">
        <v>527</v>
      </c>
      <c r="I11" s="44"/>
      <c r="J11" s="165"/>
      <c r="K11" s="158"/>
      <c r="L11" s="158"/>
      <c r="M11" s="165"/>
      <c r="N11" s="787"/>
      <c r="O11" s="192"/>
      <c r="P11" s="158"/>
      <c r="Q11" s="788"/>
      <c r="R11" s="789"/>
      <c r="S11" s="158"/>
      <c r="T11" s="158"/>
      <c r="U11" s="158"/>
      <c r="V11" s="231"/>
      <c r="W11" s="164"/>
      <c r="X11" s="159"/>
      <c r="Y11" s="790"/>
      <c r="Z11" s="790"/>
      <c r="AA11" s="165"/>
      <c r="AB11" s="165"/>
      <c r="AC11" s="165"/>
      <c r="AD11" s="165"/>
      <c r="AE11" s="165"/>
      <c r="AF11" s="165"/>
      <c r="AG11" s="165"/>
      <c r="AH11" s="165"/>
      <c r="AI11" s="165"/>
      <c r="AJ11" s="165"/>
      <c r="AK11" s="165"/>
      <c r="AL11" s="165"/>
      <c r="AM11" s="165"/>
      <c r="AN11" s="791"/>
      <c r="AO11" s="792"/>
      <c r="AP11" s="792"/>
      <c r="AQ11" s="793"/>
    </row>
    <row r="12" spans="1:62" s="38" customFormat="1" ht="42.75" customHeight="1" x14ac:dyDescent="0.2">
      <c r="A12" s="3293"/>
      <c r="B12" s="3294"/>
      <c r="C12" s="3295"/>
      <c r="D12" s="3298"/>
      <c r="E12" s="3298"/>
      <c r="F12" s="3299"/>
      <c r="G12" s="3300"/>
      <c r="H12" s="3300"/>
      <c r="I12" s="3301"/>
      <c r="J12" s="3305">
        <v>38</v>
      </c>
      <c r="K12" s="3307" t="s">
        <v>528</v>
      </c>
      <c r="L12" s="3307" t="s">
        <v>529</v>
      </c>
      <c r="M12" s="2936">
        <v>4</v>
      </c>
      <c r="N12" s="2950" t="s">
        <v>530</v>
      </c>
      <c r="O12" s="3301" t="s">
        <v>531</v>
      </c>
      <c r="P12" s="3307" t="s">
        <v>532</v>
      </c>
      <c r="Q12" s="3324">
        <f>SUM(V12:V15)/R12</f>
        <v>0.66764214046822745</v>
      </c>
      <c r="R12" s="3330">
        <f>SUM(V12:V20)</f>
        <v>119600000</v>
      </c>
      <c r="S12" s="3307" t="s">
        <v>533</v>
      </c>
      <c r="T12" s="3316" t="s">
        <v>534</v>
      </c>
      <c r="U12" s="3307" t="s">
        <v>535</v>
      </c>
      <c r="V12" s="795">
        <v>16425000</v>
      </c>
      <c r="W12" s="740">
        <v>20</v>
      </c>
      <c r="X12" s="736" t="s">
        <v>515</v>
      </c>
      <c r="Y12" s="3320">
        <v>294321</v>
      </c>
      <c r="Z12" s="3320">
        <v>283947</v>
      </c>
      <c r="AA12" s="3320">
        <v>135754</v>
      </c>
      <c r="AB12" s="3320">
        <v>44640</v>
      </c>
      <c r="AC12" s="3320">
        <v>308178</v>
      </c>
      <c r="AD12" s="3320">
        <v>89696</v>
      </c>
      <c r="AE12" s="3344"/>
      <c r="AF12" s="796"/>
      <c r="AG12" s="796"/>
      <c r="AH12" s="796"/>
      <c r="AI12" s="796"/>
      <c r="AJ12" s="796"/>
      <c r="AK12" s="796"/>
      <c r="AL12" s="796"/>
      <c r="AM12" s="796"/>
      <c r="AN12" s="3347">
        <f>Y12+Z12</f>
        <v>578268</v>
      </c>
      <c r="AO12" s="3332">
        <v>43467</v>
      </c>
      <c r="AP12" s="3332">
        <v>43830</v>
      </c>
      <c r="AQ12" s="3335" t="s">
        <v>536</v>
      </c>
    </row>
    <row r="13" spans="1:62" s="38" customFormat="1" ht="54" customHeight="1" x14ac:dyDescent="0.2">
      <c r="A13" s="3293"/>
      <c r="B13" s="3294"/>
      <c r="C13" s="3295"/>
      <c r="D13" s="3298"/>
      <c r="E13" s="3298"/>
      <c r="F13" s="3299"/>
      <c r="G13" s="2816"/>
      <c r="H13" s="2816"/>
      <c r="I13" s="3302"/>
      <c r="J13" s="3306"/>
      <c r="K13" s="3308"/>
      <c r="L13" s="3308"/>
      <c r="M13" s="2936"/>
      <c r="N13" s="2951"/>
      <c r="O13" s="3302"/>
      <c r="P13" s="3308"/>
      <c r="Q13" s="3325"/>
      <c r="R13" s="3331"/>
      <c r="S13" s="3308"/>
      <c r="T13" s="3317"/>
      <c r="U13" s="3319"/>
      <c r="V13" s="798">
        <f>0+60000000</f>
        <v>60000000</v>
      </c>
      <c r="W13" s="58">
        <v>88</v>
      </c>
      <c r="X13" s="799" t="s">
        <v>537</v>
      </c>
      <c r="Y13" s="3321"/>
      <c r="Z13" s="3322"/>
      <c r="AA13" s="3322"/>
      <c r="AB13" s="3322"/>
      <c r="AC13" s="3322"/>
      <c r="AD13" s="3322"/>
      <c r="AE13" s="3345"/>
      <c r="AF13" s="800"/>
      <c r="AG13" s="800"/>
      <c r="AH13" s="800"/>
      <c r="AI13" s="800"/>
      <c r="AJ13" s="800"/>
      <c r="AK13" s="800"/>
      <c r="AL13" s="800"/>
      <c r="AM13" s="800"/>
      <c r="AN13" s="3348"/>
      <c r="AO13" s="3333"/>
      <c r="AP13" s="3333"/>
      <c r="AQ13" s="3336"/>
    </row>
    <row r="14" spans="1:62" s="38" customFormat="1" ht="42.75" customHeight="1" x14ac:dyDescent="0.2">
      <c r="A14" s="3293"/>
      <c r="B14" s="3294"/>
      <c r="C14" s="3295"/>
      <c r="D14" s="3298"/>
      <c r="E14" s="3298"/>
      <c r="F14" s="3299"/>
      <c r="G14" s="2816"/>
      <c r="H14" s="2816"/>
      <c r="I14" s="3302"/>
      <c r="J14" s="3306"/>
      <c r="K14" s="3308"/>
      <c r="L14" s="3308"/>
      <c r="M14" s="2936"/>
      <c r="N14" s="2951"/>
      <c r="O14" s="3302"/>
      <c r="P14" s="3308"/>
      <c r="Q14" s="3325"/>
      <c r="R14" s="3331"/>
      <c r="S14" s="3308"/>
      <c r="T14" s="3317"/>
      <c r="U14" s="3338" t="s">
        <v>538</v>
      </c>
      <c r="V14" s="3339">
        <v>3425000</v>
      </c>
      <c r="W14" s="3340">
        <v>20</v>
      </c>
      <c r="X14" s="2951" t="s">
        <v>515</v>
      </c>
      <c r="Y14" s="3322"/>
      <c r="Z14" s="3322"/>
      <c r="AA14" s="3322"/>
      <c r="AB14" s="3322"/>
      <c r="AC14" s="3322"/>
      <c r="AD14" s="3322"/>
      <c r="AE14" s="3345"/>
      <c r="AF14" s="800"/>
      <c r="AG14" s="800"/>
      <c r="AH14" s="800"/>
      <c r="AI14" s="800"/>
      <c r="AJ14" s="800"/>
      <c r="AK14" s="800"/>
      <c r="AL14" s="800"/>
      <c r="AM14" s="800"/>
      <c r="AN14" s="3348"/>
      <c r="AO14" s="3333"/>
      <c r="AP14" s="3333"/>
      <c r="AQ14" s="3336"/>
    </row>
    <row r="15" spans="1:62" s="38" customFormat="1" ht="42.75" customHeight="1" x14ac:dyDescent="0.2">
      <c r="A15" s="3293"/>
      <c r="B15" s="3294"/>
      <c r="C15" s="3295"/>
      <c r="D15" s="3298"/>
      <c r="E15" s="3298"/>
      <c r="F15" s="3299"/>
      <c r="G15" s="2816"/>
      <c r="H15" s="2816"/>
      <c r="I15" s="3302"/>
      <c r="J15" s="3306"/>
      <c r="K15" s="3308"/>
      <c r="L15" s="3308"/>
      <c r="M15" s="2936"/>
      <c r="N15" s="2951"/>
      <c r="O15" s="3302"/>
      <c r="P15" s="3308"/>
      <c r="Q15" s="3325"/>
      <c r="R15" s="3331"/>
      <c r="S15" s="3308"/>
      <c r="T15" s="3317"/>
      <c r="U15" s="3338"/>
      <c r="V15" s="3339"/>
      <c r="W15" s="3340"/>
      <c r="X15" s="2952"/>
      <c r="Y15" s="3322"/>
      <c r="Z15" s="3322"/>
      <c r="AA15" s="3322"/>
      <c r="AB15" s="3322"/>
      <c r="AC15" s="3322"/>
      <c r="AD15" s="3322"/>
      <c r="AE15" s="3345"/>
      <c r="AF15" s="800"/>
      <c r="AG15" s="800"/>
      <c r="AH15" s="800"/>
      <c r="AI15" s="800"/>
      <c r="AJ15" s="800"/>
      <c r="AK15" s="800"/>
      <c r="AL15" s="800"/>
      <c r="AM15" s="800"/>
      <c r="AN15" s="3348"/>
      <c r="AO15" s="3333"/>
      <c r="AP15" s="3333"/>
      <c r="AQ15" s="3336"/>
    </row>
    <row r="16" spans="1:62" ht="38.25" customHeight="1" x14ac:dyDescent="0.2">
      <c r="A16" s="3293"/>
      <c r="B16" s="3294"/>
      <c r="C16" s="3295"/>
      <c r="D16" s="3298"/>
      <c r="E16" s="3298"/>
      <c r="F16" s="3299"/>
      <c r="G16" s="2816"/>
      <c r="H16" s="2816"/>
      <c r="I16" s="2816"/>
      <c r="J16" s="3326">
        <v>39</v>
      </c>
      <c r="K16" s="3327" t="s">
        <v>539</v>
      </c>
      <c r="L16" s="3307" t="s">
        <v>540</v>
      </c>
      <c r="M16" s="3329">
        <v>3</v>
      </c>
      <c r="N16" s="2951"/>
      <c r="O16" s="3302"/>
      <c r="P16" s="3308"/>
      <c r="Q16" s="3324">
        <f>SUM(V16:V20)/R12</f>
        <v>0.33235785953177255</v>
      </c>
      <c r="R16" s="3331"/>
      <c r="S16" s="3308"/>
      <c r="T16" s="3317"/>
      <c r="U16" s="3307" t="s">
        <v>541</v>
      </c>
      <c r="V16" s="3341">
        <v>39750000</v>
      </c>
      <c r="W16" s="3343">
        <v>20</v>
      </c>
      <c r="X16" s="2950" t="s">
        <v>515</v>
      </c>
      <c r="Y16" s="3322"/>
      <c r="Z16" s="3322"/>
      <c r="AA16" s="3322"/>
      <c r="AB16" s="3322"/>
      <c r="AC16" s="3322"/>
      <c r="AD16" s="3322"/>
      <c r="AE16" s="3345"/>
      <c r="AF16" s="800"/>
      <c r="AG16" s="800"/>
      <c r="AH16" s="800"/>
      <c r="AI16" s="800"/>
      <c r="AJ16" s="800"/>
      <c r="AK16" s="800"/>
      <c r="AL16" s="800"/>
      <c r="AM16" s="800"/>
      <c r="AN16" s="3348"/>
      <c r="AO16" s="3333"/>
      <c r="AP16" s="3333"/>
      <c r="AQ16" s="3336"/>
    </row>
    <row r="17" spans="1:43" ht="38.25" customHeight="1" x14ac:dyDescent="0.2">
      <c r="A17" s="3293"/>
      <c r="B17" s="3294"/>
      <c r="C17" s="3295"/>
      <c r="D17" s="3298"/>
      <c r="E17" s="3298"/>
      <c r="F17" s="3299"/>
      <c r="G17" s="2816"/>
      <c r="H17" s="2816"/>
      <c r="I17" s="2816"/>
      <c r="J17" s="3326"/>
      <c r="K17" s="3328"/>
      <c r="L17" s="3308"/>
      <c r="M17" s="3329"/>
      <c r="N17" s="2951"/>
      <c r="O17" s="3302"/>
      <c r="P17" s="3308"/>
      <c r="Q17" s="3325"/>
      <c r="R17" s="3331"/>
      <c r="S17" s="3308"/>
      <c r="T17" s="3317"/>
      <c r="U17" s="3308"/>
      <c r="V17" s="3342"/>
      <c r="W17" s="3340"/>
      <c r="X17" s="2951"/>
      <c r="Y17" s="3322"/>
      <c r="Z17" s="3322"/>
      <c r="AA17" s="3322"/>
      <c r="AB17" s="3322"/>
      <c r="AC17" s="3322"/>
      <c r="AD17" s="3322"/>
      <c r="AE17" s="3345"/>
      <c r="AF17" s="800"/>
      <c r="AG17" s="800"/>
      <c r="AH17" s="800"/>
      <c r="AI17" s="800"/>
      <c r="AJ17" s="800"/>
      <c r="AK17" s="800"/>
      <c r="AL17" s="800"/>
      <c r="AM17" s="800"/>
      <c r="AN17" s="3348"/>
      <c r="AO17" s="3333"/>
      <c r="AP17" s="3333"/>
      <c r="AQ17" s="3336"/>
    </row>
    <row r="18" spans="1:43" ht="38.25" customHeight="1" x14ac:dyDescent="0.2">
      <c r="A18" s="3293"/>
      <c r="B18" s="3294"/>
      <c r="C18" s="3295"/>
      <c r="D18" s="3298"/>
      <c r="E18" s="3298"/>
      <c r="F18" s="3299"/>
      <c r="G18" s="2816"/>
      <c r="H18" s="2816"/>
      <c r="I18" s="2816"/>
      <c r="J18" s="3326"/>
      <c r="K18" s="3328"/>
      <c r="L18" s="3308"/>
      <c r="M18" s="3329"/>
      <c r="N18" s="2951"/>
      <c r="O18" s="3302"/>
      <c r="P18" s="3308"/>
      <c r="Q18" s="3325"/>
      <c r="R18" s="3331"/>
      <c r="S18" s="3308"/>
      <c r="T18" s="3317"/>
      <c r="U18" s="3308"/>
      <c r="V18" s="3342"/>
      <c r="W18" s="3340"/>
      <c r="X18" s="2951"/>
      <c r="Y18" s="3322"/>
      <c r="Z18" s="3322"/>
      <c r="AA18" s="3322"/>
      <c r="AB18" s="3322"/>
      <c r="AC18" s="3322"/>
      <c r="AD18" s="3322"/>
      <c r="AE18" s="3345"/>
      <c r="AF18" s="800"/>
      <c r="AG18" s="800"/>
      <c r="AH18" s="800"/>
      <c r="AI18" s="800"/>
      <c r="AJ18" s="800"/>
      <c r="AK18" s="800"/>
      <c r="AL18" s="800"/>
      <c r="AM18" s="800"/>
      <c r="AN18" s="3348"/>
      <c r="AO18" s="3333"/>
      <c r="AP18" s="3333"/>
      <c r="AQ18" s="3336"/>
    </row>
    <row r="19" spans="1:43" ht="38.25" customHeight="1" x14ac:dyDescent="0.2">
      <c r="A19" s="3293"/>
      <c r="B19" s="3294"/>
      <c r="C19" s="3295"/>
      <c r="D19" s="3298"/>
      <c r="E19" s="3298"/>
      <c r="F19" s="3299"/>
      <c r="G19" s="2816"/>
      <c r="H19" s="2816"/>
      <c r="I19" s="2816"/>
      <c r="J19" s="3326"/>
      <c r="K19" s="3328"/>
      <c r="L19" s="3308"/>
      <c r="M19" s="3329"/>
      <c r="N19" s="2951"/>
      <c r="O19" s="3302"/>
      <c r="P19" s="3308"/>
      <c r="Q19" s="3325"/>
      <c r="R19" s="3331"/>
      <c r="S19" s="3308"/>
      <c r="T19" s="3317"/>
      <c r="U19" s="3308"/>
      <c r="V19" s="3342"/>
      <c r="W19" s="3340"/>
      <c r="X19" s="2951"/>
      <c r="Y19" s="3322"/>
      <c r="Z19" s="3322"/>
      <c r="AA19" s="3322"/>
      <c r="AB19" s="3322"/>
      <c r="AC19" s="3322"/>
      <c r="AD19" s="3322"/>
      <c r="AE19" s="3345"/>
      <c r="AF19" s="800"/>
      <c r="AG19" s="800"/>
      <c r="AH19" s="800"/>
      <c r="AI19" s="800"/>
      <c r="AJ19" s="800"/>
      <c r="AK19" s="800"/>
      <c r="AL19" s="800"/>
      <c r="AM19" s="800"/>
      <c r="AN19" s="3348"/>
      <c r="AO19" s="3333"/>
      <c r="AP19" s="3333"/>
      <c r="AQ19" s="3336"/>
    </row>
    <row r="20" spans="1:43" ht="38.25" customHeight="1" x14ac:dyDescent="0.2">
      <c r="A20" s="3293"/>
      <c r="B20" s="3294"/>
      <c r="C20" s="3295"/>
      <c r="D20" s="3298"/>
      <c r="E20" s="3298"/>
      <c r="F20" s="3299"/>
      <c r="G20" s="2816"/>
      <c r="H20" s="2816"/>
      <c r="I20" s="2816"/>
      <c r="J20" s="3326"/>
      <c r="K20" s="3328"/>
      <c r="L20" s="3308"/>
      <c r="M20" s="3329"/>
      <c r="N20" s="2952"/>
      <c r="O20" s="3302"/>
      <c r="P20" s="3308"/>
      <c r="Q20" s="3325"/>
      <c r="R20" s="3331"/>
      <c r="S20" s="3308"/>
      <c r="T20" s="3318"/>
      <c r="U20" s="3319"/>
      <c r="V20" s="3342"/>
      <c r="W20" s="3340"/>
      <c r="X20" s="2951"/>
      <c r="Y20" s="3323"/>
      <c r="Z20" s="3323"/>
      <c r="AA20" s="3323"/>
      <c r="AB20" s="3323"/>
      <c r="AC20" s="3323"/>
      <c r="AD20" s="3323"/>
      <c r="AE20" s="3346"/>
      <c r="AF20" s="802"/>
      <c r="AG20" s="802"/>
      <c r="AH20" s="802"/>
      <c r="AI20" s="802"/>
      <c r="AJ20" s="802"/>
      <c r="AK20" s="802"/>
      <c r="AL20" s="802"/>
      <c r="AM20" s="802"/>
      <c r="AN20" s="3349"/>
      <c r="AO20" s="3334"/>
      <c r="AP20" s="3334"/>
      <c r="AQ20" s="3337"/>
    </row>
    <row r="21" spans="1:43" ht="48.75" customHeight="1" x14ac:dyDescent="0.2">
      <c r="A21" s="3293"/>
      <c r="B21" s="3294"/>
      <c r="C21" s="3295"/>
      <c r="D21" s="3298"/>
      <c r="E21" s="3298"/>
      <c r="F21" s="3299"/>
      <c r="G21" s="2816"/>
      <c r="H21" s="2816"/>
      <c r="I21" s="3302"/>
      <c r="J21" s="3306">
        <v>40</v>
      </c>
      <c r="K21" s="3307" t="s">
        <v>542</v>
      </c>
      <c r="L21" s="3307" t="s">
        <v>543</v>
      </c>
      <c r="M21" s="3350">
        <f>0.56+0.36</f>
        <v>0.92</v>
      </c>
      <c r="N21" s="738"/>
      <c r="O21" s="2950" t="s">
        <v>544</v>
      </c>
      <c r="P21" s="3307" t="s">
        <v>545</v>
      </c>
      <c r="Q21" s="3324">
        <f>(V21+V22)/R21</f>
        <v>0.53959057551178058</v>
      </c>
      <c r="R21" s="3330">
        <f>SUM(V21:V29)</f>
        <v>129450000</v>
      </c>
      <c r="S21" s="3307" t="s">
        <v>546</v>
      </c>
      <c r="T21" s="3316" t="s">
        <v>547</v>
      </c>
      <c r="U21" s="3338" t="s">
        <v>548</v>
      </c>
      <c r="V21" s="803">
        <v>19850000</v>
      </c>
      <c r="W21" s="58">
        <v>20</v>
      </c>
      <c r="X21" s="799" t="s">
        <v>515</v>
      </c>
      <c r="Y21" s="3352">
        <v>294321</v>
      </c>
      <c r="Z21" s="3347">
        <v>283947</v>
      </c>
      <c r="AA21" s="3347">
        <v>135754</v>
      </c>
      <c r="AB21" s="3347">
        <v>44640</v>
      </c>
      <c r="AC21" s="3347">
        <v>308178</v>
      </c>
      <c r="AD21" s="3343">
        <v>89696</v>
      </c>
      <c r="AE21" s="3362"/>
      <c r="AF21" s="796"/>
      <c r="AG21" s="796"/>
      <c r="AH21" s="796"/>
      <c r="AI21" s="796"/>
      <c r="AJ21" s="796"/>
      <c r="AK21" s="796"/>
      <c r="AL21" s="796"/>
      <c r="AM21" s="796"/>
      <c r="AN21" s="3347">
        <f>+Y21+Z21</f>
        <v>578268</v>
      </c>
      <c r="AO21" s="3332">
        <v>43467</v>
      </c>
      <c r="AP21" s="3332">
        <v>43830</v>
      </c>
      <c r="AQ21" s="3335" t="s">
        <v>536</v>
      </c>
    </row>
    <row r="22" spans="1:43" ht="48.75" customHeight="1" x14ac:dyDescent="0.2">
      <c r="A22" s="3293"/>
      <c r="B22" s="3294"/>
      <c r="C22" s="3295"/>
      <c r="D22" s="3298"/>
      <c r="E22" s="3298"/>
      <c r="F22" s="3299"/>
      <c r="G22" s="2816"/>
      <c r="H22" s="2816"/>
      <c r="I22" s="3302"/>
      <c r="J22" s="3306"/>
      <c r="K22" s="3308"/>
      <c r="L22" s="3308"/>
      <c r="M22" s="3351"/>
      <c r="N22" s="738"/>
      <c r="O22" s="2951"/>
      <c r="P22" s="3308"/>
      <c r="Q22" s="3325"/>
      <c r="R22" s="3331"/>
      <c r="S22" s="3308"/>
      <c r="T22" s="3317"/>
      <c r="U22" s="3338"/>
      <c r="V22" s="3357">
        <f>0+50000000</f>
        <v>50000000</v>
      </c>
      <c r="W22" s="3358">
        <v>88</v>
      </c>
      <c r="X22" s="3359" t="s">
        <v>537</v>
      </c>
      <c r="Y22" s="3353"/>
      <c r="Z22" s="3348"/>
      <c r="AA22" s="3348"/>
      <c r="AB22" s="3348"/>
      <c r="AC22" s="3348"/>
      <c r="AD22" s="3340"/>
      <c r="AE22" s="3363"/>
      <c r="AF22" s="800"/>
      <c r="AG22" s="800"/>
      <c r="AH22" s="800"/>
      <c r="AI22" s="800"/>
      <c r="AJ22" s="800"/>
      <c r="AK22" s="800"/>
      <c r="AL22" s="800"/>
      <c r="AM22" s="800"/>
      <c r="AN22" s="3348"/>
      <c r="AO22" s="3333"/>
      <c r="AP22" s="3333"/>
      <c r="AQ22" s="3336"/>
    </row>
    <row r="23" spans="1:43" ht="48.75" customHeight="1" x14ac:dyDescent="0.2">
      <c r="A23" s="3293"/>
      <c r="B23" s="3294"/>
      <c r="C23" s="3295"/>
      <c r="D23" s="3298"/>
      <c r="E23" s="3298"/>
      <c r="F23" s="3299"/>
      <c r="G23" s="2816"/>
      <c r="H23" s="2816"/>
      <c r="I23" s="3302"/>
      <c r="J23" s="3306"/>
      <c r="K23" s="3308"/>
      <c r="L23" s="3308"/>
      <c r="M23" s="3351"/>
      <c r="N23" s="738" t="s">
        <v>549</v>
      </c>
      <c r="O23" s="2951"/>
      <c r="P23" s="3308"/>
      <c r="Q23" s="3325"/>
      <c r="R23" s="3331"/>
      <c r="S23" s="3308"/>
      <c r="T23" s="3317"/>
      <c r="U23" s="3338"/>
      <c r="V23" s="3357"/>
      <c r="W23" s="3358"/>
      <c r="X23" s="3359"/>
      <c r="Y23" s="3353"/>
      <c r="Z23" s="3348"/>
      <c r="AA23" s="3348"/>
      <c r="AB23" s="3348"/>
      <c r="AC23" s="3348"/>
      <c r="AD23" s="3340"/>
      <c r="AE23" s="3363"/>
      <c r="AF23" s="800"/>
      <c r="AG23" s="800"/>
      <c r="AH23" s="800"/>
      <c r="AI23" s="800"/>
      <c r="AJ23" s="800"/>
      <c r="AK23" s="800"/>
      <c r="AL23" s="800"/>
      <c r="AM23" s="800"/>
      <c r="AN23" s="3348"/>
      <c r="AO23" s="3333"/>
      <c r="AP23" s="3333"/>
      <c r="AQ23" s="3336"/>
    </row>
    <row r="24" spans="1:43" ht="24" customHeight="1" x14ac:dyDescent="0.2">
      <c r="A24" s="3293"/>
      <c r="B24" s="3294"/>
      <c r="C24" s="3295"/>
      <c r="D24" s="3298"/>
      <c r="E24" s="3298"/>
      <c r="F24" s="3299"/>
      <c r="G24" s="2816"/>
      <c r="H24" s="2816"/>
      <c r="I24" s="3302"/>
      <c r="J24" s="3305">
        <v>41</v>
      </c>
      <c r="K24" s="3307" t="s">
        <v>550</v>
      </c>
      <c r="L24" s="3307" t="s">
        <v>551</v>
      </c>
      <c r="M24" s="2950">
        <v>1</v>
      </c>
      <c r="N24" s="738"/>
      <c r="O24" s="2951"/>
      <c r="P24" s="3308"/>
      <c r="Q24" s="3324">
        <f>(V24)/R21</f>
        <v>0.19196601004248745</v>
      </c>
      <c r="R24" s="3331"/>
      <c r="S24" s="3308"/>
      <c r="T24" s="3316" t="s">
        <v>552</v>
      </c>
      <c r="U24" s="3354" t="s">
        <v>553</v>
      </c>
      <c r="V24" s="3360">
        <v>24850000</v>
      </c>
      <c r="W24" s="3340">
        <v>20</v>
      </c>
      <c r="X24" s="2951" t="s">
        <v>515</v>
      </c>
      <c r="Y24" s="3348"/>
      <c r="Z24" s="3348"/>
      <c r="AA24" s="3348"/>
      <c r="AB24" s="3348"/>
      <c r="AC24" s="3348"/>
      <c r="AD24" s="3340"/>
      <c r="AE24" s="3363"/>
      <c r="AF24" s="800"/>
      <c r="AG24" s="800"/>
      <c r="AH24" s="800"/>
      <c r="AI24" s="800"/>
      <c r="AJ24" s="800"/>
      <c r="AK24" s="800"/>
      <c r="AL24" s="800"/>
      <c r="AM24" s="800"/>
      <c r="AN24" s="3348"/>
      <c r="AO24" s="3333"/>
      <c r="AP24" s="3333"/>
      <c r="AQ24" s="3336"/>
    </row>
    <row r="25" spans="1:43" ht="24" customHeight="1" x14ac:dyDescent="0.2">
      <c r="A25" s="3293"/>
      <c r="B25" s="3294"/>
      <c r="C25" s="3295"/>
      <c r="D25" s="3298"/>
      <c r="E25" s="3298"/>
      <c r="F25" s="3299"/>
      <c r="G25" s="2816"/>
      <c r="H25" s="2816"/>
      <c r="I25" s="3302"/>
      <c r="J25" s="3306"/>
      <c r="K25" s="3308"/>
      <c r="L25" s="3308"/>
      <c r="M25" s="2951"/>
      <c r="N25" s="738" t="s">
        <v>554</v>
      </c>
      <c r="O25" s="2951"/>
      <c r="P25" s="3308"/>
      <c r="Q25" s="3325"/>
      <c r="R25" s="3331"/>
      <c r="S25" s="3308"/>
      <c r="T25" s="3317"/>
      <c r="U25" s="3355"/>
      <c r="V25" s="3339"/>
      <c r="W25" s="3340"/>
      <c r="X25" s="2951"/>
      <c r="Y25" s="3348"/>
      <c r="Z25" s="3348"/>
      <c r="AA25" s="3348"/>
      <c r="AB25" s="3348"/>
      <c r="AC25" s="3348"/>
      <c r="AD25" s="3340"/>
      <c r="AE25" s="3363"/>
      <c r="AF25" s="800"/>
      <c r="AG25" s="800"/>
      <c r="AH25" s="800"/>
      <c r="AI25" s="800"/>
      <c r="AJ25" s="800"/>
      <c r="AK25" s="800"/>
      <c r="AL25" s="800"/>
      <c r="AM25" s="800"/>
      <c r="AN25" s="3348"/>
      <c r="AO25" s="3333"/>
      <c r="AP25" s="3333"/>
      <c r="AQ25" s="3336"/>
    </row>
    <row r="26" spans="1:43" ht="24" customHeight="1" x14ac:dyDescent="0.2">
      <c r="A26" s="3293"/>
      <c r="B26" s="3294"/>
      <c r="C26" s="3295"/>
      <c r="D26" s="3298"/>
      <c r="E26" s="3298"/>
      <c r="F26" s="3299"/>
      <c r="G26" s="2816"/>
      <c r="H26" s="2816"/>
      <c r="I26" s="3302"/>
      <c r="J26" s="3306"/>
      <c r="K26" s="3308"/>
      <c r="L26" s="3308"/>
      <c r="M26" s="2951"/>
      <c r="N26" s="738"/>
      <c r="O26" s="2951"/>
      <c r="P26" s="3308"/>
      <c r="Q26" s="3325"/>
      <c r="R26" s="3331"/>
      <c r="S26" s="3308"/>
      <c r="T26" s="3317"/>
      <c r="U26" s="3356"/>
      <c r="V26" s="3339"/>
      <c r="W26" s="3361"/>
      <c r="X26" s="2952"/>
      <c r="Y26" s="3348"/>
      <c r="Z26" s="3348"/>
      <c r="AA26" s="3348"/>
      <c r="AB26" s="3348"/>
      <c r="AC26" s="3348"/>
      <c r="AD26" s="3340"/>
      <c r="AE26" s="3363"/>
      <c r="AF26" s="800"/>
      <c r="AG26" s="800"/>
      <c r="AH26" s="800"/>
      <c r="AI26" s="800"/>
      <c r="AJ26" s="800"/>
      <c r="AK26" s="800"/>
      <c r="AL26" s="800"/>
      <c r="AM26" s="800"/>
      <c r="AN26" s="3348"/>
      <c r="AO26" s="3333"/>
      <c r="AP26" s="3333"/>
      <c r="AQ26" s="3336"/>
    </row>
    <row r="27" spans="1:43" ht="24" customHeight="1" x14ac:dyDescent="0.2">
      <c r="A27" s="3293"/>
      <c r="B27" s="3294"/>
      <c r="C27" s="3295"/>
      <c r="D27" s="3298"/>
      <c r="E27" s="3298"/>
      <c r="F27" s="3299"/>
      <c r="G27" s="2816"/>
      <c r="H27" s="2816"/>
      <c r="I27" s="3302"/>
      <c r="J27" s="3305">
        <v>42</v>
      </c>
      <c r="K27" s="3307" t="s">
        <v>555</v>
      </c>
      <c r="L27" s="3307" t="s">
        <v>556</v>
      </c>
      <c r="M27" s="2950">
        <v>1</v>
      </c>
      <c r="N27" s="738"/>
      <c r="O27" s="2951"/>
      <c r="P27" s="3308"/>
      <c r="Q27" s="3324">
        <f>(V27)/R21</f>
        <v>0.26844341444573194</v>
      </c>
      <c r="R27" s="3331"/>
      <c r="S27" s="3308"/>
      <c r="T27" s="3317"/>
      <c r="U27" s="3354" t="s">
        <v>557</v>
      </c>
      <c r="V27" s="3339">
        <v>34750000</v>
      </c>
      <c r="W27" s="3343">
        <v>20</v>
      </c>
      <c r="X27" s="2950" t="s">
        <v>515</v>
      </c>
      <c r="Y27" s="3348"/>
      <c r="Z27" s="3348"/>
      <c r="AA27" s="3348"/>
      <c r="AB27" s="3348"/>
      <c r="AC27" s="3348"/>
      <c r="AD27" s="3340"/>
      <c r="AE27" s="3363"/>
      <c r="AF27" s="800"/>
      <c r="AG27" s="800"/>
      <c r="AH27" s="800"/>
      <c r="AI27" s="800"/>
      <c r="AJ27" s="800"/>
      <c r="AK27" s="800"/>
      <c r="AL27" s="800"/>
      <c r="AM27" s="800"/>
      <c r="AN27" s="3348"/>
      <c r="AO27" s="3333"/>
      <c r="AP27" s="3333"/>
      <c r="AQ27" s="3336"/>
    </row>
    <row r="28" spans="1:43" ht="24" customHeight="1" x14ac:dyDescent="0.2">
      <c r="A28" s="3293"/>
      <c r="B28" s="3294"/>
      <c r="C28" s="3295"/>
      <c r="D28" s="3298"/>
      <c r="E28" s="3298"/>
      <c r="F28" s="3299"/>
      <c r="G28" s="2816"/>
      <c r="H28" s="2816"/>
      <c r="I28" s="3302"/>
      <c r="J28" s="3306"/>
      <c r="K28" s="3308"/>
      <c r="L28" s="3308"/>
      <c r="M28" s="2951"/>
      <c r="N28" s="738"/>
      <c r="O28" s="2951"/>
      <c r="P28" s="3308"/>
      <c r="Q28" s="3325"/>
      <c r="R28" s="3331"/>
      <c r="S28" s="3308"/>
      <c r="T28" s="3317"/>
      <c r="U28" s="3355"/>
      <c r="V28" s="3339"/>
      <c r="W28" s="3340"/>
      <c r="X28" s="2951"/>
      <c r="Y28" s="3348"/>
      <c r="Z28" s="3348"/>
      <c r="AA28" s="3348"/>
      <c r="AB28" s="3348"/>
      <c r="AC28" s="3348"/>
      <c r="AD28" s="3340"/>
      <c r="AE28" s="3363"/>
      <c r="AF28" s="800"/>
      <c r="AG28" s="800"/>
      <c r="AH28" s="800"/>
      <c r="AI28" s="800"/>
      <c r="AJ28" s="800"/>
      <c r="AK28" s="800"/>
      <c r="AL28" s="800"/>
      <c r="AM28" s="800"/>
      <c r="AN28" s="3348"/>
      <c r="AO28" s="3333"/>
      <c r="AP28" s="3333"/>
      <c r="AQ28" s="3336"/>
    </row>
    <row r="29" spans="1:43" ht="24" customHeight="1" x14ac:dyDescent="0.2">
      <c r="A29" s="3293"/>
      <c r="B29" s="3294"/>
      <c r="C29" s="3295"/>
      <c r="D29" s="3298"/>
      <c r="E29" s="3298"/>
      <c r="F29" s="3299"/>
      <c r="G29" s="3303"/>
      <c r="H29" s="3303"/>
      <c r="I29" s="3304"/>
      <c r="J29" s="3306"/>
      <c r="K29" s="3308"/>
      <c r="L29" s="3308"/>
      <c r="M29" s="2951"/>
      <c r="N29" s="738"/>
      <c r="O29" s="2951"/>
      <c r="P29" s="3308"/>
      <c r="Q29" s="3325"/>
      <c r="R29" s="3331"/>
      <c r="S29" s="3308"/>
      <c r="T29" s="3318"/>
      <c r="U29" s="3355"/>
      <c r="V29" s="3339"/>
      <c r="W29" s="3361"/>
      <c r="X29" s="2952"/>
      <c r="Y29" s="3349"/>
      <c r="Z29" s="3349"/>
      <c r="AA29" s="3349"/>
      <c r="AB29" s="3349"/>
      <c r="AC29" s="3349"/>
      <c r="AD29" s="3361"/>
      <c r="AE29" s="3364"/>
      <c r="AF29" s="802"/>
      <c r="AG29" s="802"/>
      <c r="AH29" s="802"/>
      <c r="AI29" s="802"/>
      <c r="AJ29" s="802"/>
      <c r="AK29" s="802"/>
      <c r="AL29" s="802"/>
      <c r="AM29" s="802"/>
      <c r="AN29" s="3349"/>
      <c r="AO29" s="3334"/>
      <c r="AP29" s="3334"/>
      <c r="AQ29" s="3336"/>
    </row>
    <row r="30" spans="1:43" ht="15.75" x14ac:dyDescent="0.2">
      <c r="A30" s="3293"/>
      <c r="B30" s="3294"/>
      <c r="C30" s="3295"/>
      <c r="D30" s="3298"/>
      <c r="E30" s="3298"/>
      <c r="F30" s="3299"/>
      <c r="G30" s="81">
        <v>9</v>
      </c>
      <c r="H30" s="44" t="s">
        <v>558</v>
      </c>
      <c r="I30" s="44"/>
      <c r="J30" s="165"/>
      <c r="K30" s="158"/>
      <c r="L30" s="158"/>
      <c r="M30" s="165"/>
      <c r="N30" s="159"/>
      <c r="O30" s="192"/>
      <c r="P30" s="158"/>
      <c r="Q30" s="804"/>
      <c r="R30" s="789"/>
      <c r="S30" s="158"/>
      <c r="T30" s="805"/>
      <c r="U30" s="805"/>
      <c r="V30" s="806"/>
      <c r="W30" s="807"/>
      <c r="X30" s="260"/>
      <c r="Y30" s="790"/>
      <c r="Z30" s="790"/>
      <c r="AA30" s="165"/>
      <c r="AB30" s="165"/>
      <c r="AC30" s="165"/>
      <c r="AD30" s="165"/>
      <c r="AE30" s="165"/>
      <c r="AF30" s="165"/>
      <c r="AG30" s="165"/>
      <c r="AH30" s="165"/>
      <c r="AI30" s="165"/>
      <c r="AJ30" s="165"/>
      <c r="AK30" s="165"/>
      <c r="AL30" s="165"/>
      <c r="AM30" s="165"/>
      <c r="AN30" s="790"/>
      <c r="AO30" s="808"/>
      <c r="AP30" s="808"/>
      <c r="AQ30" s="809"/>
    </row>
    <row r="31" spans="1:43" ht="34.5" customHeight="1" x14ac:dyDescent="0.2">
      <c r="A31" s="3293"/>
      <c r="B31" s="3294"/>
      <c r="C31" s="3295"/>
      <c r="D31" s="3298"/>
      <c r="E31" s="3298"/>
      <c r="F31" s="3299"/>
      <c r="G31" s="3365"/>
      <c r="H31" s="3296"/>
      <c r="I31" s="3297"/>
      <c r="J31" s="2587">
        <v>44</v>
      </c>
      <c r="K31" s="2937" t="s">
        <v>559</v>
      </c>
      <c r="L31" s="2937" t="s">
        <v>560</v>
      </c>
      <c r="M31" s="2936">
        <v>1</v>
      </c>
      <c r="N31" s="811"/>
      <c r="O31" s="2951" t="s">
        <v>561</v>
      </c>
      <c r="P31" s="3355" t="s">
        <v>562</v>
      </c>
      <c r="Q31" s="3370">
        <f>SUM(V31:V36)/R31</f>
        <v>0.11753978779840848</v>
      </c>
      <c r="R31" s="3386">
        <f>SUM(V31:V46)</f>
        <v>603200000</v>
      </c>
      <c r="S31" s="3308" t="s">
        <v>563</v>
      </c>
      <c r="T31" s="3316" t="s">
        <v>564</v>
      </c>
      <c r="U31" s="3371" t="s">
        <v>565</v>
      </c>
      <c r="V31" s="803">
        <v>16910000</v>
      </c>
      <c r="W31" s="812">
        <v>20</v>
      </c>
      <c r="X31" s="718" t="s">
        <v>515</v>
      </c>
      <c r="Y31" s="3353">
        <v>294321</v>
      </c>
      <c r="Z31" s="3348">
        <v>283947</v>
      </c>
      <c r="AA31" s="3348">
        <v>135754</v>
      </c>
      <c r="AB31" s="3348">
        <v>44640</v>
      </c>
      <c r="AC31" s="3348">
        <v>308178</v>
      </c>
      <c r="AD31" s="3340">
        <v>89696</v>
      </c>
      <c r="AE31" s="3380"/>
      <c r="AF31" s="800"/>
      <c r="AG31" s="800"/>
      <c r="AH31" s="800"/>
      <c r="AI31" s="800"/>
      <c r="AJ31" s="800"/>
      <c r="AK31" s="800"/>
      <c r="AL31" s="800"/>
      <c r="AM31" s="800"/>
      <c r="AN31" s="3348">
        <f>+Y31+Z31</f>
        <v>578268</v>
      </c>
      <c r="AO31" s="3333">
        <v>43467</v>
      </c>
      <c r="AP31" s="3333">
        <v>43830</v>
      </c>
      <c r="AQ31" s="3377" t="s">
        <v>536</v>
      </c>
    </row>
    <row r="32" spans="1:43" ht="34.5" customHeight="1" x14ac:dyDescent="0.2">
      <c r="A32" s="3293"/>
      <c r="B32" s="3294"/>
      <c r="C32" s="3295"/>
      <c r="D32" s="3298"/>
      <c r="E32" s="3298"/>
      <c r="F32" s="3299"/>
      <c r="G32" s="3366"/>
      <c r="H32" s="3298"/>
      <c r="I32" s="3299"/>
      <c r="J32" s="2587"/>
      <c r="K32" s="2937"/>
      <c r="L32" s="2937"/>
      <c r="M32" s="2936"/>
      <c r="N32" s="811"/>
      <c r="O32" s="2951"/>
      <c r="P32" s="3355"/>
      <c r="Q32" s="3370"/>
      <c r="R32" s="3386"/>
      <c r="S32" s="3308"/>
      <c r="T32" s="3317"/>
      <c r="U32" s="2703"/>
      <c r="V32" s="3357">
        <f>0+39400000</f>
        <v>39400000</v>
      </c>
      <c r="W32" s="3378">
        <v>88</v>
      </c>
      <c r="X32" s="2639" t="s">
        <v>537</v>
      </c>
      <c r="Y32" s="3353"/>
      <c r="Z32" s="3348"/>
      <c r="AA32" s="3348"/>
      <c r="AB32" s="3348"/>
      <c r="AC32" s="3348"/>
      <c r="AD32" s="3340"/>
      <c r="AE32" s="3381"/>
      <c r="AF32" s="800"/>
      <c r="AG32" s="800"/>
      <c r="AH32" s="800"/>
      <c r="AI32" s="800"/>
      <c r="AJ32" s="800"/>
      <c r="AK32" s="800"/>
      <c r="AL32" s="800"/>
      <c r="AM32" s="800"/>
      <c r="AN32" s="3348"/>
      <c r="AO32" s="3333"/>
      <c r="AP32" s="3333"/>
      <c r="AQ32" s="3336"/>
    </row>
    <row r="33" spans="1:43" ht="34.5" customHeight="1" x14ac:dyDescent="0.2">
      <c r="A33" s="3293"/>
      <c r="B33" s="3294"/>
      <c r="C33" s="3295"/>
      <c r="D33" s="3298"/>
      <c r="E33" s="3298"/>
      <c r="F33" s="3299"/>
      <c r="G33" s="3366"/>
      <c r="H33" s="3298"/>
      <c r="I33" s="3299"/>
      <c r="J33" s="2587"/>
      <c r="K33" s="2937"/>
      <c r="L33" s="2937"/>
      <c r="M33" s="2936"/>
      <c r="N33" s="811"/>
      <c r="O33" s="2951"/>
      <c r="P33" s="3355"/>
      <c r="Q33" s="3370"/>
      <c r="R33" s="3386"/>
      <c r="S33" s="3308"/>
      <c r="T33" s="3317"/>
      <c r="U33" s="2703"/>
      <c r="V33" s="3357"/>
      <c r="W33" s="3379"/>
      <c r="X33" s="2696"/>
      <c r="Y33" s="3353"/>
      <c r="Z33" s="3348"/>
      <c r="AA33" s="3348"/>
      <c r="AB33" s="3348"/>
      <c r="AC33" s="3348"/>
      <c r="AD33" s="3340"/>
      <c r="AE33" s="3381"/>
      <c r="AF33" s="800"/>
      <c r="AG33" s="800"/>
      <c r="AH33" s="800"/>
      <c r="AI33" s="800"/>
      <c r="AJ33" s="800"/>
      <c r="AK33" s="800"/>
      <c r="AL33" s="800"/>
      <c r="AM33" s="800"/>
      <c r="AN33" s="3348"/>
      <c r="AO33" s="3333"/>
      <c r="AP33" s="3333"/>
      <c r="AQ33" s="3336"/>
    </row>
    <row r="34" spans="1:43" ht="34.5" customHeight="1" x14ac:dyDescent="0.2">
      <c r="A34" s="3293"/>
      <c r="B34" s="3294"/>
      <c r="C34" s="3295"/>
      <c r="D34" s="3298"/>
      <c r="E34" s="3298"/>
      <c r="F34" s="3299"/>
      <c r="G34" s="3366"/>
      <c r="H34" s="3298"/>
      <c r="I34" s="3299"/>
      <c r="J34" s="2587"/>
      <c r="K34" s="2937"/>
      <c r="L34" s="2937"/>
      <c r="M34" s="2936"/>
      <c r="N34" s="811"/>
      <c r="O34" s="2951"/>
      <c r="P34" s="3355"/>
      <c r="Q34" s="3370"/>
      <c r="R34" s="3386"/>
      <c r="S34" s="3308"/>
      <c r="T34" s="3387"/>
      <c r="U34" s="3373" t="s">
        <v>566</v>
      </c>
      <c r="V34" s="3357">
        <v>14590000</v>
      </c>
      <c r="W34" s="3378">
        <v>20</v>
      </c>
      <c r="X34" s="2639" t="s">
        <v>515</v>
      </c>
      <c r="Y34" s="3353"/>
      <c r="Z34" s="3348"/>
      <c r="AA34" s="3348"/>
      <c r="AB34" s="3348"/>
      <c r="AC34" s="3348"/>
      <c r="AD34" s="3340"/>
      <c r="AE34" s="3381"/>
      <c r="AF34" s="800"/>
      <c r="AG34" s="800"/>
      <c r="AH34" s="800"/>
      <c r="AI34" s="800"/>
      <c r="AJ34" s="800"/>
      <c r="AK34" s="800"/>
      <c r="AL34" s="800"/>
      <c r="AM34" s="800"/>
      <c r="AN34" s="3348"/>
      <c r="AO34" s="3333"/>
      <c r="AP34" s="3333"/>
      <c r="AQ34" s="3336"/>
    </row>
    <row r="35" spans="1:43" ht="34.5" customHeight="1" x14ac:dyDescent="0.2">
      <c r="A35" s="3293"/>
      <c r="B35" s="3294"/>
      <c r="C35" s="3295"/>
      <c r="D35" s="3298"/>
      <c r="E35" s="3298"/>
      <c r="F35" s="3299"/>
      <c r="G35" s="3366"/>
      <c r="H35" s="3298"/>
      <c r="I35" s="3299"/>
      <c r="J35" s="2587"/>
      <c r="K35" s="2937"/>
      <c r="L35" s="2937"/>
      <c r="M35" s="2936"/>
      <c r="N35" s="811"/>
      <c r="O35" s="2951"/>
      <c r="P35" s="3355"/>
      <c r="Q35" s="3370"/>
      <c r="R35" s="3386"/>
      <c r="S35" s="3308"/>
      <c r="T35" s="3387"/>
      <c r="U35" s="3373"/>
      <c r="V35" s="3357"/>
      <c r="W35" s="3378"/>
      <c r="X35" s="2639"/>
      <c r="Y35" s="3353"/>
      <c r="Z35" s="3348"/>
      <c r="AA35" s="3348"/>
      <c r="AB35" s="3348"/>
      <c r="AC35" s="3348"/>
      <c r="AD35" s="3340"/>
      <c r="AE35" s="3381"/>
      <c r="AF35" s="800"/>
      <c r="AG35" s="800"/>
      <c r="AH35" s="800"/>
      <c r="AI35" s="800"/>
      <c r="AJ35" s="800"/>
      <c r="AK35" s="800"/>
      <c r="AL35" s="800"/>
      <c r="AM35" s="800"/>
      <c r="AN35" s="3348"/>
      <c r="AO35" s="3333"/>
      <c r="AP35" s="3333"/>
      <c r="AQ35" s="3336"/>
    </row>
    <row r="36" spans="1:43" ht="34.5" customHeight="1" x14ac:dyDescent="0.2">
      <c r="A36" s="3293"/>
      <c r="B36" s="3294"/>
      <c r="C36" s="3295"/>
      <c r="D36" s="3298"/>
      <c r="E36" s="3298"/>
      <c r="F36" s="3299"/>
      <c r="G36" s="3366"/>
      <c r="H36" s="3298"/>
      <c r="I36" s="3299"/>
      <c r="J36" s="2587"/>
      <c r="K36" s="2937"/>
      <c r="L36" s="2937"/>
      <c r="M36" s="2936"/>
      <c r="N36" s="811"/>
      <c r="O36" s="2951"/>
      <c r="P36" s="3355"/>
      <c r="Q36" s="3370"/>
      <c r="R36" s="3386"/>
      <c r="S36" s="3308"/>
      <c r="T36" s="3387"/>
      <c r="U36" s="3373"/>
      <c r="V36" s="3357"/>
      <c r="W36" s="3378"/>
      <c r="X36" s="2639"/>
      <c r="Y36" s="3353"/>
      <c r="Z36" s="3348"/>
      <c r="AA36" s="3348"/>
      <c r="AB36" s="3348"/>
      <c r="AC36" s="3348"/>
      <c r="AD36" s="3340"/>
      <c r="AE36" s="3381"/>
      <c r="AF36" s="800"/>
      <c r="AG36" s="800"/>
      <c r="AH36" s="800"/>
      <c r="AI36" s="800"/>
      <c r="AJ36" s="800"/>
      <c r="AK36" s="800"/>
      <c r="AL36" s="800"/>
      <c r="AM36" s="800"/>
      <c r="AN36" s="3348"/>
      <c r="AO36" s="3333"/>
      <c r="AP36" s="3333"/>
      <c r="AQ36" s="3336"/>
    </row>
    <row r="37" spans="1:43" ht="51.75" customHeight="1" x14ac:dyDescent="0.2">
      <c r="A37" s="3293"/>
      <c r="B37" s="3294"/>
      <c r="C37" s="3295"/>
      <c r="D37" s="3298"/>
      <c r="E37" s="3298"/>
      <c r="F37" s="3299"/>
      <c r="G37" s="3366"/>
      <c r="H37" s="3298"/>
      <c r="I37" s="3299"/>
      <c r="J37" s="2587">
        <v>43</v>
      </c>
      <c r="K37" s="2937" t="s">
        <v>567</v>
      </c>
      <c r="L37" s="2937" t="s">
        <v>568</v>
      </c>
      <c r="M37" s="2936">
        <v>3</v>
      </c>
      <c r="N37" s="811"/>
      <c r="O37" s="2951"/>
      <c r="P37" s="3355"/>
      <c r="Q37" s="3370">
        <f>SUM(V37:V38)/R31</f>
        <v>0.47049071618037136</v>
      </c>
      <c r="R37" s="3386"/>
      <c r="S37" s="3308"/>
      <c r="T37" s="3376" t="s">
        <v>569</v>
      </c>
      <c r="U37" s="813" t="s">
        <v>570</v>
      </c>
      <c r="V37" s="803">
        <v>28800000</v>
      </c>
      <c r="W37" s="814">
        <v>20</v>
      </c>
      <c r="X37" s="718" t="s">
        <v>515</v>
      </c>
      <c r="Y37" s="3353"/>
      <c r="Z37" s="3348"/>
      <c r="AA37" s="3348"/>
      <c r="AB37" s="3348"/>
      <c r="AC37" s="3348"/>
      <c r="AD37" s="3340"/>
      <c r="AE37" s="3381"/>
      <c r="AF37" s="800"/>
      <c r="AG37" s="800"/>
      <c r="AH37" s="800"/>
      <c r="AI37" s="800"/>
      <c r="AJ37" s="800"/>
      <c r="AK37" s="800"/>
      <c r="AL37" s="800"/>
      <c r="AM37" s="800"/>
      <c r="AN37" s="3348"/>
      <c r="AO37" s="3333"/>
      <c r="AP37" s="3333"/>
      <c r="AQ37" s="3336"/>
    </row>
    <row r="38" spans="1:43" ht="76.5" customHeight="1" x14ac:dyDescent="0.2">
      <c r="A38" s="3293"/>
      <c r="B38" s="3294"/>
      <c r="C38" s="3295"/>
      <c r="D38" s="3298"/>
      <c r="E38" s="3298"/>
      <c r="F38" s="3299"/>
      <c r="G38" s="3366"/>
      <c r="H38" s="3298"/>
      <c r="I38" s="3299"/>
      <c r="J38" s="2587"/>
      <c r="K38" s="2937"/>
      <c r="L38" s="2937"/>
      <c r="M38" s="2936"/>
      <c r="N38" s="738" t="s">
        <v>571</v>
      </c>
      <c r="O38" s="2951"/>
      <c r="P38" s="3355"/>
      <c r="Q38" s="3370"/>
      <c r="R38" s="3386"/>
      <c r="S38" s="3308"/>
      <c r="T38" s="3376"/>
      <c r="U38" s="813" t="s">
        <v>572</v>
      </c>
      <c r="V38" s="803">
        <v>255000000</v>
      </c>
      <c r="W38" s="814">
        <v>88</v>
      </c>
      <c r="X38" s="718" t="s">
        <v>537</v>
      </c>
      <c r="Y38" s="3353"/>
      <c r="Z38" s="3348"/>
      <c r="AA38" s="3348"/>
      <c r="AB38" s="3348"/>
      <c r="AC38" s="3348"/>
      <c r="AD38" s="3340"/>
      <c r="AE38" s="3381"/>
      <c r="AF38" s="800"/>
      <c r="AG38" s="800"/>
      <c r="AH38" s="800"/>
      <c r="AI38" s="800"/>
      <c r="AJ38" s="800"/>
      <c r="AK38" s="800"/>
      <c r="AL38" s="800"/>
      <c r="AM38" s="800"/>
      <c r="AN38" s="3348"/>
      <c r="AO38" s="3333"/>
      <c r="AP38" s="3333"/>
      <c r="AQ38" s="3336"/>
    </row>
    <row r="39" spans="1:43" ht="32.25" customHeight="1" x14ac:dyDescent="0.2">
      <c r="A39" s="3293"/>
      <c r="B39" s="3294"/>
      <c r="C39" s="3295"/>
      <c r="D39" s="3298"/>
      <c r="E39" s="3298"/>
      <c r="F39" s="3299"/>
      <c r="G39" s="3366"/>
      <c r="H39" s="3298"/>
      <c r="I39" s="3299"/>
      <c r="J39" s="2587">
        <v>45</v>
      </c>
      <c r="K39" s="2937" t="s">
        <v>573</v>
      </c>
      <c r="L39" s="2937" t="s">
        <v>568</v>
      </c>
      <c r="M39" s="3385">
        <v>4</v>
      </c>
      <c r="N39" s="738" t="s">
        <v>574</v>
      </c>
      <c r="O39" s="2951"/>
      <c r="P39" s="3355"/>
      <c r="Q39" s="3370">
        <f>SUM(V39:V42)/R31</f>
        <v>0.16329575596816975</v>
      </c>
      <c r="R39" s="3386"/>
      <c r="S39" s="3308"/>
      <c r="T39" s="3384"/>
      <c r="U39" s="3375" t="s">
        <v>575</v>
      </c>
      <c r="V39" s="3357">
        <v>98500000</v>
      </c>
      <c r="W39" s="3383">
        <v>20</v>
      </c>
      <c r="X39" s="2951" t="s">
        <v>515</v>
      </c>
      <c r="Y39" s="3348"/>
      <c r="Z39" s="3348"/>
      <c r="AA39" s="3348"/>
      <c r="AB39" s="3348"/>
      <c r="AC39" s="3348"/>
      <c r="AD39" s="3340"/>
      <c r="AE39" s="3381"/>
      <c r="AF39" s="800"/>
      <c r="AG39" s="800"/>
      <c r="AH39" s="800"/>
      <c r="AI39" s="800"/>
      <c r="AJ39" s="800"/>
      <c r="AK39" s="800"/>
      <c r="AL39" s="800"/>
      <c r="AM39" s="800"/>
      <c r="AN39" s="3348"/>
      <c r="AO39" s="3333"/>
      <c r="AP39" s="3333"/>
      <c r="AQ39" s="3336"/>
    </row>
    <row r="40" spans="1:43" ht="32.25" customHeight="1" x14ac:dyDescent="0.2">
      <c r="A40" s="3293"/>
      <c r="B40" s="3294"/>
      <c r="C40" s="3295"/>
      <c r="D40" s="3298"/>
      <c r="E40" s="3298"/>
      <c r="F40" s="3299"/>
      <c r="G40" s="3366"/>
      <c r="H40" s="3298"/>
      <c r="I40" s="3299"/>
      <c r="J40" s="2587"/>
      <c r="K40" s="2937"/>
      <c r="L40" s="2937"/>
      <c r="M40" s="3385"/>
      <c r="N40" s="811"/>
      <c r="O40" s="2951"/>
      <c r="P40" s="3355"/>
      <c r="Q40" s="3370"/>
      <c r="R40" s="3386"/>
      <c r="S40" s="3308"/>
      <c r="T40" s="3384"/>
      <c r="U40" s="3376"/>
      <c r="V40" s="3357"/>
      <c r="W40" s="3383"/>
      <c r="X40" s="2951"/>
      <c r="Y40" s="3348"/>
      <c r="Z40" s="3348"/>
      <c r="AA40" s="3348"/>
      <c r="AB40" s="3348"/>
      <c r="AC40" s="3348"/>
      <c r="AD40" s="3340"/>
      <c r="AE40" s="3381"/>
      <c r="AF40" s="800"/>
      <c r="AG40" s="800"/>
      <c r="AH40" s="800"/>
      <c r="AI40" s="800"/>
      <c r="AJ40" s="800"/>
      <c r="AK40" s="800"/>
      <c r="AL40" s="800"/>
      <c r="AM40" s="800"/>
      <c r="AN40" s="3348"/>
      <c r="AO40" s="3333"/>
      <c r="AP40" s="3333"/>
      <c r="AQ40" s="3336"/>
    </row>
    <row r="41" spans="1:43" ht="32.25" customHeight="1" x14ac:dyDescent="0.2">
      <c r="A41" s="3293"/>
      <c r="B41" s="3294"/>
      <c r="C41" s="3295"/>
      <c r="D41" s="3298"/>
      <c r="E41" s="3298"/>
      <c r="F41" s="3299"/>
      <c r="G41" s="3366"/>
      <c r="H41" s="3298"/>
      <c r="I41" s="3299"/>
      <c r="J41" s="2587"/>
      <c r="K41" s="2937"/>
      <c r="L41" s="2937"/>
      <c r="M41" s="3385"/>
      <c r="N41" s="811"/>
      <c r="O41" s="2951"/>
      <c r="P41" s="3355"/>
      <c r="Q41" s="3370"/>
      <c r="R41" s="3386"/>
      <c r="S41" s="3308"/>
      <c r="T41" s="3384"/>
      <c r="U41" s="3376"/>
      <c r="V41" s="3357"/>
      <c r="W41" s="3383"/>
      <c r="X41" s="2951"/>
      <c r="Y41" s="3348"/>
      <c r="Z41" s="3348"/>
      <c r="AA41" s="3348"/>
      <c r="AB41" s="3348"/>
      <c r="AC41" s="3348"/>
      <c r="AD41" s="3340"/>
      <c r="AE41" s="3381"/>
      <c r="AF41" s="800"/>
      <c r="AG41" s="800"/>
      <c r="AH41" s="800"/>
      <c r="AI41" s="800"/>
      <c r="AJ41" s="800"/>
      <c r="AK41" s="800"/>
      <c r="AL41" s="800"/>
      <c r="AM41" s="800"/>
      <c r="AN41" s="3348"/>
      <c r="AO41" s="3333"/>
      <c r="AP41" s="3333"/>
      <c r="AQ41" s="3336"/>
    </row>
    <row r="42" spans="1:43" ht="32.25" customHeight="1" x14ac:dyDescent="0.2">
      <c r="A42" s="3293"/>
      <c r="B42" s="3294"/>
      <c r="C42" s="3295"/>
      <c r="D42" s="3298"/>
      <c r="E42" s="3298"/>
      <c r="F42" s="3299"/>
      <c r="G42" s="3366"/>
      <c r="H42" s="3298"/>
      <c r="I42" s="3299"/>
      <c r="J42" s="2587"/>
      <c r="K42" s="2937"/>
      <c r="L42" s="2937"/>
      <c r="M42" s="3385"/>
      <c r="N42" s="811"/>
      <c r="O42" s="2951"/>
      <c r="P42" s="3355"/>
      <c r="Q42" s="3370"/>
      <c r="R42" s="3386"/>
      <c r="S42" s="3308"/>
      <c r="T42" s="3384"/>
      <c r="U42" s="3376"/>
      <c r="V42" s="3357"/>
      <c r="W42" s="3383"/>
      <c r="X42" s="2951"/>
      <c r="Y42" s="3348"/>
      <c r="Z42" s="3348"/>
      <c r="AA42" s="3348"/>
      <c r="AB42" s="3348"/>
      <c r="AC42" s="3348"/>
      <c r="AD42" s="3340"/>
      <c r="AE42" s="3381"/>
      <c r="AF42" s="800"/>
      <c r="AG42" s="800"/>
      <c r="AH42" s="800"/>
      <c r="AI42" s="800"/>
      <c r="AJ42" s="800"/>
      <c r="AK42" s="800"/>
      <c r="AL42" s="800"/>
      <c r="AM42" s="800"/>
      <c r="AN42" s="3348"/>
      <c r="AO42" s="3333"/>
      <c r="AP42" s="3333"/>
      <c r="AQ42" s="3336"/>
    </row>
    <row r="43" spans="1:43" ht="32.25" customHeight="1" x14ac:dyDescent="0.2">
      <c r="A43" s="3293"/>
      <c r="B43" s="3294"/>
      <c r="C43" s="3295"/>
      <c r="D43" s="3298"/>
      <c r="E43" s="3298"/>
      <c r="F43" s="3299"/>
      <c r="G43" s="3366"/>
      <c r="H43" s="3298"/>
      <c r="I43" s="3299"/>
      <c r="J43" s="2588">
        <v>46</v>
      </c>
      <c r="K43" s="3307" t="s">
        <v>576</v>
      </c>
      <c r="L43" s="3307" t="s">
        <v>577</v>
      </c>
      <c r="M43" s="2950">
        <v>1</v>
      </c>
      <c r="N43" s="811"/>
      <c r="O43" s="2951"/>
      <c r="P43" s="3355"/>
      <c r="Q43" s="3370">
        <f>SUM(V43:V46)/R31</f>
        <v>0.2486737400530504</v>
      </c>
      <c r="R43" s="3386"/>
      <c r="S43" s="3308"/>
      <c r="T43" s="3384"/>
      <c r="U43" s="3354" t="s">
        <v>578</v>
      </c>
      <c r="V43" s="803">
        <v>99400000</v>
      </c>
      <c r="W43" s="815">
        <v>20</v>
      </c>
      <c r="X43" s="799" t="s">
        <v>515</v>
      </c>
      <c r="Y43" s="3353"/>
      <c r="Z43" s="3348"/>
      <c r="AA43" s="3348"/>
      <c r="AB43" s="3348"/>
      <c r="AC43" s="3348"/>
      <c r="AD43" s="3340"/>
      <c r="AE43" s="3381"/>
      <c r="AF43" s="800"/>
      <c r="AG43" s="800"/>
      <c r="AH43" s="800"/>
      <c r="AI43" s="800"/>
      <c r="AJ43" s="800"/>
      <c r="AK43" s="800"/>
      <c r="AL43" s="800"/>
      <c r="AM43" s="800"/>
      <c r="AN43" s="3348"/>
      <c r="AO43" s="3333"/>
      <c r="AP43" s="3333"/>
      <c r="AQ43" s="3336"/>
    </row>
    <row r="44" spans="1:43" ht="32.25" customHeight="1" x14ac:dyDescent="0.2">
      <c r="A44" s="3293"/>
      <c r="B44" s="3294"/>
      <c r="C44" s="3295"/>
      <c r="D44" s="3298"/>
      <c r="E44" s="3298"/>
      <c r="F44" s="3299"/>
      <c r="G44" s="3366"/>
      <c r="H44" s="3298"/>
      <c r="I44" s="3299"/>
      <c r="J44" s="2608"/>
      <c r="K44" s="3308"/>
      <c r="L44" s="3308"/>
      <c r="M44" s="2951"/>
      <c r="N44" s="811"/>
      <c r="O44" s="2951"/>
      <c r="P44" s="3355"/>
      <c r="Q44" s="3370"/>
      <c r="R44" s="3386"/>
      <c r="S44" s="3308"/>
      <c r="T44" s="3384"/>
      <c r="U44" s="3355"/>
      <c r="V44" s="3357">
        <f>0+50600000</f>
        <v>50600000</v>
      </c>
      <c r="W44" s="3374">
        <v>88</v>
      </c>
      <c r="X44" s="3359" t="s">
        <v>537</v>
      </c>
      <c r="Y44" s="3353"/>
      <c r="Z44" s="3348"/>
      <c r="AA44" s="3348"/>
      <c r="AB44" s="3348"/>
      <c r="AC44" s="3348"/>
      <c r="AD44" s="3340"/>
      <c r="AE44" s="3381"/>
      <c r="AF44" s="800"/>
      <c r="AG44" s="800"/>
      <c r="AH44" s="800"/>
      <c r="AI44" s="800"/>
      <c r="AJ44" s="800"/>
      <c r="AK44" s="800"/>
      <c r="AL44" s="800"/>
      <c r="AM44" s="800"/>
      <c r="AN44" s="3348"/>
      <c r="AO44" s="3333"/>
      <c r="AP44" s="3333"/>
      <c r="AQ44" s="3336"/>
    </row>
    <row r="45" spans="1:43" ht="32.25" customHeight="1" x14ac:dyDescent="0.2">
      <c r="A45" s="3293"/>
      <c r="B45" s="3294"/>
      <c r="C45" s="3295"/>
      <c r="D45" s="3298"/>
      <c r="E45" s="3298"/>
      <c r="F45" s="3299"/>
      <c r="G45" s="3366"/>
      <c r="H45" s="3298"/>
      <c r="I45" s="3299"/>
      <c r="J45" s="2608"/>
      <c r="K45" s="3308"/>
      <c r="L45" s="3308"/>
      <c r="M45" s="2951"/>
      <c r="N45" s="811"/>
      <c r="O45" s="2951"/>
      <c r="P45" s="3355"/>
      <c r="Q45" s="3370"/>
      <c r="R45" s="3386"/>
      <c r="S45" s="3308"/>
      <c r="T45" s="3384"/>
      <c r="U45" s="3355"/>
      <c r="V45" s="3357"/>
      <c r="W45" s="3374"/>
      <c r="X45" s="3359"/>
      <c r="Y45" s="3353"/>
      <c r="Z45" s="3348"/>
      <c r="AA45" s="3348"/>
      <c r="AB45" s="3348"/>
      <c r="AC45" s="3348"/>
      <c r="AD45" s="3340"/>
      <c r="AE45" s="3381"/>
      <c r="AF45" s="800"/>
      <c r="AG45" s="800"/>
      <c r="AH45" s="800"/>
      <c r="AI45" s="800"/>
      <c r="AJ45" s="800"/>
      <c r="AK45" s="800"/>
      <c r="AL45" s="800"/>
      <c r="AM45" s="800"/>
      <c r="AN45" s="3348"/>
      <c r="AO45" s="3333"/>
      <c r="AP45" s="3333"/>
      <c r="AQ45" s="3336"/>
    </row>
    <row r="46" spans="1:43" ht="32.25" customHeight="1" x14ac:dyDescent="0.2">
      <c r="A46" s="3293"/>
      <c r="B46" s="3294"/>
      <c r="C46" s="3295"/>
      <c r="D46" s="3298"/>
      <c r="E46" s="3298"/>
      <c r="F46" s="3299"/>
      <c r="G46" s="3367"/>
      <c r="H46" s="3368"/>
      <c r="I46" s="3369"/>
      <c r="J46" s="2608"/>
      <c r="K46" s="3308"/>
      <c r="L46" s="3308"/>
      <c r="M46" s="2951"/>
      <c r="N46" s="811"/>
      <c r="O46" s="2951"/>
      <c r="P46" s="3355"/>
      <c r="Q46" s="3370"/>
      <c r="R46" s="3386"/>
      <c r="S46" s="3308"/>
      <c r="T46" s="3384"/>
      <c r="U46" s="3356"/>
      <c r="V46" s="3357"/>
      <c r="W46" s="3374"/>
      <c r="X46" s="3359"/>
      <c r="Y46" s="3372"/>
      <c r="Z46" s="3349"/>
      <c r="AA46" s="3349"/>
      <c r="AB46" s="3349"/>
      <c r="AC46" s="3349"/>
      <c r="AD46" s="3361"/>
      <c r="AE46" s="3382"/>
      <c r="AF46" s="802"/>
      <c r="AG46" s="802"/>
      <c r="AH46" s="802"/>
      <c r="AI46" s="802"/>
      <c r="AJ46" s="802"/>
      <c r="AK46" s="802"/>
      <c r="AL46" s="802"/>
      <c r="AM46" s="802"/>
      <c r="AN46" s="3349"/>
      <c r="AO46" s="3334"/>
      <c r="AP46" s="3334"/>
      <c r="AQ46" s="3336"/>
    </row>
    <row r="47" spans="1:43" ht="15.75" x14ac:dyDescent="0.2">
      <c r="A47" s="3293"/>
      <c r="B47" s="3294"/>
      <c r="C47" s="3295"/>
      <c r="D47" s="3298"/>
      <c r="E47" s="3298"/>
      <c r="F47" s="3299"/>
      <c r="G47" s="81">
        <v>10</v>
      </c>
      <c r="H47" s="44" t="s">
        <v>579</v>
      </c>
      <c r="I47" s="44"/>
      <c r="J47" s="165"/>
      <c r="K47" s="158"/>
      <c r="L47" s="158"/>
      <c r="M47" s="165"/>
      <c r="N47" s="159"/>
      <c r="O47" s="192"/>
      <c r="P47" s="158"/>
      <c r="Q47" s="816"/>
      <c r="R47" s="789"/>
      <c r="S47" s="158"/>
      <c r="T47" s="158"/>
      <c r="U47" s="805"/>
      <c r="V47" s="817"/>
      <c r="W47" s="818"/>
      <c r="X47" s="819"/>
      <c r="Y47" s="790"/>
      <c r="Z47" s="790"/>
      <c r="AA47" s="165"/>
      <c r="AB47" s="165"/>
      <c r="AC47" s="165"/>
      <c r="AD47" s="165"/>
      <c r="AE47" s="165"/>
      <c r="AF47" s="165"/>
      <c r="AG47" s="165"/>
      <c r="AH47" s="165"/>
      <c r="AI47" s="165"/>
      <c r="AJ47" s="165"/>
      <c r="AK47" s="165"/>
      <c r="AL47" s="165"/>
      <c r="AM47" s="165"/>
      <c r="AN47" s="790"/>
      <c r="AO47" s="808"/>
      <c r="AP47" s="808"/>
      <c r="AQ47" s="809"/>
    </row>
    <row r="48" spans="1:43" ht="41.25" customHeight="1" x14ac:dyDescent="0.2">
      <c r="A48" s="3293"/>
      <c r="B48" s="3294"/>
      <c r="C48" s="3295"/>
      <c r="D48" s="3298"/>
      <c r="E48" s="3298"/>
      <c r="F48" s="3299"/>
      <c r="G48" s="3388"/>
      <c r="H48" s="3389"/>
      <c r="I48" s="3390"/>
      <c r="J48" s="2588">
        <v>47</v>
      </c>
      <c r="K48" s="3307" t="s">
        <v>580</v>
      </c>
      <c r="L48" s="3307" t="s">
        <v>581</v>
      </c>
      <c r="M48" s="2745">
        <v>48</v>
      </c>
      <c r="N48" s="736"/>
      <c r="O48" s="2950" t="s">
        <v>582</v>
      </c>
      <c r="P48" s="3307" t="s">
        <v>583</v>
      </c>
      <c r="Q48" s="3324">
        <f>(V48+V49)/R48</f>
        <v>0.43158041567861627</v>
      </c>
      <c r="R48" s="3330">
        <f>SUM(V48:V56)</f>
        <v>358450000</v>
      </c>
      <c r="S48" s="3307" t="s">
        <v>584</v>
      </c>
      <c r="T48" s="3396" t="s">
        <v>585</v>
      </c>
      <c r="U48" s="3397" t="s">
        <v>586</v>
      </c>
      <c r="V48" s="803">
        <v>54700000</v>
      </c>
      <c r="W48" s="58">
        <v>20</v>
      </c>
      <c r="X48" s="799" t="s">
        <v>515</v>
      </c>
      <c r="Y48" s="3352">
        <v>294321</v>
      </c>
      <c r="Z48" s="3347">
        <v>283947</v>
      </c>
      <c r="AA48" s="3347">
        <v>135754</v>
      </c>
      <c r="AB48" s="3347">
        <v>44640</v>
      </c>
      <c r="AC48" s="3347">
        <v>308178</v>
      </c>
      <c r="AD48" s="3347"/>
      <c r="AE48" s="3362"/>
      <c r="AF48" s="796"/>
      <c r="AG48" s="796"/>
      <c r="AH48" s="796"/>
      <c r="AI48" s="796"/>
      <c r="AJ48" s="796"/>
      <c r="AK48" s="796"/>
      <c r="AL48" s="796"/>
      <c r="AM48" s="796"/>
      <c r="AN48" s="3347">
        <f>+Y48+Z48</f>
        <v>578268</v>
      </c>
      <c r="AO48" s="3332">
        <v>43467</v>
      </c>
      <c r="AP48" s="3332">
        <v>43830</v>
      </c>
      <c r="AQ48" s="3335" t="s">
        <v>536</v>
      </c>
    </row>
    <row r="49" spans="1:43" ht="30.75" customHeight="1" x14ac:dyDescent="0.2">
      <c r="A49" s="3293"/>
      <c r="B49" s="3294"/>
      <c r="C49" s="3295"/>
      <c r="D49" s="3298"/>
      <c r="E49" s="3298"/>
      <c r="F49" s="3299"/>
      <c r="G49" s="3391"/>
      <c r="H49" s="3392"/>
      <c r="I49" s="3393"/>
      <c r="J49" s="2608"/>
      <c r="K49" s="3308"/>
      <c r="L49" s="3308"/>
      <c r="M49" s="2746"/>
      <c r="N49" s="738"/>
      <c r="O49" s="2951"/>
      <c r="P49" s="3308"/>
      <c r="Q49" s="3325"/>
      <c r="R49" s="3331"/>
      <c r="S49" s="3308"/>
      <c r="T49" s="3387"/>
      <c r="U49" s="3397"/>
      <c r="V49" s="3357">
        <f>0+100000000</f>
        <v>100000000</v>
      </c>
      <c r="W49" s="3358">
        <v>88</v>
      </c>
      <c r="X49" s="3359" t="s">
        <v>537</v>
      </c>
      <c r="Y49" s="3353"/>
      <c r="Z49" s="3348"/>
      <c r="AA49" s="3348"/>
      <c r="AB49" s="3348"/>
      <c r="AC49" s="3348"/>
      <c r="AD49" s="3348"/>
      <c r="AE49" s="3363"/>
      <c r="AF49" s="800"/>
      <c r="AG49" s="800"/>
      <c r="AH49" s="800"/>
      <c r="AI49" s="800"/>
      <c r="AJ49" s="800"/>
      <c r="AK49" s="800"/>
      <c r="AL49" s="800"/>
      <c r="AM49" s="800"/>
      <c r="AN49" s="3348"/>
      <c r="AO49" s="3333"/>
      <c r="AP49" s="3333"/>
      <c r="AQ49" s="3336"/>
    </row>
    <row r="50" spans="1:43" ht="32.25" customHeight="1" x14ac:dyDescent="0.2">
      <c r="A50" s="3293"/>
      <c r="B50" s="3294"/>
      <c r="C50" s="3295"/>
      <c r="D50" s="3298"/>
      <c r="E50" s="3298"/>
      <c r="F50" s="3299"/>
      <c r="G50" s="3391"/>
      <c r="H50" s="3392"/>
      <c r="I50" s="3393"/>
      <c r="J50" s="2608"/>
      <c r="K50" s="3308"/>
      <c r="L50" s="3308"/>
      <c r="M50" s="2746"/>
      <c r="N50" s="738"/>
      <c r="O50" s="2951"/>
      <c r="P50" s="3308"/>
      <c r="Q50" s="3325"/>
      <c r="R50" s="3331"/>
      <c r="S50" s="3308"/>
      <c r="T50" s="3387"/>
      <c r="U50" s="3397"/>
      <c r="V50" s="3357"/>
      <c r="W50" s="3358"/>
      <c r="X50" s="3359"/>
      <c r="Y50" s="3353"/>
      <c r="Z50" s="3348"/>
      <c r="AA50" s="3348"/>
      <c r="AB50" s="3348"/>
      <c r="AC50" s="3348"/>
      <c r="AD50" s="3348"/>
      <c r="AE50" s="3363"/>
      <c r="AF50" s="800"/>
      <c r="AG50" s="800"/>
      <c r="AH50" s="800"/>
      <c r="AI50" s="800"/>
      <c r="AJ50" s="800"/>
      <c r="AK50" s="800"/>
      <c r="AL50" s="800"/>
      <c r="AM50" s="800"/>
      <c r="AN50" s="3348"/>
      <c r="AO50" s="3333"/>
      <c r="AP50" s="3333"/>
      <c r="AQ50" s="3336"/>
    </row>
    <row r="51" spans="1:43" ht="15.75" x14ac:dyDescent="0.2">
      <c r="A51" s="3293"/>
      <c r="B51" s="3294"/>
      <c r="C51" s="3295"/>
      <c r="D51" s="3298"/>
      <c r="E51" s="3298"/>
      <c r="F51" s="3299"/>
      <c r="G51" s="3391"/>
      <c r="H51" s="3392"/>
      <c r="I51" s="3393"/>
      <c r="J51" s="2588">
        <v>48</v>
      </c>
      <c r="K51" s="3307" t="s">
        <v>587</v>
      </c>
      <c r="L51" s="3307" t="s">
        <v>588</v>
      </c>
      <c r="M51" s="2950">
        <v>1</v>
      </c>
      <c r="N51" s="738" t="s">
        <v>589</v>
      </c>
      <c r="O51" s="2951"/>
      <c r="P51" s="3308"/>
      <c r="Q51" s="3324">
        <f>(V51)/R48</f>
        <v>0.55795787418049936</v>
      </c>
      <c r="R51" s="3331"/>
      <c r="S51" s="3308"/>
      <c r="T51" s="3316" t="s">
        <v>590</v>
      </c>
      <c r="U51" s="3355" t="s">
        <v>591</v>
      </c>
      <c r="V51" s="3360">
        <f>198750000+1250000</f>
        <v>200000000</v>
      </c>
      <c r="W51" s="3340">
        <v>20</v>
      </c>
      <c r="X51" s="2951" t="s">
        <v>515</v>
      </c>
      <c r="Y51" s="3348"/>
      <c r="Z51" s="3348"/>
      <c r="AA51" s="3348"/>
      <c r="AB51" s="3348"/>
      <c r="AC51" s="3348"/>
      <c r="AD51" s="3348"/>
      <c r="AE51" s="3363"/>
      <c r="AF51" s="800"/>
      <c r="AG51" s="800"/>
      <c r="AH51" s="800"/>
      <c r="AI51" s="800"/>
      <c r="AJ51" s="800"/>
      <c r="AK51" s="800"/>
      <c r="AL51" s="800"/>
      <c r="AM51" s="800"/>
      <c r="AN51" s="3348"/>
      <c r="AO51" s="3333"/>
      <c r="AP51" s="3333"/>
      <c r="AQ51" s="3336"/>
    </row>
    <row r="52" spans="1:43" ht="36" customHeight="1" x14ac:dyDescent="0.2">
      <c r="A52" s="3293"/>
      <c r="B52" s="3294"/>
      <c r="C52" s="3295"/>
      <c r="D52" s="3298"/>
      <c r="E52" s="3298"/>
      <c r="F52" s="3299"/>
      <c r="G52" s="3391"/>
      <c r="H52" s="3392"/>
      <c r="I52" s="3393"/>
      <c r="J52" s="2608"/>
      <c r="K52" s="3308"/>
      <c r="L52" s="3308"/>
      <c r="M52" s="2951"/>
      <c r="N52" s="738"/>
      <c r="O52" s="2951"/>
      <c r="P52" s="3308"/>
      <c r="Q52" s="3325"/>
      <c r="R52" s="3331"/>
      <c r="S52" s="3308"/>
      <c r="T52" s="3317"/>
      <c r="U52" s="3355"/>
      <c r="V52" s="3339"/>
      <c r="W52" s="3340"/>
      <c r="X52" s="2951"/>
      <c r="Y52" s="3348"/>
      <c r="Z52" s="3348"/>
      <c r="AA52" s="3348"/>
      <c r="AB52" s="3348"/>
      <c r="AC52" s="3348"/>
      <c r="AD52" s="3348"/>
      <c r="AE52" s="3363"/>
      <c r="AF52" s="800"/>
      <c r="AG52" s="800"/>
      <c r="AH52" s="800"/>
      <c r="AI52" s="800"/>
      <c r="AJ52" s="800"/>
      <c r="AK52" s="800"/>
      <c r="AL52" s="800"/>
      <c r="AM52" s="800"/>
      <c r="AN52" s="3348"/>
      <c r="AO52" s="3333"/>
      <c r="AP52" s="3333"/>
      <c r="AQ52" s="3336"/>
    </row>
    <row r="53" spans="1:43" ht="30.75" customHeight="1" x14ac:dyDescent="0.2">
      <c r="A53" s="3293"/>
      <c r="B53" s="3294"/>
      <c r="C53" s="3295"/>
      <c r="D53" s="3298"/>
      <c r="E53" s="3298"/>
      <c r="F53" s="3299"/>
      <c r="G53" s="3391"/>
      <c r="H53" s="3392"/>
      <c r="I53" s="3393"/>
      <c r="J53" s="2608"/>
      <c r="K53" s="3308"/>
      <c r="L53" s="3308"/>
      <c r="M53" s="2951"/>
      <c r="N53" s="738" t="s">
        <v>592</v>
      </c>
      <c r="O53" s="2951"/>
      <c r="P53" s="3308"/>
      <c r="Q53" s="3325"/>
      <c r="R53" s="3331"/>
      <c r="S53" s="3308"/>
      <c r="T53" s="3317"/>
      <c r="U53" s="3356"/>
      <c r="V53" s="3339"/>
      <c r="W53" s="3361"/>
      <c r="X53" s="2951"/>
      <c r="Y53" s="3348"/>
      <c r="Z53" s="3348"/>
      <c r="AA53" s="3348"/>
      <c r="AB53" s="3348"/>
      <c r="AC53" s="3348"/>
      <c r="AD53" s="3348"/>
      <c r="AE53" s="3363"/>
      <c r="AF53" s="800"/>
      <c r="AG53" s="800"/>
      <c r="AH53" s="800"/>
      <c r="AI53" s="800"/>
      <c r="AJ53" s="800"/>
      <c r="AK53" s="800"/>
      <c r="AL53" s="800"/>
      <c r="AM53" s="800"/>
      <c r="AN53" s="3348"/>
      <c r="AO53" s="3333"/>
      <c r="AP53" s="3333"/>
      <c r="AQ53" s="3336"/>
    </row>
    <row r="54" spans="1:43" ht="42" customHeight="1" x14ac:dyDescent="0.2">
      <c r="A54" s="3293"/>
      <c r="B54" s="3294"/>
      <c r="C54" s="3295"/>
      <c r="D54" s="3298"/>
      <c r="E54" s="3298"/>
      <c r="F54" s="3299"/>
      <c r="G54" s="3391"/>
      <c r="H54" s="3392"/>
      <c r="I54" s="3393"/>
      <c r="J54" s="2588">
        <v>49</v>
      </c>
      <c r="K54" s="3307" t="s">
        <v>593</v>
      </c>
      <c r="L54" s="3307" t="s">
        <v>594</v>
      </c>
      <c r="M54" s="2950">
        <v>1</v>
      </c>
      <c r="N54" s="738"/>
      <c r="O54" s="2951"/>
      <c r="P54" s="3308"/>
      <c r="Q54" s="3324">
        <f>(V54)/R48</f>
        <v>1.0461710140884364E-2</v>
      </c>
      <c r="R54" s="3331"/>
      <c r="S54" s="3308"/>
      <c r="T54" s="3317"/>
      <c r="U54" s="3354" t="s">
        <v>595</v>
      </c>
      <c r="V54" s="3339">
        <f>5000000-1250000</f>
        <v>3750000</v>
      </c>
      <c r="W54" s="3343">
        <v>20</v>
      </c>
      <c r="X54" s="2950" t="s">
        <v>515</v>
      </c>
      <c r="Y54" s="3348"/>
      <c r="Z54" s="3348"/>
      <c r="AA54" s="3348"/>
      <c r="AB54" s="3348"/>
      <c r="AC54" s="3348"/>
      <c r="AD54" s="3348"/>
      <c r="AE54" s="3363"/>
      <c r="AF54" s="800"/>
      <c r="AG54" s="800"/>
      <c r="AH54" s="800"/>
      <c r="AI54" s="800"/>
      <c r="AJ54" s="800"/>
      <c r="AK54" s="800"/>
      <c r="AL54" s="800"/>
      <c r="AM54" s="800"/>
      <c r="AN54" s="3348"/>
      <c r="AO54" s="3333"/>
      <c r="AP54" s="3333"/>
      <c r="AQ54" s="3336"/>
    </row>
    <row r="55" spans="1:43" ht="38.25" customHeight="1" x14ac:dyDescent="0.2">
      <c r="A55" s="3293"/>
      <c r="B55" s="3294"/>
      <c r="C55" s="3295"/>
      <c r="D55" s="3298"/>
      <c r="E55" s="3298"/>
      <c r="F55" s="3299"/>
      <c r="G55" s="3391"/>
      <c r="H55" s="3392"/>
      <c r="I55" s="3393"/>
      <c r="J55" s="2608"/>
      <c r="K55" s="3308"/>
      <c r="L55" s="3308"/>
      <c r="M55" s="2951"/>
      <c r="N55" s="738"/>
      <c r="O55" s="2951"/>
      <c r="P55" s="3308"/>
      <c r="Q55" s="3325"/>
      <c r="R55" s="3331"/>
      <c r="S55" s="3308"/>
      <c r="T55" s="3317"/>
      <c r="U55" s="3355"/>
      <c r="V55" s="3339"/>
      <c r="W55" s="3340"/>
      <c r="X55" s="2951"/>
      <c r="Y55" s="3348"/>
      <c r="Z55" s="3348"/>
      <c r="AA55" s="3348"/>
      <c r="AB55" s="3348"/>
      <c r="AC55" s="3348"/>
      <c r="AD55" s="3348"/>
      <c r="AE55" s="3363"/>
      <c r="AF55" s="800"/>
      <c r="AG55" s="800"/>
      <c r="AH55" s="800"/>
      <c r="AI55" s="800"/>
      <c r="AJ55" s="800"/>
      <c r="AK55" s="800"/>
      <c r="AL55" s="800"/>
      <c r="AM55" s="800"/>
      <c r="AN55" s="3348"/>
      <c r="AO55" s="3333"/>
      <c r="AP55" s="3333"/>
      <c r="AQ55" s="3336"/>
    </row>
    <row r="56" spans="1:43" ht="43.5" customHeight="1" x14ac:dyDescent="0.2">
      <c r="A56" s="3293"/>
      <c r="B56" s="3294"/>
      <c r="C56" s="3295"/>
      <c r="D56" s="3298"/>
      <c r="E56" s="3298"/>
      <c r="F56" s="3299"/>
      <c r="G56" s="3391"/>
      <c r="H56" s="3392"/>
      <c r="I56" s="3393"/>
      <c r="J56" s="2609"/>
      <c r="K56" s="3319"/>
      <c r="L56" s="3319"/>
      <c r="M56" s="2952"/>
      <c r="N56" s="742"/>
      <c r="O56" s="2952"/>
      <c r="P56" s="3319"/>
      <c r="Q56" s="3394"/>
      <c r="R56" s="3395"/>
      <c r="S56" s="3319"/>
      <c r="T56" s="3318"/>
      <c r="U56" s="3356"/>
      <c r="V56" s="3339"/>
      <c r="W56" s="3361"/>
      <c r="X56" s="2951"/>
      <c r="Y56" s="3349"/>
      <c r="Z56" s="3349"/>
      <c r="AA56" s="3349"/>
      <c r="AB56" s="3349"/>
      <c r="AC56" s="3349"/>
      <c r="AD56" s="3349"/>
      <c r="AE56" s="3364"/>
      <c r="AF56" s="802"/>
      <c r="AG56" s="802"/>
      <c r="AH56" s="802"/>
      <c r="AI56" s="802"/>
      <c r="AJ56" s="802"/>
      <c r="AK56" s="802"/>
      <c r="AL56" s="802"/>
      <c r="AM56" s="802"/>
      <c r="AN56" s="3349"/>
      <c r="AO56" s="3334"/>
      <c r="AP56" s="3334"/>
      <c r="AQ56" s="3337"/>
    </row>
    <row r="57" spans="1:43" ht="15.75" x14ac:dyDescent="0.2">
      <c r="A57" s="3293"/>
      <c r="B57" s="3294"/>
      <c r="C57" s="3295"/>
      <c r="D57" s="778">
        <v>3</v>
      </c>
      <c r="E57" s="35" t="s">
        <v>596</v>
      </c>
      <c r="F57" s="35"/>
      <c r="G57" s="35"/>
      <c r="H57" s="35"/>
      <c r="I57" s="35"/>
      <c r="J57" s="151"/>
      <c r="K57" s="144"/>
      <c r="L57" s="144"/>
      <c r="M57" s="151"/>
      <c r="N57" s="145"/>
      <c r="O57" s="779"/>
      <c r="P57" s="144"/>
      <c r="Q57" s="780"/>
      <c r="R57" s="781"/>
      <c r="S57" s="144"/>
      <c r="T57" s="144"/>
      <c r="U57" s="144"/>
      <c r="V57" s="37"/>
      <c r="W57" s="150"/>
      <c r="X57" s="145"/>
      <c r="Y57" s="782"/>
      <c r="Z57" s="782"/>
      <c r="AA57" s="151"/>
      <c r="AB57" s="151"/>
      <c r="AC57" s="151"/>
      <c r="AD57" s="151"/>
      <c r="AE57" s="151"/>
      <c r="AF57" s="151"/>
      <c r="AG57" s="151"/>
      <c r="AH57" s="151"/>
      <c r="AI57" s="151"/>
      <c r="AJ57" s="151"/>
      <c r="AK57" s="151"/>
      <c r="AL57" s="151"/>
      <c r="AM57" s="151"/>
      <c r="AN57" s="782"/>
      <c r="AO57" s="821"/>
      <c r="AP57" s="821"/>
      <c r="AQ57" s="822"/>
    </row>
    <row r="58" spans="1:43" ht="15.75" x14ac:dyDescent="0.2">
      <c r="A58" s="3293"/>
      <c r="B58" s="3294"/>
      <c r="C58" s="3295"/>
      <c r="D58" s="3399"/>
      <c r="E58" s="3400"/>
      <c r="F58" s="3401"/>
      <c r="G58" s="81">
        <v>11</v>
      </c>
      <c r="H58" s="44" t="s">
        <v>597</v>
      </c>
      <c r="I58" s="44"/>
      <c r="J58" s="165"/>
      <c r="K58" s="158"/>
      <c r="L58" s="158"/>
      <c r="M58" s="165"/>
      <c r="N58" s="159"/>
      <c r="O58" s="192"/>
      <c r="P58" s="158"/>
      <c r="Q58" s="788"/>
      <c r="R58" s="789"/>
      <c r="S58" s="158"/>
      <c r="T58" s="158"/>
      <c r="U58" s="158"/>
      <c r="V58" s="823"/>
      <c r="W58" s="164"/>
      <c r="X58" s="159"/>
      <c r="Y58" s="790"/>
      <c r="Z58" s="790"/>
      <c r="AA58" s="165"/>
      <c r="AB58" s="165"/>
      <c r="AC58" s="165"/>
      <c r="AD58" s="165"/>
      <c r="AE58" s="165"/>
      <c r="AF58" s="165"/>
      <c r="AG58" s="165"/>
      <c r="AH58" s="165"/>
      <c r="AI58" s="165"/>
      <c r="AJ58" s="165"/>
      <c r="AK58" s="165"/>
      <c r="AL58" s="165"/>
      <c r="AM58" s="165"/>
      <c r="AN58" s="790"/>
      <c r="AO58" s="808"/>
      <c r="AP58" s="808"/>
      <c r="AQ58" s="809"/>
    </row>
    <row r="59" spans="1:43" ht="28.5" customHeight="1" x14ac:dyDescent="0.2">
      <c r="A59" s="3293"/>
      <c r="B59" s="3294"/>
      <c r="C59" s="3295"/>
      <c r="D59" s="3402"/>
      <c r="E59" s="3403"/>
      <c r="F59" s="3404"/>
      <c r="G59" s="38"/>
      <c r="H59" s="38"/>
      <c r="I59" s="38"/>
      <c r="J59" s="2608">
        <v>50</v>
      </c>
      <c r="K59" s="3308" t="s">
        <v>598</v>
      </c>
      <c r="L59" s="3308" t="s">
        <v>599</v>
      </c>
      <c r="M59" s="2746">
        <v>3</v>
      </c>
      <c r="N59" s="2950" t="s">
        <v>600</v>
      </c>
      <c r="O59" s="2950" t="s">
        <v>601</v>
      </c>
      <c r="P59" s="3307" t="s">
        <v>602</v>
      </c>
      <c r="Q59" s="3325">
        <f>(V59)/R59</f>
        <v>0.80006709158000666</v>
      </c>
      <c r="R59" s="2940">
        <f>SUM(V59:V63)</f>
        <v>149050000</v>
      </c>
      <c r="S59" s="3307" t="s">
        <v>603</v>
      </c>
      <c r="T59" s="3316" t="s">
        <v>604</v>
      </c>
      <c r="U59" s="3354" t="s">
        <v>605</v>
      </c>
      <c r="V59" s="2943">
        <v>119250000</v>
      </c>
      <c r="W59" s="3343">
        <v>20</v>
      </c>
      <c r="X59" s="2936" t="s">
        <v>515</v>
      </c>
      <c r="Y59" s="3347">
        <v>294321</v>
      </c>
      <c r="Z59" s="3347">
        <v>283947</v>
      </c>
      <c r="AA59" s="3347">
        <v>135754</v>
      </c>
      <c r="AB59" s="3347">
        <v>44640</v>
      </c>
      <c r="AC59" s="3347">
        <v>308178</v>
      </c>
      <c r="AD59" s="3343">
        <v>89696</v>
      </c>
      <c r="AE59" s="3362"/>
      <c r="AF59" s="796"/>
      <c r="AG59" s="796"/>
      <c r="AH59" s="796"/>
      <c r="AI59" s="796"/>
      <c r="AJ59" s="796"/>
      <c r="AK59" s="796"/>
      <c r="AL59" s="796"/>
      <c r="AM59" s="796"/>
      <c r="AN59" s="3347">
        <f>+Y59+Z59</f>
        <v>578268</v>
      </c>
      <c r="AO59" s="3332">
        <v>43467</v>
      </c>
      <c r="AP59" s="3332">
        <v>43830</v>
      </c>
      <c r="AQ59" s="3335" t="s">
        <v>536</v>
      </c>
    </row>
    <row r="60" spans="1:43" ht="34.5" customHeight="1" x14ac:dyDescent="0.2">
      <c r="A60" s="3293"/>
      <c r="B60" s="3294"/>
      <c r="C60" s="3295"/>
      <c r="D60" s="3402"/>
      <c r="E60" s="3403"/>
      <c r="F60" s="3404"/>
      <c r="G60" s="38"/>
      <c r="H60" s="38"/>
      <c r="I60" s="38"/>
      <c r="J60" s="2608"/>
      <c r="K60" s="3308"/>
      <c r="L60" s="3308"/>
      <c r="M60" s="2746"/>
      <c r="N60" s="2951"/>
      <c r="O60" s="2951"/>
      <c r="P60" s="3308"/>
      <c r="Q60" s="3325"/>
      <c r="R60" s="3398"/>
      <c r="S60" s="3308"/>
      <c r="T60" s="3317"/>
      <c r="U60" s="3355"/>
      <c r="V60" s="2943"/>
      <c r="W60" s="3340"/>
      <c r="X60" s="2936"/>
      <c r="Y60" s="3348"/>
      <c r="Z60" s="3348"/>
      <c r="AA60" s="3348"/>
      <c r="AB60" s="3348"/>
      <c r="AC60" s="3348"/>
      <c r="AD60" s="3340"/>
      <c r="AE60" s="3363"/>
      <c r="AF60" s="800"/>
      <c r="AG60" s="800"/>
      <c r="AH60" s="800"/>
      <c r="AI60" s="800"/>
      <c r="AJ60" s="800"/>
      <c r="AK60" s="800"/>
      <c r="AL60" s="800"/>
      <c r="AM60" s="800"/>
      <c r="AN60" s="3348"/>
      <c r="AO60" s="3333"/>
      <c r="AP60" s="3333"/>
      <c r="AQ60" s="3336"/>
    </row>
    <row r="61" spans="1:43" ht="15.75" x14ac:dyDescent="0.2">
      <c r="A61" s="3293"/>
      <c r="B61" s="3294"/>
      <c r="C61" s="3295"/>
      <c r="D61" s="3402"/>
      <c r="E61" s="3403"/>
      <c r="F61" s="3404"/>
      <c r="G61" s="38"/>
      <c r="H61" s="38"/>
      <c r="I61" s="38"/>
      <c r="J61" s="2608"/>
      <c r="K61" s="3308"/>
      <c r="L61" s="3308"/>
      <c r="M61" s="2746"/>
      <c r="N61" s="2951"/>
      <c r="O61" s="2951"/>
      <c r="P61" s="3308"/>
      <c r="Q61" s="3325"/>
      <c r="R61" s="3398"/>
      <c r="S61" s="3308"/>
      <c r="T61" s="3317"/>
      <c r="U61" s="3355"/>
      <c r="V61" s="2943"/>
      <c r="W61" s="3361"/>
      <c r="X61" s="2936"/>
      <c r="Y61" s="3348"/>
      <c r="Z61" s="3348"/>
      <c r="AA61" s="3348"/>
      <c r="AB61" s="3348"/>
      <c r="AC61" s="3348"/>
      <c r="AD61" s="3340"/>
      <c r="AE61" s="3363"/>
      <c r="AF61" s="800"/>
      <c r="AG61" s="800"/>
      <c r="AH61" s="800"/>
      <c r="AI61" s="800"/>
      <c r="AJ61" s="800"/>
      <c r="AK61" s="800"/>
      <c r="AL61" s="800"/>
      <c r="AM61" s="800"/>
      <c r="AN61" s="3348"/>
      <c r="AO61" s="3333"/>
      <c r="AP61" s="3333"/>
      <c r="AQ61" s="3336"/>
    </row>
    <row r="62" spans="1:43" ht="38.25" customHeight="1" x14ac:dyDescent="0.2">
      <c r="A62" s="3293"/>
      <c r="B62" s="3294"/>
      <c r="C62" s="3295"/>
      <c r="D62" s="3402"/>
      <c r="E62" s="3403"/>
      <c r="F62" s="3404"/>
      <c r="G62" s="38"/>
      <c r="H62" s="38"/>
      <c r="I62" s="38"/>
      <c r="J62" s="2588">
        <v>51</v>
      </c>
      <c r="K62" s="3307" t="s">
        <v>606</v>
      </c>
      <c r="L62" s="3307" t="s">
        <v>607</v>
      </c>
      <c r="M62" s="2950">
        <v>1</v>
      </c>
      <c r="N62" s="2951"/>
      <c r="O62" s="2951"/>
      <c r="P62" s="3308"/>
      <c r="Q62" s="3324">
        <f>(V62)/R59</f>
        <v>0.19993290841999328</v>
      </c>
      <c r="R62" s="3398"/>
      <c r="S62" s="3308"/>
      <c r="T62" s="3317"/>
      <c r="U62" s="3354" t="s">
        <v>608</v>
      </c>
      <c r="V62" s="2943">
        <v>29800000</v>
      </c>
      <c r="W62" s="3343">
        <v>20</v>
      </c>
      <c r="X62" s="2936" t="s">
        <v>515</v>
      </c>
      <c r="Y62" s="3348"/>
      <c r="Z62" s="3348"/>
      <c r="AA62" s="3348"/>
      <c r="AB62" s="3348"/>
      <c r="AC62" s="3348"/>
      <c r="AD62" s="3340"/>
      <c r="AE62" s="3363"/>
      <c r="AF62" s="800"/>
      <c r="AG62" s="800"/>
      <c r="AH62" s="800"/>
      <c r="AI62" s="800"/>
      <c r="AJ62" s="800"/>
      <c r="AK62" s="800"/>
      <c r="AL62" s="800"/>
      <c r="AM62" s="800"/>
      <c r="AN62" s="3348"/>
      <c r="AO62" s="3333"/>
      <c r="AP62" s="3333"/>
      <c r="AQ62" s="3336"/>
    </row>
    <row r="63" spans="1:43" ht="34.5" customHeight="1" x14ac:dyDescent="0.2">
      <c r="A63" s="3293"/>
      <c r="B63" s="3294"/>
      <c r="C63" s="3295"/>
      <c r="D63" s="3402"/>
      <c r="E63" s="3403"/>
      <c r="F63" s="3404"/>
      <c r="G63" s="38"/>
      <c r="H63" s="38"/>
      <c r="I63" s="38"/>
      <c r="J63" s="2608"/>
      <c r="K63" s="3308"/>
      <c r="L63" s="3308"/>
      <c r="M63" s="2951"/>
      <c r="N63" s="2952"/>
      <c r="O63" s="2952"/>
      <c r="P63" s="3319"/>
      <c r="Q63" s="3325"/>
      <c r="R63" s="3398"/>
      <c r="S63" s="3308"/>
      <c r="T63" s="3317"/>
      <c r="U63" s="3356"/>
      <c r="V63" s="2943"/>
      <c r="W63" s="3361"/>
      <c r="X63" s="2936"/>
      <c r="Y63" s="3349"/>
      <c r="Z63" s="3349"/>
      <c r="AA63" s="3349"/>
      <c r="AB63" s="3349"/>
      <c r="AC63" s="3349"/>
      <c r="AD63" s="3361"/>
      <c r="AE63" s="3364"/>
      <c r="AF63" s="802"/>
      <c r="AG63" s="802"/>
      <c r="AH63" s="802"/>
      <c r="AI63" s="802"/>
      <c r="AJ63" s="802"/>
      <c r="AK63" s="802"/>
      <c r="AL63" s="802"/>
      <c r="AM63" s="802"/>
      <c r="AN63" s="3349"/>
      <c r="AO63" s="3334"/>
      <c r="AP63" s="3334"/>
      <c r="AQ63" s="3337"/>
    </row>
    <row r="64" spans="1:43" ht="15.75" x14ac:dyDescent="0.2">
      <c r="A64" s="3293"/>
      <c r="B64" s="3294"/>
      <c r="C64" s="3295"/>
      <c r="D64" s="3402"/>
      <c r="E64" s="3403"/>
      <c r="F64" s="3404"/>
      <c r="G64" s="81">
        <v>12</v>
      </c>
      <c r="H64" s="44" t="s">
        <v>609</v>
      </c>
      <c r="I64" s="44"/>
      <c r="J64" s="165"/>
      <c r="K64" s="158"/>
      <c r="L64" s="158"/>
      <c r="M64" s="165"/>
      <c r="N64" s="260"/>
      <c r="O64" s="192"/>
      <c r="P64" s="158"/>
      <c r="Q64" s="788"/>
      <c r="R64" s="789"/>
      <c r="S64" s="158"/>
      <c r="T64" s="158"/>
      <c r="U64" s="158"/>
      <c r="V64" s="823"/>
      <c r="W64" s="164"/>
      <c r="X64" s="159"/>
      <c r="Y64" s="790"/>
      <c r="Z64" s="790"/>
      <c r="AA64" s="165"/>
      <c r="AB64" s="165"/>
      <c r="AC64" s="165"/>
      <c r="AD64" s="165"/>
      <c r="AE64" s="165"/>
      <c r="AF64" s="165"/>
      <c r="AG64" s="165"/>
      <c r="AH64" s="165"/>
      <c r="AI64" s="165"/>
      <c r="AJ64" s="165"/>
      <c r="AK64" s="165"/>
      <c r="AL64" s="165"/>
      <c r="AM64" s="165"/>
      <c r="AN64" s="790"/>
      <c r="AO64" s="808"/>
      <c r="AP64" s="808"/>
      <c r="AQ64" s="809"/>
    </row>
    <row r="65" spans="1:43" ht="24" customHeight="1" x14ac:dyDescent="0.2">
      <c r="A65" s="3293"/>
      <c r="B65" s="3294"/>
      <c r="C65" s="3295"/>
      <c r="D65" s="3402"/>
      <c r="E65" s="3403"/>
      <c r="F65" s="3404"/>
      <c r="G65" s="3400"/>
      <c r="H65" s="3400"/>
      <c r="I65" s="3401"/>
      <c r="J65" s="2588">
        <v>52</v>
      </c>
      <c r="K65" s="3307" t="s">
        <v>610</v>
      </c>
      <c r="L65" s="3307" t="s">
        <v>611</v>
      </c>
      <c r="M65" s="3408">
        <v>3</v>
      </c>
      <c r="N65" s="826"/>
      <c r="O65" s="3301" t="s">
        <v>612</v>
      </c>
      <c r="P65" s="3307" t="s">
        <v>613</v>
      </c>
      <c r="Q65" s="3324">
        <f>(V65+V67+V69+V71+V73+V75)/R65</f>
        <v>1</v>
      </c>
      <c r="R65" s="3330">
        <f>SUM(V65:V76)</f>
        <v>119240000</v>
      </c>
      <c r="S65" s="3307" t="s">
        <v>614</v>
      </c>
      <c r="T65" s="3316" t="s">
        <v>615</v>
      </c>
      <c r="U65" s="3354" t="s">
        <v>616</v>
      </c>
      <c r="V65" s="3407">
        <v>25000000</v>
      </c>
      <c r="W65" s="2944">
        <v>20</v>
      </c>
      <c r="X65" s="2950" t="s">
        <v>515</v>
      </c>
      <c r="Y65" s="3347">
        <v>294321</v>
      </c>
      <c r="Z65" s="3347">
        <v>283947</v>
      </c>
      <c r="AA65" s="3347">
        <v>135754</v>
      </c>
      <c r="AB65" s="3347">
        <v>44640</v>
      </c>
      <c r="AC65" s="3347">
        <v>308178</v>
      </c>
      <c r="AD65" s="3343">
        <v>89696</v>
      </c>
      <c r="AE65" s="3343"/>
      <c r="AF65" s="740"/>
      <c r="AG65" s="740"/>
      <c r="AH65" s="740"/>
      <c r="AI65" s="740"/>
      <c r="AJ65" s="740"/>
      <c r="AK65" s="740"/>
      <c r="AL65" s="740"/>
      <c r="AM65" s="740"/>
      <c r="AN65" s="3347">
        <f>+Y65+Z65</f>
        <v>578268</v>
      </c>
      <c r="AO65" s="3332">
        <v>43467</v>
      </c>
      <c r="AP65" s="3332">
        <v>43830</v>
      </c>
      <c r="AQ65" s="3335" t="s">
        <v>536</v>
      </c>
    </row>
    <row r="66" spans="1:43" ht="30" customHeight="1" x14ac:dyDescent="0.2">
      <c r="A66" s="3293"/>
      <c r="B66" s="3294"/>
      <c r="C66" s="3295"/>
      <c r="D66" s="3402"/>
      <c r="E66" s="3403"/>
      <c r="F66" s="3404"/>
      <c r="G66" s="3403"/>
      <c r="H66" s="3403"/>
      <c r="I66" s="3404"/>
      <c r="J66" s="2608"/>
      <c r="K66" s="3308"/>
      <c r="L66" s="3308"/>
      <c r="M66" s="3329"/>
      <c r="N66" s="738"/>
      <c r="O66" s="3302"/>
      <c r="P66" s="3308"/>
      <c r="Q66" s="3325"/>
      <c r="R66" s="3331"/>
      <c r="S66" s="3308"/>
      <c r="T66" s="3317"/>
      <c r="U66" s="3356"/>
      <c r="V66" s="3407"/>
      <c r="W66" s="2944"/>
      <c r="X66" s="2951"/>
      <c r="Y66" s="3348"/>
      <c r="Z66" s="3348"/>
      <c r="AA66" s="3348"/>
      <c r="AB66" s="3348"/>
      <c r="AC66" s="3348"/>
      <c r="AD66" s="3340"/>
      <c r="AE66" s="3340"/>
      <c r="AF66" s="827"/>
      <c r="AG66" s="827"/>
      <c r="AH66" s="827"/>
      <c r="AI66" s="827"/>
      <c r="AJ66" s="827"/>
      <c r="AK66" s="827"/>
      <c r="AL66" s="827"/>
      <c r="AM66" s="827"/>
      <c r="AN66" s="3348"/>
      <c r="AO66" s="3333"/>
      <c r="AP66" s="3333"/>
      <c r="AQ66" s="3336"/>
    </row>
    <row r="67" spans="1:43" ht="21" customHeight="1" x14ac:dyDescent="0.2">
      <c r="A67" s="3293"/>
      <c r="B67" s="3294"/>
      <c r="C67" s="3295"/>
      <c r="D67" s="3402"/>
      <c r="E67" s="3403"/>
      <c r="F67" s="3404"/>
      <c r="G67" s="3403"/>
      <c r="H67" s="3403"/>
      <c r="I67" s="3404"/>
      <c r="J67" s="2608"/>
      <c r="K67" s="3308"/>
      <c r="L67" s="3308"/>
      <c r="M67" s="3329"/>
      <c r="N67" s="738"/>
      <c r="O67" s="3302"/>
      <c r="P67" s="3308"/>
      <c r="Q67" s="3325"/>
      <c r="R67" s="3331"/>
      <c r="S67" s="3308"/>
      <c r="T67" s="3317"/>
      <c r="U67" s="3354" t="s">
        <v>617</v>
      </c>
      <c r="V67" s="3407">
        <v>25000000</v>
      </c>
      <c r="W67" s="2944">
        <v>20</v>
      </c>
      <c r="X67" s="2951"/>
      <c r="Y67" s="3348"/>
      <c r="Z67" s="3348"/>
      <c r="AA67" s="3348"/>
      <c r="AB67" s="3348"/>
      <c r="AC67" s="3348"/>
      <c r="AD67" s="3340"/>
      <c r="AE67" s="3340"/>
      <c r="AF67" s="827"/>
      <c r="AG67" s="827"/>
      <c r="AH67" s="827"/>
      <c r="AI67" s="827"/>
      <c r="AJ67" s="827"/>
      <c r="AK67" s="827"/>
      <c r="AL67" s="827"/>
      <c r="AM67" s="827"/>
      <c r="AN67" s="3348"/>
      <c r="AO67" s="3333"/>
      <c r="AP67" s="3333"/>
      <c r="AQ67" s="3336"/>
    </row>
    <row r="68" spans="1:43" ht="36" customHeight="1" x14ac:dyDescent="0.2">
      <c r="A68" s="3293"/>
      <c r="B68" s="3294"/>
      <c r="C68" s="3295"/>
      <c r="D68" s="3402"/>
      <c r="E68" s="3403"/>
      <c r="F68" s="3404"/>
      <c r="G68" s="3403"/>
      <c r="H68" s="3403"/>
      <c r="I68" s="3404"/>
      <c r="J68" s="2608"/>
      <c r="K68" s="3308"/>
      <c r="L68" s="3308"/>
      <c r="M68" s="3329"/>
      <c r="N68" s="738"/>
      <c r="O68" s="3302"/>
      <c r="P68" s="3308"/>
      <c r="Q68" s="3325"/>
      <c r="R68" s="3331"/>
      <c r="S68" s="3308"/>
      <c r="T68" s="3317"/>
      <c r="U68" s="3356"/>
      <c r="V68" s="3407"/>
      <c r="W68" s="2944"/>
      <c r="X68" s="2951"/>
      <c r="Y68" s="3348"/>
      <c r="Z68" s="3348"/>
      <c r="AA68" s="3348"/>
      <c r="AB68" s="3348"/>
      <c r="AC68" s="3348"/>
      <c r="AD68" s="3340"/>
      <c r="AE68" s="3340"/>
      <c r="AF68" s="827"/>
      <c r="AG68" s="827"/>
      <c r="AH68" s="827"/>
      <c r="AI68" s="827"/>
      <c r="AJ68" s="827"/>
      <c r="AK68" s="827"/>
      <c r="AL68" s="827"/>
      <c r="AM68" s="827"/>
      <c r="AN68" s="3348"/>
      <c r="AO68" s="3333"/>
      <c r="AP68" s="3333"/>
      <c r="AQ68" s="3336"/>
    </row>
    <row r="69" spans="1:43" ht="30" customHeight="1" x14ac:dyDescent="0.2">
      <c r="A69" s="3293"/>
      <c r="B69" s="3294"/>
      <c r="C69" s="3295"/>
      <c r="D69" s="3402"/>
      <c r="E69" s="3403"/>
      <c r="F69" s="3404"/>
      <c r="G69" s="3403"/>
      <c r="H69" s="3403"/>
      <c r="I69" s="3404"/>
      <c r="J69" s="2608"/>
      <c r="K69" s="3308"/>
      <c r="L69" s="3308"/>
      <c r="M69" s="3329"/>
      <c r="N69" s="738" t="s">
        <v>618</v>
      </c>
      <c r="O69" s="3302"/>
      <c r="P69" s="3308"/>
      <c r="Q69" s="3325"/>
      <c r="R69" s="3331"/>
      <c r="S69" s="3308"/>
      <c r="T69" s="3317"/>
      <c r="U69" s="3354" t="s">
        <v>619</v>
      </c>
      <c r="V69" s="3407">
        <v>30000000</v>
      </c>
      <c r="W69" s="2944">
        <v>20</v>
      </c>
      <c r="X69" s="2951"/>
      <c r="Y69" s="3348"/>
      <c r="Z69" s="3348"/>
      <c r="AA69" s="3348"/>
      <c r="AB69" s="3348"/>
      <c r="AC69" s="3348"/>
      <c r="AD69" s="3340"/>
      <c r="AE69" s="3340"/>
      <c r="AF69" s="827"/>
      <c r="AG69" s="827"/>
      <c r="AH69" s="827"/>
      <c r="AI69" s="827"/>
      <c r="AJ69" s="827"/>
      <c r="AK69" s="827"/>
      <c r="AL69" s="827"/>
      <c r="AM69" s="827"/>
      <c r="AN69" s="3348"/>
      <c r="AO69" s="3333"/>
      <c r="AP69" s="3333"/>
      <c r="AQ69" s="3336"/>
    </row>
    <row r="70" spans="1:43" ht="22.5" customHeight="1" x14ac:dyDescent="0.2">
      <c r="A70" s="3293"/>
      <c r="B70" s="3294"/>
      <c r="C70" s="3295"/>
      <c r="D70" s="3402"/>
      <c r="E70" s="3403"/>
      <c r="F70" s="3404"/>
      <c r="G70" s="3403"/>
      <c r="H70" s="3403"/>
      <c r="I70" s="3404"/>
      <c r="J70" s="2608"/>
      <c r="K70" s="3308"/>
      <c r="L70" s="3308"/>
      <c r="M70" s="3329"/>
      <c r="N70" s="738"/>
      <c r="O70" s="3302"/>
      <c r="P70" s="3308"/>
      <c r="Q70" s="3325"/>
      <c r="R70" s="3331"/>
      <c r="S70" s="3308"/>
      <c r="T70" s="3317"/>
      <c r="U70" s="3356"/>
      <c r="V70" s="3407"/>
      <c r="W70" s="2944"/>
      <c r="X70" s="2951"/>
      <c r="Y70" s="3348"/>
      <c r="Z70" s="3348"/>
      <c r="AA70" s="3348"/>
      <c r="AB70" s="3348"/>
      <c r="AC70" s="3348"/>
      <c r="AD70" s="3340"/>
      <c r="AE70" s="3340"/>
      <c r="AF70" s="827"/>
      <c r="AG70" s="827"/>
      <c r="AH70" s="827"/>
      <c r="AI70" s="827"/>
      <c r="AJ70" s="827"/>
      <c r="AK70" s="827"/>
      <c r="AL70" s="827"/>
      <c r="AM70" s="827"/>
      <c r="AN70" s="3348"/>
      <c r="AO70" s="3333"/>
      <c r="AP70" s="3333"/>
      <c r="AQ70" s="3336"/>
    </row>
    <row r="71" spans="1:43" ht="27.75" customHeight="1" x14ac:dyDescent="0.2">
      <c r="A71" s="3293"/>
      <c r="B71" s="3294"/>
      <c r="C71" s="3295"/>
      <c r="D71" s="3402"/>
      <c r="E71" s="3403"/>
      <c r="F71" s="3404"/>
      <c r="G71" s="3403"/>
      <c r="H71" s="3403"/>
      <c r="I71" s="3404"/>
      <c r="J71" s="2608"/>
      <c r="K71" s="3308"/>
      <c r="L71" s="3308"/>
      <c r="M71" s="3329"/>
      <c r="N71" s="738"/>
      <c r="O71" s="3302"/>
      <c r="P71" s="3308"/>
      <c r="Q71" s="3325"/>
      <c r="R71" s="3331"/>
      <c r="S71" s="3308"/>
      <c r="T71" s="3317"/>
      <c r="U71" s="3354" t="s">
        <v>620</v>
      </c>
      <c r="V71" s="3407">
        <v>12000000</v>
      </c>
      <c r="W71" s="2944">
        <v>20</v>
      </c>
      <c r="X71" s="2951"/>
      <c r="Y71" s="3348"/>
      <c r="Z71" s="3348"/>
      <c r="AA71" s="3348"/>
      <c r="AB71" s="3348"/>
      <c r="AC71" s="3348"/>
      <c r="AD71" s="3340"/>
      <c r="AE71" s="3340"/>
      <c r="AF71" s="827"/>
      <c r="AG71" s="827"/>
      <c r="AH71" s="827"/>
      <c r="AI71" s="827"/>
      <c r="AJ71" s="827"/>
      <c r="AK71" s="827"/>
      <c r="AL71" s="827"/>
      <c r="AM71" s="827"/>
      <c r="AN71" s="3348"/>
      <c r="AO71" s="3333"/>
      <c r="AP71" s="3333"/>
      <c r="AQ71" s="3336"/>
    </row>
    <row r="72" spans="1:43" ht="30" customHeight="1" x14ac:dyDescent="0.2">
      <c r="A72" s="3293"/>
      <c r="B72" s="3294"/>
      <c r="C72" s="3295"/>
      <c r="D72" s="3402"/>
      <c r="E72" s="3403"/>
      <c r="F72" s="3404"/>
      <c r="G72" s="3403"/>
      <c r="H72" s="3403"/>
      <c r="I72" s="3404"/>
      <c r="J72" s="2608"/>
      <c r="K72" s="3308"/>
      <c r="L72" s="3308"/>
      <c r="M72" s="3329"/>
      <c r="N72" s="738"/>
      <c r="O72" s="3302"/>
      <c r="P72" s="3308"/>
      <c r="Q72" s="3325"/>
      <c r="R72" s="3331"/>
      <c r="S72" s="3308"/>
      <c r="T72" s="3317"/>
      <c r="U72" s="3356"/>
      <c r="V72" s="3407"/>
      <c r="W72" s="2944"/>
      <c r="X72" s="2951"/>
      <c r="Y72" s="3348"/>
      <c r="Z72" s="3348"/>
      <c r="AA72" s="3348"/>
      <c r="AB72" s="3348"/>
      <c r="AC72" s="3348"/>
      <c r="AD72" s="3340"/>
      <c r="AE72" s="3340"/>
      <c r="AF72" s="827"/>
      <c r="AG72" s="827"/>
      <c r="AH72" s="827"/>
      <c r="AI72" s="827"/>
      <c r="AJ72" s="827"/>
      <c r="AK72" s="827"/>
      <c r="AL72" s="827"/>
      <c r="AM72" s="827"/>
      <c r="AN72" s="3348"/>
      <c r="AO72" s="3333"/>
      <c r="AP72" s="3333"/>
      <c r="AQ72" s="3336"/>
    </row>
    <row r="73" spans="1:43" ht="36" customHeight="1" x14ac:dyDescent="0.2">
      <c r="A73" s="3293"/>
      <c r="B73" s="3294"/>
      <c r="C73" s="3295"/>
      <c r="D73" s="3402"/>
      <c r="E73" s="3403"/>
      <c r="F73" s="3404"/>
      <c r="G73" s="3403"/>
      <c r="H73" s="3403"/>
      <c r="I73" s="3404"/>
      <c r="J73" s="2608"/>
      <c r="K73" s="3308"/>
      <c r="L73" s="3308"/>
      <c r="M73" s="3329"/>
      <c r="N73" s="738"/>
      <c r="O73" s="3302"/>
      <c r="P73" s="3308"/>
      <c r="Q73" s="3325"/>
      <c r="R73" s="3331"/>
      <c r="S73" s="3308"/>
      <c r="T73" s="3317"/>
      <c r="U73" s="3354" t="s">
        <v>621</v>
      </c>
      <c r="V73" s="3407">
        <v>4740000</v>
      </c>
      <c r="W73" s="2944">
        <v>20</v>
      </c>
      <c r="X73" s="2951"/>
      <c r="Y73" s="3348"/>
      <c r="Z73" s="3348"/>
      <c r="AA73" s="3348"/>
      <c r="AB73" s="3348"/>
      <c r="AC73" s="3348"/>
      <c r="AD73" s="3340"/>
      <c r="AE73" s="3340"/>
      <c r="AF73" s="827"/>
      <c r="AG73" s="827"/>
      <c r="AH73" s="827"/>
      <c r="AI73" s="827"/>
      <c r="AJ73" s="827"/>
      <c r="AK73" s="827"/>
      <c r="AL73" s="827"/>
      <c r="AM73" s="827"/>
      <c r="AN73" s="3348"/>
      <c r="AO73" s="3333"/>
      <c r="AP73" s="3333"/>
      <c r="AQ73" s="3336"/>
    </row>
    <row r="74" spans="1:43" ht="33.75" customHeight="1" x14ac:dyDescent="0.2">
      <c r="A74" s="3293"/>
      <c r="B74" s="3294"/>
      <c r="C74" s="3295"/>
      <c r="D74" s="3402"/>
      <c r="E74" s="3403"/>
      <c r="F74" s="3404"/>
      <c r="G74" s="3403"/>
      <c r="H74" s="3403"/>
      <c r="I74" s="3404"/>
      <c r="J74" s="2608"/>
      <c r="K74" s="3308"/>
      <c r="L74" s="3308"/>
      <c r="M74" s="3329"/>
      <c r="N74" s="738"/>
      <c r="O74" s="3302"/>
      <c r="P74" s="3308"/>
      <c r="Q74" s="3325"/>
      <c r="R74" s="3331"/>
      <c r="S74" s="3308"/>
      <c r="T74" s="3317"/>
      <c r="U74" s="3356"/>
      <c r="V74" s="3407"/>
      <c r="W74" s="2944"/>
      <c r="X74" s="2951"/>
      <c r="Y74" s="3348"/>
      <c r="Z74" s="3348"/>
      <c r="AA74" s="3348"/>
      <c r="AB74" s="3348"/>
      <c r="AC74" s="3348"/>
      <c r="AD74" s="3340"/>
      <c r="AE74" s="3340"/>
      <c r="AF74" s="827"/>
      <c r="AG74" s="827"/>
      <c r="AH74" s="827"/>
      <c r="AI74" s="827"/>
      <c r="AJ74" s="827"/>
      <c r="AK74" s="827"/>
      <c r="AL74" s="827"/>
      <c r="AM74" s="827"/>
      <c r="AN74" s="3348"/>
      <c r="AO74" s="3333"/>
      <c r="AP74" s="3333"/>
      <c r="AQ74" s="3336"/>
    </row>
    <row r="75" spans="1:43" ht="27.75" customHeight="1" x14ac:dyDescent="0.2">
      <c r="A75" s="3293"/>
      <c r="B75" s="3294"/>
      <c r="C75" s="3295"/>
      <c r="D75" s="3402"/>
      <c r="E75" s="3403"/>
      <c r="F75" s="3404"/>
      <c r="G75" s="3403"/>
      <c r="H75" s="3403"/>
      <c r="I75" s="3404"/>
      <c r="J75" s="2608"/>
      <c r="K75" s="3308"/>
      <c r="L75" s="3308"/>
      <c r="M75" s="3329"/>
      <c r="N75" s="738"/>
      <c r="O75" s="3302"/>
      <c r="P75" s="3308"/>
      <c r="Q75" s="3325"/>
      <c r="R75" s="3331"/>
      <c r="S75" s="3308"/>
      <c r="T75" s="3317"/>
      <c r="U75" s="3354" t="s">
        <v>622</v>
      </c>
      <c r="V75" s="3407">
        <v>22500000</v>
      </c>
      <c r="W75" s="2944">
        <v>20</v>
      </c>
      <c r="X75" s="2951"/>
      <c r="Y75" s="3348"/>
      <c r="Z75" s="3348"/>
      <c r="AA75" s="3348"/>
      <c r="AB75" s="3348"/>
      <c r="AC75" s="3348"/>
      <c r="AD75" s="3340"/>
      <c r="AE75" s="3340"/>
      <c r="AF75" s="827"/>
      <c r="AG75" s="827"/>
      <c r="AH75" s="827"/>
      <c r="AI75" s="827"/>
      <c r="AJ75" s="827"/>
      <c r="AK75" s="827"/>
      <c r="AL75" s="827"/>
      <c r="AM75" s="827"/>
      <c r="AN75" s="3348"/>
      <c r="AO75" s="3333"/>
      <c r="AP75" s="3333"/>
      <c r="AQ75" s="3336"/>
    </row>
    <row r="76" spans="1:43" ht="27.75" customHeight="1" x14ac:dyDescent="0.2">
      <c r="A76" s="3293"/>
      <c r="B76" s="3294"/>
      <c r="C76" s="3295"/>
      <c r="D76" s="3402"/>
      <c r="E76" s="3403"/>
      <c r="F76" s="3404"/>
      <c r="G76" s="3405"/>
      <c r="H76" s="3405"/>
      <c r="I76" s="3406"/>
      <c r="J76" s="2609"/>
      <c r="K76" s="3319"/>
      <c r="L76" s="3319"/>
      <c r="M76" s="3409"/>
      <c r="N76" s="742"/>
      <c r="O76" s="3304"/>
      <c r="P76" s="3319"/>
      <c r="Q76" s="3394"/>
      <c r="R76" s="3395"/>
      <c r="S76" s="3319"/>
      <c r="T76" s="3318"/>
      <c r="U76" s="3356"/>
      <c r="V76" s="3407"/>
      <c r="W76" s="2944"/>
      <c r="X76" s="2952"/>
      <c r="Y76" s="3349"/>
      <c r="Z76" s="3349"/>
      <c r="AA76" s="3349"/>
      <c r="AB76" s="3349"/>
      <c r="AC76" s="3349"/>
      <c r="AD76" s="3361"/>
      <c r="AE76" s="3361"/>
      <c r="AF76" s="741"/>
      <c r="AG76" s="741"/>
      <c r="AH76" s="741"/>
      <c r="AI76" s="741"/>
      <c r="AJ76" s="741"/>
      <c r="AK76" s="741"/>
      <c r="AL76" s="741"/>
      <c r="AM76" s="741"/>
      <c r="AN76" s="3349"/>
      <c r="AO76" s="3334"/>
      <c r="AP76" s="3334"/>
      <c r="AQ76" s="3337"/>
    </row>
    <row r="77" spans="1:43" ht="15.75" x14ac:dyDescent="0.2">
      <c r="A77" s="3293"/>
      <c r="B77" s="3294"/>
      <c r="C77" s="3295"/>
      <c r="D77" s="3402"/>
      <c r="E77" s="3403"/>
      <c r="F77" s="3404"/>
      <c r="G77" s="81">
        <v>13</v>
      </c>
      <c r="H77" s="44" t="s">
        <v>623</v>
      </c>
      <c r="I77" s="44"/>
      <c r="J77" s="828"/>
      <c r="K77" s="829"/>
      <c r="L77" s="829"/>
      <c r="M77" s="828"/>
      <c r="N77" s="830"/>
      <c r="O77" s="831"/>
      <c r="P77" s="829"/>
      <c r="Q77" s="816"/>
      <c r="R77" s="832"/>
      <c r="S77" s="829"/>
      <c r="T77" s="829"/>
      <c r="U77" s="833"/>
      <c r="V77" s="806"/>
      <c r="W77" s="818"/>
      <c r="X77" s="819"/>
      <c r="Y77" s="834"/>
      <c r="Z77" s="834"/>
      <c r="AA77" s="828"/>
      <c r="AB77" s="828"/>
      <c r="AC77" s="828"/>
      <c r="AD77" s="828"/>
      <c r="AE77" s="828"/>
      <c r="AF77" s="828"/>
      <c r="AG77" s="828"/>
      <c r="AH77" s="828"/>
      <c r="AI77" s="828"/>
      <c r="AJ77" s="828"/>
      <c r="AK77" s="828"/>
      <c r="AL77" s="828"/>
      <c r="AM77" s="828"/>
      <c r="AN77" s="834"/>
      <c r="AO77" s="835"/>
      <c r="AP77" s="835"/>
      <c r="AQ77" s="836"/>
    </row>
    <row r="78" spans="1:43" ht="35.25" customHeight="1" x14ac:dyDescent="0.2">
      <c r="A78" s="3293"/>
      <c r="B78" s="3294"/>
      <c r="C78" s="3295"/>
      <c r="D78" s="3402"/>
      <c r="E78" s="3403"/>
      <c r="F78" s="3404"/>
      <c r="G78" s="3399"/>
      <c r="H78" s="3400"/>
      <c r="I78" s="3401"/>
      <c r="J78" s="2608">
        <v>53</v>
      </c>
      <c r="K78" s="3307" t="s">
        <v>624</v>
      </c>
      <c r="L78" s="3307" t="s">
        <v>625</v>
      </c>
      <c r="M78" s="2950">
        <v>1</v>
      </c>
      <c r="N78" s="2950" t="s">
        <v>626</v>
      </c>
      <c r="O78" s="2950" t="s">
        <v>627</v>
      </c>
      <c r="P78" s="3307" t="s">
        <v>628</v>
      </c>
      <c r="Q78" s="3324">
        <f>SUM(V78:V83)/R78</f>
        <v>1</v>
      </c>
      <c r="R78" s="2940">
        <f>SUM(V78:V83)</f>
        <v>1431890390</v>
      </c>
      <c r="S78" s="3307" t="s">
        <v>629</v>
      </c>
      <c r="T78" s="3396" t="s">
        <v>630</v>
      </c>
      <c r="U78" s="3397" t="s">
        <v>631</v>
      </c>
      <c r="V78" s="803">
        <v>248604326</v>
      </c>
      <c r="W78" s="837">
        <v>20</v>
      </c>
      <c r="X78" s="799" t="s">
        <v>72</v>
      </c>
      <c r="Y78" s="3352">
        <v>294321</v>
      </c>
      <c r="Z78" s="3352">
        <v>283947</v>
      </c>
      <c r="AA78" s="3352">
        <v>135754</v>
      </c>
      <c r="AB78" s="3352">
        <v>44640</v>
      </c>
      <c r="AC78" s="3352">
        <v>308178</v>
      </c>
      <c r="AD78" s="3343">
        <v>89696</v>
      </c>
      <c r="AE78" s="3343"/>
      <c r="AF78" s="740"/>
      <c r="AG78" s="740"/>
      <c r="AH78" s="740"/>
      <c r="AI78" s="740"/>
      <c r="AJ78" s="740"/>
      <c r="AK78" s="740"/>
      <c r="AL78" s="740"/>
      <c r="AM78" s="740"/>
      <c r="AN78" s="3347">
        <f>+Y78+Z78</f>
        <v>578268</v>
      </c>
      <c r="AO78" s="3332">
        <v>43467</v>
      </c>
      <c r="AP78" s="3332">
        <v>43830</v>
      </c>
      <c r="AQ78" s="3335" t="s">
        <v>536</v>
      </c>
    </row>
    <row r="79" spans="1:43" ht="35.25" customHeight="1" x14ac:dyDescent="0.2">
      <c r="A79" s="3293"/>
      <c r="B79" s="3294"/>
      <c r="C79" s="3295"/>
      <c r="D79" s="3402"/>
      <c r="E79" s="3403"/>
      <c r="F79" s="3404"/>
      <c r="G79" s="3402"/>
      <c r="H79" s="3403"/>
      <c r="I79" s="3404"/>
      <c r="J79" s="2608"/>
      <c r="K79" s="3308"/>
      <c r="L79" s="3308"/>
      <c r="M79" s="2951"/>
      <c r="N79" s="2951"/>
      <c r="O79" s="2951"/>
      <c r="P79" s="3308"/>
      <c r="Q79" s="3325"/>
      <c r="R79" s="3398"/>
      <c r="S79" s="3308"/>
      <c r="T79" s="3387"/>
      <c r="U79" s="3397"/>
      <c r="V79" s="803">
        <f>581320553-V82</f>
        <v>413395674</v>
      </c>
      <c r="W79" s="837">
        <v>52</v>
      </c>
      <c r="X79" s="799" t="s">
        <v>632</v>
      </c>
      <c r="Y79" s="3353"/>
      <c r="Z79" s="3353"/>
      <c r="AA79" s="3353"/>
      <c r="AB79" s="3353"/>
      <c r="AC79" s="3353"/>
      <c r="AD79" s="3340"/>
      <c r="AE79" s="3340"/>
      <c r="AF79" s="827"/>
      <c r="AG79" s="827"/>
      <c r="AH79" s="827"/>
      <c r="AI79" s="827"/>
      <c r="AJ79" s="827"/>
      <c r="AK79" s="827"/>
      <c r="AL79" s="827"/>
      <c r="AM79" s="827"/>
      <c r="AN79" s="3348"/>
      <c r="AO79" s="3333"/>
      <c r="AP79" s="3333"/>
      <c r="AQ79" s="3377"/>
    </row>
    <row r="80" spans="1:43" ht="35.25" customHeight="1" x14ac:dyDescent="0.2">
      <c r="A80" s="3293"/>
      <c r="B80" s="3294"/>
      <c r="C80" s="3295"/>
      <c r="D80" s="3402"/>
      <c r="E80" s="3403"/>
      <c r="F80" s="3404"/>
      <c r="G80" s="3402"/>
      <c r="H80" s="3403"/>
      <c r="I80" s="3404"/>
      <c r="J80" s="2608"/>
      <c r="K80" s="3308"/>
      <c r="L80" s="3308"/>
      <c r="M80" s="2951"/>
      <c r="N80" s="2951"/>
      <c r="O80" s="2951"/>
      <c r="P80" s="3308"/>
      <c r="Q80" s="3325"/>
      <c r="R80" s="3398"/>
      <c r="S80" s="3308"/>
      <c r="T80" s="3387"/>
      <c r="U80" s="3397"/>
      <c r="V80" s="803">
        <f>0+400000000+128998611</f>
        <v>528998611</v>
      </c>
      <c r="W80" s="838">
        <v>88</v>
      </c>
      <c r="X80" s="839" t="s">
        <v>140</v>
      </c>
      <c r="Y80" s="3353"/>
      <c r="Z80" s="3353"/>
      <c r="AA80" s="3353"/>
      <c r="AB80" s="3353"/>
      <c r="AC80" s="3353"/>
      <c r="AD80" s="3340"/>
      <c r="AE80" s="3340"/>
      <c r="AF80" s="827"/>
      <c r="AG80" s="827"/>
      <c r="AH80" s="827"/>
      <c r="AI80" s="827"/>
      <c r="AJ80" s="827"/>
      <c r="AK80" s="827"/>
      <c r="AL80" s="827"/>
      <c r="AM80" s="827"/>
      <c r="AN80" s="3348"/>
      <c r="AO80" s="3333"/>
      <c r="AP80" s="3333"/>
      <c r="AQ80" s="3377"/>
    </row>
    <row r="81" spans="1:43" ht="35.25" customHeight="1" x14ac:dyDescent="0.2">
      <c r="A81" s="3293"/>
      <c r="B81" s="3294"/>
      <c r="C81" s="3295"/>
      <c r="D81" s="3402"/>
      <c r="E81" s="3403"/>
      <c r="F81" s="3404"/>
      <c r="G81" s="3402"/>
      <c r="H81" s="3403"/>
      <c r="I81" s="3404"/>
      <c r="J81" s="2608"/>
      <c r="K81" s="3308"/>
      <c r="L81" s="3308"/>
      <c r="M81" s="2951"/>
      <c r="N81" s="2951"/>
      <c r="O81" s="2951"/>
      <c r="P81" s="3308"/>
      <c r="Q81" s="3325"/>
      <c r="R81" s="3398"/>
      <c r="S81" s="3308"/>
      <c r="T81" s="3387"/>
      <c r="U81" s="3397"/>
      <c r="V81" s="803">
        <f>0+72966900</f>
        <v>72966900</v>
      </c>
      <c r="W81" s="838">
        <v>94</v>
      </c>
      <c r="X81" s="838" t="s">
        <v>633</v>
      </c>
      <c r="Y81" s="3353"/>
      <c r="Z81" s="3353"/>
      <c r="AA81" s="3353"/>
      <c r="AB81" s="3353"/>
      <c r="AC81" s="3353"/>
      <c r="AD81" s="3340"/>
      <c r="AE81" s="3340"/>
      <c r="AF81" s="827"/>
      <c r="AG81" s="827"/>
      <c r="AH81" s="827"/>
      <c r="AI81" s="827"/>
      <c r="AJ81" s="827"/>
      <c r="AK81" s="827"/>
      <c r="AL81" s="827"/>
      <c r="AM81" s="827"/>
      <c r="AN81" s="3348"/>
      <c r="AO81" s="3333"/>
      <c r="AP81" s="3333"/>
      <c r="AQ81" s="3336"/>
    </row>
    <row r="82" spans="1:43" ht="35.25" customHeight="1" x14ac:dyDescent="0.2">
      <c r="A82" s="3293"/>
      <c r="B82" s="3294"/>
      <c r="C82" s="3295"/>
      <c r="D82" s="3402"/>
      <c r="E82" s="3403"/>
      <c r="F82" s="3404"/>
      <c r="G82" s="3402"/>
      <c r="H82" s="3403"/>
      <c r="I82" s="3404"/>
      <c r="J82" s="2608"/>
      <c r="K82" s="3308"/>
      <c r="L82" s="3308"/>
      <c r="M82" s="2951"/>
      <c r="N82" s="2951"/>
      <c r="O82" s="2951"/>
      <c r="P82" s="3308"/>
      <c r="Q82" s="3325"/>
      <c r="R82" s="3398"/>
      <c r="S82" s="3308"/>
      <c r="T82" s="3317"/>
      <c r="U82" s="3355" t="s">
        <v>634</v>
      </c>
      <c r="V82" s="3411">
        <v>167924879</v>
      </c>
      <c r="W82" s="3413">
        <v>52</v>
      </c>
      <c r="X82" s="3415" t="s">
        <v>632</v>
      </c>
      <c r="Y82" s="3353"/>
      <c r="Z82" s="3353"/>
      <c r="AA82" s="3353"/>
      <c r="AB82" s="3353"/>
      <c r="AC82" s="3353"/>
      <c r="AD82" s="3340"/>
      <c r="AE82" s="3340"/>
      <c r="AF82" s="827"/>
      <c r="AG82" s="827"/>
      <c r="AH82" s="827"/>
      <c r="AI82" s="827"/>
      <c r="AJ82" s="827"/>
      <c r="AK82" s="827"/>
      <c r="AL82" s="827"/>
      <c r="AM82" s="827"/>
      <c r="AN82" s="3348"/>
      <c r="AO82" s="3333"/>
      <c r="AP82" s="3333"/>
      <c r="AQ82" s="3336"/>
    </row>
    <row r="83" spans="1:43" ht="35.25" customHeight="1" thickBot="1" x14ac:dyDescent="0.25">
      <c r="A83" s="3293"/>
      <c r="B83" s="3294"/>
      <c r="C83" s="3295"/>
      <c r="D83" s="3402"/>
      <c r="E83" s="3403"/>
      <c r="F83" s="3404"/>
      <c r="G83" s="3402"/>
      <c r="H83" s="3403"/>
      <c r="I83" s="3404"/>
      <c r="J83" s="2608"/>
      <c r="K83" s="3308"/>
      <c r="L83" s="3308"/>
      <c r="M83" s="2951"/>
      <c r="N83" s="2951"/>
      <c r="O83" s="2951"/>
      <c r="P83" s="3308"/>
      <c r="Q83" s="3325"/>
      <c r="R83" s="3398"/>
      <c r="S83" s="3308"/>
      <c r="T83" s="3317"/>
      <c r="U83" s="3355"/>
      <c r="V83" s="3412"/>
      <c r="W83" s="3414"/>
      <c r="X83" s="3359"/>
      <c r="Y83" s="3353"/>
      <c r="Z83" s="3353"/>
      <c r="AA83" s="3353"/>
      <c r="AB83" s="3353"/>
      <c r="AC83" s="3353"/>
      <c r="AD83" s="3340"/>
      <c r="AE83" s="3340"/>
      <c r="AF83" s="827"/>
      <c r="AG83" s="827"/>
      <c r="AH83" s="827"/>
      <c r="AI83" s="827"/>
      <c r="AJ83" s="827"/>
      <c r="AK83" s="827"/>
      <c r="AL83" s="827"/>
      <c r="AM83" s="827"/>
      <c r="AN83" s="3348"/>
      <c r="AO83" s="3333"/>
      <c r="AP83" s="3333"/>
      <c r="AQ83" s="3336"/>
    </row>
    <row r="84" spans="1:43" ht="27.75" customHeight="1" thickBot="1" x14ac:dyDescent="0.25">
      <c r="A84" s="840"/>
      <c r="B84" s="349"/>
      <c r="C84" s="349"/>
      <c r="D84" s="349"/>
      <c r="E84" s="349"/>
      <c r="F84" s="349"/>
      <c r="G84" s="349"/>
      <c r="H84" s="349"/>
      <c r="I84" s="349"/>
      <c r="J84" s="349"/>
      <c r="K84" s="339"/>
      <c r="L84" s="340"/>
      <c r="M84" s="841"/>
      <c r="N84" s="841"/>
      <c r="O84" s="342"/>
      <c r="P84" s="842" t="s">
        <v>88</v>
      </c>
      <c r="Q84" s="843"/>
      <c r="R84" s="844">
        <f>R78+R65+R59+R48+R31+R21+R12</f>
        <v>2910880390</v>
      </c>
      <c r="S84" s="345"/>
      <c r="T84" s="339"/>
      <c r="U84" s="346"/>
      <c r="V84" s="845">
        <f>SUM(V12:V83)</f>
        <v>2910880390</v>
      </c>
      <c r="W84" s="846"/>
      <c r="X84" s="847"/>
      <c r="Y84" s="848"/>
      <c r="Z84" s="848"/>
      <c r="AA84" s="349"/>
      <c r="AB84" s="349"/>
      <c r="AC84" s="349"/>
      <c r="AD84" s="349"/>
      <c r="AE84" s="349"/>
      <c r="AF84" s="349"/>
      <c r="AG84" s="349"/>
      <c r="AH84" s="349"/>
      <c r="AI84" s="349"/>
      <c r="AJ84" s="349"/>
      <c r="AK84" s="349"/>
      <c r="AL84" s="349"/>
      <c r="AM84" s="349"/>
      <c r="AN84" s="848"/>
      <c r="AO84" s="849"/>
      <c r="AP84" s="849"/>
      <c r="AQ84" s="352"/>
    </row>
    <row r="85" spans="1:43" x14ac:dyDescent="0.2">
      <c r="V85" s="853"/>
    </row>
    <row r="88" spans="1:43" ht="44.25" customHeight="1" x14ac:dyDescent="0.2">
      <c r="J88" s="2527"/>
      <c r="K88" s="2527"/>
      <c r="L88" s="2527"/>
      <c r="M88" s="2527"/>
      <c r="N88" s="2527"/>
      <c r="O88" s="2527"/>
      <c r="P88" s="2527"/>
    </row>
    <row r="90" spans="1:43" x14ac:dyDescent="0.2">
      <c r="D90" s="856"/>
      <c r="E90" s="856"/>
      <c r="F90" s="856"/>
      <c r="G90" s="856"/>
      <c r="H90" s="856"/>
      <c r="I90" s="856"/>
      <c r="J90" s="856"/>
    </row>
    <row r="91" spans="1:43" ht="28.5" customHeight="1" x14ac:dyDescent="0.25">
      <c r="D91" s="3410" t="s">
        <v>635</v>
      </c>
      <c r="E91" s="3410"/>
      <c r="F91" s="3410"/>
      <c r="G91" s="3410"/>
      <c r="H91" s="3410"/>
      <c r="I91" s="3410"/>
      <c r="J91" s="3410"/>
      <c r="K91" s="3410"/>
      <c r="L91" s="3410"/>
    </row>
    <row r="92" spans="1:43" ht="15.75" x14ac:dyDescent="0.25">
      <c r="D92" s="121" t="s">
        <v>636</v>
      </c>
      <c r="E92" s="121"/>
      <c r="F92" s="121"/>
    </row>
    <row r="96" spans="1:43" x14ac:dyDescent="0.2">
      <c r="A96" s="2"/>
      <c r="K96" s="2"/>
      <c r="L96" s="2"/>
      <c r="M96" s="2"/>
      <c r="N96" s="2"/>
      <c r="Y96" s="2"/>
      <c r="Z96" s="2"/>
      <c r="AN96" s="2"/>
      <c r="AO96" s="2"/>
      <c r="AP96" s="2"/>
      <c r="AQ96" s="2"/>
    </row>
    <row r="97" spans="1:43" x14ac:dyDescent="0.2">
      <c r="A97" s="2"/>
      <c r="K97" s="2"/>
      <c r="L97" s="2"/>
      <c r="M97" s="2"/>
      <c r="N97" s="2"/>
      <c r="Y97" s="2"/>
      <c r="Z97" s="2"/>
      <c r="AN97" s="2"/>
      <c r="AO97" s="2"/>
      <c r="AP97" s="2"/>
      <c r="AQ97" s="2"/>
    </row>
  </sheetData>
  <sheetProtection password="A60F" sheet="1" objects="1" scenarios="1"/>
  <mergeCells count="322">
    <mergeCell ref="D91:L91"/>
    <mergeCell ref="AQ78:AQ83"/>
    <mergeCell ref="U82:U83"/>
    <mergeCell ref="V82:V83"/>
    <mergeCell ref="W82:W83"/>
    <mergeCell ref="X82:X83"/>
    <mergeCell ref="J88:P88"/>
    <mergeCell ref="AC78:AC83"/>
    <mergeCell ref="AD78:AD83"/>
    <mergeCell ref="AE78:AE83"/>
    <mergeCell ref="AN78:AN83"/>
    <mergeCell ref="AO78:AO83"/>
    <mergeCell ref="AP78:AP83"/>
    <mergeCell ref="T78:T83"/>
    <mergeCell ref="U78:U81"/>
    <mergeCell ref="Y78:Y83"/>
    <mergeCell ref="Z78:Z83"/>
    <mergeCell ref="AA78:AA83"/>
    <mergeCell ref="AB78:AB83"/>
    <mergeCell ref="N78:N83"/>
    <mergeCell ref="O78:O83"/>
    <mergeCell ref="P78:P83"/>
    <mergeCell ref="Q78:Q83"/>
    <mergeCell ref="R78:R83"/>
    <mergeCell ref="V73:V74"/>
    <mergeCell ref="W73:W74"/>
    <mergeCell ref="U75:U76"/>
    <mergeCell ref="V75:V76"/>
    <mergeCell ref="W75:W76"/>
    <mergeCell ref="G78:I83"/>
    <mergeCell ref="J78:J83"/>
    <mergeCell ref="K78:K83"/>
    <mergeCell ref="L78:L83"/>
    <mergeCell ref="M78:M83"/>
    <mergeCell ref="T65:T76"/>
    <mergeCell ref="U73:U74"/>
    <mergeCell ref="M65:M76"/>
    <mergeCell ref="O65:O76"/>
    <mergeCell ref="P65:P76"/>
    <mergeCell ref="Q65:Q76"/>
    <mergeCell ref="R65:R76"/>
    <mergeCell ref="S65:S76"/>
    <mergeCell ref="AN65:AN76"/>
    <mergeCell ref="AO65:AO76"/>
    <mergeCell ref="AP65:AP76"/>
    <mergeCell ref="AQ65:AQ76"/>
    <mergeCell ref="U67:U68"/>
    <mergeCell ref="V67:V68"/>
    <mergeCell ref="W67:W68"/>
    <mergeCell ref="U69:U70"/>
    <mergeCell ref="V69:V70"/>
    <mergeCell ref="W69:W70"/>
    <mergeCell ref="Z65:Z76"/>
    <mergeCell ref="AA65:AA76"/>
    <mergeCell ref="AB65:AB76"/>
    <mergeCell ref="AC65:AC76"/>
    <mergeCell ref="AD65:AD76"/>
    <mergeCell ref="AE65:AE76"/>
    <mergeCell ref="U65:U66"/>
    <mergeCell ref="V65:V66"/>
    <mergeCell ref="W65:W66"/>
    <mergeCell ref="X65:X76"/>
    <mergeCell ref="Y65:Y76"/>
    <mergeCell ref="U71:U72"/>
    <mergeCell ref="V71:V72"/>
    <mergeCell ref="W71:W72"/>
    <mergeCell ref="AO59:AO63"/>
    <mergeCell ref="AP59:AP63"/>
    <mergeCell ref="AQ59:AQ63"/>
    <mergeCell ref="J62:J63"/>
    <mergeCell ref="K62:K63"/>
    <mergeCell ref="L62:L63"/>
    <mergeCell ref="M62:M63"/>
    <mergeCell ref="Q62:Q63"/>
    <mergeCell ref="U62:U63"/>
    <mergeCell ref="V62:V63"/>
    <mergeCell ref="AA59:AA63"/>
    <mergeCell ref="AB59:AB63"/>
    <mergeCell ref="AC59:AC63"/>
    <mergeCell ref="AD59:AD63"/>
    <mergeCell ref="AE59:AE63"/>
    <mergeCell ref="AN59:AN63"/>
    <mergeCell ref="U59:U61"/>
    <mergeCell ref="V59:V61"/>
    <mergeCell ref="W59:W61"/>
    <mergeCell ref="X59:X61"/>
    <mergeCell ref="Y59:Y63"/>
    <mergeCell ref="Z59:Z63"/>
    <mergeCell ref="W62:W63"/>
    <mergeCell ref="X62:X63"/>
    <mergeCell ref="O59:O63"/>
    <mergeCell ref="P59:P63"/>
    <mergeCell ref="Q59:Q61"/>
    <mergeCell ref="R59:R63"/>
    <mergeCell ref="S59:S63"/>
    <mergeCell ref="T59:T63"/>
    <mergeCell ref="D58:F83"/>
    <mergeCell ref="J59:J61"/>
    <mergeCell ref="K59:K61"/>
    <mergeCell ref="L59:L61"/>
    <mergeCell ref="M59:M61"/>
    <mergeCell ref="N59:N63"/>
    <mergeCell ref="G65:I76"/>
    <mergeCell ref="J65:J76"/>
    <mergeCell ref="K65:K76"/>
    <mergeCell ref="L65:L76"/>
    <mergeCell ref="S78:S83"/>
    <mergeCell ref="Q54:Q56"/>
    <mergeCell ref="U54:U56"/>
    <mergeCell ref="V54:V56"/>
    <mergeCell ref="W54:W56"/>
    <mergeCell ref="X54:X56"/>
    <mergeCell ref="P48:P56"/>
    <mergeCell ref="Q48:Q50"/>
    <mergeCell ref="R48:R56"/>
    <mergeCell ref="S48:S56"/>
    <mergeCell ref="T48:T50"/>
    <mergeCell ref="U48:U50"/>
    <mergeCell ref="Q51:Q53"/>
    <mergeCell ref="T51:T56"/>
    <mergeCell ref="U51:U53"/>
    <mergeCell ref="AE48:AE56"/>
    <mergeCell ref="AN48:AN56"/>
    <mergeCell ref="AO48:AO56"/>
    <mergeCell ref="AP48:AP56"/>
    <mergeCell ref="AQ48:AQ56"/>
    <mergeCell ref="V49:V50"/>
    <mergeCell ref="W49:W50"/>
    <mergeCell ref="X49:X50"/>
    <mergeCell ref="V51:V53"/>
    <mergeCell ref="W51:W53"/>
    <mergeCell ref="Y48:Y56"/>
    <mergeCell ref="Z48:Z56"/>
    <mergeCell ref="AA48:AA56"/>
    <mergeCell ref="AB48:AB56"/>
    <mergeCell ref="AC48:AC56"/>
    <mergeCell ref="AD48:AD56"/>
    <mergeCell ref="X51:X53"/>
    <mergeCell ref="G48:I56"/>
    <mergeCell ref="J48:J50"/>
    <mergeCell ref="K48:K50"/>
    <mergeCell ref="L48:L50"/>
    <mergeCell ref="M48:M50"/>
    <mergeCell ref="O48:O56"/>
    <mergeCell ref="J51:J53"/>
    <mergeCell ref="K51:K53"/>
    <mergeCell ref="L51:L53"/>
    <mergeCell ref="M51:M53"/>
    <mergeCell ref="J54:J56"/>
    <mergeCell ref="K54:K56"/>
    <mergeCell ref="L54:L56"/>
    <mergeCell ref="M54:M56"/>
    <mergeCell ref="T37:T46"/>
    <mergeCell ref="J39:J42"/>
    <mergeCell ref="K39:K42"/>
    <mergeCell ref="L39:L42"/>
    <mergeCell ref="M39:M42"/>
    <mergeCell ref="R31:R46"/>
    <mergeCell ref="S31:S46"/>
    <mergeCell ref="T31:T36"/>
    <mergeCell ref="Q39:Q42"/>
    <mergeCell ref="J43:J46"/>
    <mergeCell ref="K43:K46"/>
    <mergeCell ref="L43:L46"/>
    <mergeCell ref="M43:M46"/>
    <mergeCell ref="Q43:Q46"/>
    <mergeCell ref="AO31:AO46"/>
    <mergeCell ref="AP31:AP46"/>
    <mergeCell ref="AQ31:AQ46"/>
    <mergeCell ref="V32:V33"/>
    <mergeCell ref="W32:W33"/>
    <mergeCell ref="X32:X33"/>
    <mergeCell ref="V34:V36"/>
    <mergeCell ref="W34:W36"/>
    <mergeCell ref="X34:X36"/>
    <mergeCell ref="V44:V46"/>
    <mergeCell ref="AA31:AA46"/>
    <mergeCell ref="AB31:AB46"/>
    <mergeCell ref="AC31:AC46"/>
    <mergeCell ref="AD31:AD46"/>
    <mergeCell ref="AE31:AE46"/>
    <mergeCell ref="AN31:AN46"/>
    <mergeCell ref="V39:V42"/>
    <mergeCell ref="W39:W42"/>
    <mergeCell ref="X39:X42"/>
    <mergeCell ref="U31:U33"/>
    <mergeCell ref="Y31:Y46"/>
    <mergeCell ref="Z31:Z46"/>
    <mergeCell ref="U34:U36"/>
    <mergeCell ref="U43:U46"/>
    <mergeCell ref="W44:W46"/>
    <mergeCell ref="X44:X46"/>
    <mergeCell ref="W27:W29"/>
    <mergeCell ref="X27:X29"/>
    <mergeCell ref="U27:U29"/>
    <mergeCell ref="U39:U42"/>
    <mergeCell ref="G31:I46"/>
    <mergeCell ref="J31:J36"/>
    <mergeCell ref="K31:K36"/>
    <mergeCell ref="L31:L36"/>
    <mergeCell ref="M31:M36"/>
    <mergeCell ref="O31:O46"/>
    <mergeCell ref="P31:P46"/>
    <mergeCell ref="Q31:Q36"/>
    <mergeCell ref="J27:J29"/>
    <mergeCell ref="K27:K29"/>
    <mergeCell ref="L27:L29"/>
    <mergeCell ref="M27:M29"/>
    <mergeCell ref="Q27:Q29"/>
    <mergeCell ref="J37:J38"/>
    <mergeCell ref="K37:K38"/>
    <mergeCell ref="L37:L38"/>
    <mergeCell ref="M37:M38"/>
    <mergeCell ref="Q37:Q38"/>
    <mergeCell ref="AN21:AN29"/>
    <mergeCell ref="AO21:AO29"/>
    <mergeCell ref="AP21:AP29"/>
    <mergeCell ref="AQ21:AQ29"/>
    <mergeCell ref="V22:V23"/>
    <mergeCell ref="W22:W23"/>
    <mergeCell ref="X22:X23"/>
    <mergeCell ref="V24:V26"/>
    <mergeCell ref="W24:W26"/>
    <mergeCell ref="X24:X26"/>
    <mergeCell ref="Z21:Z29"/>
    <mergeCell ref="AA21:AA29"/>
    <mergeCell ref="AB21:AB29"/>
    <mergeCell ref="AC21:AC29"/>
    <mergeCell ref="AD21:AD29"/>
    <mergeCell ref="AE21:AE29"/>
    <mergeCell ref="Q21:Q23"/>
    <mergeCell ref="R21:R29"/>
    <mergeCell ref="S21:S29"/>
    <mergeCell ref="T21:T23"/>
    <mergeCell ref="U21:U23"/>
    <mergeCell ref="Y21:Y29"/>
    <mergeCell ref="Q24:Q26"/>
    <mergeCell ref="T24:T29"/>
    <mergeCell ref="U24:U26"/>
    <mergeCell ref="V27:V29"/>
    <mergeCell ref="J21:J23"/>
    <mergeCell ref="K21:K23"/>
    <mergeCell ref="L21:L23"/>
    <mergeCell ref="M21:M23"/>
    <mergeCell ref="O21:O29"/>
    <mergeCell ref="P21:P29"/>
    <mergeCell ref="J24:J26"/>
    <mergeCell ref="K24:K26"/>
    <mergeCell ref="L24:L26"/>
    <mergeCell ref="M24:M26"/>
    <mergeCell ref="AO12:AO20"/>
    <mergeCell ref="AP12:AP20"/>
    <mergeCell ref="AQ12:AQ20"/>
    <mergeCell ref="U14:U15"/>
    <mergeCell ref="V14:V15"/>
    <mergeCell ref="W14:W15"/>
    <mergeCell ref="X14:X15"/>
    <mergeCell ref="V16:V20"/>
    <mergeCell ref="W16:W20"/>
    <mergeCell ref="X16:X20"/>
    <mergeCell ref="AA12:AA20"/>
    <mergeCell ref="AB12:AB20"/>
    <mergeCell ref="AC12:AC20"/>
    <mergeCell ref="AD12:AD20"/>
    <mergeCell ref="AE12:AE20"/>
    <mergeCell ref="AN12:AN20"/>
    <mergeCell ref="O12:O20"/>
    <mergeCell ref="P12:P20"/>
    <mergeCell ref="Q12:Q15"/>
    <mergeCell ref="J16:J20"/>
    <mergeCell ref="K16:K20"/>
    <mergeCell ref="L16:L20"/>
    <mergeCell ref="M16:M20"/>
    <mergeCell ref="Q16:Q20"/>
    <mergeCell ref="U16:U20"/>
    <mergeCell ref="R12:R20"/>
    <mergeCell ref="S12:S20"/>
    <mergeCell ref="A10:C83"/>
    <mergeCell ref="D11:F56"/>
    <mergeCell ref="G12:I29"/>
    <mergeCell ref="J12:J15"/>
    <mergeCell ref="K12:K15"/>
    <mergeCell ref="V7:V8"/>
    <mergeCell ref="W7:W8"/>
    <mergeCell ref="X7:X8"/>
    <mergeCell ref="Y7:Z7"/>
    <mergeCell ref="P7:P8"/>
    <mergeCell ref="Q7:Q8"/>
    <mergeCell ref="R7:R8"/>
    <mergeCell ref="S7:S8"/>
    <mergeCell ref="T7:T8"/>
    <mergeCell ref="U7:U8"/>
    <mergeCell ref="J7:J8"/>
    <mergeCell ref="K7:K8"/>
    <mergeCell ref="T12:T20"/>
    <mergeCell ref="U12:U13"/>
    <mergeCell ref="Y12:Y20"/>
    <mergeCell ref="Z12:Z20"/>
    <mergeCell ref="L12:L15"/>
    <mergeCell ref="M12:M15"/>
    <mergeCell ref="N12:N20"/>
    <mergeCell ref="L7:L8"/>
    <mergeCell ref="M7:M8"/>
    <mergeCell ref="N7:N8"/>
    <mergeCell ref="O7:O8"/>
    <mergeCell ref="A1:AP4"/>
    <mergeCell ref="A5:M6"/>
    <mergeCell ref="N5:AQ5"/>
    <mergeCell ref="Y6:AM6"/>
    <mergeCell ref="A7:A8"/>
    <mergeCell ref="B7:C8"/>
    <mergeCell ref="D7:D8"/>
    <mergeCell ref="E7:F8"/>
    <mergeCell ref="G7:G8"/>
    <mergeCell ref="H7:I8"/>
    <mergeCell ref="AK7:AM7"/>
    <mergeCell ref="AN7:AN8"/>
    <mergeCell ref="AO7:AO8"/>
    <mergeCell ref="AP7:AP8"/>
    <mergeCell ref="AQ7:AQ8"/>
    <mergeCell ref="AA7:AD7"/>
    <mergeCell ref="AE7:AJ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4"/>
  <sheetViews>
    <sheetView showGridLines="0" zoomScale="70" zoomScaleNormal="70" workbookViewId="0">
      <selection activeCell="W9" sqref="W9"/>
    </sheetView>
  </sheetViews>
  <sheetFormatPr baseColWidth="10" defaultColWidth="11.42578125" defaultRowHeight="14.25" x14ac:dyDescent="0.25"/>
  <cols>
    <col min="1" max="1" width="11.85546875" style="1281" customWidth="1"/>
    <col min="2" max="2" width="19.5703125" style="1101" customWidth="1"/>
    <col min="3" max="3" width="13.5703125" style="1101" customWidth="1"/>
    <col min="4" max="4" width="20.28515625" style="1101" customWidth="1"/>
    <col min="5" max="5" width="15.7109375" style="1101" customWidth="1"/>
    <col min="6" max="6" width="26.5703125" style="1101" customWidth="1"/>
    <col min="7" max="7" width="20.85546875" style="1106" customWidth="1"/>
    <col min="8" max="8" width="44.5703125" style="703" customWidth="1"/>
    <col min="9" max="9" width="37.140625" style="1100" customWidth="1"/>
    <col min="10" max="10" width="20.42578125" style="1100" customWidth="1"/>
    <col min="11" max="11" width="34.28515625" style="1100" customWidth="1"/>
    <col min="12" max="12" width="24.42578125" style="926" customWidth="1"/>
    <col min="13" max="13" width="22.140625" style="703" customWidth="1"/>
    <col min="14" max="14" width="19" style="1283" customWidth="1"/>
    <col min="15" max="15" width="26.140625" style="706" customWidth="1"/>
    <col min="16" max="16" width="29.7109375" style="703" customWidth="1"/>
    <col min="17" max="17" width="56.42578125" style="703" customWidth="1"/>
    <col min="18" max="18" width="55.7109375" style="703" customWidth="1"/>
    <col min="19" max="19" width="25" style="707" customWidth="1"/>
    <col min="20" max="20" width="11.7109375" style="708" customWidth="1"/>
    <col min="21" max="21" width="17.28515625" style="926" customWidth="1"/>
    <col min="22" max="22" width="9.140625" style="1101" customWidth="1"/>
    <col min="23" max="23" width="9.7109375" style="1101" customWidth="1"/>
    <col min="24" max="24" width="9.85546875" style="1101" customWidth="1"/>
    <col min="25" max="25" width="7.28515625" style="1101" customWidth="1"/>
    <col min="26" max="26" width="10.42578125" style="1101" customWidth="1"/>
    <col min="27" max="27" width="9.42578125" style="1101" customWidth="1"/>
    <col min="28" max="36" width="7.28515625" style="1101" customWidth="1"/>
    <col min="37" max="37" width="9.85546875" style="1101" customWidth="1"/>
    <col min="38" max="38" width="18.42578125" style="709" customWidth="1"/>
    <col min="39" max="39" width="18.140625" style="1284" customWidth="1"/>
    <col min="40" max="40" width="20.85546875" style="711" customWidth="1"/>
    <col min="41" max="243" width="11.42578125" style="1101"/>
    <col min="244" max="244" width="13.140625" style="1101" customWidth="1"/>
    <col min="245" max="245" width="35.28515625" style="1101" customWidth="1"/>
    <col min="246" max="246" width="12.85546875" style="1101" customWidth="1"/>
    <col min="247" max="247" width="19.5703125" style="1101" customWidth="1"/>
    <col min="248" max="248" width="12.28515625" style="1101" customWidth="1"/>
    <col min="249" max="249" width="21.28515625" style="1101" customWidth="1"/>
    <col min="250" max="250" width="11.5703125" style="1101" customWidth="1"/>
    <col min="251" max="251" width="33.140625" style="1101" customWidth="1"/>
    <col min="252" max="252" width="22.7109375" style="1101" customWidth="1"/>
    <col min="253" max="253" width="10.7109375" style="1101" customWidth="1"/>
    <col min="254" max="254" width="27.7109375" style="1101" customWidth="1"/>
    <col min="255" max="255" width="21.42578125" style="1101" customWidth="1"/>
    <col min="256" max="256" width="22.140625" style="1101" customWidth="1"/>
    <col min="257" max="257" width="12.7109375" style="1101" customWidth="1"/>
    <col min="258" max="258" width="16.42578125" style="1101" customWidth="1"/>
    <col min="259" max="259" width="29.7109375" style="1101" customWidth="1"/>
    <col min="260" max="260" width="29.140625" style="1101" customWidth="1"/>
    <col min="261" max="261" width="33.5703125" style="1101" customWidth="1"/>
    <col min="262" max="262" width="25" style="1101" customWidth="1"/>
    <col min="263" max="263" width="11.7109375" style="1101" customWidth="1"/>
    <col min="264" max="264" width="17.28515625" style="1101" customWidth="1"/>
    <col min="265" max="280" width="7.28515625" style="1101" customWidth="1"/>
    <col min="281" max="282" width="13.7109375" style="1101" customWidth="1"/>
    <col min="283" max="283" width="20.85546875" style="1101" customWidth="1"/>
    <col min="284" max="499" width="11.42578125" style="1101"/>
    <col min="500" max="500" width="13.140625" style="1101" customWidth="1"/>
    <col min="501" max="501" width="35.28515625" style="1101" customWidth="1"/>
    <col min="502" max="502" width="12.85546875" style="1101" customWidth="1"/>
    <col min="503" max="503" width="19.5703125" style="1101" customWidth="1"/>
    <col min="504" max="504" width="12.28515625" style="1101" customWidth="1"/>
    <col min="505" max="505" width="21.28515625" style="1101" customWidth="1"/>
    <col min="506" max="506" width="11.5703125" style="1101" customWidth="1"/>
    <col min="507" max="507" width="33.140625" style="1101" customWidth="1"/>
    <col min="508" max="508" width="22.7109375" style="1101" customWidth="1"/>
    <col min="509" max="509" width="10.7109375" style="1101" customWidth="1"/>
    <col min="510" max="510" width="27.7109375" style="1101" customWidth="1"/>
    <col min="511" max="511" width="21.42578125" style="1101" customWidth="1"/>
    <col min="512" max="512" width="22.140625" style="1101" customWidth="1"/>
    <col min="513" max="513" width="12.7109375" style="1101" customWidth="1"/>
    <col min="514" max="514" width="16.42578125" style="1101" customWidth="1"/>
    <col min="515" max="515" width="29.7109375" style="1101" customWidth="1"/>
    <col min="516" max="516" width="29.140625" style="1101" customWidth="1"/>
    <col min="517" max="517" width="33.5703125" style="1101" customWidth="1"/>
    <col min="518" max="518" width="25" style="1101" customWidth="1"/>
    <col min="519" max="519" width="11.7109375" style="1101" customWidth="1"/>
    <col min="520" max="520" width="17.28515625" style="1101" customWidth="1"/>
    <col min="521" max="536" width="7.28515625" style="1101" customWidth="1"/>
    <col min="537" max="538" width="13.7109375" style="1101" customWidth="1"/>
    <col min="539" max="539" width="20.85546875" style="1101" customWidth="1"/>
    <col min="540" max="755" width="11.42578125" style="1101"/>
    <col min="756" max="756" width="13.140625" style="1101" customWidth="1"/>
    <col min="757" max="757" width="35.28515625" style="1101" customWidth="1"/>
    <col min="758" max="758" width="12.85546875" style="1101" customWidth="1"/>
    <col min="759" max="759" width="19.5703125" style="1101" customWidth="1"/>
    <col min="760" max="760" width="12.28515625" style="1101" customWidth="1"/>
    <col min="761" max="761" width="21.28515625" style="1101" customWidth="1"/>
    <col min="762" max="762" width="11.5703125" style="1101" customWidth="1"/>
    <col min="763" max="763" width="33.140625" style="1101" customWidth="1"/>
    <col min="764" max="764" width="22.7109375" style="1101" customWidth="1"/>
    <col min="765" max="765" width="10.7109375" style="1101" customWidth="1"/>
    <col min="766" max="766" width="27.7109375" style="1101" customWidth="1"/>
    <col min="767" max="767" width="21.42578125" style="1101" customWidth="1"/>
    <col min="768" max="768" width="22.140625" style="1101" customWidth="1"/>
    <col min="769" max="769" width="12.7109375" style="1101" customWidth="1"/>
    <col min="770" max="770" width="16.42578125" style="1101" customWidth="1"/>
    <col min="771" max="771" width="29.7109375" style="1101" customWidth="1"/>
    <col min="772" max="772" width="29.140625" style="1101" customWidth="1"/>
    <col min="773" max="773" width="33.5703125" style="1101" customWidth="1"/>
    <col min="774" max="774" width="25" style="1101" customWidth="1"/>
    <col min="775" max="775" width="11.7109375" style="1101" customWidth="1"/>
    <col min="776" max="776" width="17.28515625" style="1101" customWidth="1"/>
    <col min="777" max="792" width="7.28515625" style="1101" customWidth="1"/>
    <col min="793" max="794" width="13.7109375" style="1101" customWidth="1"/>
    <col min="795" max="795" width="20.85546875" style="1101" customWidth="1"/>
    <col min="796" max="1011" width="11.42578125" style="1101"/>
    <col min="1012" max="1012" width="13.140625" style="1101" customWidth="1"/>
    <col min="1013" max="1013" width="35.28515625" style="1101" customWidth="1"/>
    <col min="1014" max="1014" width="12.85546875" style="1101" customWidth="1"/>
    <col min="1015" max="1015" width="19.5703125" style="1101" customWidth="1"/>
    <col min="1016" max="1016" width="12.28515625" style="1101" customWidth="1"/>
    <col min="1017" max="1017" width="21.28515625" style="1101" customWidth="1"/>
    <col min="1018" max="1018" width="11.5703125" style="1101" customWidth="1"/>
    <col min="1019" max="1019" width="33.140625" style="1101" customWidth="1"/>
    <col min="1020" max="1020" width="22.7109375" style="1101" customWidth="1"/>
    <col min="1021" max="1021" width="10.7109375" style="1101" customWidth="1"/>
    <col min="1022" max="1022" width="27.7109375" style="1101" customWidth="1"/>
    <col min="1023" max="1023" width="21.42578125" style="1101" customWidth="1"/>
    <col min="1024" max="1024" width="22.140625" style="1101" customWidth="1"/>
    <col min="1025" max="1025" width="12.7109375" style="1101" customWidth="1"/>
    <col min="1026" max="1026" width="16.42578125" style="1101" customWidth="1"/>
    <col min="1027" max="1027" width="29.7109375" style="1101" customWidth="1"/>
    <col min="1028" max="1028" width="29.140625" style="1101" customWidth="1"/>
    <col min="1029" max="1029" width="33.5703125" style="1101" customWidth="1"/>
    <col min="1030" max="1030" width="25" style="1101" customWidth="1"/>
    <col min="1031" max="1031" width="11.7109375" style="1101" customWidth="1"/>
    <col min="1032" max="1032" width="17.28515625" style="1101" customWidth="1"/>
    <col min="1033" max="1048" width="7.28515625" style="1101" customWidth="1"/>
    <col min="1049" max="1050" width="13.7109375" style="1101" customWidth="1"/>
    <col min="1051" max="1051" width="20.85546875" style="1101" customWidth="1"/>
    <col min="1052" max="1267" width="11.42578125" style="1101"/>
    <col min="1268" max="1268" width="13.140625" style="1101" customWidth="1"/>
    <col min="1269" max="1269" width="35.28515625" style="1101" customWidth="1"/>
    <col min="1270" max="1270" width="12.85546875" style="1101" customWidth="1"/>
    <col min="1271" max="1271" width="19.5703125" style="1101" customWidth="1"/>
    <col min="1272" max="1272" width="12.28515625" style="1101" customWidth="1"/>
    <col min="1273" max="1273" width="21.28515625" style="1101" customWidth="1"/>
    <col min="1274" max="1274" width="11.5703125" style="1101" customWidth="1"/>
    <col min="1275" max="1275" width="33.140625" style="1101" customWidth="1"/>
    <col min="1276" max="1276" width="22.7109375" style="1101" customWidth="1"/>
    <col min="1277" max="1277" width="10.7109375" style="1101" customWidth="1"/>
    <col min="1278" max="1278" width="27.7109375" style="1101" customWidth="1"/>
    <col min="1279" max="1279" width="21.42578125" style="1101" customWidth="1"/>
    <col min="1280" max="1280" width="22.140625" style="1101" customWidth="1"/>
    <col min="1281" max="1281" width="12.7109375" style="1101" customWidth="1"/>
    <col min="1282" max="1282" width="16.42578125" style="1101" customWidth="1"/>
    <col min="1283" max="1283" width="29.7109375" style="1101" customWidth="1"/>
    <col min="1284" max="1284" width="29.140625" style="1101" customWidth="1"/>
    <col min="1285" max="1285" width="33.5703125" style="1101" customWidth="1"/>
    <col min="1286" max="1286" width="25" style="1101" customWidth="1"/>
    <col min="1287" max="1287" width="11.7109375" style="1101" customWidth="1"/>
    <col min="1288" max="1288" width="17.28515625" style="1101" customWidth="1"/>
    <col min="1289" max="1304" width="7.28515625" style="1101" customWidth="1"/>
    <col min="1305" max="1306" width="13.7109375" style="1101" customWidth="1"/>
    <col min="1307" max="1307" width="20.85546875" style="1101" customWidth="1"/>
    <col min="1308" max="1523" width="11.42578125" style="1101"/>
    <col min="1524" max="1524" width="13.140625" style="1101" customWidth="1"/>
    <col min="1525" max="1525" width="35.28515625" style="1101" customWidth="1"/>
    <col min="1526" max="1526" width="12.85546875" style="1101" customWidth="1"/>
    <col min="1527" max="1527" width="19.5703125" style="1101" customWidth="1"/>
    <col min="1528" max="1528" width="12.28515625" style="1101" customWidth="1"/>
    <col min="1529" max="1529" width="21.28515625" style="1101" customWidth="1"/>
    <col min="1530" max="1530" width="11.5703125" style="1101" customWidth="1"/>
    <col min="1531" max="1531" width="33.140625" style="1101" customWidth="1"/>
    <col min="1532" max="1532" width="22.7109375" style="1101" customWidth="1"/>
    <col min="1533" max="1533" width="10.7109375" style="1101" customWidth="1"/>
    <col min="1534" max="1534" width="27.7109375" style="1101" customWidth="1"/>
    <col min="1535" max="1535" width="21.42578125" style="1101" customWidth="1"/>
    <col min="1536" max="1536" width="22.140625" style="1101" customWidth="1"/>
    <col min="1537" max="1537" width="12.7109375" style="1101" customWidth="1"/>
    <col min="1538" max="1538" width="16.42578125" style="1101" customWidth="1"/>
    <col min="1539" max="1539" width="29.7109375" style="1101" customWidth="1"/>
    <col min="1540" max="1540" width="29.140625" style="1101" customWidth="1"/>
    <col min="1541" max="1541" width="33.5703125" style="1101" customWidth="1"/>
    <col min="1542" max="1542" width="25" style="1101" customWidth="1"/>
    <col min="1543" max="1543" width="11.7109375" style="1101" customWidth="1"/>
    <col min="1544" max="1544" width="17.28515625" style="1101" customWidth="1"/>
    <col min="1545" max="1560" width="7.28515625" style="1101" customWidth="1"/>
    <col min="1561" max="1562" width="13.7109375" style="1101" customWidth="1"/>
    <col min="1563" max="1563" width="20.85546875" style="1101" customWidth="1"/>
    <col min="1564" max="1779" width="11.42578125" style="1101"/>
    <col min="1780" max="1780" width="13.140625" style="1101" customWidth="1"/>
    <col min="1781" max="1781" width="35.28515625" style="1101" customWidth="1"/>
    <col min="1782" max="1782" width="12.85546875" style="1101" customWidth="1"/>
    <col min="1783" max="1783" width="19.5703125" style="1101" customWidth="1"/>
    <col min="1784" max="1784" width="12.28515625" style="1101" customWidth="1"/>
    <col min="1785" max="1785" width="21.28515625" style="1101" customWidth="1"/>
    <col min="1786" max="1786" width="11.5703125" style="1101" customWidth="1"/>
    <col min="1787" max="1787" width="33.140625" style="1101" customWidth="1"/>
    <col min="1788" max="1788" width="22.7109375" style="1101" customWidth="1"/>
    <col min="1789" max="1789" width="10.7109375" style="1101" customWidth="1"/>
    <col min="1790" max="1790" width="27.7109375" style="1101" customWidth="1"/>
    <col min="1791" max="1791" width="21.42578125" style="1101" customWidth="1"/>
    <col min="1792" max="1792" width="22.140625" style="1101" customWidth="1"/>
    <col min="1793" max="1793" width="12.7109375" style="1101" customWidth="1"/>
    <col min="1794" max="1794" width="16.42578125" style="1101" customWidth="1"/>
    <col min="1795" max="1795" width="29.7109375" style="1101" customWidth="1"/>
    <col min="1796" max="1796" width="29.140625" style="1101" customWidth="1"/>
    <col min="1797" max="1797" width="33.5703125" style="1101" customWidth="1"/>
    <col min="1798" max="1798" width="25" style="1101" customWidth="1"/>
    <col min="1799" max="1799" width="11.7109375" style="1101" customWidth="1"/>
    <col min="1800" max="1800" width="17.28515625" style="1101" customWidth="1"/>
    <col min="1801" max="1816" width="7.28515625" style="1101" customWidth="1"/>
    <col min="1817" max="1818" width="13.7109375" style="1101" customWidth="1"/>
    <col min="1819" max="1819" width="20.85546875" style="1101" customWidth="1"/>
    <col min="1820" max="2035" width="11.42578125" style="1101"/>
    <col min="2036" max="2036" width="13.140625" style="1101" customWidth="1"/>
    <col min="2037" max="2037" width="35.28515625" style="1101" customWidth="1"/>
    <col min="2038" max="2038" width="12.85546875" style="1101" customWidth="1"/>
    <col min="2039" max="2039" width="19.5703125" style="1101" customWidth="1"/>
    <col min="2040" max="2040" width="12.28515625" style="1101" customWidth="1"/>
    <col min="2041" max="2041" width="21.28515625" style="1101" customWidth="1"/>
    <col min="2042" max="2042" width="11.5703125" style="1101" customWidth="1"/>
    <col min="2043" max="2043" width="33.140625" style="1101" customWidth="1"/>
    <col min="2044" max="2044" width="22.7109375" style="1101" customWidth="1"/>
    <col min="2045" max="2045" width="10.7109375" style="1101" customWidth="1"/>
    <col min="2046" max="2046" width="27.7109375" style="1101" customWidth="1"/>
    <col min="2047" max="2047" width="21.42578125" style="1101" customWidth="1"/>
    <col min="2048" max="2048" width="22.140625" style="1101" customWidth="1"/>
    <col min="2049" max="2049" width="12.7109375" style="1101" customWidth="1"/>
    <col min="2050" max="2050" width="16.42578125" style="1101" customWidth="1"/>
    <col min="2051" max="2051" width="29.7109375" style="1101" customWidth="1"/>
    <col min="2052" max="2052" width="29.140625" style="1101" customWidth="1"/>
    <col min="2053" max="2053" width="33.5703125" style="1101" customWidth="1"/>
    <col min="2054" max="2054" width="25" style="1101" customWidth="1"/>
    <col min="2055" max="2055" width="11.7109375" style="1101" customWidth="1"/>
    <col min="2056" max="2056" width="17.28515625" style="1101" customWidth="1"/>
    <col min="2057" max="2072" width="7.28515625" style="1101" customWidth="1"/>
    <col min="2073" max="2074" width="13.7109375" style="1101" customWidth="1"/>
    <col min="2075" max="2075" width="20.85546875" style="1101" customWidth="1"/>
    <col min="2076" max="2291" width="11.42578125" style="1101"/>
    <col min="2292" max="2292" width="13.140625" style="1101" customWidth="1"/>
    <col min="2293" max="2293" width="35.28515625" style="1101" customWidth="1"/>
    <col min="2294" max="2294" width="12.85546875" style="1101" customWidth="1"/>
    <col min="2295" max="2295" width="19.5703125" style="1101" customWidth="1"/>
    <col min="2296" max="2296" width="12.28515625" style="1101" customWidth="1"/>
    <col min="2297" max="2297" width="21.28515625" style="1101" customWidth="1"/>
    <col min="2298" max="2298" width="11.5703125" style="1101" customWidth="1"/>
    <col min="2299" max="2299" width="33.140625" style="1101" customWidth="1"/>
    <col min="2300" max="2300" width="22.7109375" style="1101" customWidth="1"/>
    <col min="2301" max="2301" width="10.7109375" style="1101" customWidth="1"/>
    <col min="2302" max="2302" width="27.7109375" style="1101" customWidth="1"/>
    <col min="2303" max="2303" width="21.42578125" style="1101" customWidth="1"/>
    <col min="2304" max="2304" width="22.140625" style="1101" customWidth="1"/>
    <col min="2305" max="2305" width="12.7109375" style="1101" customWidth="1"/>
    <col min="2306" max="2306" width="16.42578125" style="1101" customWidth="1"/>
    <col min="2307" max="2307" width="29.7109375" style="1101" customWidth="1"/>
    <col min="2308" max="2308" width="29.140625" style="1101" customWidth="1"/>
    <col min="2309" max="2309" width="33.5703125" style="1101" customWidth="1"/>
    <col min="2310" max="2310" width="25" style="1101" customWidth="1"/>
    <col min="2311" max="2311" width="11.7109375" style="1101" customWidth="1"/>
    <col min="2312" max="2312" width="17.28515625" style="1101" customWidth="1"/>
    <col min="2313" max="2328" width="7.28515625" style="1101" customWidth="1"/>
    <col min="2329" max="2330" width="13.7109375" style="1101" customWidth="1"/>
    <col min="2331" max="2331" width="20.85546875" style="1101" customWidth="1"/>
    <col min="2332" max="2547" width="11.42578125" style="1101"/>
    <col min="2548" max="2548" width="13.140625" style="1101" customWidth="1"/>
    <col min="2549" max="2549" width="35.28515625" style="1101" customWidth="1"/>
    <col min="2550" max="2550" width="12.85546875" style="1101" customWidth="1"/>
    <col min="2551" max="2551" width="19.5703125" style="1101" customWidth="1"/>
    <col min="2552" max="2552" width="12.28515625" style="1101" customWidth="1"/>
    <col min="2553" max="2553" width="21.28515625" style="1101" customWidth="1"/>
    <col min="2554" max="2554" width="11.5703125" style="1101" customWidth="1"/>
    <col min="2555" max="2555" width="33.140625" style="1101" customWidth="1"/>
    <col min="2556" max="2556" width="22.7109375" style="1101" customWidth="1"/>
    <col min="2557" max="2557" width="10.7109375" style="1101" customWidth="1"/>
    <col min="2558" max="2558" width="27.7109375" style="1101" customWidth="1"/>
    <col min="2559" max="2559" width="21.42578125" style="1101" customWidth="1"/>
    <col min="2560" max="2560" width="22.140625" style="1101" customWidth="1"/>
    <col min="2561" max="2561" width="12.7109375" style="1101" customWidth="1"/>
    <col min="2562" max="2562" width="16.42578125" style="1101" customWidth="1"/>
    <col min="2563" max="2563" width="29.7109375" style="1101" customWidth="1"/>
    <col min="2564" max="2564" width="29.140625" style="1101" customWidth="1"/>
    <col min="2565" max="2565" width="33.5703125" style="1101" customWidth="1"/>
    <col min="2566" max="2566" width="25" style="1101" customWidth="1"/>
    <col min="2567" max="2567" width="11.7109375" style="1101" customWidth="1"/>
    <col min="2568" max="2568" width="17.28515625" style="1101" customWidth="1"/>
    <col min="2569" max="2584" width="7.28515625" style="1101" customWidth="1"/>
    <col min="2585" max="2586" width="13.7109375" style="1101" customWidth="1"/>
    <col min="2587" max="2587" width="20.85546875" style="1101" customWidth="1"/>
    <col min="2588" max="2803" width="11.42578125" style="1101"/>
    <col min="2804" max="2804" width="13.140625" style="1101" customWidth="1"/>
    <col min="2805" max="2805" width="35.28515625" style="1101" customWidth="1"/>
    <col min="2806" max="2806" width="12.85546875" style="1101" customWidth="1"/>
    <col min="2807" max="2807" width="19.5703125" style="1101" customWidth="1"/>
    <col min="2808" max="2808" width="12.28515625" style="1101" customWidth="1"/>
    <col min="2809" max="2809" width="21.28515625" style="1101" customWidth="1"/>
    <col min="2810" max="2810" width="11.5703125" style="1101" customWidth="1"/>
    <col min="2811" max="2811" width="33.140625" style="1101" customWidth="1"/>
    <col min="2812" max="2812" width="22.7109375" style="1101" customWidth="1"/>
    <col min="2813" max="2813" width="10.7109375" style="1101" customWidth="1"/>
    <col min="2814" max="2814" width="27.7109375" style="1101" customWidth="1"/>
    <col min="2815" max="2815" width="21.42578125" style="1101" customWidth="1"/>
    <col min="2816" max="2816" width="22.140625" style="1101" customWidth="1"/>
    <col min="2817" max="2817" width="12.7109375" style="1101" customWidth="1"/>
    <col min="2818" max="2818" width="16.42578125" style="1101" customWidth="1"/>
    <col min="2819" max="2819" width="29.7109375" style="1101" customWidth="1"/>
    <col min="2820" max="2820" width="29.140625" style="1101" customWidth="1"/>
    <col min="2821" max="2821" width="33.5703125" style="1101" customWidth="1"/>
    <col min="2822" max="2822" width="25" style="1101" customWidth="1"/>
    <col min="2823" max="2823" width="11.7109375" style="1101" customWidth="1"/>
    <col min="2824" max="2824" width="17.28515625" style="1101" customWidth="1"/>
    <col min="2825" max="2840" width="7.28515625" style="1101" customWidth="1"/>
    <col min="2841" max="2842" width="13.7109375" style="1101" customWidth="1"/>
    <col min="2843" max="2843" width="20.85546875" style="1101" customWidth="1"/>
    <col min="2844" max="3059" width="11.42578125" style="1101"/>
    <col min="3060" max="3060" width="13.140625" style="1101" customWidth="1"/>
    <col min="3061" max="3061" width="35.28515625" style="1101" customWidth="1"/>
    <col min="3062" max="3062" width="12.85546875" style="1101" customWidth="1"/>
    <col min="3063" max="3063" width="19.5703125" style="1101" customWidth="1"/>
    <col min="3064" max="3064" width="12.28515625" style="1101" customWidth="1"/>
    <col min="3065" max="3065" width="21.28515625" style="1101" customWidth="1"/>
    <col min="3066" max="3066" width="11.5703125" style="1101" customWidth="1"/>
    <col min="3067" max="3067" width="33.140625" style="1101" customWidth="1"/>
    <col min="3068" max="3068" width="22.7109375" style="1101" customWidth="1"/>
    <col min="3069" max="3069" width="10.7109375" style="1101" customWidth="1"/>
    <col min="3070" max="3070" width="27.7109375" style="1101" customWidth="1"/>
    <col min="3071" max="3071" width="21.42578125" style="1101" customWidth="1"/>
    <col min="3072" max="3072" width="22.140625" style="1101" customWidth="1"/>
    <col min="3073" max="3073" width="12.7109375" style="1101" customWidth="1"/>
    <col min="3074" max="3074" width="16.42578125" style="1101" customWidth="1"/>
    <col min="3075" max="3075" width="29.7109375" style="1101" customWidth="1"/>
    <col min="3076" max="3076" width="29.140625" style="1101" customWidth="1"/>
    <col min="3077" max="3077" width="33.5703125" style="1101" customWidth="1"/>
    <col min="3078" max="3078" width="25" style="1101" customWidth="1"/>
    <col min="3079" max="3079" width="11.7109375" style="1101" customWidth="1"/>
    <col min="3080" max="3080" width="17.28515625" style="1101" customWidth="1"/>
    <col min="3081" max="3096" width="7.28515625" style="1101" customWidth="1"/>
    <col min="3097" max="3098" width="13.7109375" style="1101" customWidth="1"/>
    <col min="3099" max="3099" width="20.85546875" style="1101" customWidth="1"/>
    <col min="3100" max="3315" width="11.42578125" style="1101"/>
    <col min="3316" max="3316" width="13.140625" style="1101" customWidth="1"/>
    <col min="3317" max="3317" width="35.28515625" style="1101" customWidth="1"/>
    <col min="3318" max="3318" width="12.85546875" style="1101" customWidth="1"/>
    <col min="3319" max="3319" width="19.5703125" style="1101" customWidth="1"/>
    <col min="3320" max="3320" width="12.28515625" style="1101" customWidth="1"/>
    <col min="3321" max="3321" width="21.28515625" style="1101" customWidth="1"/>
    <col min="3322" max="3322" width="11.5703125" style="1101" customWidth="1"/>
    <col min="3323" max="3323" width="33.140625" style="1101" customWidth="1"/>
    <col min="3324" max="3324" width="22.7109375" style="1101" customWidth="1"/>
    <col min="3325" max="3325" width="10.7109375" style="1101" customWidth="1"/>
    <col min="3326" max="3326" width="27.7109375" style="1101" customWidth="1"/>
    <col min="3327" max="3327" width="21.42578125" style="1101" customWidth="1"/>
    <col min="3328" max="3328" width="22.140625" style="1101" customWidth="1"/>
    <col min="3329" max="3329" width="12.7109375" style="1101" customWidth="1"/>
    <col min="3330" max="3330" width="16.42578125" style="1101" customWidth="1"/>
    <col min="3331" max="3331" width="29.7109375" style="1101" customWidth="1"/>
    <col min="3332" max="3332" width="29.140625" style="1101" customWidth="1"/>
    <col min="3333" max="3333" width="33.5703125" style="1101" customWidth="1"/>
    <col min="3334" max="3334" width="25" style="1101" customWidth="1"/>
    <col min="3335" max="3335" width="11.7109375" style="1101" customWidth="1"/>
    <col min="3336" max="3336" width="17.28515625" style="1101" customWidth="1"/>
    <col min="3337" max="3352" width="7.28515625" style="1101" customWidth="1"/>
    <col min="3353" max="3354" width="13.7109375" style="1101" customWidth="1"/>
    <col min="3355" max="3355" width="20.85546875" style="1101" customWidth="1"/>
    <col min="3356" max="3571" width="11.42578125" style="1101"/>
    <col min="3572" max="3572" width="13.140625" style="1101" customWidth="1"/>
    <col min="3573" max="3573" width="35.28515625" style="1101" customWidth="1"/>
    <col min="3574" max="3574" width="12.85546875" style="1101" customWidth="1"/>
    <col min="3575" max="3575" width="19.5703125" style="1101" customWidth="1"/>
    <col min="3576" max="3576" width="12.28515625" style="1101" customWidth="1"/>
    <col min="3577" max="3577" width="21.28515625" style="1101" customWidth="1"/>
    <col min="3578" max="3578" width="11.5703125" style="1101" customWidth="1"/>
    <col min="3579" max="3579" width="33.140625" style="1101" customWidth="1"/>
    <col min="3580" max="3580" width="22.7109375" style="1101" customWidth="1"/>
    <col min="3581" max="3581" width="10.7109375" style="1101" customWidth="1"/>
    <col min="3582" max="3582" width="27.7109375" style="1101" customWidth="1"/>
    <col min="3583" max="3583" width="21.42578125" style="1101" customWidth="1"/>
    <col min="3584" max="3584" width="22.140625" style="1101" customWidth="1"/>
    <col min="3585" max="3585" width="12.7109375" style="1101" customWidth="1"/>
    <col min="3586" max="3586" width="16.42578125" style="1101" customWidth="1"/>
    <col min="3587" max="3587" width="29.7109375" style="1101" customWidth="1"/>
    <col min="3588" max="3588" width="29.140625" style="1101" customWidth="1"/>
    <col min="3589" max="3589" width="33.5703125" style="1101" customWidth="1"/>
    <col min="3590" max="3590" width="25" style="1101" customWidth="1"/>
    <col min="3591" max="3591" width="11.7109375" style="1101" customWidth="1"/>
    <col min="3592" max="3592" width="17.28515625" style="1101" customWidth="1"/>
    <col min="3593" max="3608" width="7.28515625" style="1101" customWidth="1"/>
    <col min="3609" max="3610" width="13.7109375" style="1101" customWidth="1"/>
    <col min="3611" max="3611" width="20.85546875" style="1101" customWidth="1"/>
    <col min="3612" max="3827" width="11.42578125" style="1101"/>
    <col min="3828" max="3828" width="13.140625" style="1101" customWidth="1"/>
    <col min="3829" max="3829" width="35.28515625" style="1101" customWidth="1"/>
    <col min="3830" max="3830" width="12.85546875" style="1101" customWidth="1"/>
    <col min="3831" max="3831" width="19.5703125" style="1101" customWidth="1"/>
    <col min="3832" max="3832" width="12.28515625" style="1101" customWidth="1"/>
    <col min="3833" max="3833" width="21.28515625" style="1101" customWidth="1"/>
    <col min="3834" max="3834" width="11.5703125" style="1101" customWidth="1"/>
    <col min="3835" max="3835" width="33.140625" style="1101" customWidth="1"/>
    <col min="3836" max="3836" width="22.7109375" style="1101" customWidth="1"/>
    <col min="3837" max="3837" width="10.7109375" style="1101" customWidth="1"/>
    <col min="3838" max="3838" width="27.7109375" style="1101" customWidth="1"/>
    <col min="3839" max="3839" width="21.42578125" style="1101" customWidth="1"/>
    <col min="3840" max="3840" width="22.140625" style="1101" customWidth="1"/>
    <col min="3841" max="3841" width="12.7109375" style="1101" customWidth="1"/>
    <col min="3842" max="3842" width="16.42578125" style="1101" customWidth="1"/>
    <col min="3843" max="3843" width="29.7109375" style="1101" customWidth="1"/>
    <col min="3844" max="3844" width="29.140625" style="1101" customWidth="1"/>
    <col min="3845" max="3845" width="33.5703125" style="1101" customWidth="1"/>
    <col min="3846" max="3846" width="25" style="1101" customWidth="1"/>
    <col min="3847" max="3847" width="11.7109375" style="1101" customWidth="1"/>
    <col min="3848" max="3848" width="17.28515625" style="1101" customWidth="1"/>
    <col min="3849" max="3864" width="7.28515625" style="1101" customWidth="1"/>
    <col min="3865" max="3866" width="13.7109375" style="1101" customWidth="1"/>
    <col min="3867" max="3867" width="20.85546875" style="1101" customWidth="1"/>
    <col min="3868" max="4083" width="11.42578125" style="1101"/>
    <col min="4084" max="4084" width="13.140625" style="1101" customWidth="1"/>
    <col min="4085" max="4085" width="35.28515625" style="1101" customWidth="1"/>
    <col min="4086" max="4086" width="12.85546875" style="1101" customWidth="1"/>
    <col min="4087" max="4087" width="19.5703125" style="1101" customWidth="1"/>
    <col min="4088" max="4088" width="12.28515625" style="1101" customWidth="1"/>
    <col min="4089" max="4089" width="21.28515625" style="1101" customWidth="1"/>
    <col min="4090" max="4090" width="11.5703125" style="1101" customWidth="1"/>
    <col min="4091" max="4091" width="33.140625" style="1101" customWidth="1"/>
    <col min="4092" max="4092" width="22.7109375" style="1101" customWidth="1"/>
    <col min="4093" max="4093" width="10.7109375" style="1101" customWidth="1"/>
    <col min="4094" max="4094" width="27.7109375" style="1101" customWidth="1"/>
    <col min="4095" max="4095" width="21.42578125" style="1101" customWidth="1"/>
    <col min="4096" max="4096" width="22.140625" style="1101" customWidth="1"/>
    <col min="4097" max="4097" width="12.7109375" style="1101" customWidth="1"/>
    <col min="4098" max="4098" width="16.42578125" style="1101" customWidth="1"/>
    <col min="4099" max="4099" width="29.7109375" style="1101" customWidth="1"/>
    <col min="4100" max="4100" width="29.140625" style="1101" customWidth="1"/>
    <col min="4101" max="4101" width="33.5703125" style="1101" customWidth="1"/>
    <col min="4102" max="4102" width="25" style="1101" customWidth="1"/>
    <col min="4103" max="4103" width="11.7109375" style="1101" customWidth="1"/>
    <col min="4104" max="4104" width="17.28515625" style="1101" customWidth="1"/>
    <col min="4105" max="4120" width="7.28515625" style="1101" customWidth="1"/>
    <col min="4121" max="4122" width="13.7109375" style="1101" customWidth="1"/>
    <col min="4123" max="4123" width="20.85546875" style="1101" customWidth="1"/>
    <col min="4124" max="4339" width="11.42578125" style="1101"/>
    <col min="4340" max="4340" width="13.140625" style="1101" customWidth="1"/>
    <col min="4341" max="4341" width="35.28515625" style="1101" customWidth="1"/>
    <col min="4342" max="4342" width="12.85546875" style="1101" customWidth="1"/>
    <col min="4343" max="4343" width="19.5703125" style="1101" customWidth="1"/>
    <col min="4344" max="4344" width="12.28515625" style="1101" customWidth="1"/>
    <col min="4345" max="4345" width="21.28515625" style="1101" customWidth="1"/>
    <col min="4346" max="4346" width="11.5703125" style="1101" customWidth="1"/>
    <col min="4347" max="4347" width="33.140625" style="1101" customWidth="1"/>
    <col min="4348" max="4348" width="22.7109375" style="1101" customWidth="1"/>
    <col min="4349" max="4349" width="10.7109375" style="1101" customWidth="1"/>
    <col min="4350" max="4350" width="27.7109375" style="1101" customWidth="1"/>
    <col min="4351" max="4351" width="21.42578125" style="1101" customWidth="1"/>
    <col min="4352" max="4352" width="22.140625" style="1101" customWidth="1"/>
    <col min="4353" max="4353" width="12.7109375" style="1101" customWidth="1"/>
    <col min="4354" max="4354" width="16.42578125" style="1101" customWidth="1"/>
    <col min="4355" max="4355" width="29.7109375" style="1101" customWidth="1"/>
    <col min="4356" max="4356" width="29.140625" style="1101" customWidth="1"/>
    <col min="4357" max="4357" width="33.5703125" style="1101" customWidth="1"/>
    <col min="4358" max="4358" width="25" style="1101" customWidth="1"/>
    <col min="4359" max="4359" width="11.7109375" style="1101" customWidth="1"/>
    <col min="4360" max="4360" width="17.28515625" style="1101" customWidth="1"/>
    <col min="4361" max="4376" width="7.28515625" style="1101" customWidth="1"/>
    <col min="4377" max="4378" width="13.7109375" style="1101" customWidth="1"/>
    <col min="4379" max="4379" width="20.85546875" style="1101" customWidth="1"/>
    <col min="4380" max="4595" width="11.42578125" style="1101"/>
    <col min="4596" max="4596" width="13.140625" style="1101" customWidth="1"/>
    <col min="4597" max="4597" width="35.28515625" style="1101" customWidth="1"/>
    <col min="4598" max="4598" width="12.85546875" style="1101" customWidth="1"/>
    <col min="4599" max="4599" width="19.5703125" style="1101" customWidth="1"/>
    <col min="4600" max="4600" width="12.28515625" style="1101" customWidth="1"/>
    <col min="4601" max="4601" width="21.28515625" style="1101" customWidth="1"/>
    <col min="4602" max="4602" width="11.5703125" style="1101" customWidth="1"/>
    <col min="4603" max="4603" width="33.140625" style="1101" customWidth="1"/>
    <col min="4604" max="4604" width="22.7109375" style="1101" customWidth="1"/>
    <col min="4605" max="4605" width="10.7109375" style="1101" customWidth="1"/>
    <col min="4606" max="4606" width="27.7109375" style="1101" customWidth="1"/>
    <col min="4607" max="4607" width="21.42578125" style="1101" customWidth="1"/>
    <col min="4608" max="4608" width="22.140625" style="1101" customWidth="1"/>
    <col min="4609" max="4609" width="12.7109375" style="1101" customWidth="1"/>
    <col min="4610" max="4610" width="16.42578125" style="1101" customWidth="1"/>
    <col min="4611" max="4611" width="29.7109375" style="1101" customWidth="1"/>
    <col min="4612" max="4612" width="29.140625" style="1101" customWidth="1"/>
    <col min="4613" max="4613" width="33.5703125" style="1101" customWidth="1"/>
    <col min="4614" max="4614" width="25" style="1101" customWidth="1"/>
    <col min="4615" max="4615" width="11.7109375" style="1101" customWidth="1"/>
    <col min="4616" max="4616" width="17.28515625" style="1101" customWidth="1"/>
    <col min="4617" max="4632" width="7.28515625" style="1101" customWidth="1"/>
    <col min="4633" max="4634" width="13.7109375" style="1101" customWidth="1"/>
    <col min="4635" max="4635" width="20.85546875" style="1101" customWidth="1"/>
    <col min="4636" max="4851" width="11.42578125" style="1101"/>
    <col min="4852" max="4852" width="13.140625" style="1101" customWidth="1"/>
    <col min="4853" max="4853" width="35.28515625" style="1101" customWidth="1"/>
    <col min="4854" max="4854" width="12.85546875" style="1101" customWidth="1"/>
    <col min="4855" max="4855" width="19.5703125" style="1101" customWidth="1"/>
    <col min="4856" max="4856" width="12.28515625" style="1101" customWidth="1"/>
    <col min="4857" max="4857" width="21.28515625" style="1101" customWidth="1"/>
    <col min="4858" max="4858" width="11.5703125" style="1101" customWidth="1"/>
    <col min="4859" max="4859" width="33.140625" style="1101" customWidth="1"/>
    <col min="4860" max="4860" width="22.7109375" style="1101" customWidth="1"/>
    <col min="4861" max="4861" width="10.7109375" style="1101" customWidth="1"/>
    <col min="4862" max="4862" width="27.7109375" style="1101" customWidth="1"/>
    <col min="4863" max="4863" width="21.42578125" style="1101" customWidth="1"/>
    <col min="4864" max="4864" width="22.140625" style="1101" customWidth="1"/>
    <col min="4865" max="4865" width="12.7109375" style="1101" customWidth="1"/>
    <col min="4866" max="4866" width="16.42578125" style="1101" customWidth="1"/>
    <col min="4867" max="4867" width="29.7109375" style="1101" customWidth="1"/>
    <col min="4868" max="4868" width="29.140625" style="1101" customWidth="1"/>
    <col min="4869" max="4869" width="33.5703125" style="1101" customWidth="1"/>
    <col min="4870" max="4870" width="25" style="1101" customWidth="1"/>
    <col min="4871" max="4871" width="11.7109375" style="1101" customWidth="1"/>
    <col min="4872" max="4872" width="17.28515625" style="1101" customWidth="1"/>
    <col min="4873" max="4888" width="7.28515625" style="1101" customWidth="1"/>
    <col min="4889" max="4890" width="13.7109375" style="1101" customWidth="1"/>
    <col min="4891" max="4891" width="20.85546875" style="1101" customWidth="1"/>
    <col min="4892" max="5107" width="11.42578125" style="1101"/>
    <col min="5108" max="5108" width="13.140625" style="1101" customWidth="1"/>
    <col min="5109" max="5109" width="35.28515625" style="1101" customWidth="1"/>
    <col min="5110" max="5110" width="12.85546875" style="1101" customWidth="1"/>
    <col min="5111" max="5111" width="19.5703125" style="1101" customWidth="1"/>
    <col min="5112" max="5112" width="12.28515625" style="1101" customWidth="1"/>
    <col min="5113" max="5113" width="21.28515625" style="1101" customWidth="1"/>
    <col min="5114" max="5114" width="11.5703125" style="1101" customWidth="1"/>
    <col min="5115" max="5115" width="33.140625" style="1101" customWidth="1"/>
    <col min="5116" max="5116" width="22.7109375" style="1101" customWidth="1"/>
    <col min="5117" max="5117" width="10.7109375" style="1101" customWidth="1"/>
    <col min="5118" max="5118" width="27.7109375" style="1101" customWidth="1"/>
    <col min="5119" max="5119" width="21.42578125" style="1101" customWidth="1"/>
    <col min="5120" max="5120" width="22.140625" style="1101" customWidth="1"/>
    <col min="5121" max="5121" width="12.7109375" style="1101" customWidth="1"/>
    <col min="5122" max="5122" width="16.42578125" style="1101" customWidth="1"/>
    <col min="5123" max="5123" width="29.7109375" style="1101" customWidth="1"/>
    <col min="5124" max="5124" width="29.140625" style="1101" customWidth="1"/>
    <col min="5125" max="5125" width="33.5703125" style="1101" customWidth="1"/>
    <col min="5126" max="5126" width="25" style="1101" customWidth="1"/>
    <col min="5127" max="5127" width="11.7109375" style="1101" customWidth="1"/>
    <col min="5128" max="5128" width="17.28515625" style="1101" customWidth="1"/>
    <col min="5129" max="5144" width="7.28515625" style="1101" customWidth="1"/>
    <col min="5145" max="5146" width="13.7109375" style="1101" customWidth="1"/>
    <col min="5147" max="5147" width="20.85546875" style="1101" customWidth="1"/>
    <col min="5148" max="5363" width="11.42578125" style="1101"/>
    <col min="5364" max="5364" width="13.140625" style="1101" customWidth="1"/>
    <col min="5365" max="5365" width="35.28515625" style="1101" customWidth="1"/>
    <col min="5366" max="5366" width="12.85546875" style="1101" customWidth="1"/>
    <col min="5367" max="5367" width="19.5703125" style="1101" customWidth="1"/>
    <col min="5368" max="5368" width="12.28515625" style="1101" customWidth="1"/>
    <col min="5369" max="5369" width="21.28515625" style="1101" customWidth="1"/>
    <col min="5370" max="5370" width="11.5703125" style="1101" customWidth="1"/>
    <col min="5371" max="5371" width="33.140625" style="1101" customWidth="1"/>
    <col min="5372" max="5372" width="22.7109375" style="1101" customWidth="1"/>
    <col min="5373" max="5373" width="10.7109375" style="1101" customWidth="1"/>
    <col min="5374" max="5374" width="27.7109375" style="1101" customWidth="1"/>
    <col min="5375" max="5375" width="21.42578125" style="1101" customWidth="1"/>
    <col min="5376" max="5376" width="22.140625" style="1101" customWidth="1"/>
    <col min="5377" max="5377" width="12.7109375" style="1101" customWidth="1"/>
    <col min="5378" max="5378" width="16.42578125" style="1101" customWidth="1"/>
    <col min="5379" max="5379" width="29.7109375" style="1101" customWidth="1"/>
    <col min="5380" max="5380" width="29.140625" style="1101" customWidth="1"/>
    <col min="5381" max="5381" width="33.5703125" style="1101" customWidth="1"/>
    <col min="5382" max="5382" width="25" style="1101" customWidth="1"/>
    <col min="5383" max="5383" width="11.7109375" style="1101" customWidth="1"/>
    <col min="5384" max="5384" width="17.28515625" style="1101" customWidth="1"/>
    <col min="5385" max="5400" width="7.28515625" style="1101" customWidth="1"/>
    <col min="5401" max="5402" width="13.7109375" style="1101" customWidth="1"/>
    <col min="5403" max="5403" width="20.85546875" style="1101" customWidth="1"/>
    <col min="5404" max="5619" width="11.42578125" style="1101"/>
    <col min="5620" max="5620" width="13.140625" style="1101" customWidth="1"/>
    <col min="5621" max="5621" width="35.28515625" style="1101" customWidth="1"/>
    <col min="5622" max="5622" width="12.85546875" style="1101" customWidth="1"/>
    <col min="5623" max="5623" width="19.5703125" style="1101" customWidth="1"/>
    <col min="5624" max="5624" width="12.28515625" style="1101" customWidth="1"/>
    <col min="5625" max="5625" width="21.28515625" style="1101" customWidth="1"/>
    <col min="5626" max="5626" width="11.5703125" style="1101" customWidth="1"/>
    <col min="5627" max="5627" width="33.140625" style="1101" customWidth="1"/>
    <col min="5628" max="5628" width="22.7109375" style="1101" customWidth="1"/>
    <col min="5629" max="5629" width="10.7109375" style="1101" customWidth="1"/>
    <col min="5630" max="5630" width="27.7109375" style="1101" customWidth="1"/>
    <col min="5631" max="5631" width="21.42578125" style="1101" customWidth="1"/>
    <col min="5632" max="5632" width="22.140625" style="1101" customWidth="1"/>
    <col min="5633" max="5633" width="12.7109375" style="1101" customWidth="1"/>
    <col min="5634" max="5634" width="16.42578125" style="1101" customWidth="1"/>
    <col min="5635" max="5635" width="29.7109375" style="1101" customWidth="1"/>
    <col min="5636" max="5636" width="29.140625" style="1101" customWidth="1"/>
    <col min="5637" max="5637" width="33.5703125" style="1101" customWidth="1"/>
    <col min="5638" max="5638" width="25" style="1101" customWidth="1"/>
    <col min="5639" max="5639" width="11.7109375" style="1101" customWidth="1"/>
    <col min="5640" max="5640" width="17.28515625" style="1101" customWidth="1"/>
    <col min="5641" max="5656" width="7.28515625" style="1101" customWidth="1"/>
    <col min="5657" max="5658" width="13.7109375" style="1101" customWidth="1"/>
    <col min="5659" max="5659" width="20.85546875" style="1101" customWidth="1"/>
    <col min="5660" max="5875" width="11.42578125" style="1101"/>
    <col min="5876" max="5876" width="13.140625" style="1101" customWidth="1"/>
    <col min="5877" max="5877" width="35.28515625" style="1101" customWidth="1"/>
    <col min="5878" max="5878" width="12.85546875" style="1101" customWidth="1"/>
    <col min="5879" max="5879" width="19.5703125" style="1101" customWidth="1"/>
    <col min="5880" max="5880" width="12.28515625" style="1101" customWidth="1"/>
    <col min="5881" max="5881" width="21.28515625" style="1101" customWidth="1"/>
    <col min="5882" max="5882" width="11.5703125" style="1101" customWidth="1"/>
    <col min="5883" max="5883" width="33.140625" style="1101" customWidth="1"/>
    <col min="5884" max="5884" width="22.7109375" style="1101" customWidth="1"/>
    <col min="5885" max="5885" width="10.7109375" style="1101" customWidth="1"/>
    <col min="5886" max="5886" width="27.7109375" style="1101" customWidth="1"/>
    <col min="5887" max="5887" width="21.42578125" style="1101" customWidth="1"/>
    <col min="5888" max="5888" width="22.140625" style="1101" customWidth="1"/>
    <col min="5889" max="5889" width="12.7109375" style="1101" customWidth="1"/>
    <col min="5890" max="5890" width="16.42578125" style="1101" customWidth="1"/>
    <col min="5891" max="5891" width="29.7109375" style="1101" customWidth="1"/>
    <col min="5892" max="5892" width="29.140625" style="1101" customWidth="1"/>
    <col min="5893" max="5893" width="33.5703125" style="1101" customWidth="1"/>
    <col min="5894" max="5894" width="25" style="1101" customWidth="1"/>
    <col min="5895" max="5895" width="11.7109375" style="1101" customWidth="1"/>
    <col min="5896" max="5896" width="17.28515625" style="1101" customWidth="1"/>
    <col min="5897" max="5912" width="7.28515625" style="1101" customWidth="1"/>
    <col min="5913" max="5914" width="13.7109375" style="1101" customWidth="1"/>
    <col min="5915" max="5915" width="20.85546875" style="1101" customWidth="1"/>
    <col min="5916" max="6131" width="11.42578125" style="1101"/>
    <col min="6132" max="6132" width="13.140625" style="1101" customWidth="1"/>
    <col min="6133" max="6133" width="35.28515625" style="1101" customWidth="1"/>
    <col min="6134" max="6134" width="12.85546875" style="1101" customWidth="1"/>
    <col min="6135" max="6135" width="19.5703125" style="1101" customWidth="1"/>
    <col min="6136" max="6136" width="12.28515625" style="1101" customWidth="1"/>
    <col min="6137" max="6137" width="21.28515625" style="1101" customWidth="1"/>
    <col min="6138" max="6138" width="11.5703125" style="1101" customWidth="1"/>
    <col min="6139" max="6139" width="33.140625" style="1101" customWidth="1"/>
    <col min="6140" max="6140" width="22.7109375" style="1101" customWidth="1"/>
    <col min="6141" max="6141" width="10.7109375" style="1101" customWidth="1"/>
    <col min="6142" max="6142" width="27.7109375" style="1101" customWidth="1"/>
    <col min="6143" max="6143" width="21.42578125" style="1101" customWidth="1"/>
    <col min="6144" max="6144" width="22.140625" style="1101" customWidth="1"/>
    <col min="6145" max="6145" width="12.7109375" style="1101" customWidth="1"/>
    <col min="6146" max="6146" width="16.42578125" style="1101" customWidth="1"/>
    <col min="6147" max="6147" width="29.7109375" style="1101" customWidth="1"/>
    <col min="6148" max="6148" width="29.140625" style="1101" customWidth="1"/>
    <col min="6149" max="6149" width="33.5703125" style="1101" customWidth="1"/>
    <col min="6150" max="6150" width="25" style="1101" customWidth="1"/>
    <col min="6151" max="6151" width="11.7109375" style="1101" customWidth="1"/>
    <col min="6152" max="6152" width="17.28515625" style="1101" customWidth="1"/>
    <col min="6153" max="6168" width="7.28515625" style="1101" customWidth="1"/>
    <col min="6169" max="6170" width="13.7109375" style="1101" customWidth="1"/>
    <col min="6171" max="6171" width="20.85546875" style="1101" customWidth="1"/>
    <col min="6172" max="6387" width="11.42578125" style="1101"/>
    <col min="6388" max="6388" width="13.140625" style="1101" customWidth="1"/>
    <col min="6389" max="6389" width="35.28515625" style="1101" customWidth="1"/>
    <col min="6390" max="6390" width="12.85546875" style="1101" customWidth="1"/>
    <col min="6391" max="6391" width="19.5703125" style="1101" customWidth="1"/>
    <col min="6392" max="6392" width="12.28515625" style="1101" customWidth="1"/>
    <col min="6393" max="6393" width="21.28515625" style="1101" customWidth="1"/>
    <col min="6394" max="6394" width="11.5703125" style="1101" customWidth="1"/>
    <col min="6395" max="6395" width="33.140625" style="1101" customWidth="1"/>
    <col min="6396" max="6396" width="22.7109375" style="1101" customWidth="1"/>
    <col min="6397" max="6397" width="10.7109375" style="1101" customWidth="1"/>
    <col min="6398" max="6398" width="27.7109375" style="1101" customWidth="1"/>
    <col min="6399" max="6399" width="21.42578125" style="1101" customWidth="1"/>
    <col min="6400" max="6400" width="22.140625" style="1101" customWidth="1"/>
    <col min="6401" max="6401" width="12.7109375" style="1101" customWidth="1"/>
    <col min="6402" max="6402" width="16.42578125" style="1101" customWidth="1"/>
    <col min="6403" max="6403" width="29.7109375" style="1101" customWidth="1"/>
    <col min="6404" max="6404" width="29.140625" style="1101" customWidth="1"/>
    <col min="6405" max="6405" width="33.5703125" style="1101" customWidth="1"/>
    <col min="6406" max="6406" width="25" style="1101" customWidth="1"/>
    <col min="6407" max="6407" width="11.7109375" style="1101" customWidth="1"/>
    <col min="6408" max="6408" width="17.28515625" style="1101" customWidth="1"/>
    <col min="6409" max="6424" width="7.28515625" style="1101" customWidth="1"/>
    <col min="6425" max="6426" width="13.7109375" style="1101" customWidth="1"/>
    <col min="6427" max="6427" width="20.85546875" style="1101" customWidth="1"/>
    <col min="6428" max="6643" width="11.42578125" style="1101"/>
    <col min="6644" max="6644" width="13.140625" style="1101" customWidth="1"/>
    <col min="6645" max="6645" width="35.28515625" style="1101" customWidth="1"/>
    <col min="6646" max="6646" width="12.85546875" style="1101" customWidth="1"/>
    <col min="6647" max="6647" width="19.5703125" style="1101" customWidth="1"/>
    <col min="6648" max="6648" width="12.28515625" style="1101" customWidth="1"/>
    <col min="6649" max="6649" width="21.28515625" style="1101" customWidth="1"/>
    <col min="6650" max="6650" width="11.5703125" style="1101" customWidth="1"/>
    <col min="6651" max="6651" width="33.140625" style="1101" customWidth="1"/>
    <col min="6652" max="6652" width="22.7109375" style="1101" customWidth="1"/>
    <col min="6653" max="6653" width="10.7109375" style="1101" customWidth="1"/>
    <col min="6654" max="6654" width="27.7109375" style="1101" customWidth="1"/>
    <col min="6655" max="6655" width="21.42578125" style="1101" customWidth="1"/>
    <col min="6656" max="6656" width="22.140625" style="1101" customWidth="1"/>
    <col min="6657" max="6657" width="12.7109375" style="1101" customWidth="1"/>
    <col min="6658" max="6658" width="16.42578125" style="1101" customWidth="1"/>
    <col min="6659" max="6659" width="29.7109375" style="1101" customWidth="1"/>
    <col min="6660" max="6660" width="29.140625" style="1101" customWidth="1"/>
    <col min="6661" max="6661" width="33.5703125" style="1101" customWidth="1"/>
    <col min="6662" max="6662" width="25" style="1101" customWidth="1"/>
    <col min="6663" max="6663" width="11.7109375" style="1101" customWidth="1"/>
    <col min="6664" max="6664" width="17.28515625" style="1101" customWidth="1"/>
    <col min="6665" max="6680" width="7.28515625" style="1101" customWidth="1"/>
    <col min="6681" max="6682" width="13.7109375" style="1101" customWidth="1"/>
    <col min="6683" max="6683" width="20.85546875" style="1101" customWidth="1"/>
    <col min="6684" max="6899" width="11.42578125" style="1101"/>
    <col min="6900" max="6900" width="13.140625" style="1101" customWidth="1"/>
    <col min="6901" max="6901" width="35.28515625" style="1101" customWidth="1"/>
    <col min="6902" max="6902" width="12.85546875" style="1101" customWidth="1"/>
    <col min="6903" max="6903" width="19.5703125" style="1101" customWidth="1"/>
    <col min="6904" max="6904" width="12.28515625" style="1101" customWidth="1"/>
    <col min="6905" max="6905" width="21.28515625" style="1101" customWidth="1"/>
    <col min="6906" max="6906" width="11.5703125" style="1101" customWidth="1"/>
    <col min="6907" max="6907" width="33.140625" style="1101" customWidth="1"/>
    <col min="6908" max="6908" width="22.7109375" style="1101" customWidth="1"/>
    <col min="6909" max="6909" width="10.7109375" style="1101" customWidth="1"/>
    <col min="6910" max="6910" width="27.7109375" style="1101" customWidth="1"/>
    <col min="6911" max="6911" width="21.42578125" style="1101" customWidth="1"/>
    <col min="6912" max="6912" width="22.140625" style="1101" customWidth="1"/>
    <col min="6913" max="6913" width="12.7109375" style="1101" customWidth="1"/>
    <col min="6914" max="6914" width="16.42578125" style="1101" customWidth="1"/>
    <col min="6915" max="6915" width="29.7109375" style="1101" customWidth="1"/>
    <col min="6916" max="6916" width="29.140625" style="1101" customWidth="1"/>
    <col min="6917" max="6917" width="33.5703125" style="1101" customWidth="1"/>
    <col min="6918" max="6918" width="25" style="1101" customWidth="1"/>
    <col min="6919" max="6919" width="11.7109375" style="1101" customWidth="1"/>
    <col min="6920" max="6920" width="17.28515625" style="1101" customWidth="1"/>
    <col min="6921" max="6936" width="7.28515625" style="1101" customWidth="1"/>
    <col min="6937" max="6938" width="13.7109375" style="1101" customWidth="1"/>
    <col min="6939" max="6939" width="20.85546875" style="1101" customWidth="1"/>
    <col min="6940" max="7155" width="11.42578125" style="1101"/>
    <col min="7156" max="7156" width="13.140625" style="1101" customWidth="1"/>
    <col min="7157" max="7157" width="35.28515625" style="1101" customWidth="1"/>
    <col min="7158" max="7158" width="12.85546875" style="1101" customWidth="1"/>
    <col min="7159" max="7159" width="19.5703125" style="1101" customWidth="1"/>
    <col min="7160" max="7160" width="12.28515625" style="1101" customWidth="1"/>
    <col min="7161" max="7161" width="21.28515625" style="1101" customWidth="1"/>
    <col min="7162" max="7162" width="11.5703125" style="1101" customWidth="1"/>
    <col min="7163" max="7163" width="33.140625" style="1101" customWidth="1"/>
    <col min="7164" max="7164" width="22.7109375" style="1101" customWidth="1"/>
    <col min="7165" max="7165" width="10.7109375" style="1101" customWidth="1"/>
    <col min="7166" max="7166" width="27.7109375" style="1101" customWidth="1"/>
    <col min="7167" max="7167" width="21.42578125" style="1101" customWidth="1"/>
    <col min="7168" max="7168" width="22.140625" style="1101" customWidth="1"/>
    <col min="7169" max="7169" width="12.7109375" style="1101" customWidth="1"/>
    <col min="7170" max="7170" width="16.42578125" style="1101" customWidth="1"/>
    <col min="7171" max="7171" width="29.7109375" style="1101" customWidth="1"/>
    <col min="7172" max="7172" width="29.140625" style="1101" customWidth="1"/>
    <col min="7173" max="7173" width="33.5703125" style="1101" customWidth="1"/>
    <col min="7174" max="7174" width="25" style="1101" customWidth="1"/>
    <col min="7175" max="7175" width="11.7109375" style="1101" customWidth="1"/>
    <col min="7176" max="7176" width="17.28515625" style="1101" customWidth="1"/>
    <col min="7177" max="7192" width="7.28515625" style="1101" customWidth="1"/>
    <col min="7193" max="7194" width="13.7109375" style="1101" customWidth="1"/>
    <col min="7195" max="7195" width="20.85546875" style="1101" customWidth="1"/>
    <col min="7196" max="7411" width="11.42578125" style="1101"/>
    <col min="7412" max="7412" width="13.140625" style="1101" customWidth="1"/>
    <col min="7413" max="7413" width="35.28515625" style="1101" customWidth="1"/>
    <col min="7414" max="7414" width="12.85546875" style="1101" customWidth="1"/>
    <col min="7415" max="7415" width="19.5703125" style="1101" customWidth="1"/>
    <col min="7416" max="7416" width="12.28515625" style="1101" customWidth="1"/>
    <col min="7417" max="7417" width="21.28515625" style="1101" customWidth="1"/>
    <col min="7418" max="7418" width="11.5703125" style="1101" customWidth="1"/>
    <col min="7419" max="7419" width="33.140625" style="1101" customWidth="1"/>
    <col min="7420" max="7420" width="22.7109375" style="1101" customWidth="1"/>
    <col min="7421" max="7421" width="10.7109375" style="1101" customWidth="1"/>
    <col min="7422" max="7422" width="27.7109375" style="1101" customWidth="1"/>
    <col min="7423" max="7423" width="21.42578125" style="1101" customWidth="1"/>
    <col min="7424" max="7424" width="22.140625" style="1101" customWidth="1"/>
    <col min="7425" max="7425" width="12.7109375" style="1101" customWidth="1"/>
    <col min="7426" max="7426" width="16.42578125" style="1101" customWidth="1"/>
    <col min="7427" max="7427" width="29.7109375" style="1101" customWidth="1"/>
    <col min="7428" max="7428" width="29.140625" style="1101" customWidth="1"/>
    <col min="7429" max="7429" width="33.5703125" style="1101" customWidth="1"/>
    <col min="7430" max="7430" width="25" style="1101" customWidth="1"/>
    <col min="7431" max="7431" width="11.7109375" style="1101" customWidth="1"/>
    <col min="7432" max="7432" width="17.28515625" style="1101" customWidth="1"/>
    <col min="7433" max="7448" width="7.28515625" style="1101" customWidth="1"/>
    <col min="7449" max="7450" width="13.7109375" style="1101" customWidth="1"/>
    <col min="7451" max="7451" width="20.85546875" style="1101" customWidth="1"/>
    <col min="7452" max="7667" width="11.42578125" style="1101"/>
    <col min="7668" max="7668" width="13.140625" style="1101" customWidth="1"/>
    <col min="7669" max="7669" width="35.28515625" style="1101" customWidth="1"/>
    <col min="7670" max="7670" width="12.85546875" style="1101" customWidth="1"/>
    <col min="7671" max="7671" width="19.5703125" style="1101" customWidth="1"/>
    <col min="7672" max="7672" width="12.28515625" style="1101" customWidth="1"/>
    <col min="7673" max="7673" width="21.28515625" style="1101" customWidth="1"/>
    <col min="7674" max="7674" width="11.5703125" style="1101" customWidth="1"/>
    <col min="7675" max="7675" width="33.140625" style="1101" customWidth="1"/>
    <col min="7676" max="7676" width="22.7109375" style="1101" customWidth="1"/>
    <col min="7677" max="7677" width="10.7109375" style="1101" customWidth="1"/>
    <col min="7678" max="7678" width="27.7109375" style="1101" customWidth="1"/>
    <col min="7679" max="7679" width="21.42578125" style="1101" customWidth="1"/>
    <col min="7680" max="7680" width="22.140625" style="1101" customWidth="1"/>
    <col min="7681" max="7681" width="12.7109375" style="1101" customWidth="1"/>
    <col min="7682" max="7682" width="16.42578125" style="1101" customWidth="1"/>
    <col min="7683" max="7683" width="29.7109375" style="1101" customWidth="1"/>
    <col min="7684" max="7684" width="29.140625" style="1101" customWidth="1"/>
    <col min="7685" max="7685" width="33.5703125" style="1101" customWidth="1"/>
    <col min="7686" max="7686" width="25" style="1101" customWidth="1"/>
    <col min="7687" max="7687" width="11.7109375" style="1101" customWidth="1"/>
    <col min="7688" max="7688" width="17.28515625" style="1101" customWidth="1"/>
    <col min="7689" max="7704" width="7.28515625" style="1101" customWidth="1"/>
    <col min="7705" max="7706" width="13.7109375" style="1101" customWidth="1"/>
    <col min="7707" max="7707" width="20.85546875" style="1101" customWidth="1"/>
    <col min="7708" max="7923" width="11.42578125" style="1101"/>
    <col min="7924" max="7924" width="13.140625" style="1101" customWidth="1"/>
    <col min="7925" max="7925" width="35.28515625" style="1101" customWidth="1"/>
    <col min="7926" max="7926" width="12.85546875" style="1101" customWidth="1"/>
    <col min="7927" max="7927" width="19.5703125" style="1101" customWidth="1"/>
    <col min="7928" max="7928" width="12.28515625" style="1101" customWidth="1"/>
    <col min="7929" max="7929" width="21.28515625" style="1101" customWidth="1"/>
    <col min="7930" max="7930" width="11.5703125" style="1101" customWidth="1"/>
    <col min="7931" max="7931" width="33.140625" style="1101" customWidth="1"/>
    <col min="7932" max="7932" width="22.7109375" style="1101" customWidth="1"/>
    <col min="7933" max="7933" width="10.7109375" style="1101" customWidth="1"/>
    <col min="7934" max="7934" width="27.7109375" style="1101" customWidth="1"/>
    <col min="7935" max="7935" width="21.42578125" style="1101" customWidth="1"/>
    <col min="7936" max="7936" width="22.140625" style="1101" customWidth="1"/>
    <col min="7937" max="7937" width="12.7109375" style="1101" customWidth="1"/>
    <col min="7938" max="7938" width="16.42578125" style="1101" customWidth="1"/>
    <col min="7939" max="7939" width="29.7109375" style="1101" customWidth="1"/>
    <col min="7940" max="7940" width="29.140625" style="1101" customWidth="1"/>
    <col min="7941" max="7941" width="33.5703125" style="1101" customWidth="1"/>
    <col min="7942" max="7942" width="25" style="1101" customWidth="1"/>
    <col min="7943" max="7943" width="11.7109375" style="1101" customWidth="1"/>
    <col min="7944" max="7944" width="17.28515625" style="1101" customWidth="1"/>
    <col min="7945" max="7960" width="7.28515625" style="1101" customWidth="1"/>
    <col min="7961" max="7962" width="13.7109375" style="1101" customWidth="1"/>
    <col min="7963" max="7963" width="20.85546875" style="1101" customWidth="1"/>
    <col min="7964" max="8179" width="11.42578125" style="1101"/>
    <col min="8180" max="8180" width="13.140625" style="1101" customWidth="1"/>
    <col min="8181" max="8181" width="35.28515625" style="1101" customWidth="1"/>
    <col min="8182" max="8182" width="12.85546875" style="1101" customWidth="1"/>
    <col min="8183" max="8183" width="19.5703125" style="1101" customWidth="1"/>
    <col min="8184" max="8184" width="12.28515625" style="1101" customWidth="1"/>
    <col min="8185" max="8185" width="21.28515625" style="1101" customWidth="1"/>
    <col min="8186" max="8186" width="11.5703125" style="1101" customWidth="1"/>
    <col min="8187" max="8187" width="33.140625" style="1101" customWidth="1"/>
    <col min="8188" max="8188" width="22.7109375" style="1101" customWidth="1"/>
    <col min="8189" max="8189" width="10.7109375" style="1101" customWidth="1"/>
    <col min="8190" max="8190" width="27.7109375" style="1101" customWidth="1"/>
    <col min="8191" max="8191" width="21.42578125" style="1101" customWidth="1"/>
    <col min="8192" max="8192" width="22.140625" style="1101" customWidth="1"/>
    <col min="8193" max="8193" width="12.7109375" style="1101" customWidth="1"/>
    <col min="8194" max="8194" width="16.42578125" style="1101" customWidth="1"/>
    <col min="8195" max="8195" width="29.7109375" style="1101" customWidth="1"/>
    <col min="8196" max="8196" width="29.140625" style="1101" customWidth="1"/>
    <col min="8197" max="8197" width="33.5703125" style="1101" customWidth="1"/>
    <col min="8198" max="8198" width="25" style="1101" customWidth="1"/>
    <col min="8199" max="8199" width="11.7109375" style="1101" customWidth="1"/>
    <col min="8200" max="8200" width="17.28515625" style="1101" customWidth="1"/>
    <col min="8201" max="8216" width="7.28515625" style="1101" customWidth="1"/>
    <col min="8217" max="8218" width="13.7109375" style="1101" customWidth="1"/>
    <col min="8219" max="8219" width="20.85546875" style="1101" customWidth="1"/>
    <col min="8220" max="8435" width="11.42578125" style="1101"/>
    <col min="8436" max="8436" width="13.140625" style="1101" customWidth="1"/>
    <col min="8437" max="8437" width="35.28515625" style="1101" customWidth="1"/>
    <col min="8438" max="8438" width="12.85546875" style="1101" customWidth="1"/>
    <col min="8439" max="8439" width="19.5703125" style="1101" customWidth="1"/>
    <col min="8440" max="8440" width="12.28515625" style="1101" customWidth="1"/>
    <col min="8441" max="8441" width="21.28515625" style="1101" customWidth="1"/>
    <col min="8442" max="8442" width="11.5703125" style="1101" customWidth="1"/>
    <col min="8443" max="8443" width="33.140625" style="1101" customWidth="1"/>
    <col min="8444" max="8444" width="22.7109375" style="1101" customWidth="1"/>
    <col min="8445" max="8445" width="10.7109375" style="1101" customWidth="1"/>
    <col min="8446" max="8446" width="27.7109375" style="1101" customWidth="1"/>
    <col min="8447" max="8447" width="21.42578125" style="1101" customWidth="1"/>
    <col min="8448" max="8448" width="22.140625" style="1101" customWidth="1"/>
    <col min="8449" max="8449" width="12.7109375" style="1101" customWidth="1"/>
    <col min="8450" max="8450" width="16.42578125" style="1101" customWidth="1"/>
    <col min="8451" max="8451" width="29.7109375" style="1101" customWidth="1"/>
    <col min="8452" max="8452" width="29.140625" style="1101" customWidth="1"/>
    <col min="8453" max="8453" width="33.5703125" style="1101" customWidth="1"/>
    <col min="8454" max="8454" width="25" style="1101" customWidth="1"/>
    <col min="8455" max="8455" width="11.7109375" style="1101" customWidth="1"/>
    <col min="8456" max="8456" width="17.28515625" style="1101" customWidth="1"/>
    <col min="8457" max="8472" width="7.28515625" style="1101" customWidth="1"/>
    <col min="8473" max="8474" width="13.7109375" style="1101" customWidth="1"/>
    <col min="8475" max="8475" width="20.85546875" style="1101" customWidth="1"/>
    <col min="8476" max="8691" width="11.42578125" style="1101"/>
    <col min="8692" max="8692" width="13.140625" style="1101" customWidth="1"/>
    <col min="8693" max="8693" width="35.28515625" style="1101" customWidth="1"/>
    <col min="8694" max="8694" width="12.85546875" style="1101" customWidth="1"/>
    <col min="8695" max="8695" width="19.5703125" style="1101" customWidth="1"/>
    <col min="8696" max="8696" width="12.28515625" style="1101" customWidth="1"/>
    <col min="8697" max="8697" width="21.28515625" style="1101" customWidth="1"/>
    <col min="8698" max="8698" width="11.5703125" style="1101" customWidth="1"/>
    <col min="8699" max="8699" width="33.140625" style="1101" customWidth="1"/>
    <col min="8700" max="8700" width="22.7109375" style="1101" customWidth="1"/>
    <col min="8701" max="8701" width="10.7109375" style="1101" customWidth="1"/>
    <col min="8702" max="8702" width="27.7109375" style="1101" customWidth="1"/>
    <col min="8703" max="8703" width="21.42578125" style="1101" customWidth="1"/>
    <col min="8704" max="8704" width="22.140625" style="1101" customWidth="1"/>
    <col min="8705" max="8705" width="12.7109375" style="1101" customWidth="1"/>
    <col min="8706" max="8706" width="16.42578125" style="1101" customWidth="1"/>
    <col min="8707" max="8707" width="29.7109375" style="1101" customWidth="1"/>
    <col min="8708" max="8708" width="29.140625" style="1101" customWidth="1"/>
    <col min="8709" max="8709" width="33.5703125" style="1101" customWidth="1"/>
    <col min="8710" max="8710" width="25" style="1101" customWidth="1"/>
    <col min="8711" max="8711" width="11.7109375" style="1101" customWidth="1"/>
    <col min="8712" max="8712" width="17.28515625" style="1101" customWidth="1"/>
    <col min="8713" max="8728" width="7.28515625" style="1101" customWidth="1"/>
    <col min="8729" max="8730" width="13.7109375" style="1101" customWidth="1"/>
    <col min="8731" max="8731" width="20.85546875" style="1101" customWidth="1"/>
    <col min="8732" max="8947" width="11.42578125" style="1101"/>
    <col min="8948" max="8948" width="13.140625" style="1101" customWidth="1"/>
    <col min="8949" max="8949" width="35.28515625" style="1101" customWidth="1"/>
    <col min="8950" max="8950" width="12.85546875" style="1101" customWidth="1"/>
    <col min="8951" max="8951" width="19.5703125" style="1101" customWidth="1"/>
    <col min="8952" max="8952" width="12.28515625" style="1101" customWidth="1"/>
    <col min="8953" max="8953" width="21.28515625" style="1101" customWidth="1"/>
    <col min="8954" max="8954" width="11.5703125" style="1101" customWidth="1"/>
    <col min="8955" max="8955" width="33.140625" style="1101" customWidth="1"/>
    <col min="8956" max="8956" width="22.7109375" style="1101" customWidth="1"/>
    <col min="8957" max="8957" width="10.7109375" style="1101" customWidth="1"/>
    <col min="8958" max="8958" width="27.7109375" style="1101" customWidth="1"/>
    <col min="8959" max="8959" width="21.42578125" style="1101" customWidth="1"/>
    <col min="8960" max="8960" width="22.140625" style="1101" customWidth="1"/>
    <col min="8961" max="8961" width="12.7109375" style="1101" customWidth="1"/>
    <col min="8962" max="8962" width="16.42578125" style="1101" customWidth="1"/>
    <col min="8963" max="8963" width="29.7109375" style="1101" customWidth="1"/>
    <col min="8964" max="8964" width="29.140625" style="1101" customWidth="1"/>
    <col min="8965" max="8965" width="33.5703125" style="1101" customWidth="1"/>
    <col min="8966" max="8966" width="25" style="1101" customWidth="1"/>
    <col min="8967" max="8967" width="11.7109375" style="1101" customWidth="1"/>
    <col min="8968" max="8968" width="17.28515625" style="1101" customWidth="1"/>
    <col min="8969" max="8984" width="7.28515625" style="1101" customWidth="1"/>
    <col min="8985" max="8986" width="13.7109375" style="1101" customWidth="1"/>
    <col min="8987" max="8987" width="20.85546875" style="1101" customWidth="1"/>
    <col min="8988" max="9203" width="11.42578125" style="1101"/>
    <col min="9204" max="9204" width="13.140625" style="1101" customWidth="1"/>
    <col min="9205" max="9205" width="35.28515625" style="1101" customWidth="1"/>
    <col min="9206" max="9206" width="12.85546875" style="1101" customWidth="1"/>
    <col min="9207" max="9207" width="19.5703125" style="1101" customWidth="1"/>
    <col min="9208" max="9208" width="12.28515625" style="1101" customWidth="1"/>
    <col min="9209" max="9209" width="21.28515625" style="1101" customWidth="1"/>
    <col min="9210" max="9210" width="11.5703125" style="1101" customWidth="1"/>
    <col min="9211" max="9211" width="33.140625" style="1101" customWidth="1"/>
    <col min="9212" max="9212" width="22.7109375" style="1101" customWidth="1"/>
    <col min="9213" max="9213" width="10.7109375" style="1101" customWidth="1"/>
    <col min="9214" max="9214" width="27.7109375" style="1101" customWidth="1"/>
    <col min="9215" max="9215" width="21.42578125" style="1101" customWidth="1"/>
    <col min="9216" max="9216" width="22.140625" style="1101" customWidth="1"/>
    <col min="9217" max="9217" width="12.7109375" style="1101" customWidth="1"/>
    <col min="9218" max="9218" width="16.42578125" style="1101" customWidth="1"/>
    <col min="9219" max="9219" width="29.7109375" style="1101" customWidth="1"/>
    <col min="9220" max="9220" width="29.140625" style="1101" customWidth="1"/>
    <col min="9221" max="9221" width="33.5703125" style="1101" customWidth="1"/>
    <col min="9222" max="9222" width="25" style="1101" customWidth="1"/>
    <col min="9223" max="9223" width="11.7109375" style="1101" customWidth="1"/>
    <col min="9224" max="9224" width="17.28515625" style="1101" customWidth="1"/>
    <col min="9225" max="9240" width="7.28515625" style="1101" customWidth="1"/>
    <col min="9241" max="9242" width="13.7109375" style="1101" customWidth="1"/>
    <col min="9243" max="9243" width="20.85546875" style="1101" customWidth="1"/>
    <col min="9244" max="9459" width="11.42578125" style="1101"/>
    <col min="9460" max="9460" width="13.140625" style="1101" customWidth="1"/>
    <col min="9461" max="9461" width="35.28515625" style="1101" customWidth="1"/>
    <col min="9462" max="9462" width="12.85546875" style="1101" customWidth="1"/>
    <col min="9463" max="9463" width="19.5703125" style="1101" customWidth="1"/>
    <col min="9464" max="9464" width="12.28515625" style="1101" customWidth="1"/>
    <col min="9465" max="9465" width="21.28515625" style="1101" customWidth="1"/>
    <col min="9466" max="9466" width="11.5703125" style="1101" customWidth="1"/>
    <col min="9467" max="9467" width="33.140625" style="1101" customWidth="1"/>
    <col min="9468" max="9468" width="22.7109375" style="1101" customWidth="1"/>
    <col min="9469" max="9469" width="10.7109375" style="1101" customWidth="1"/>
    <col min="9470" max="9470" width="27.7109375" style="1101" customWidth="1"/>
    <col min="9471" max="9471" width="21.42578125" style="1101" customWidth="1"/>
    <col min="9472" max="9472" width="22.140625" style="1101" customWidth="1"/>
    <col min="9473" max="9473" width="12.7109375" style="1101" customWidth="1"/>
    <col min="9474" max="9474" width="16.42578125" style="1101" customWidth="1"/>
    <col min="9475" max="9475" width="29.7109375" style="1101" customWidth="1"/>
    <col min="9476" max="9476" width="29.140625" style="1101" customWidth="1"/>
    <col min="9477" max="9477" width="33.5703125" style="1101" customWidth="1"/>
    <col min="9478" max="9478" width="25" style="1101" customWidth="1"/>
    <col min="9479" max="9479" width="11.7109375" style="1101" customWidth="1"/>
    <col min="9480" max="9480" width="17.28515625" style="1101" customWidth="1"/>
    <col min="9481" max="9496" width="7.28515625" style="1101" customWidth="1"/>
    <col min="9497" max="9498" width="13.7109375" style="1101" customWidth="1"/>
    <col min="9499" max="9499" width="20.85546875" style="1101" customWidth="1"/>
    <col min="9500" max="9715" width="11.42578125" style="1101"/>
    <col min="9716" max="9716" width="13.140625" style="1101" customWidth="1"/>
    <col min="9717" max="9717" width="35.28515625" style="1101" customWidth="1"/>
    <col min="9718" max="9718" width="12.85546875" style="1101" customWidth="1"/>
    <col min="9719" max="9719" width="19.5703125" style="1101" customWidth="1"/>
    <col min="9720" max="9720" width="12.28515625" style="1101" customWidth="1"/>
    <col min="9721" max="9721" width="21.28515625" style="1101" customWidth="1"/>
    <col min="9722" max="9722" width="11.5703125" style="1101" customWidth="1"/>
    <col min="9723" max="9723" width="33.140625" style="1101" customWidth="1"/>
    <col min="9724" max="9724" width="22.7109375" style="1101" customWidth="1"/>
    <col min="9725" max="9725" width="10.7109375" style="1101" customWidth="1"/>
    <col min="9726" max="9726" width="27.7109375" style="1101" customWidth="1"/>
    <col min="9727" max="9727" width="21.42578125" style="1101" customWidth="1"/>
    <col min="9728" max="9728" width="22.140625" style="1101" customWidth="1"/>
    <col min="9729" max="9729" width="12.7109375" style="1101" customWidth="1"/>
    <col min="9730" max="9730" width="16.42578125" style="1101" customWidth="1"/>
    <col min="9731" max="9731" width="29.7109375" style="1101" customWidth="1"/>
    <col min="9732" max="9732" width="29.140625" style="1101" customWidth="1"/>
    <col min="9733" max="9733" width="33.5703125" style="1101" customWidth="1"/>
    <col min="9734" max="9734" width="25" style="1101" customWidth="1"/>
    <col min="9735" max="9735" width="11.7109375" style="1101" customWidth="1"/>
    <col min="9736" max="9736" width="17.28515625" style="1101" customWidth="1"/>
    <col min="9737" max="9752" width="7.28515625" style="1101" customWidth="1"/>
    <col min="9753" max="9754" width="13.7109375" style="1101" customWidth="1"/>
    <col min="9755" max="9755" width="20.85546875" style="1101" customWidth="1"/>
    <col min="9756" max="9971" width="11.42578125" style="1101"/>
    <col min="9972" max="9972" width="13.140625" style="1101" customWidth="1"/>
    <col min="9973" max="9973" width="35.28515625" style="1101" customWidth="1"/>
    <col min="9974" max="9974" width="12.85546875" style="1101" customWidth="1"/>
    <col min="9975" max="9975" width="19.5703125" style="1101" customWidth="1"/>
    <col min="9976" max="9976" width="12.28515625" style="1101" customWidth="1"/>
    <col min="9977" max="9977" width="21.28515625" style="1101" customWidth="1"/>
    <col min="9978" max="9978" width="11.5703125" style="1101" customWidth="1"/>
    <col min="9979" max="9979" width="33.140625" style="1101" customWidth="1"/>
    <col min="9980" max="9980" width="22.7109375" style="1101" customWidth="1"/>
    <col min="9981" max="9981" width="10.7109375" style="1101" customWidth="1"/>
    <col min="9982" max="9982" width="27.7109375" style="1101" customWidth="1"/>
    <col min="9983" max="9983" width="21.42578125" style="1101" customWidth="1"/>
    <col min="9984" max="9984" width="22.140625" style="1101" customWidth="1"/>
    <col min="9985" max="9985" width="12.7109375" style="1101" customWidth="1"/>
    <col min="9986" max="9986" width="16.42578125" style="1101" customWidth="1"/>
    <col min="9987" max="9987" width="29.7109375" style="1101" customWidth="1"/>
    <col min="9988" max="9988" width="29.140625" style="1101" customWidth="1"/>
    <col min="9989" max="9989" width="33.5703125" style="1101" customWidth="1"/>
    <col min="9990" max="9990" width="25" style="1101" customWidth="1"/>
    <col min="9991" max="9991" width="11.7109375" style="1101" customWidth="1"/>
    <col min="9992" max="9992" width="17.28515625" style="1101" customWidth="1"/>
    <col min="9993" max="10008" width="7.28515625" style="1101" customWidth="1"/>
    <col min="10009" max="10010" width="13.7109375" style="1101" customWidth="1"/>
    <col min="10011" max="10011" width="20.85546875" style="1101" customWidth="1"/>
    <col min="10012" max="10227" width="11.42578125" style="1101"/>
    <col min="10228" max="10228" width="13.140625" style="1101" customWidth="1"/>
    <col min="10229" max="10229" width="35.28515625" style="1101" customWidth="1"/>
    <col min="10230" max="10230" width="12.85546875" style="1101" customWidth="1"/>
    <col min="10231" max="10231" width="19.5703125" style="1101" customWidth="1"/>
    <col min="10232" max="10232" width="12.28515625" style="1101" customWidth="1"/>
    <col min="10233" max="10233" width="21.28515625" style="1101" customWidth="1"/>
    <col min="10234" max="10234" width="11.5703125" style="1101" customWidth="1"/>
    <col min="10235" max="10235" width="33.140625" style="1101" customWidth="1"/>
    <col min="10236" max="10236" width="22.7109375" style="1101" customWidth="1"/>
    <col min="10237" max="10237" width="10.7109375" style="1101" customWidth="1"/>
    <col min="10238" max="10238" width="27.7109375" style="1101" customWidth="1"/>
    <col min="10239" max="10239" width="21.42578125" style="1101" customWidth="1"/>
    <col min="10240" max="10240" width="22.140625" style="1101" customWidth="1"/>
    <col min="10241" max="10241" width="12.7109375" style="1101" customWidth="1"/>
    <col min="10242" max="10242" width="16.42578125" style="1101" customWidth="1"/>
    <col min="10243" max="10243" width="29.7109375" style="1101" customWidth="1"/>
    <col min="10244" max="10244" width="29.140625" style="1101" customWidth="1"/>
    <col min="10245" max="10245" width="33.5703125" style="1101" customWidth="1"/>
    <col min="10246" max="10246" width="25" style="1101" customWidth="1"/>
    <col min="10247" max="10247" width="11.7109375" style="1101" customWidth="1"/>
    <col min="10248" max="10248" width="17.28515625" style="1101" customWidth="1"/>
    <col min="10249" max="10264" width="7.28515625" style="1101" customWidth="1"/>
    <col min="10265" max="10266" width="13.7109375" style="1101" customWidth="1"/>
    <col min="10267" max="10267" width="20.85546875" style="1101" customWidth="1"/>
    <col min="10268" max="10483" width="11.42578125" style="1101"/>
    <col min="10484" max="10484" width="13.140625" style="1101" customWidth="1"/>
    <col min="10485" max="10485" width="35.28515625" style="1101" customWidth="1"/>
    <col min="10486" max="10486" width="12.85546875" style="1101" customWidth="1"/>
    <col min="10487" max="10487" width="19.5703125" style="1101" customWidth="1"/>
    <col min="10488" max="10488" width="12.28515625" style="1101" customWidth="1"/>
    <col min="10489" max="10489" width="21.28515625" style="1101" customWidth="1"/>
    <col min="10490" max="10490" width="11.5703125" style="1101" customWidth="1"/>
    <col min="10491" max="10491" width="33.140625" style="1101" customWidth="1"/>
    <col min="10492" max="10492" width="22.7109375" style="1101" customWidth="1"/>
    <col min="10493" max="10493" width="10.7109375" style="1101" customWidth="1"/>
    <col min="10494" max="10494" width="27.7109375" style="1101" customWidth="1"/>
    <col min="10495" max="10495" width="21.42578125" style="1101" customWidth="1"/>
    <col min="10496" max="10496" width="22.140625" style="1101" customWidth="1"/>
    <col min="10497" max="10497" width="12.7109375" style="1101" customWidth="1"/>
    <col min="10498" max="10498" width="16.42578125" style="1101" customWidth="1"/>
    <col min="10499" max="10499" width="29.7109375" style="1101" customWidth="1"/>
    <col min="10500" max="10500" width="29.140625" style="1101" customWidth="1"/>
    <col min="10501" max="10501" width="33.5703125" style="1101" customWidth="1"/>
    <col min="10502" max="10502" width="25" style="1101" customWidth="1"/>
    <col min="10503" max="10503" width="11.7109375" style="1101" customWidth="1"/>
    <col min="10504" max="10504" width="17.28515625" style="1101" customWidth="1"/>
    <col min="10505" max="10520" width="7.28515625" style="1101" customWidth="1"/>
    <col min="10521" max="10522" width="13.7109375" style="1101" customWidth="1"/>
    <col min="10523" max="10523" width="20.85546875" style="1101" customWidth="1"/>
    <col min="10524" max="10739" width="11.42578125" style="1101"/>
    <col min="10740" max="10740" width="13.140625" style="1101" customWidth="1"/>
    <col min="10741" max="10741" width="35.28515625" style="1101" customWidth="1"/>
    <col min="10742" max="10742" width="12.85546875" style="1101" customWidth="1"/>
    <col min="10743" max="10743" width="19.5703125" style="1101" customWidth="1"/>
    <col min="10744" max="10744" width="12.28515625" style="1101" customWidth="1"/>
    <col min="10745" max="10745" width="21.28515625" style="1101" customWidth="1"/>
    <col min="10746" max="10746" width="11.5703125" style="1101" customWidth="1"/>
    <col min="10747" max="10747" width="33.140625" style="1101" customWidth="1"/>
    <col min="10748" max="10748" width="22.7109375" style="1101" customWidth="1"/>
    <col min="10749" max="10749" width="10.7109375" style="1101" customWidth="1"/>
    <col min="10750" max="10750" width="27.7109375" style="1101" customWidth="1"/>
    <col min="10751" max="10751" width="21.42578125" style="1101" customWidth="1"/>
    <col min="10752" max="10752" width="22.140625" style="1101" customWidth="1"/>
    <col min="10753" max="10753" width="12.7109375" style="1101" customWidth="1"/>
    <col min="10754" max="10754" width="16.42578125" style="1101" customWidth="1"/>
    <col min="10755" max="10755" width="29.7109375" style="1101" customWidth="1"/>
    <col min="10756" max="10756" width="29.140625" style="1101" customWidth="1"/>
    <col min="10757" max="10757" width="33.5703125" style="1101" customWidth="1"/>
    <col min="10758" max="10758" width="25" style="1101" customWidth="1"/>
    <col min="10759" max="10759" width="11.7109375" style="1101" customWidth="1"/>
    <col min="10760" max="10760" width="17.28515625" style="1101" customWidth="1"/>
    <col min="10761" max="10776" width="7.28515625" style="1101" customWidth="1"/>
    <col min="10777" max="10778" width="13.7109375" style="1101" customWidth="1"/>
    <col min="10779" max="10779" width="20.85546875" style="1101" customWidth="1"/>
    <col min="10780" max="10995" width="11.42578125" style="1101"/>
    <col min="10996" max="10996" width="13.140625" style="1101" customWidth="1"/>
    <col min="10997" max="10997" width="35.28515625" style="1101" customWidth="1"/>
    <col min="10998" max="10998" width="12.85546875" style="1101" customWidth="1"/>
    <col min="10999" max="10999" width="19.5703125" style="1101" customWidth="1"/>
    <col min="11000" max="11000" width="12.28515625" style="1101" customWidth="1"/>
    <col min="11001" max="11001" width="21.28515625" style="1101" customWidth="1"/>
    <col min="11002" max="11002" width="11.5703125" style="1101" customWidth="1"/>
    <col min="11003" max="11003" width="33.140625" style="1101" customWidth="1"/>
    <col min="11004" max="11004" width="22.7109375" style="1101" customWidth="1"/>
    <col min="11005" max="11005" width="10.7109375" style="1101" customWidth="1"/>
    <col min="11006" max="11006" width="27.7109375" style="1101" customWidth="1"/>
    <col min="11007" max="11007" width="21.42578125" style="1101" customWidth="1"/>
    <col min="11008" max="11008" width="22.140625" style="1101" customWidth="1"/>
    <col min="11009" max="11009" width="12.7109375" style="1101" customWidth="1"/>
    <col min="11010" max="11010" width="16.42578125" style="1101" customWidth="1"/>
    <col min="11011" max="11011" width="29.7109375" style="1101" customWidth="1"/>
    <col min="11012" max="11012" width="29.140625" style="1101" customWidth="1"/>
    <col min="11013" max="11013" width="33.5703125" style="1101" customWidth="1"/>
    <col min="11014" max="11014" width="25" style="1101" customWidth="1"/>
    <col min="11015" max="11015" width="11.7109375" style="1101" customWidth="1"/>
    <col min="11016" max="11016" width="17.28515625" style="1101" customWidth="1"/>
    <col min="11017" max="11032" width="7.28515625" style="1101" customWidth="1"/>
    <col min="11033" max="11034" width="13.7109375" style="1101" customWidth="1"/>
    <col min="11035" max="11035" width="20.85546875" style="1101" customWidth="1"/>
    <col min="11036" max="11251" width="11.42578125" style="1101"/>
    <col min="11252" max="11252" width="13.140625" style="1101" customWidth="1"/>
    <col min="11253" max="11253" width="35.28515625" style="1101" customWidth="1"/>
    <col min="11254" max="11254" width="12.85546875" style="1101" customWidth="1"/>
    <col min="11255" max="11255" width="19.5703125" style="1101" customWidth="1"/>
    <col min="11256" max="11256" width="12.28515625" style="1101" customWidth="1"/>
    <col min="11257" max="11257" width="21.28515625" style="1101" customWidth="1"/>
    <col min="11258" max="11258" width="11.5703125" style="1101" customWidth="1"/>
    <col min="11259" max="11259" width="33.140625" style="1101" customWidth="1"/>
    <col min="11260" max="11260" width="22.7109375" style="1101" customWidth="1"/>
    <col min="11261" max="11261" width="10.7109375" style="1101" customWidth="1"/>
    <col min="11262" max="11262" width="27.7109375" style="1101" customWidth="1"/>
    <col min="11263" max="11263" width="21.42578125" style="1101" customWidth="1"/>
    <col min="11264" max="11264" width="22.140625" style="1101" customWidth="1"/>
    <col min="11265" max="11265" width="12.7109375" style="1101" customWidth="1"/>
    <col min="11266" max="11266" width="16.42578125" style="1101" customWidth="1"/>
    <col min="11267" max="11267" width="29.7109375" style="1101" customWidth="1"/>
    <col min="11268" max="11268" width="29.140625" style="1101" customWidth="1"/>
    <col min="11269" max="11269" width="33.5703125" style="1101" customWidth="1"/>
    <col min="11270" max="11270" width="25" style="1101" customWidth="1"/>
    <col min="11271" max="11271" width="11.7109375" style="1101" customWidth="1"/>
    <col min="11272" max="11272" width="17.28515625" style="1101" customWidth="1"/>
    <col min="11273" max="11288" width="7.28515625" style="1101" customWidth="1"/>
    <col min="11289" max="11290" width="13.7109375" style="1101" customWidth="1"/>
    <col min="11291" max="11291" width="20.85546875" style="1101" customWidth="1"/>
    <col min="11292" max="11507" width="11.42578125" style="1101"/>
    <col min="11508" max="11508" width="13.140625" style="1101" customWidth="1"/>
    <col min="11509" max="11509" width="35.28515625" style="1101" customWidth="1"/>
    <col min="11510" max="11510" width="12.85546875" style="1101" customWidth="1"/>
    <col min="11511" max="11511" width="19.5703125" style="1101" customWidth="1"/>
    <col min="11512" max="11512" width="12.28515625" style="1101" customWidth="1"/>
    <col min="11513" max="11513" width="21.28515625" style="1101" customWidth="1"/>
    <col min="11514" max="11514" width="11.5703125" style="1101" customWidth="1"/>
    <col min="11515" max="11515" width="33.140625" style="1101" customWidth="1"/>
    <col min="11516" max="11516" width="22.7109375" style="1101" customWidth="1"/>
    <col min="11517" max="11517" width="10.7109375" style="1101" customWidth="1"/>
    <col min="11518" max="11518" width="27.7109375" style="1101" customWidth="1"/>
    <col min="11519" max="11519" width="21.42578125" style="1101" customWidth="1"/>
    <col min="11520" max="11520" width="22.140625" style="1101" customWidth="1"/>
    <col min="11521" max="11521" width="12.7109375" style="1101" customWidth="1"/>
    <col min="11522" max="11522" width="16.42578125" style="1101" customWidth="1"/>
    <col min="11523" max="11523" width="29.7109375" style="1101" customWidth="1"/>
    <col min="11524" max="11524" width="29.140625" style="1101" customWidth="1"/>
    <col min="11525" max="11525" width="33.5703125" style="1101" customWidth="1"/>
    <col min="11526" max="11526" width="25" style="1101" customWidth="1"/>
    <col min="11527" max="11527" width="11.7109375" style="1101" customWidth="1"/>
    <col min="11528" max="11528" width="17.28515625" style="1101" customWidth="1"/>
    <col min="11529" max="11544" width="7.28515625" style="1101" customWidth="1"/>
    <col min="11545" max="11546" width="13.7109375" style="1101" customWidth="1"/>
    <col min="11547" max="11547" width="20.85546875" style="1101" customWidth="1"/>
    <col min="11548" max="11763" width="11.42578125" style="1101"/>
    <col min="11764" max="11764" width="13.140625" style="1101" customWidth="1"/>
    <col min="11765" max="11765" width="35.28515625" style="1101" customWidth="1"/>
    <col min="11766" max="11766" width="12.85546875" style="1101" customWidth="1"/>
    <col min="11767" max="11767" width="19.5703125" style="1101" customWidth="1"/>
    <col min="11768" max="11768" width="12.28515625" style="1101" customWidth="1"/>
    <col min="11769" max="11769" width="21.28515625" style="1101" customWidth="1"/>
    <col min="11770" max="11770" width="11.5703125" style="1101" customWidth="1"/>
    <col min="11771" max="11771" width="33.140625" style="1101" customWidth="1"/>
    <col min="11772" max="11772" width="22.7109375" style="1101" customWidth="1"/>
    <col min="11773" max="11773" width="10.7109375" style="1101" customWidth="1"/>
    <col min="11774" max="11774" width="27.7109375" style="1101" customWidth="1"/>
    <col min="11775" max="11775" width="21.42578125" style="1101" customWidth="1"/>
    <col min="11776" max="11776" width="22.140625" style="1101" customWidth="1"/>
    <col min="11777" max="11777" width="12.7109375" style="1101" customWidth="1"/>
    <col min="11778" max="11778" width="16.42578125" style="1101" customWidth="1"/>
    <col min="11779" max="11779" width="29.7109375" style="1101" customWidth="1"/>
    <col min="11780" max="11780" width="29.140625" style="1101" customWidth="1"/>
    <col min="11781" max="11781" width="33.5703125" style="1101" customWidth="1"/>
    <col min="11782" max="11782" width="25" style="1101" customWidth="1"/>
    <col min="11783" max="11783" width="11.7109375" style="1101" customWidth="1"/>
    <col min="11784" max="11784" width="17.28515625" style="1101" customWidth="1"/>
    <col min="11785" max="11800" width="7.28515625" style="1101" customWidth="1"/>
    <col min="11801" max="11802" width="13.7109375" style="1101" customWidth="1"/>
    <col min="11803" max="11803" width="20.85546875" style="1101" customWidth="1"/>
    <col min="11804" max="12019" width="11.42578125" style="1101"/>
    <col min="12020" max="12020" width="13.140625" style="1101" customWidth="1"/>
    <col min="12021" max="12021" width="35.28515625" style="1101" customWidth="1"/>
    <col min="12022" max="12022" width="12.85546875" style="1101" customWidth="1"/>
    <col min="12023" max="12023" width="19.5703125" style="1101" customWidth="1"/>
    <col min="12024" max="12024" width="12.28515625" style="1101" customWidth="1"/>
    <col min="12025" max="12025" width="21.28515625" style="1101" customWidth="1"/>
    <col min="12026" max="12026" width="11.5703125" style="1101" customWidth="1"/>
    <col min="12027" max="12027" width="33.140625" style="1101" customWidth="1"/>
    <col min="12028" max="12028" width="22.7109375" style="1101" customWidth="1"/>
    <col min="12029" max="12029" width="10.7109375" style="1101" customWidth="1"/>
    <col min="12030" max="12030" width="27.7109375" style="1101" customWidth="1"/>
    <col min="12031" max="12031" width="21.42578125" style="1101" customWidth="1"/>
    <col min="12032" max="12032" width="22.140625" style="1101" customWidth="1"/>
    <col min="12033" max="12033" width="12.7109375" style="1101" customWidth="1"/>
    <col min="12034" max="12034" width="16.42578125" style="1101" customWidth="1"/>
    <col min="12035" max="12035" width="29.7109375" style="1101" customWidth="1"/>
    <col min="12036" max="12036" width="29.140625" style="1101" customWidth="1"/>
    <col min="12037" max="12037" width="33.5703125" style="1101" customWidth="1"/>
    <col min="12038" max="12038" width="25" style="1101" customWidth="1"/>
    <col min="12039" max="12039" width="11.7109375" style="1101" customWidth="1"/>
    <col min="12040" max="12040" width="17.28515625" style="1101" customWidth="1"/>
    <col min="12041" max="12056" width="7.28515625" style="1101" customWidth="1"/>
    <col min="12057" max="12058" width="13.7109375" style="1101" customWidth="1"/>
    <col min="12059" max="12059" width="20.85546875" style="1101" customWidth="1"/>
    <col min="12060" max="12275" width="11.42578125" style="1101"/>
    <col min="12276" max="12276" width="13.140625" style="1101" customWidth="1"/>
    <col min="12277" max="12277" width="35.28515625" style="1101" customWidth="1"/>
    <col min="12278" max="12278" width="12.85546875" style="1101" customWidth="1"/>
    <col min="12279" max="12279" width="19.5703125" style="1101" customWidth="1"/>
    <col min="12280" max="12280" width="12.28515625" style="1101" customWidth="1"/>
    <col min="12281" max="12281" width="21.28515625" style="1101" customWidth="1"/>
    <col min="12282" max="12282" width="11.5703125" style="1101" customWidth="1"/>
    <col min="12283" max="12283" width="33.140625" style="1101" customWidth="1"/>
    <col min="12284" max="12284" width="22.7109375" style="1101" customWidth="1"/>
    <col min="12285" max="12285" width="10.7109375" style="1101" customWidth="1"/>
    <col min="12286" max="12286" width="27.7109375" style="1101" customWidth="1"/>
    <col min="12287" max="12287" width="21.42578125" style="1101" customWidth="1"/>
    <col min="12288" max="12288" width="22.140625" style="1101" customWidth="1"/>
    <col min="12289" max="12289" width="12.7109375" style="1101" customWidth="1"/>
    <col min="12290" max="12290" width="16.42578125" style="1101" customWidth="1"/>
    <col min="12291" max="12291" width="29.7109375" style="1101" customWidth="1"/>
    <col min="12292" max="12292" width="29.140625" style="1101" customWidth="1"/>
    <col min="12293" max="12293" width="33.5703125" style="1101" customWidth="1"/>
    <col min="12294" max="12294" width="25" style="1101" customWidth="1"/>
    <col min="12295" max="12295" width="11.7109375" style="1101" customWidth="1"/>
    <col min="12296" max="12296" width="17.28515625" style="1101" customWidth="1"/>
    <col min="12297" max="12312" width="7.28515625" style="1101" customWidth="1"/>
    <col min="12313" max="12314" width="13.7109375" style="1101" customWidth="1"/>
    <col min="12315" max="12315" width="20.85546875" style="1101" customWidth="1"/>
    <col min="12316" max="12531" width="11.42578125" style="1101"/>
    <col min="12532" max="12532" width="13.140625" style="1101" customWidth="1"/>
    <col min="12533" max="12533" width="35.28515625" style="1101" customWidth="1"/>
    <col min="12534" max="12534" width="12.85546875" style="1101" customWidth="1"/>
    <col min="12535" max="12535" width="19.5703125" style="1101" customWidth="1"/>
    <col min="12536" max="12536" width="12.28515625" style="1101" customWidth="1"/>
    <col min="12537" max="12537" width="21.28515625" style="1101" customWidth="1"/>
    <col min="12538" max="12538" width="11.5703125" style="1101" customWidth="1"/>
    <col min="12539" max="12539" width="33.140625" style="1101" customWidth="1"/>
    <col min="12540" max="12540" width="22.7109375" style="1101" customWidth="1"/>
    <col min="12541" max="12541" width="10.7109375" style="1101" customWidth="1"/>
    <col min="12542" max="12542" width="27.7109375" style="1101" customWidth="1"/>
    <col min="12543" max="12543" width="21.42578125" style="1101" customWidth="1"/>
    <col min="12544" max="12544" width="22.140625" style="1101" customWidth="1"/>
    <col min="12545" max="12545" width="12.7109375" style="1101" customWidth="1"/>
    <col min="12546" max="12546" width="16.42578125" style="1101" customWidth="1"/>
    <col min="12547" max="12547" width="29.7109375" style="1101" customWidth="1"/>
    <col min="12548" max="12548" width="29.140625" style="1101" customWidth="1"/>
    <col min="12549" max="12549" width="33.5703125" style="1101" customWidth="1"/>
    <col min="12550" max="12550" width="25" style="1101" customWidth="1"/>
    <col min="12551" max="12551" width="11.7109375" style="1101" customWidth="1"/>
    <col min="12552" max="12552" width="17.28515625" style="1101" customWidth="1"/>
    <col min="12553" max="12568" width="7.28515625" style="1101" customWidth="1"/>
    <col min="12569" max="12570" width="13.7109375" style="1101" customWidth="1"/>
    <col min="12571" max="12571" width="20.85546875" style="1101" customWidth="1"/>
    <col min="12572" max="12787" width="11.42578125" style="1101"/>
    <col min="12788" max="12788" width="13.140625" style="1101" customWidth="1"/>
    <col min="12789" max="12789" width="35.28515625" style="1101" customWidth="1"/>
    <col min="12790" max="12790" width="12.85546875" style="1101" customWidth="1"/>
    <col min="12791" max="12791" width="19.5703125" style="1101" customWidth="1"/>
    <col min="12792" max="12792" width="12.28515625" style="1101" customWidth="1"/>
    <col min="12793" max="12793" width="21.28515625" style="1101" customWidth="1"/>
    <col min="12794" max="12794" width="11.5703125" style="1101" customWidth="1"/>
    <col min="12795" max="12795" width="33.140625" style="1101" customWidth="1"/>
    <col min="12796" max="12796" width="22.7109375" style="1101" customWidth="1"/>
    <col min="12797" max="12797" width="10.7109375" style="1101" customWidth="1"/>
    <col min="12798" max="12798" width="27.7109375" style="1101" customWidth="1"/>
    <col min="12799" max="12799" width="21.42578125" style="1101" customWidth="1"/>
    <col min="12800" max="12800" width="22.140625" style="1101" customWidth="1"/>
    <col min="12801" max="12801" width="12.7109375" style="1101" customWidth="1"/>
    <col min="12802" max="12802" width="16.42578125" style="1101" customWidth="1"/>
    <col min="12803" max="12803" width="29.7109375" style="1101" customWidth="1"/>
    <col min="12804" max="12804" width="29.140625" style="1101" customWidth="1"/>
    <col min="12805" max="12805" width="33.5703125" style="1101" customWidth="1"/>
    <col min="12806" max="12806" width="25" style="1101" customWidth="1"/>
    <col min="12807" max="12807" width="11.7109375" style="1101" customWidth="1"/>
    <col min="12808" max="12808" width="17.28515625" style="1101" customWidth="1"/>
    <col min="12809" max="12824" width="7.28515625" style="1101" customWidth="1"/>
    <col min="12825" max="12826" width="13.7109375" style="1101" customWidth="1"/>
    <col min="12827" max="12827" width="20.85546875" style="1101" customWidth="1"/>
    <col min="12828" max="13043" width="11.42578125" style="1101"/>
    <col min="13044" max="13044" width="13.140625" style="1101" customWidth="1"/>
    <col min="13045" max="13045" width="35.28515625" style="1101" customWidth="1"/>
    <col min="13046" max="13046" width="12.85546875" style="1101" customWidth="1"/>
    <col min="13047" max="13047" width="19.5703125" style="1101" customWidth="1"/>
    <col min="13048" max="13048" width="12.28515625" style="1101" customWidth="1"/>
    <col min="13049" max="13049" width="21.28515625" style="1101" customWidth="1"/>
    <col min="13050" max="13050" width="11.5703125" style="1101" customWidth="1"/>
    <col min="13051" max="13051" width="33.140625" style="1101" customWidth="1"/>
    <col min="13052" max="13052" width="22.7109375" style="1101" customWidth="1"/>
    <col min="13053" max="13053" width="10.7109375" style="1101" customWidth="1"/>
    <col min="13054" max="13054" width="27.7109375" style="1101" customWidth="1"/>
    <col min="13055" max="13055" width="21.42578125" style="1101" customWidth="1"/>
    <col min="13056" max="13056" width="22.140625" style="1101" customWidth="1"/>
    <col min="13057" max="13057" width="12.7109375" style="1101" customWidth="1"/>
    <col min="13058" max="13058" width="16.42578125" style="1101" customWidth="1"/>
    <col min="13059" max="13059" width="29.7109375" style="1101" customWidth="1"/>
    <col min="13060" max="13060" width="29.140625" style="1101" customWidth="1"/>
    <col min="13061" max="13061" width="33.5703125" style="1101" customWidth="1"/>
    <col min="13062" max="13062" width="25" style="1101" customWidth="1"/>
    <col min="13063" max="13063" width="11.7109375" style="1101" customWidth="1"/>
    <col min="13064" max="13064" width="17.28515625" style="1101" customWidth="1"/>
    <col min="13065" max="13080" width="7.28515625" style="1101" customWidth="1"/>
    <col min="13081" max="13082" width="13.7109375" style="1101" customWidth="1"/>
    <col min="13083" max="13083" width="20.85546875" style="1101" customWidth="1"/>
    <col min="13084" max="13299" width="11.42578125" style="1101"/>
    <col min="13300" max="13300" width="13.140625" style="1101" customWidth="1"/>
    <col min="13301" max="13301" width="35.28515625" style="1101" customWidth="1"/>
    <col min="13302" max="13302" width="12.85546875" style="1101" customWidth="1"/>
    <col min="13303" max="13303" width="19.5703125" style="1101" customWidth="1"/>
    <col min="13304" max="13304" width="12.28515625" style="1101" customWidth="1"/>
    <col min="13305" max="13305" width="21.28515625" style="1101" customWidth="1"/>
    <col min="13306" max="13306" width="11.5703125" style="1101" customWidth="1"/>
    <col min="13307" max="13307" width="33.140625" style="1101" customWidth="1"/>
    <col min="13308" max="13308" width="22.7109375" style="1101" customWidth="1"/>
    <col min="13309" max="13309" width="10.7109375" style="1101" customWidth="1"/>
    <col min="13310" max="13310" width="27.7109375" style="1101" customWidth="1"/>
    <col min="13311" max="13311" width="21.42578125" style="1101" customWidth="1"/>
    <col min="13312" max="13312" width="22.140625" style="1101" customWidth="1"/>
    <col min="13313" max="13313" width="12.7109375" style="1101" customWidth="1"/>
    <col min="13314" max="13314" width="16.42578125" style="1101" customWidth="1"/>
    <col min="13315" max="13315" width="29.7109375" style="1101" customWidth="1"/>
    <col min="13316" max="13316" width="29.140625" style="1101" customWidth="1"/>
    <col min="13317" max="13317" width="33.5703125" style="1101" customWidth="1"/>
    <col min="13318" max="13318" width="25" style="1101" customWidth="1"/>
    <col min="13319" max="13319" width="11.7109375" style="1101" customWidth="1"/>
    <col min="13320" max="13320" width="17.28515625" style="1101" customWidth="1"/>
    <col min="13321" max="13336" width="7.28515625" style="1101" customWidth="1"/>
    <col min="13337" max="13338" width="13.7109375" style="1101" customWidth="1"/>
    <col min="13339" max="13339" width="20.85546875" style="1101" customWidth="1"/>
    <col min="13340" max="13555" width="11.42578125" style="1101"/>
    <col min="13556" max="13556" width="13.140625" style="1101" customWidth="1"/>
    <col min="13557" max="13557" width="35.28515625" style="1101" customWidth="1"/>
    <col min="13558" max="13558" width="12.85546875" style="1101" customWidth="1"/>
    <col min="13559" max="13559" width="19.5703125" style="1101" customWidth="1"/>
    <col min="13560" max="13560" width="12.28515625" style="1101" customWidth="1"/>
    <col min="13561" max="13561" width="21.28515625" style="1101" customWidth="1"/>
    <col min="13562" max="13562" width="11.5703125" style="1101" customWidth="1"/>
    <col min="13563" max="13563" width="33.140625" style="1101" customWidth="1"/>
    <col min="13564" max="13564" width="22.7109375" style="1101" customWidth="1"/>
    <col min="13565" max="13565" width="10.7109375" style="1101" customWidth="1"/>
    <col min="13566" max="13566" width="27.7109375" style="1101" customWidth="1"/>
    <col min="13567" max="13567" width="21.42578125" style="1101" customWidth="1"/>
    <col min="13568" max="13568" width="22.140625" style="1101" customWidth="1"/>
    <col min="13569" max="13569" width="12.7109375" style="1101" customWidth="1"/>
    <col min="13570" max="13570" width="16.42578125" style="1101" customWidth="1"/>
    <col min="13571" max="13571" width="29.7109375" style="1101" customWidth="1"/>
    <col min="13572" max="13572" width="29.140625" style="1101" customWidth="1"/>
    <col min="13573" max="13573" width="33.5703125" style="1101" customWidth="1"/>
    <col min="13574" max="13574" width="25" style="1101" customWidth="1"/>
    <col min="13575" max="13575" width="11.7109375" style="1101" customWidth="1"/>
    <col min="13576" max="13576" width="17.28515625" style="1101" customWidth="1"/>
    <col min="13577" max="13592" width="7.28515625" style="1101" customWidth="1"/>
    <col min="13593" max="13594" width="13.7109375" style="1101" customWidth="1"/>
    <col min="13595" max="13595" width="20.85546875" style="1101" customWidth="1"/>
    <col min="13596" max="13811" width="11.42578125" style="1101"/>
    <col min="13812" max="13812" width="13.140625" style="1101" customWidth="1"/>
    <col min="13813" max="13813" width="35.28515625" style="1101" customWidth="1"/>
    <col min="13814" max="13814" width="12.85546875" style="1101" customWidth="1"/>
    <col min="13815" max="13815" width="19.5703125" style="1101" customWidth="1"/>
    <col min="13816" max="13816" width="12.28515625" style="1101" customWidth="1"/>
    <col min="13817" max="13817" width="21.28515625" style="1101" customWidth="1"/>
    <col min="13818" max="13818" width="11.5703125" style="1101" customWidth="1"/>
    <col min="13819" max="13819" width="33.140625" style="1101" customWidth="1"/>
    <col min="13820" max="13820" width="22.7109375" style="1101" customWidth="1"/>
    <col min="13821" max="13821" width="10.7109375" style="1101" customWidth="1"/>
    <col min="13822" max="13822" width="27.7109375" style="1101" customWidth="1"/>
    <col min="13823" max="13823" width="21.42578125" style="1101" customWidth="1"/>
    <col min="13824" max="13824" width="22.140625" style="1101" customWidth="1"/>
    <col min="13825" max="13825" width="12.7109375" style="1101" customWidth="1"/>
    <col min="13826" max="13826" width="16.42578125" style="1101" customWidth="1"/>
    <col min="13827" max="13827" width="29.7109375" style="1101" customWidth="1"/>
    <col min="13828" max="13828" width="29.140625" style="1101" customWidth="1"/>
    <col min="13829" max="13829" width="33.5703125" style="1101" customWidth="1"/>
    <col min="13830" max="13830" width="25" style="1101" customWidth="1"/>
    <col min="13831" max="13831" width="11.7109375" style="1101" customWidth="1"/>
    <col min="13832" max="13832" width="17.28515625" style="1101" customWidth="1"/>
    <col min="13833" max="13848" width="7.28515625" style="1101" customWidth="1"/>
    <col min="13849" max="13850" width="13.7109375" style="1101" customWidth="1"/>
    <col min="13851" max="13851" width="20.85546875" style="1101" customWidth="1"/>
    <col min="13852" max="14067" width="11.42578125" style="1101"/>
    <col min="14068" max="14068" width="13.140625" style="1101" customWidth="1"/>
    <col min="14069" max="14069" width="35.28515625" style="1101" customWidth="1"/>
    <col min="14070" max="14070" width="12.85546875" style="1101" customWidth="1"/>
    <col min="14071" max="14071" width="19.5703125" style="1101" customWidth="1"/>
    <col min="14072" max="14072" width="12.28515625" style="1101" customWidth="1"/>
    <col min="14073" max="14073" width="21.28515625" style="1101" customWidth="1"/>
    <col min="14074" max="14074" width="11.5703125" style="1101" customWidth="1"/>
    <col min="14075" max="14075" width="33.140625" style="1101" customWidth="1"/>
    <col min="14076" max="14076" width="22.7109375" style="1101" customWidth="1"/>
    <col min="14077" max="14077" width="10.7109375" style="1101" customWidth="1"/>
    <col min="14078" max="14078" width="27.7109375" style="1101" customWidth="1"/>
    <col min="14079" max="14079" width="21.42578125" style="1101" customWidth="1"/>
    <col min="14080" max="14080" width="22.140625" style="1101" customWidth="1"/>
    <col min="14081" max="14081" width="12.7109375" style="1101" customWidth="1"/>
    <col min="14082" max="14082" width="16.42578125" style="1101" customWidth="1"/>
    <col min="14083" max="14083" width="29.7109375" style="1101" customWidth="1"/>
    <col min="14084" max="14084" width="29.140625" style="1101" customWidth="1"/>
    <col min="14085" max="14085" width="33.5703125" style="1101" customWidth="1"/>
    <col min="14086" max="14086" width="25" style="1101" customWidth="1"/>
    <col min="14087" max="14087" width="11.7109375" style="1101" customWidth="1"/>
    <col min="14088" max="14088" width="17.28515625" style="1101" customWidth="1"/>
    <col min="14089" max="14104" width="7.28515625" style="1101" customWidth="1"/>
    <col min="14105" max="14106" width="13.7109375" style="1101" customWidth="1"/>
    <col min="14107" max="14107" width="20.85546875" style="1101" customWidth="1"/>
    <col min="14108" max="14323" width="11.42578125" style="1101"/>
    <col min="14324" max="14324" width="13.140625" style="1101" customWidth="1"/>
    <col min="14325" max="14325" width="35.28515625" style="1101" customWidth="1"/>
    <col min="14326" max="14326" width="12.85546875" style="1101" customWidth="1"/>
    <col min="14327" max="14327" width="19.5703125" style="1101" customWidth="1"/>
    <col min="14328" max="14328" width="12.28515625" style="1101" customWidth="1"/>
    <col min="14329" max="14329" width="21.28515625" style="1101" customWidth="1"/>
    <col min="14330" max="14330" width="11.5703125" style="1101" customWidth="1"/>
    <col min="14331" max="14331" width="33.140625" style="1101" customWidth="1"/>
    <col min="14332" max="14332" width="22.7109375" style="1101" customWidth="1"/>
    <col min="14333" max="14333" width="10.7109375" style="1101" customWidth="1"/>
    <col min="14334" max="14334" width="27.7109375" style="1101" customWidth="1"/>
    <col min="14335" max="14335" width="21.42578125" style="1101" customWidth="1"/>
    <col min="14336" max="14336" width="22.140625" style="1101" customWidth="1"/>
    <col min="14337" max="14337" width="12.7109375" style="1101" customWidth="1"/>
    <col min="14338" max="14338" width="16.42578125" style="1101" customWidth="1"/>
    <col min="14339" max="14339" width="29.7109375" style="1101" customWidth="1"/>
    <col min="14340" max="14340" width="29.140625" style="1101" customWidth="1"/>
    <col min="14341" max="14341" width="33.5703125" style="1101" customWidth="1"/>
    <col min="14342" max="14342" width="25" style="1101" customWidth="1"/>
    <col min="14343" max="14343" width="11.7109375" style="1101" customWidth="1"/>
    <col min="14344" max="14344" width="17.28515625" style="1101" customWidth="1"/>
    <col min="14345" max="14360" width="7.28515625" style="1101" customWidth="1"/>
    <col min="14361" max="14362" width="13.7109375" style="1101" customWidth="1"/>
    <col min="14363" max="14363" width="20.85546875" style="1101" customWidth="1"/>
    <col min="14364" max="14579" width="11.42578125" style="1101"/>
    <col min="14580" max="14580" width="13.140625" style="1101" customWidth="1"/>
    <col min="14581" max="14581" width="35.28515625" style="1101" customWidth="1"/>
    <col min="14582" max="14582" width="12.85546875" style="1101" customWidth="1"/>
    <col min="14583" max="14583" width="19.5703125" style="1101" customWidth="1"/>
    <col min="14584" max="14584" width="12.28515625" style="1101" customWidth="1"/>
    <col min="14585" max="14585" width="21.28515625" style="1101" customWidth="1"/>
    <col min="14586" max="14586" width="11.5703125" style="1101" customWidth="1"/>
    <col min="14587" max="14587" width="33.140625" style="1101" customWidth="1"/>
    <col min="14588" max="14588" width="22.7109375" style="1101" customWidth="1"/>
    <col min="14589" max="14589" width="10.7109375" style="1101" customWidth="1"/>
    <col min="14590" max="14590" width="27.7109375" style="1101" customWidth="1"/>
    <col min="14591" max="14591" width="21.42578125" style="1101" customWidth="1"/>
    <col min="14592" max="14592" width="22.140625" style="1101" customWidth="1"/>
    <col min="14593" max="14593" width="12.7109375" style="1101" customWidth="1"/>
    <col min="14594" max="14594" width="16.42578125" style="1101" customWidth="1"/>
    <col min="14595" max="14595" width="29.7109375" style="1101" customWidth="1"/>
    <col min="14596" max="14596" width="29.140625" style="1101" customWidth="1"/>
    <col min="14597" max="14597" width="33.5703125" style="1101" customWidth="1"/>
    <col min="14598" max="14598" width="25" style="1101" customWidth="1"/>
    <col min="14599" max="14599" width="11.7109375" style="1101" customWidth="1"/>
    <col min="14600" max="14600" width="17.28515625" style="1101" customWidth="1"/>
    <col min="14601" max="14616" width="7.28515625" style="1101" customWidth="1"/>
    <col min="14617" max="14618" width="13.7109375" style="1101" customWidth="1"/>
    <col min="14619" max="14619" width="20.85546875" style="1101" customWidth="1"/>
    <col min="14620" max="14835" width="11.42578125" style="1101"/>
    <col min="14836" max="14836" width="13.140625" style="1101" customWidth="1"/>
    <col min="14837" max="14837" width="35.28515625" style="1101" customWidth="1"/>
    <col min="14838" max="14838" width="12.85546875" style="1101" customWidth="1"/>
    <col min="14839" max="14839" width="19.5703125" style="1101" customWidth="1"/>
    <col min="14840" max="14840" width="12.28515625" style="1101" customWidth="1"/>
    <col min="14841" max="14841" width="21.28515625" style="1101" customWidth="1"/>
    <col min="14842" max="14842" width="11.5703125" style="1101" customWidth="1"/>
    <col min="14843" max="14843" width="33.140625" style="1101" customWidth="1"/>
    <col min="14844" max="14844" width="22.7109375" style="1101" customWidth="1"/>
    <col min="14845" max="14845" width="10.7109375" style="1101" customWidth="1"/>
    <col min="14846" max="14846" width="27.7109375" style="1101" customWidth="1"/>
    <col min="14847" max="14847" width="21.42578125" style="1101" customWidth="1"/>
    <col min="14848" max="14848" width="22.140625" style="1101" customWidth="1"/>
    <col min="14849" max="14849" width="12.7109375" style="1101" customWidth="1"/>
    <col min="14850" max="14850" width="16.42578125" style="1101" customWidth="1"/>
    <col min="14851" max="14851" width="29.7109375" style="1101" customWidth="1"/>
    <col min="14852" max="14852" width="29.140625" style="1101" customWidth="1"/>
    <col min="14853" max="14853" width="33.5703125" style="1101" customWidth="1"/>
    <col min="14854" max="14854" width="25" style="1101" customWidth="1"/>
    <col min="14855" max="14855" width="11.7109375" style="1101" customWidth="1"/>
    <col min="14856" max="14856" width="17.28515625" style="1101" customWidth="1"/>
    <col min="14857" max="14872" width="7.28515625" style="1101" customWidth="1"/>
    <col min="14873" max="14874" width="13.7109375" style="1101" customWidth="1"/>
    <col min="14875" max="14875" width="20.85546875" style="1101" customWidth="1"/>
    <col min="14876" max="15091" width="11.42578125" style="1101"/>
    <col min="15092" max="15092" width="13.140625" style="1101" customWidth="1"/>
    <col min="15093" max="15093" width="35.28515625" style="1101" customWidth="1"/>
    <col min="15094" max="15094" width="12.85546875" style="1101" customWidth="1"/>
    <col min="15095" max="15095" width="19.5703125" style="1101" customWidth="1"/>
    <col min="15096" max="15096" width="12.28515625" style="1101" customWidth="1"/>
    <col min="15097" max="15097" width="21.28515625" style="1101" customWidth="1"/>
    <col min="15098" max="15098" width="11.5703125" style="1101" customWidth="1"/>
    <col min="15099" max="15099" width="33.140625" style="1101" customWidth="1"/>
    <col min="15100" max="15100" width="22.7109375" style="1101" customWidth="1"/>
    <col min="15101" max="15101" width="10.7109375" style="1101" customWidth="1"/>
    <col min="15102" max="15102" width="27.7109375" style="1101" customWidth="1"/>
    <col min="15103" max="15103" width="21.42578125" style="1101" customWidth="1"/>
    <col min="15104" max="15104" width="22.140625" style="1101" customWidth="1"/>
    <col min="15105" max="15105" width="12.7109375" style="1101" customWidth="1"/>
    <col min="15106" max="15106" width="16.42578125" style="1101" customWidth="1"/>
    <col min="15107" max="15107" width="29.7109375" style="1101" customWidth="1"/>
    <col min="15108" max="15108" width="29.140625" style="1101" customWidth="1"/>
    <col min="15109" max="15109" width="33.5703125" style="1101" customWidth="1"/>
    <col min="15110" max="15110" width="25" style="1101" customWidth="1"/>
    <col min="15111" max="15111" width="11.7109375" style="1101" customWidth="1"/>
    <col min="15112" max="15112" width="17.28515625" style="1101" customWidth="1"/>
    <col min="15113" max="15128" width="7.28515625" style="1101" customWidth="1"/>
    <col min="15129" max="15130" width="13.7109375" style="1101" customWidth="1"/>
    <col min="15131" max="15131" width="20.85546875" style="1101" customWidth="1"/>
    <col min="15132" max="15347" width="11.42578125" style="1101"/>
    <col min="15348" max="15348" width="13.140625" style="1101" customWidth="1"/>
    <col min="15349" max="15349" width="35.28515625" style="1101" customWidth="1"/>
    <col min="15350" max="15350" width="12.85546875" style="1101" customWidth="1"/>
    <col min="15351" max="15351" width="19.5703125" style="1101" customWidth="1"/>
    <col min="15352" max="15352" width="12.28515625" style="1101" customWidth="1"/>
    <col min="15353" max="15353" width="21.28515625" style="1101" customWidth="1"/>
    <col min="15354" max="15354" width="11.5703125" style="1101" customWidth="1"/>
    <col min="15355" max="15355" width="33.140625" style="1101" customWidth="1"/>
    <col min="15356" max="15356" width="22.7109375" style="1101" customWidth="1"/>
    <col min="15357" max="15357" width="10.7109375" style="1101" customWidth="1"/>
    <col min="15358" max="15358" width="27.7109375" style="1101" customWidth="1"/>
    <col min="15359" max="15359" width="21.42578125" style="1101" customWidth="1"/>
    <col min="15360" max="15360" width="22.140625" style="1101" customWidth="1"/>
    <col min="15361" max="15361" width="12.7109375" style="1101" customWidth="1"/>
    <col min="15362" max="15362" width="16.42578125" style="1101" customWidth="1"/>
    <col min="15363" max="15363" width="29.7109375" style="1101" customWidth="1"/>
    <col min="15364" max="15364" width="29.140625" style="1101" customWidth="1"/>
    <col min="15365" max="15365" width="33.5703125" style="1101" customWidth="1"/>
    <col min="15366" max="15366" width="25" style="1101" customWidth="1"/>
    <col min="15367" max="15367" width="11.7109375" style="1101" customWidth="1"/>
    <col min="15368" max="15368" width="17.28515625" style="1101" customWidth="1"/>
    <col min="15369" max="15384" width="7.28515625" style="1101" customWidth="1"/>
    <col min="15385" max="15386" width="13.7109375" style="1101" customWidth="1"/>
    <col min="15387" max="15387" width="20.85546875" style="1101" customWidth="1"/>
    <col min="15388" max="15603" width="11.42578125" style="1101"/>
    <col min="15604" max="15604" width="13.140625" style="1101" customWidth="1"/>
    <col min="15605" max="15605" width="35.28515625" style="1101" customWidth="1"/>
    <col min="15606" max="15606" width="12.85546875" style="1101" customWidth="1"/>
    <col min="15607" max="15607" width="19.5703125" style="1101" customWidth="1"/>
    <col min="15608" max="15608" width="12.28515625" style="1101" customWidth="1"/>
    <col min="15609" max="15609" width="21.28515625" style="1101" customWidth="1"/>
    <col min="15610" max="15610" width="11.5703125" style="1101" customWidth="1"/>
    <col min="15611" max="15611" width="33.140625" style="1101" customWidth="1"/>
    <col min="15612" max="15612" width="22.7109375" style="1101" customWidth="1"/>
    <col min="15613" max="15613" width="10.7109375" style="1101" customWidth="1"/>
    <col min="15614" max="15614" width="27.7109375" style="1101" customWidth="1"/>
    <col min="15615" max="15615" width="21.42578125" style="1101" customWidth="1"/>
    <col min="15616" max="15616" width="22.140625" style="1101" customWidth="1"/>
    <col min="15617" max="15617" width="12.7109375" style="1101" customWidth="1"/>
    <col min="15618" max="15618" width="16.42578125" style="1101" customWidth="1"/>
    <col min="15619" max="15619" width="29.7109375" style="1101" customWidth="1"/>
    <col min="15620" max="15620" width="29.140625" style="1101" customWidth="1"/>
    <col min="15621" max="15621" width="33.5703125" style="1101" customWidth="1"/>
    <col min="15622" max="15622" width="25" style="1101" customWidth="1"/>
    <col min="15623" max="15623" width="11.7109375" style="1101" customWidth="1"/>
    <col min="15624" max="15624" width="17.28515625" style="1101" customWidth="1"/>
    <col min="15625" max="15640" width="7.28515625" style="1101" customWidth="1"/>
    <col min="15641" max="15642" width="13.7109375" style="1101" customWidth="1"/>
    <col min="15643" max="15643" width="20.85546875" style="1101" customWidth="1"/>
    <col min="15644" max="15859" width="11.42578125" style="1101"/>
    <col min="15860" max="15860" width="13.140625" style="1101" customWidth="1"/>
    <col min="15861" max="15861" width="35.28515625" style="1101" customWidth="1"/>
    <col min="15862" max="15862" width="12.85546875" style="1101" customWidth="1"/>
    <col min="15863" max="15863" width="19.5703125" style="1101" customWidth="1"/>
    <col min="15864" max="15864" width="12.28515625" style="1101" customWidth="1"/>
    <col min="15865" max="15865" width="21.28515625" style="1101" customWidth="1"/>
    <col min="15866" max="15866" width="11.5703125" style="1101" customWidth="1"/>
    <col min="15867" max="15867" width="33.140625" style="1101" customWidth="1"/>
    <col min="15868" max="15868" width="22.7109375" style="1101" customWidth="1"/>
    <col min="15869" max="15869" width="10.7109375" style="1101" customWidth="1"/>
    <col min="15870" max="15870" width="27.7109375" style="1101" customWidth="1"/>
    <col min="15871" max="15871" width="21.42578125" style="1101" customWidth="1"/>
    <col min="15872" max="15872" width="22.140625" style="1101" customWidth="1"/>
    <col min="15873" max="15873" width="12.7109375" style="1101" customWidth="1"/>
    <col min="15874" max="15874" width="16.42578125" style="1101" customWidth="1"/>
    <col min="15875" max="15875" width="29.7109375" style="1101" customWidth="1"/>
    <col min="15876" max="15876" width="29.140625" style="1101" customWidth="1"/>
    <col min="15877" max="15877" width="33.5703125" style="1101" customWidth="1"/>
    <col min="15878" max="15878" width="25" style="1101" customWidth="1"/>
    <col min="15879" max="15879" width="11.7109375" style="1101" customWidth="1"/>
    <col min="15880" max="15880" width="17.28515625" style="1101" customWidth="1"/>
    <col min="15881" max="15896" width="7.28515625" style="1101" customWidth="1"/>
    <col min="15897" max="15898" width="13.7109375" style="1101" customWidth="1"/>
    <col min="15899" max="15899" width="20.85546875" style="1101" customWidth="1"/>
    <col min="15900" max="16115" width="11.42578125" style="1101"/>
    <col min="16116" max="16116" width="13.140625" style="1101" customWidth="1"/>
    <col min="16117" max="16117" width="35.28515625" style="1101" customWidth="1"/>
    <col min="16118" max="16118" width="12.85546875" style="1101" customWidth="1"/>
    <col min="16119" max="16119" width="19.5703125" style="1101" customWidth="1"/>
    <col min="16120" max="16120" width="12.28515625" style="1101" customWidth="1"/>
    <col min="16121" max="16121" width="21.28515625" style="1101" customWidth="1"/>
    <col min="16122" max="16122" width="11.5703125" style="1101" customWidth="1"/>
    <col min="16123" max="16123" width="33.140625" style="1101" customWidth="1"/>
    <col min="16124" max="16124" width="22.7109375" style="1101" customWidth="1"/>
    <col min="16125" max="16125" width="10.7109375" style="1101" customWidth="1"/>
    <col min="16126" max="16126" width="27.7109375" style="1101" customWidth="1"/>
    <col min="16127" max="16127" width="21.42578125" style="1101" customWidth="1"/>
    <col min="16128" max="16128" width="22.140625" style="1101" customWidth="1"/>
    <col min="16129" max="16129" width="12.7109375" style="1101" customWidth="1"/>
    <col min="16130" max="16130" width="16.42578125" style="1101" customWidth="1"/>
    <col min="16131" max="16131" width="29.7109375" style="1101" customWidth="1"/>
    <col min="16132" max="16132" width="29.140625" style="1101" customWidth="1"/>
    <col min="16133" max="16133" width="33.5703125" style="1101" customWidth="1"/>
    <col min="16134" max="16134" width="25" style="1101" customWidth="1"/>
    <col min="16135" max="16135" width="11.7109375" style="1101" customWidth="1"/>
    <col min="16136" max="16136" width="17.28515625" style="1101" customWidth="1"/>
    <col min="16137" max="16152" width="7.28515625" style="1101" customWidth="1"/>
    <col min="16153" max="16154" width="13.7109375" style="1101" customWidth="1"/>
    <col min="16155" max="16155" width="20.85546875" style="1101" customWidth="1"/>
    <col min="16156" max="16384" width="11.42578125" style="1101"/>
  </cols>
  <sheetData>
    <row r="1" spans="1:47" ht="22.5" customHeight="1" x14ac:dyDescent="0.25">
      <c r="A1" s="2778" t="s">
        <v>827</v>
      </c>
      <c r="B1" s="3416"/>
      <c r="C1" s="3416"/>
      <c r="D1" s="3416"/>
      <c r="E1" s="3416"/>
      <c r="F1" s="3416"/>
      <c r="G1" s="3416"/>
      <c r="H1" s="3416"/>
      <c r="I1" s="3416"/>
      <c r="J1" s="3416"/>
      <c r="K1" s="3416"/>
      <c r="L1" s="3416"/>
      <c r="M1" s="3416"/>
      <c r="N1" s="3416"/>
      <c r="O1" s="3416"/>
      <c r="P1" s="3416"/>
      <c r="Q1" s="3416"/>
      <c r="R1" s="3416"/>
      <c r="S1" s="3416"/>
      <c r="T1" s="3416"/>
      <c r="U1" s="3416"/>
      <c r="V1" s="3416"/>
      <c r="W1" s="3416"/>
      <c r="X1" s="3416"/>
      <c r="Y1" s="3416"/>
      <c r="Z1" s="3416"/>
      <c r="AA1" s="3416"/>
      <c r="AB1" s="3416"/>
      <c r="AC1" s="3416"/>
      <c r="AD1" s="3416"/>
      <c r="AE1" s="3416"/>
      <c r="AF1" s="3416"/>
      <c r="AG1" s="3416"/>
      <c r="AH1" s="3416"/>
      <c r="AI1" s="3416"/>
      <c r="AJ1" s="3416"/>
      <c r="AK1" s="3416"/>
      <c r="AL1" s="3417"/>
      <c r="AM1" s="723" t="s">
        <v>0</v>
      </c>
      <c r="AN1" s="723" t="s">
        <v>637</v>
      </c>
      <c r="AO1" s="1100"/>
      <c r="AP1" s="1100"/>
      <c r="AQ1" s="1100"/>
      <c r="AR1" s="1100"/>
      <c r="AS1" s="1100"/>
      <c r="AT1" s="1100"/>
      <c r="AU1" s="1100"/>
    </row>
    <row r="2" spans="1:47" ht="23.25" customHeight="1" x14ac:dyDescent="0.25">
      <c r="A2" s="3416"/>
      <c r="B2" s="3416"/>
      <c r="C2" s="3416"/>
      <c r="D2" s="3416"/>
      <c r="E2" s="3416"/>
      <c r="F2" s="3416"/>
      <c r="G2" s="3416"/>
      <c r="H2" s="3416"/>
      <c r="I2" s="3416"/>
      <c r="J2" s="3416"/>
      <c r="K2" s="3416"/>
      <c r="L2" s="3416"/>
      <c r="M2" s="3416"/>
      <c r="N2" s="3416"/>
      <c r="O2" s="3416"/>
      <c r="P2" s="3416"/>
      <c r="Q2" s="3416"/>
      <c r="R2" s="3416"/>
      <c r="S2" s="3416"/>
      <c r="T2" s="3416"/>
      <c r="U2" s="3416"/>
      <c r="V2" s="3416"/>
      <c r="W2" s="3416"/>
      <c r="X2" s="3416"/>
      <c r="Y2" s="3416"/>
      <c r="Z2" s="3416"/>
      <c r="AA2" s="3416"/>
      <c r="AB2" s="3416"/>
      <c r="AC2" s="3416"/>
      <c r="AD2" s="3416"/>
      <c r="AE2" s="3416"/>
      <c r="AF2" s="3416"/>
      <c r="AG2" s="3416"/>
      <c r="AH2" s="3416"/>
      <c r="AI2" s="3416"/>
      <c r="AJ2" s="3416"/>
      <c r="AK2" s="3416"/>
      <c r="AL2" s="3417"/>
      <c r="AM2" s="721" t="s">
        <v>2</v>
      </c>
      <c r="AN2" s="723" t="s">
        <v>92</v>
      </c>
      <c r="AO2" s="1100"/>
      <c r="AP2" s="1100"/>
      <c r="AQ2" s="1100"/>
      <c r="AR2" s="1100"/>
      <c r="AS2" s="1100"/>
      <c r="AT2" s="1100"/>
      <c r="AU2" s="1100"/>
    </row>
    <row r="3" spans="1:47" ht="32.25" customHeight="1" x14ac:dyDescent="0.25">
      <c r="A3" s="3416"/>
      <c r="B3" s="3416"/>
      <c r="C3" s="3416"/>
      <c r="D3" s="3416"/>
      <c r="E3" s="3416"/>
      <c r="F3" s="3416"/>
      <c r="G3" s="3416"/>
      <c r="H3" s="3416"/>
      <c r="I3" s="3416"/>
      <c r="J3" s="3416"/>
      <c r="K3" s="3416"/>
      <c r="L3" s="3416"/>
      <c r="M3" s="3416"/>
      <c r="N3" s="3416"/>
      <c r="O3" s="3416"/>
      <c r="P3" s="3416"/>
      <c r="Q3" s="3416"/>
      <c r="R3" s="3416"/>
      <c r="S3" s="3416"/>
      <c r="T3" s="3416"/>
      <c r="U3" s="3416"/>
      <c r="V3" s="3416"/>
      <c r="W3" s="3416"/>
      <c r="X3" s="3416"/>
      <c r="Y3" s="3416"/>
      <c r="Z3" s="3416"/>
      <c r="AA3" s="3416"/>
      <c r="AB3" s="3416"/>
      <c r="AC3" s="3416"/>
      <c r="AD3" s="3416"/>
      <c r="AE3" s="3416"/>
      <c r="AF3" s="3416"/>
      <c r="AG3" s="3416"/>
      <c r="AH3" s="3416"/>
      <c r="AI3" s="3416"/>
      <c r="AJ3" s="3416"/>
      <c r="AK3" s="3416"/>
      <c r="AL3" s="3417"/>
      <c r="AM3" s="723" t="s">
        <v>3</v>
      </c>
      <c r="AN3" s="938" t="s">
        <v>4</v>
      </c>
      <c r="AO3" s="1100"/>
      <c r="AP3" s="1100"/>
      <c r="AQ3" s="1100"/>
      <c r="AR3" s="1100"/>
      <c r="AS3" s="1100"/>
      <c r="AT3" s="1100"/>
      <c r="AU3" s="1100"/>
    </row>
    <row r="4" spans="1:47" ht="27.75" customHeight="1" x14ac:dyDescent="0.25">
      <c r="A4" s="3418"/>
      <c r="B4" s="3418"/>
      <c r="C4" s="3418"/>
      <c r="D4" s="3418"/>
      <c r="E4" s="3418"/>
      <c r="F4" s="3418"/>
      <c r="G4" s="3418"/>
      <c r="H4" s="3418"/>
      <c r="I4" s="3418"/>
      <c r="J4" s="3418"/>
      <c r="K4" s="3418"/>
      <c r="L4" s="3418"/>
      <c r="M4" s="3418"/>
      <c r="N4" s="3418"/>
      <c r="O4" s="3418"/>
      <c r="P4" s="3418"/>
      <c r="Q4" s="3418"/>
      <c r="R4" s="3418"/>
      <c r="S4" s="3418"/>
      <c r="T4" s="3418"/>
      <c r="U4" s="3418"/>
      <c r="V4" s="3418"/>
      <c r="W4" s="3418"/>
      <c r="X4" s="3418"/>
      <c r="Y4" s="3418"/>
      <c r="Z4" s="3418"/>
      <c r="AA4" s="3418"/>
      <c r="AB4" s="3418"/>
      <c r="AC4" s="3418"/>
      <c r="AD4" s="3418"/>
      <c r="AE4" s="3418"/>
      <c r="AF4" s="3418"/>
      <c r="AG4" s="3418"/>
      <c r="AH4" s="3418"/>
      <c r="AI4" s="3418"/>
      <c r="AJ4" s="3418"/>
      <c r="AK4" s="3418"/>
      <c r="AL4" s="3419"/>
      <c r="AM4" s="723" t="s">
        <v>5</v>
      </c>
      <c r="AN4" s="939" t="s">
        <v>93</v>
      </c>
      <c r="AO4" s="1100"/>
      <c r="AP4" s="1100"/>
      <c r="AQ4" s="1100"/>
      <c r="AR4" s="1100"/>
      <c r="AS4" s="1100"/>
      <c r="AT4" s="1100"/>
      <c r="AU4" s="1100"/>
    </row>
    <row r="5" spans="1:47" ht="34.5" customHeight="1" x14ac:dyDescent="0.25">
      <c r="A5" s="2974" t="s">
        <v>7</v>
      </c>
      <c r="B5" s="2974"/>
      <c r="C5" s="2974"/>
      <c r="D5" s="2974"/>
      <c r="E5" s="2974"/>
      <c r="F5" s="2974"/>
      <c r="G5" s="2974"/>
      <c r="H5" s="2974"/>
      <c r="I5" s="2974"/>
      <c r="J5" s="2974"/>
      <c r="K5" s="2976" t="s">
        <v>8</v>
      </c>
      <c r="L5" s="2976"/>
      <c r="M5" s="2976"/>
      <c r="N5" s="2976"/>
      <c r="O5" s="2976"/>
      <c r="P5" s="2976"/>
      <c r="Q5" s="2976"/>
      <c r="R5" s="2976"/>
      <c r="S5" s="2976"/>
      <c r="T5" s="2976"/>
      <c r="U5" s="2976"/>
      <c r="V5" s="2976"/>
      <c r="W5" s="2976"/>
      <c r="X5" s="2976"/>
      <c r="Y5" s="2976"/>
      <c r="Z5" s="2976"/>
      <c r="AA5" s="2976"/>
      <c r="AB5" s="2976"/>
      <c r="AC5" s="2976"/>
      <c r="AD5" s="2976"/>
      <c r="AE5" s="2976"/>
      <c r="AF5" s="2976"/>
      <c r="AG5" s="2976"/>
      <c r="AH5" s="2976"/>
      <c r="AI5" s="2976"/>
      <c r="AJ5" s="2976"/>
      <c r="AK5" s="2976"/>
      <c r="AL5" s="2976"/>
      <c r="AM5" s="2976"/>
      <c r="AN5" s="2976"/>
      <c r="AO5" s="1100"/>
      <c r="AP5" s="1100"/>
      <c r="AQ5" s="1100"/>
      <c r="AR5" s="1100"/>
      <c r="AS5" s="1100"/>
      <c r="AT5" s="1100"/>
      <c r="AU5" s="1100"/>
    </row>
    <row r="6" spans="1:47" ht="40.5" customHeight="1" x14ac:dyDescent="0.25">
      <c r="A6" s="2975"/>
      <c r="B6" s="2975"/>
      <c r="C6" s="2975"/>
      <c r="D6" s="2975"/>
      <c r="E6" s="2975"/>
      <c r="F6" s="2975"/>
      <c r="G6" s="2975"/>
      <c r="H6" s="2975"/>
      <c r="I6" s="2975"/>
      <c r="J6" s="2975"/>
      <c r="K6" s="941"/>
      <c r="L6" s="943"/>
      <c r="M6" s="943"/>
      <c r="N6" s="1102"/>
      <c r="O6" s="943"/>
      <c r="P6" s="943"/>
      <c r="Q6" s="943"/>
      <c r="R6" s="943"/>
      <c r="S6" s="943"/>
      <c r="T6" s="943"/>
      <c r="U6" s="943"/>
      <c r="V6" s="3420" t="s">
        <v>320</v>
      </c>
      <c r="W6" s="2975"/>
      <c r="X6" s="2975"/>
      <c r="Y6" s="2975"/>
      <c r="Z6" s="2975"/>
      <c r="AA6" s="2975"/>
      <c r="AB6" s="2975"/>
      <c r="AC6" s="2975"/>
      <c r="AD6" s="2975"/>
      <c r="AE6" s="2975"/>
      <c r="AF6" s="2975"/>
      <c r="AG6" s="2975"/>
      <c r="AH6" s="2975"/>
      <c r="AI6" s="2975"/>
      <c r="AJ6" s="3421"/>
      <c r="AK6" s="942"/>
      <c r="AL6" s="943"/>
      <c r="AM6" s="943"/>
      <c r="AN6" s="945"/>
      <c r="AO6" s="1100"/>
      <c r="AP6" s="1100"/>
      <c r="AQ6" s="1100"/>
      <c r="AR6" s="1100"/>
      <c r="AS6" s="1100"/>
      <c r="AT6" s="1100"/>
      <c r="AU6" s="1100"/>
    </row>
    <row r="7" spans="1:47" ht="37.5" customHeight="1" x14ac:dyDescent="0.25">
      <c r="A7" s="2977" t="s">
        <v>9</v>
      </c>
      <c r="B7" s="2970" t="s">
        <v>10</v>
      </c>
      <c r="C7" s="3423" t="s">
        <v>9</v>
      </c>
      <c r="D7" s="2970" t="s">
        <v>11</v>
      </c>
      <c r="E7" s="3423" t="s">
        <v>9</v>
      </c>
      <c r="F7" s="3423" t="s">
        <v>12</v>
      </c>
      <c r="G7" s="2972" t="s">
        <v>9</v>
      </c>
      <c r="H7" s="2970" t="s">
        <v>13</v>
      </c>
      <c r="I7" s="2962" t="s">
        <v>14</v>
      </c>
      <c r="J7" s="2962" t="s">
        <v>15</v>
      </c>
      <c r="K7" s="2962" t="s">
        <v>16</v>
      </c>
      <c r="L7" s="2962" t="s">
        <v>94</v>
      </c>
      <c r="M7" s="2962" t="s">
        <v>8</v>
      </c>
      <c r="N7" s="3438" t="s">
        <v>18</v>
      </c>
      <c r="O7" s="2966" t="s">
        <v>19</v>
      </c>
      <c r="P7" s="2968" t="s">
        <v>20</v>
      </c>
      <c r="Q7" s="2970" t="s">
        <v>21</v>
      </c>
      <c r="R7" s="2962" t="s">
        <v>22</v>
      </c>
      <c r="S7" s="3436" t="s">
        <v>19</v>
      </c>
      <c r="T7" s="946"/>
      <c r="U7" s="2962" t="s">
        <v>23</v>
      </c>
      <c r="V7" s="2983" t="s">
        <v>24</v>
      </c>
      <c r="W7" s="2983"/>
      <c r="X7" s="2984" t="s">
        <v>25</v>
      </c>
      <c r="Y7" s="2984"/>
      <c r="Z7" s="2984"/>
      <c r="AA7" s="2984"/>
      <c r="AB7" s="2985" t="s">
        <v>26</v>
      </c>
      <c r="AC7" s="2986"/>
      <c r="AD7" s="2986"/>
      <c r="AE7" s="2986"/>
      <c r="AF7" s="2986"/>
      <c r="AG7" s="2987"/>
      <c r="AH7" s="2984" t="s">
        <v>27</v>
      </c>
      <c r="AI7" s="2984"/>
      <c r="AJ7" s="2984"/>
      <c r="AK7" s="947" t="s">
        <v>28</v>
      </c>
      <c r="AL7" s="2979" t="s">
        <v>29</v>
      </c>
      <c r="AM7" s="2979" t="s">
        <v>30</v>
      </c>
      <c r="AN7" s="2981" t="s">
        <v>31</v>
      </c>
      <c r="AO7" s="1100"/>
      <c r="AP7" s="1100"/>
      <c r="AQ7" s="1100"/>
      <c r="AR7" s="1100"/>
      <c r="AS7" s="1100"/>
      <c r="AT7" s="1100"/>
      <c r="AU7" s="1100"/>
    </row>
    <row r="8" spans="1:47" s="1106" customFormat="1" ht="137.25" customHeight="1" x14ac:dyDescent="0.25">
      <c r="A8" s="2978"/>
      <c r="B8" s="3422"/>
      <c r="C8" s="3423"/>
      <c r="D8" s="3422"/>
      <c r="E8" s="3423"/>
      <c r="F8" s="3423"/>
      <c r="G8" s="2973"/>
      <c r="H8" s="2971"/>
      <c r="I8" s="2963"/>
      <c r="J8" s="3440"/>
      <c r="K8" s="2963"/>
      <c r="L8" s="2963"/>
      <c r="M8" s="2963"/>
      <c r="N8" s="3439"/>
      <c r="O8" s="2967"/>
      <c r="P8" s="2969"/>
      <c r="Q8" s="2971"/>
      <c r="R8" s="2963"/>
      <c r="S8" s="3437"/>
      <c r="T8" s="948" t="s">
        <v>9</v>
      </c>
      <c r="U8" s="2963"/>
      <c r="V8" s="1103" t="s">
        <v>32</v>
      </c>
      <c r="W8" s="1104" t="s">
        <v>33</v>
      </c>
      <c r="X8" s="1105" t="s">
        <v>34</v>
      </c>
      <c r="Y8" s="1105" t="s">
        <v>35</v>
      </c>
      <c r="Z8" s="1105" t="s">
        <v>828</v>
      </c>
      <c r="AA8" s="1105" t="s">
        <v>37</v>
      </c>
      <c r="AB8" s="1105" t="s">
        <v>38</v>
      </c>
      <c r="AC8" s="1105" t="s">
        <v>39</v>
      </c>
      <c r="AD8" s="1105" t="s">
        <v>40</v>
      </c>
      <c r="AE8" s="1105" t="s">
        <v>41</v>
      </c>
      <c r="AF8" s="1105" t="s">
        <v>42</v>
      </c>
      <c r="AG8" s="1105" t="s">
        <v>43</v>
      </c>
      <c r="AH8" s="1105" t="s">
        <v>44</v>
      </c>
      <c r="AI8" s="1105" t="s">
        <v>45</v>
      </c>
      <c r="AJ8" s="1105" t="s">
        <v>46</v>
      </c>
      <c r="AK8" s="1105" t="s">
        <v>28</v>
      </c>
      <c r="AL8" s="2980"/>
      <c r="AM8" s="2980"/>
      <c r="AN8" s="2982"/>
      <c r="AO8" s="926"/>
      <c r="AP8" s="926"/>
      <c r="AQ8" s="926"/>
      <c r="AR8" s="926"/>
      <c r="AS8" s="926"/>
      <c r="AT8" s="926"/>
      <c r="AU8" s="926"/>
    </row>
    <row r="9" spans="1:47" ht="15" x14ac:dyDescent="0.25">
      <c r="A9" s="952">
        <v>1</v>
      </c>
      <c r="B9" s="3424" t="s">
        <v>678</v>
      </c>
      <c r="C9" s="3425"/>
      <c r="D9" s="3424"/>
      <c r="E9" s="1107"/>
      <c r="F9" s="1107"/>
      <c r="G9" s="1108"/>
      <c r="H9" s="1107"/>
      <c r="I9" s="1107"/>
      <c r="J9" s="1107"/>
      <c r="K9" s="1107"/>
      <c r="L9" s="1107"/>
      <c r="M9" s="1107"/>
      <c r="N9" s="1109"/>
      <c r="O9" s="1107"/>
      <c r="P9" s="1107"/>
      <c r="Q9" s="1107"/>
      <c r="R9" s="1107"/>
      <c r="S9" s="1107"/>
      <c r="T9" s="1107"/>
      <c r="U9" s="1107"/>
      <c r="V9" s="1107"/>
      <c r="W9" s="1107"/>
      <c r="X9" s="1107"/>
      <c r="Y9" s="1107"/>
      <c r="Z9" s="1107"/>
      <c r="AA9" s="1107"/>
      <c r="AB9" s="1107"/>
      <c r="AC9" s="1107"/>
      <c r="AD9" s="1107"/>
      <c r="AE9" s="1107"/>
      <c r="AF9" s="1107"/>
      <c r="AG9" s="1107"/>
      <c r="AH9" s="1107"/>
      <c r="AI9" s="1107"/>
      <c r="AJ9" s="1107"/>
      <c r="AK9" s="1107"/>
      <c r="AL9" s="1107"/>
      <c r="AM9" s="1107"/>
      <c r="AN9" s="1110"/>
      <c r="AO9" s="1100"/>
      <c r="AP9" s="1100"/>
      <c r="AQ9" s="1100"/>
      <c r="AR9" s="1100"/>
      <c r="AS9" s="1100"/>
      <c r="AT9" s="1100"/>
      <c r="AU9" s="1100"/>
    </row>
    <row r="10" spans="1:47" s="1100" customFormat="1" ht="15" x14ac:dyDescent="0.25">
      <c r="A10" s="3426"/>
      <c r="B10" s="3426"/>
      <c r="C10" s="1111">
        <v>1</v>
      </c>
      <c r="D10" s="1112" t="s">
        <v>829</v>
      </c>
      <c r="E10" s="1112"/>
      <c r="F10" s="1112"/>
      <c r="G10" s="1113"/>
      <c r="H10" s="1114"/>
      <c r="I10" s="1112"/>
      <c r="J10" s="1112"/>
      <c r="K10" s="1112"/>
      <c r="L10" s="1113"/>
      <c r="M10" s="1114"/>
      <c r="N10" s="1115"/>
      <c r="O10" s="1116"/>
      <c r="P10" s="1114"/>
      <c r="Q10" s="1114"/>
      <c r="R10" s="1114"/>
      <c r="S10" s="1117"/>
      <c r="T10" s="1118"/>
      <c r="U10" s="1113"/>
      <c r="V10" s="1112"/>
      <c r="W10" s="1112"/>
      <c r="X10" s="1112"/>
      <c r="Y10" s="1112"/>
      <c r="Z10" s="1112"/>
      <c r="AA10" s="1112"/>
      <c r="AB10" s="1112"/>
      <c r="AC10" s="1112"/>
      <c r="AD10" s="1112"/>
      <c r="AE10" s="1112"/>
      <c r="AF10" s="1112"/>
      <c r="AG10" s="1112"/>
      <c r="AH10" s="1112"/>
      <c r="AI10" s="1112"/>
      <c r="AJ10" s="1112"/>
      <c r="AK10" s="1112"/>
      <c r="AL10" s="1119"/>
      <c r="AM10" s="1119"/>
      <c r="AN10" s="1120"/>
    </row>
    <row r="11" spans="1:47" s="1100" customFormat="1" ht="15" x14ac:dyDescent="0.25">
      <c r="A11" s="3427"/>
      <c r="B11" s="3427"/>
      <c r="C11" s="3428"/>
      <c r="D11" s="3429"/>
      <c r="E11" s="970">
        <v>1</v>
      </c>
      <c r="F11" s="1121" t="s">
        <v>830</v>
      </c>
      <c r="G11" s="1122"/>
      <c r="H11" s="1123"/>
      <c r="I11" s="1121"/>
      <c r="J11" s="1121"/>
      <c r="K11" s="1121"/>
      <c r="L11" s="1122"/>
      <c r="M11" s="1123"/>
      <c r="N11" s="1124"/>
      <c r="O11" s="1125"/>
      <c r="P11" s="1123"/>
      <c r="Q11" s="1123"/>
      <c r="R11" s="1123"/>
      <c r="S11" s="1126"/>
      <c r="T11" s="1127"/>
      <c r="U11" s="1122"/>
      <c r="V11" s="1121"/>
      <c r="W11" s="1121"/>
      <c r="X11" s="1121"/>
      <c r="Y11" s="1121"/>
      <c r="Z11" s="1121"/>
      <c r="AA11" s="1121"/>
      <c r="AB11" s="1121"/>
      <c r="AC11" s="1121"/>
      <c r="AD11" s="1121"/>
      <c r="AE11" s="1121"/>
      <c r="AF11" s="1121"/>
      <c r="AG11" s="1121"/>
      <c r="AH11" s="1121"/>
      <c r="AI11" s="1121"/>
      <c r="AJ11" s="1121"/>
      <c r="AK11" s="1121"/>
      <c r="AL11" s="1128"/>
      <c r="AM11" s="1128"/>
      <c r="AN11" s="1129"/>
    </row>
    <row r="12" spans="1:47" s="1100" customFormat="1" ht="40.5" customHeight="1" x14ac:dyDescent="0.25">
      <c r="A12" s="3427"/>
      <c r="B12" s="3427"/>
      <c r="C12" s="3430"/>
      <c r="D12" s="3431"/>
      <c r="E12" s="3432"/>
      <c r="F12" s="3433"/>
      <c r="G12" s="3232">
        <v>1</v>
      </c>
      <c r="H12" s="3065" t="s">
        <v>831</v>
      </c>
      <c r="I12" s="3065" t="s">
        <v>832</v>
      </c>
      <c r="J12" s="3232">
        <v>1</v>
      </c>
      <c r="K12" s="2959" t="s">
        <v>833</v>
      </c>
      <c r="L12" s="3276" t="s">
        <v>834</v>
      </c>
      <c r="M12" s="3065" t="s">
        <v>835</v>
      </c>
      <c r="N12" s="3444">
        <f>+(S12+S13)/O12</f>
        <v>7.0570319609263285E-2</v>
      </c>
      <c r="O12" s="3446">
        <v>134617500</v>
      </c>
      <c r="P12" s="3065" t="s">
        <v>836</v>
      </c>
      <c r="Q12" s="3065" t="s">
        <v>837</v>
      </c>
      <c r="R12" s="927" t="s">
        <v>838</v>
      </c>
      <c r="S12" s="1130">
        <v>4500000</v>
      </c>
      <c r="T12" s="625">
        <v>20</v>
      </c>
      <c r="U12" s="979" t="s">
        <v>72</v>
      </c>
      <c r="V12" s="3441">
        <v>35373</v>
      </c>
      <c r="W12" s="3276">
        <v>33985</v>
      </c>
      <c r="X12" s="3276">
        <v>16632</v>
      </c>
      <c r="Y12" s="3276">
        <v>3361</v>
      </c>
      <c r="Z12" s="3276">
        <v>39432</v>
      </c>
      <c r="AA12" s="3276">
        <v>9933</v>
      </c>
      <c r="AB12" s="3276"/>
      <c r="AC12" s="3276"/>
      <c r="AD12" s="3276"/>
      <c r="AE12" s="3276"/>
      <c r="AF12" s="3276"/>
      <c r="AG12" s="3276"/>
      <c r="AH12" s="3276"/>
      <c r="AI12" s="3276"/>
      <c r="AJ12" s="3276"/>
      <c r="AK12" s="3276">
        <f>V12+W12</f>
        <v>69358</v>
      </c>
      <c r="AL12" s="3448">
        <v>43466</v>
      </c>
      <c r="AM12" s="3448">
        <v>43830</v>
      </c>
      <c r="AN12" s="2947" t="s">
        <v>839</v>
      </c>
    </row>
    <row r="13" spans="1:47" s="1100" customFormat="1" ht="34.5" customHeight="1" x14ac:dyDescent="0.25">
      <c r="A13" s="3427"/>
      <c r="B13" s="3427"/>
      <c r="C13" s="3430"/>
      <c r="D13" s="3431"/>
      <c r="E13" s="3434"/>
      <c r="F13" s="3262"/>
      <c r="G13" s="3234"/>
      <c r="H13" s="3066"/>
      <c r="I13" s="3066"/>
      <c r="J13" s="3234"/>
      <c r="K13" s="2959"/>
      <c r="L13" s="3276"/>
      <c r="M13" s="3244"/>
      <c r="N13" s="3445"/>
      <c r="O13" s="3446"/>
      <c r="P13" s="3244"/>
      <c r="Q13" s="3244"/>
      <c r="R13" s="925" t="s">
        <v>840</v>
      </c>
      <c r="S13" s="1131">
        <v>5000000</v>
      </c>
      <c r="T13" s="935">
        <v>20</v>
      </c>
      <c r="U13" s="979" t="s">
        <v>72</v>
      </c>
      <c r="V13" s="3441"/>
      <c r="W13" s="3276"/>
      <c r="X13" s="3276"/>
      <c r="Y13" s="3276"/>
      <c r="Z13" s="3276"/>
      <c r="AA13" s="3276"/>
      <c r="AB13" s="3276"/>
      <c r="AC13" s="3276"/>
      <c r="AD13" s="3276"/>
      <c r="AE13" s="3276"/>
      <c r="AF13" s="3276"/>
      <c r="AG13" s="3276"/>
      <c r="AH13" s="3276"/>
      <c r="AI13" s="3276"/>
      <c r="AJ13" s="3276"/>
      <c r="AK13" s="3276"/>
      <c r="AL13" s="3448"/>
      <c r="AM13" s="3448"/>
      <c r="AN13" s="2947"/>
    </row>
    <row r="14" spans="1:47" s="1100" customFormat="1" ht="28.5" x14ac:dyDescent="0.25">
      <c r="A14" s="3427"/>
      <c r="B14" s="3427"/>
      <c r="C14" s="3430"/>
      <c r="D14" s="3431"/>
      <c r="E14" s="3434"/>
      <c r="F14" s="3262"/>
      <c r="G14" s="979">
        <v>2</v>
      </c>
      <c r="H14" s="934" t="s">
        <v>841</v>
      </c>
      <c r="I14" s="934" t="s">
        <v>842</v>
      </c>
      <c r="J14" s="1132">
        <v>4</v>
      </c>
      <c r="K14" s="2959"/>
      <c r="L14" s="3276"/>
      <c r="M14" s="3244"/>
      <c r="N14" s="1133">
        <f>+(S14)/O12</f>
        <v>0.19982543131465078</v>
      </c>
      <c r="O14" s="3446"/>
      <c r="P14" s="3244"/>
      <c r="Q14" s="3244"/>
      <c r="R14" s="933" t="s">
        <v>843</v>
      </c>
      <c r="S14" s="1130">
        <v>26900000</v>
      </c>
      <c r="T14" s="935">
        <v>20</v>
      </c>
      <c r="U14" s="979" t="s">
        <v>72</v>
      </c>
      <c r="V14" s="3441"/>
      <c r="W14" s="3276"/>
      <c r="X14" s="3276"/>
      <c r="Y14" s="3276"/>
      <c r="Z14" s="3276"/>
      <c r="AA14" s="3276"/>
      <c r="AB14" s="3276"/>
      <c r="AC14" s="3276"/>
      <c r="AD14" s="3276"/>
      <c r="AE14" s="3276"/>
      <c r="AF14" s="3276"/>
      <c r="AG14" s="3276"/>
      <c r="AH14" s="3276"/>
      <c r="AI14" s="3276"/>
      <c r="AJ14" s="3276"/>
      <c r="AK14" s="3276"/>
      <c r="AL14" s="3448"/>
      <c r="AM14" s="3448"/>
      <c r="AN14" s="2947"/>
    </row>
    <row r="15" spans="1:47" s="1100" customFormat="1" ht="76.5" customHeight="1" x14ac:dyDescent="0.25">
      <c r="A15" s="3427"/>
      <c r="B15" s="3427"/>
      <c r="C15" s="3430"/>
      <c r="D15" s="3431"/>
      <c r="E15" s="3434"/>
      <c r="F15" s="3262"/>
      <c r="G15" s="979">
        <v>3</v>
      </c>
      <c r="H15" s="934" t="s">
        <v>844</v>
      </c>
      <c r="I15" s="934" t="s">
        <v>845</v>
      </c>
      <c r="J15" s="1132">
        <v>1</v>
      </c>
      <c r="K15" s="2959"/>
      <c r="L15" s="3276"/>
      <c r="M15" s="3244"/>
      <c r="N15" s="1133">
        <f>+(S15)/O12</f>
        <v>0.15228332126209446</v>
      </c>
      <c r="O15" s="3446"/>
      <c r="P15" s="3244"/>
      <c r="Q15" s="3251" t="s">
        <v>846</v>
      </c>
      <c r="R15" s="933" t="s">
        <v>847</v>
      </c>
      <c r="S15" s="1131">
        <v>20500000</v>
      </c>
      <c r="T15" s="687">
        <v>20</v>
      </c>
      <c r="U15" s="979" t="s">
        <v>72</v>
      </c>
      <c r="V15" s="3441"/>
      <c r="W15" s="3276"/>
      <c r="X15" s="3276"/>
      <c r="Y15" s="3276"/>
      <c r="Z15" s="3276"/>
      <c r="AA15" s="3276"/>
      <c r="AB15" s="3276"/>
      <c r="AC15" s="3276"/>
      <c r="AD15" s="3276"/>
      <c r="AE15" s="3276"/>
      <c r="AF15" s="3276"/>
      <c r="AG15" s="3276"/>
      <c r="AH15" s="3276"/>
      <c r="AI15" s="3276"/>
      <c r="AJ15" s="3276"/>
      <c r="AK15" s="3276"/>
      <c r="AL15" s="3448"/>
      <c r="AM15" s="3448"/>
      <c r="AN15" s="2947"/>
    </row>
    <row r="16" spans="1:47" s="1100" customFormat="1" ht="80.25" customHeight="1" x14ac:dyDescent="0.25">
      <c r="A16" s="3427"/>
      <c r="B16" s="3427"/>
      <c r="C16" s="3430"/>
      <c r="D16" s="3431"/>
      <c r="E16" s="3434"/>
      <c r="F16" s="3262"/>
      <c r="G16" s="979">
        <v>4</v>
      </c>
      <c r="H16" s="934" t="s">
        <v>848</v>
      </c>
      <c r="I16" s="934" t="s">
        <v>849</v>
      </c>
      <c r="J16" s="1132">
        <v>1</v>
      </c>
      <c r="K16" s="2959"/>
      <c r="L16" s="3276"/>
      <c r="M16" s="3244"/>
      <c r="N16" s="1133">
        <f>+(S16)/O12</f>
        <v>0.49399223726484298</v>
      </c>
      <c r="O16" s="3446"/>
      <c r="P16" s="3244"/>
      <c r="Q16" s="3251"/>
      <c r="R16" s="933" t="s">
        <v>850</v>
      </c>
      <c r="S16" s="1131">
        <v>66500000</v>
      </c>
      <c r="T16" s="687">
        <v>20</v>
      </c>
      <c r="U16" s="979" t="s">
        <v>72</v>
      </c>
      <c r="V16" s="3441"/>
      <c r="W16" s="3276"/>
      <c r="X16" s="3276"/>
      <c r="Y16" s="3276"/>
      <c r="Z16" s="3276"/>
      <c r="AA16" s="3276"/>
      <c r="AB16" s="3276"/>
      <c r="AC16" s="3276"/>
      <c r="AD16" s="3276"/>
      <c r="AE16" s="3276"/>
      <c r="AF16" s="3276"/>
      <c r="AG16" s="3276"/>
      <c r="AH16" s="3276"/>
      <c r="AI16" s="3276"/>
      <c r="AJ16" s="3276"/>
      <c r="AK16" s="3276"/>
      <c r="AL16" s="3448"/>
      <c r="AM16" s="3448"/>
      <c r="AN16" s="2947"/>
    </row>
    <row r="17" spans="1:40" s="1100" customFormat="1" ht="85.5" customHeight="1" x14ac:dyDescent="0.25">
      <c r="A17" s="3427"/>
      <c r="B17" s="3427"/>
      <c r="C17" s="3430"/>
      <c r="D17" s="3431"/>
      <c r="E17" s="3435"/>
      <c r="F17" s="3263"/>
      <c r="G17" s="928">
        <v>6</v>
      </c>
      <c r="H17" s="930" t="s">
        <v>851</v>
      </c>
      <c r="I17" s="930" t="s">
        <v>852</v>
      </c>
      <c r="J17" s="1132">
        <v>12</v>
      </c>
      <c r="K17" s="3232"/>
      <c r="L17" s="3443"/>
      <c r="M17" s="3066"/>
      <c r="N17" s="1133">
        <f>+S17/O12</f>
        <v>8.3328690549148515E-2</v>
      </c>
      <c r="O17" s="3447"/>
      <c r="P17" s="3244"/>
      <c r="Q17" s="3065"/>
      <c r="R17" s="1134" t="s">
        <v>853</v>
      </c>
      <c r="S17" s="1135">
        <v>11217500</v>
      </c>
      <c r="T17" s="633">
        <v>20</v>
      </c>
      <c r="U17" s="979" t="s">
        <v>72</v>
      </c>
      <c r="V17" s="3442"/>
      <c r="W17" s="3443"/>
      <c r="X17" s="3443"/>
      <c r="Y17" s="3443"/>
      <c r="Z17" s="3443"/>
      <c r="AA17" s="3443"/>
      <c r="AB17" s="3443"/>
      <c r="AC17" s="3443"/>
      <c r="AD17" s="3443"/>
      <c r="AE17" s="3443"/>
      <c r="AF17" s="3443"/>
      <c r="AG17" s="3443"/>
      <c r="AH17" s="3443"/>
      <c r="AI17" s="3443"/>
      <c r="AJ17" s="3443"/>
      <c r="AK17" s="3443"/>
      <c r="AL17" s="3449"/>
      <c r="AM17" s="3449"/>
      <c r="AN17" s="3252"/>
    </row>
    <row r="18" spans="1:40" s="1100" customFormat="1" ht="24" customHeight="1" x14ac:dyDescent="0.25">
      <c r="A18" s="3427"/>
      <c r="B18" s="3427"/>
      <c r="C18" s="3430"/>
      <c r="D18" s="3431"/>
      <c r="E18" s="640">
        <v>2</v>
      </c>
      <c r="F18" s="3272" t="s">
        <v>854</v>
      </c>
      <c r="G18" s="3273"/>
      <c r="H18" s="3273"/>
      <c r="I18" s="3450"/>
      <c r="J18" s="648"/>
      <c r="K18" s="648"/>
      <c r="L18" s="648"/>
      <c r="M18" s="1136"/>
      <c r="N18" s="1137"/>
      <c r="O18" s="1138"/>
      <c r="P18" s="1136"/>
      <c r="Q18" s="1136"/>
      <c r="R18" s="1136"/>
      <c r="S18" s="1139"/>
      <c r="T18" s="1140"/>
      <c r="U18" s="1141"/>
      <c r="V18" s="1142"/>
      <c r="W18" s="1143"/>
      <c r="X18" s="1143"/>
      <c r="Y18" s="1143"/>
      <c r="Z18" s="1143"/>
      <c r="AA18" s="1143"/>
      <c r="AB18" s="1144"/>
      <c r="AC18" s="1144"/>
      <c r="AD18" s="1144"/>
      <c r="AE18" s="1145"/>
      <c r="AF18" s="1145"/>
      <c r="AG18" s="1145"/>
      <c r="AH18" s="1144"/>
      <c r="AI18" s="1144"/>
      <c r="AJ18" s="1143"/>
      <c r="AK18" s="1146"/>
      <c r="AL18" s="1147"/>
      <c r="AM18" s="1147"/>
      <c r="AN18" s="1148"/>
    </row>
    <row r="19" spans="1:40" s="1100" customFormat="1" ht="48" customHeight="1" x14ac:dyDescent="0.25">
      <c r="A19" s="3427"/>
      <c r="B19" s="3427"/>
      <c r="C19" s="3430"/>
      <c r="D19" s="3431"/>
      <c r="E19" s="2959"/>
      <c r="F19" s="2959"/>
      <c r="G19" s="929">
        <v>7</v>
      </c>
      <c r="H19" s="930" t="s">
        <v>855</v>
      </c>
      <c r="I19" s="932" t="s">
        <v>856</v>
      </c>
      <c r="J19" s="1132">
        <v>1</v>
      </c>
      <c r="K19" s="2959" t="s">
        <v>857</v>
      </c>
      <c r="L19" s="3232" t="s">
        <v>858</v>
      </c>
      <c r="M19" s="3065" t="s">
        <v>859</v>
      </c>
      <c r="N19" s="1149">
        <f>+S19/O19</f>
        <v>0.79984028770363513</v>
      </c>
      <c r="O19" s="3447">
        <v>158373529</v>
      </c>
      <c r="P19" s="3463" t="s">
        <v>860</v>
      </c>
      <c r="Q19" s="3463" t="s">
        <v>861</v>
      </c>
      <c r="R19" s="932" t="s">
        <v>862</v>
      </c>
      <c r="S19" s="1135">
        <v>126673529</v>
      </c>
      <c r="T19" s="633">
        <v>20</v>
      </c>
      <c r="U19" s="979" t="s">
        <v>72</v>
      </c>
      <c r="V19" s="3442">
        <v>252568</v>
      </c>
      <c r="W19" s="3443">
        <v>243650</v>
      </c>
      <c r="X19" s="3443">
        <v>97896</v>
      </c>
      <c r="Y19" s="3443">
        <v>53351</v>
      </c>
      <c r="Z19" s="3443">
        <v>140316</v>
      </c>
      <c r="AA19" s="3443">
        <v>30825</v>
      </c>
      <c r="AB19" s="3443"/>
      <c r="AC19" s="3443"/>
      <c r="AD19" s="3443"/>
      <c r="AE19" s="3443"/>
      <c r="AF19" s="3443"/>
      <c r="AG19" s="3443"/>
      <c r="AH19" s="3443"/>
      <c r="AI19" s="3443"/>
      <c r="AJ19" s="3443"/>
      <c r="AK19" s="3443">
        <f>V19+W19</f>
        <v>496218</v>
      </c>
      <c r="AL19" s="3448">
        <v>43466</v>
      </c>
      <c r="AM19" s="3448">
        <v>43830</v>
      </c>
      <c r="AN19" s="2947" t="s">
        <v>839</v>
      </c>
    </row>
    <row r="20" spans="1:40" ht="57" x14ac:dyDescent="0.25">
      <c r="A20" s="3427"/>
      <c r="B20" s="3427"/>
      <c r="C20" s="3430"/>
      <c r="D20" s="3431"/>
      <c r="E20" s="2959"/>
      <c r="F20" s="2959"/>
      <c r="G20" s="1036">
        <v>8</v>
      </c>
      <c r="H20" s="934" t="s">
        <v>863</v>
      </c>
      <c r="I20" s="934" t="s">
        <v>864</v>
      </c>
      <c r="J20" s="1132">
        <v>1</v>
      </c>
      <c r="K20" s="2959"/>
      <c r="L20" s="3234"/>
      <c r="M20" s="3066"/>
      <c r="N20" s="1133">
        <f>+S20/O19</f>
        <v>0.20015971229636487</v>
      </c>
      <c r="O20" s="3451"/>
      <c r="P20" s="3464"/>
      <c r="Q20" s="3464"/>
      <c r="R20" s="934" t="s">
        <v>865</v>
      </c>
      <c r="S20" s="1150">
        <v>31700000</v>
      </c>
      <c r="T20" s="1151">
        <v>20</v>
      </c>
      <c r="U20" s="979" t="s">
        <v>72</v>
      </c>
      <c r="V20" s="3465"/>
      <c r="W20" s="3462"/>
      <c r="X20" s="3462"/>
      <c r="Y20" s="3462"/>
      <c r="Z20" s="3462"/>
      <c r="AA20" s="3462"/>
      <c r="AB20" s="3462"/>
      <c r="AC20" s="3462"/>
      <c r="AD20" s="3462"/>
      <c r="AE20" s="3462"/>
      <c r="AF20" s="3462"/>
      <c r="AG20" s="3462"/>
      <c r="AH20" s="3462"/>
      <c r="AI20" s="3462"/>
      <c r="AJ20" s="3462"/>
      <c r="AK20" s="3462"/>
      <c r="AL20" s="3448"/>
      <c r="AM20" s="3448"/>
      <c r="AN20" s="2947"/>
    </row>
    <row r="21" spans="1:40" ht="15" x14ac:dyDescent="0.25">
      <c r="A21" s="3427"/>
      <c r="B21" s="3427"/>
      <c r="C21" s="3430"/>
      <c r="D21" s="3431"/>
      <c r="E21" s="973">
        <v>3</v>
      </c>
      <c r="F21" s="971" t="s">
        <v>866</v>
      </c>
      <c r="G21" s="1152"/>
      <c r="H21" s="1153"/>
      <c r="I21" s="1154"/>
      <c r="J21" s="1154"/>
      <c r="K21" s="1155"/>
      <c r="L21" s="1152"/>
      <c r="M21" s="1153"/>
      <c r="N21" s="1156"/>
      <c r="O21" s="1157"/>
      <c r="P21" s="1158"/>
      <c r="Q21" s="1158"/>
      <c r="R21" s="1158"/>
      <c r="S21" s="1159"/>
      <c r="T21" s="1160"/>
      <c r="U21" s="1152"/>
      <c r="V21" s="1154"/>
      <c r="W21" s="1154"/>
      <c r="X21" s="1154"/>
      <c r="Y21" s="1154"/>
      <c r="Z21" s="1154"/>
      <c r="AA21" s="1154"/>
      <c r="AB21" s="1154"/>
      <c r="AC21" s="1154"/>
      <c r="AD21" s="1154"/>
      <c r="AE21" s="1154"/>
      <c r="AF21" s="1154"/>
      <c r="AG21" s="1154"/>
      <c r="AH21" s="1154"/>
      <c r="AI21" s="1154"/>
      <c r="AJ21" s="1154"/>
      <c r="AK21" s="1154"/>
      <c r="AL21" s="1161"/>
      <c r="AM21" s="1161"/>
      <c r="AN21" s="1162"/>
    </row>
    <row r="22" spans="1:40" ht="36" customHeight="1" x14ac:dyDescent="0.25">
      <c r="A22" s="3427"/>
      <c r="B22" s="3427"/>
      <c r="C22" s="3430"/>
      <c r="D22" s="3431"/>
      <c r="E22" s="3452"/>
      <c r="F22" s="3453"/>
      <c r="G22" s="3456">
        <v>14</v>
      </c>
      <c r="H22" s="2769" t="s">
        <v>867</v>
      </c>
      <c r="I22" s="3248" t="s">
        <v>868</v>
      </c>
      <c r="J22" s="3457">
        <v>6</v>
      </c>
      <c r="K22" s="3460" t="s">
        <v>869</v>
      </c>
      <c r="L22" s="3232" t="s">
        <v>870</v>
      </c>
      <c r="M22" s="3460" t="s">
        <v>871</v>
      </c>
      <c r="N22" s="3470">
        <f>+(S22+S23+S24)/O22</f>
        <v>0.18742090844306694</v>
      </c>
      <c r="O22" s="3471">
        <f>SUM(S22:S26)</f>
        <v>1693514361</v>
      </c>
      <c r="P22" s="3248" t="s">
        <v>872</v>
      </c>
      <c r="Q22" s="3460" t="s">
        <v>837</v>
      </c>
      <c r="R22" s="3474" t="s">
        <v>873</v>
      </c>
      <c r="S22" s="1163">
        <v>133700000</v>
      </c>
      <c r="T22" s="1164">
        <v>20</v>
      </c>
      <c r="U22" s="979" t="s">
        <v>72</v>
      </c>
      <c r="V22" s="3466">
        <v>35373</v>
      </c>
      <c r="W22" s="3466">
        <v>33985</v>
      </c>
      <c r="X22" s="3466">
        <v>16632</v>
      </c>
      <c r="Y22" s="3466">
        <v>3361</v>
      </c>
      <c r="Z22" s="3466">
        <v>39432</v>
      </c>
      <c r="AA22" s="3466">
        <v>9933</v>
      </c>
      <c r="AB22" s="3466"/>
      <c r="AC22" s="3466"/>
      <c r="AD22" s="3466"/>
      <c r="AE22" s="3466"/>
      <c r="AF22" s="3466"/>
      <c r="AG22" s="3466"/>
      <c r="AH22" s="3466"/>
      <c r="AI22" s="3466"/>
      <c r="AJ22" s="3466"/>
      <c r="AK22" s="3466">
        <f>V22+W22</f>
        <v>69358</v>
      </c>
      <c r="AL22" s="3449">
        <v>43466</v>
      </c>
      <c r="AM22" s="3449">
        <v>43830</v>
      </c>
      <c r="AN22" s="3252" t="s">
        <v>839</v>
      </c>
    </row>
    <row r="23" spans="1:40" ht="57.75" customHeight="1" x14ac:dyDescent="0.25">
      <c r="A23" s="3427"/>
      <c r="B23" s="3427"/>
      <c r="C23" s="3430"/>
      <c r="D23" s="3431"/>
      <c r="E23" s="3454"/>
      <c r="F23" s="3455"/>
      <c r="G23" s="3456"/>
      <c r="H23" s="2769"/>
      <c r="I23" s="3249"/>
      <c r="J23" s="3458"/>
      <c r="K23" s="3461"/>
      <c r="L23" s="3233"/>
      <c r="M23" s="3461"/>
      <c r="N23" s="3470"/>
      <c r="O23" s="3472"/>
      <c r="P23" s="3249"/>
      <c r="Q23" s="3461"/>
      <c r="R23" s="3475"/>
      <c r="S23" s="1165">
        <f>0+50000000</f>
        <v>50000000</v>
      </c>
      <c r="T23" s="1166">
        <v>88</v>
      </c>
      <c r="U23" s="1167" t="s">
        <v>494</v>
      </c>
      <c r="V23" s="3467"/>
      <c r="W23" s="3467"/>
      <c r="X23" s="3467"/>
      <c r="Y23" s="3467"/>
      <c r="Z23" s="3467"/>
      <c r="AA23" s="3467"/>
      <c r="AB23" s="3467"/>
      <c r="AC23" s="3467"/>
      <c r="AD23" s="3467"/>
      <c r="AE23" s="3467"/>
      <c r="AF23" s="3467"/>
      <c r="AG23" s="3467"/>
      <c r="AH23" s="3467"/>
      <c r="AI23" s="3467"/>
      <c r="AJ23" s="3467"/>
      <c r="AK23" s="3467"/>
      <c r="AL23" s="3478"/>
      <c r="AM23" s="3478"/>
      <c r="AN23" s="3253"/>
    </row>
    <row r="24" spans="1:40" ht="46.5" customHeight="1" x14ac:dyDescent="0.25">
      <c r="A24" s="3427"/>
      <c r="B24" s="3427"/>
      <c r="C24" s="3430"/>
      <c r="D24" s="3431"/>
      <c r="E24" s="3454"/>
      <c r="F24" s="3455"/>
      <c r="G24" s="3456"/>
      <c r="H24" s="2769"/>
      <c r="I24" s="3250"/>
      <c r="J24" s="3459"/>
      <c r="K24" s="3461"/>
      <c r="L24" s="3233"/>
      <c r="M24" s="3461"/>
      <c r="N24" s="3470"/>
      <c r="O24" s="3472"/>
      <c r="P24" s="3249"/>
      <c r="Q24" s="3461"/>
      <c r="R24" s="925" t="s">
        <v>874</v>
      </c>
      <c r="S24" s="1165">
        <v>133700000</v>
      </c>
      <c r="T24" s="1166">
        <v>20</v>
      </c>
      <c r="U24" s="979" t="s">
        <v>72</v>
      </c>
      <c r="V24" s="3467"/>
      <c r="W24" s="3467"/>
      <c r="X24" s="3467"/>
      <c r="Y24" s="3467"/>
      <c r="Z24" s="3467"/>
      <c r="AA24" s="3467"/>
      <c r="AB24" s="3467"/>
      <c r="AC24" s="3467"/>
      <c r="AD24" s="3467"/>
      <c r="AE24" s="3467"/>
      <c r="AF24" s="3467"/>
      <c r="AG24" s="3467"/>
      <c r="AH24" s="3467"/>
      <c r="AI24" s="3467"/>
      <c r="AJ24" s="3467"/>
      <c r="AK24" s="3467"/>
      <c r="AL24" s="3478"/>
      <c r="AM24" s="3478"/>
      <c r="AN24" s="3253"/>
    </row>
    <row r="25" spans="1:40" ht="71.25" customHeight="1" x14ac:dyDescent="0.25">
      <c r="A25" s="3427"/>
      <c r="B25" s="3427"/>
      <c r="C25" s="3430"/>
      <c r="D25" s="3431"/>
      <c r="E25" s="3454"/>
      <c r="F25" s="3455"/>
      <c r="G25" s="3466">
        <v>17</v>
      </c>
      <c r="H25" s="3248" t="s">
        <v>875</v>
      </c>
      <c r="I25" s="3065" t="s">
        <v>876</v>
      </c>
      <c r="J25" s="3457">
        <v>270</v>
      </c>
      <c r="K25" s="1168" t="s">
        <v>877</v>
      </c>
      <c r="L25" s="3233"/>
      <c r="M25" s="3461"/>
      <c r="N25" s="3476">
        <f>SUM(S25:S26)/O22</f>
        <v>0.81257909155693309</v>
      </c>
      <c r="O25" s="3472"/>
      <c r="P25" s="3249"/>
      <c r="Q25" s="3461"/>
      <c r="R25" s="3248" t="s">
        <v>878</v>
      </c>
      <c r="S25" s="1165">
        <v>550114361</v>
      </c>
      <c r="T25" s="1166">
        <v>20</v>
      </c>
      <c r="U25" s="979" t="s">
        <v>72</v>
      </c>
      <c r="V25" s="3467"/>
      <c r="W25" s="3467"/>
      <c r="X25" s="3467"/>
      <c r="Y25" s="3467"/>
      <c r="Z25" s="3467"/>
      <c r="AA25" s="3467"/>
      <c r="AB25" s="3467"/>
      <c r="AC25" s="3468"/>
      <c r="AD25" s="3468"/>
      <c r="AE25" s="3468"/>
      <c r="AF25" s="3468"/>
      <c r="AG25" s="3468"/>
      <c r="AH25" s="3468"/>
      <c r="AI25" s="3468"/>
      <c r="AJ25" s="3468"/>
      <c r="AK25" s="3467"/>
      <c r="AL25" s="3478"/>
      <c r="AM25" s="3478"/>
      <c r="AN25" s="3253"/>
    </row>
    <row r="26" spans="1:40" ht="57" customHeight="1" x14ac:dyDescent="0.25">
      <c r="A26" s="3427"/>
      <c r="B26" s="3427"/>
      <c r="C26" s="3430"/>
      <c r="D26" s="3431"/>
      <c r="E26" s="3454"/>
      <c r="F26" s="3455"/>
      <c r="G26" s="3468"/>
      <c r="H26" s="3250"/>
      <c r="I26" s="3066"/>
      <c r="J26" s="3459"/>
      <c r="K26" s="1169"/>
      <c r="L26" s="3234"/>
      <c r="M26" s="3469"/>
      <c r="N26" s="3477"/>
      <c r="O26" s="3473"/>
      <c r="P26" s="3250"/>
      <c r="Q26" s="3469"/>
      <c r="R26" s="3250"/>
      <c r="S26" s="1165">
        <v>826000000</v>
      </c>
      <c r="T26" s="1166">
        <v>88</v>
      </c>
      <c r="U26" s="1167" t="s">
        <v>494</v>
      </c>
      <c r="V26" s="3468"/>
      <c r="W26" s="3468"/>
      <c r="X26" s="3468"/>
      <c r="Y26" s="3468"/>
      <c r="Z26" s="3468"/>
      <c r="AA26" s="3468"/>
      <c r="AB26" s="3468"/>
      <c r="AC26" s="1170"/>
      <c r="AD26" s="1170"/>
      <c r="AE26" s="1170"/>
      <c r="AF26" s="1170"/>
      <c r="AG26" s="1170"/>
      <c r="AH26" s="1170"/>
      <c r="AI26" s="1170"/>
      <c r="AJ26" s="1170"/>
      <c r="AK26" s="3468"/>
      <c r="AL26" s="3479"/>
      <c r="AM26" s="3479"/>
      <c r="AN26" s="3254"/>
    </row>
    <row r="27" spans="1:40" ht="68.25" customHeight="1" x14ac:dyDescent="0.25">
      <c r="A27" s="3427"/>
      <c r="B27" s="3427"/>
      <c r="C27" s="3430"/>
      <c r="D27" s="3431"/>
      <c r="E27" s="3454"/>
      <c r="F27" s="3455"/>
      <c r="G27" s="1036">
        <v>15</v>
      </c>
      <c r="H27" s="934" t="s">
        <v>879</v>
      </c>
      <c r="I27" s="934" t="s">
        <v>880</v>
      </c>
      <c r="J27" s="1171">
        <v>2</v>
      </c>
      <c r="K27" s="3232" t="s">
        <v>881</v>
      </c>
      <c r="L27" s="3232" t="s">
        <v>882</v>
      </c>
      <c r="M27" s="3280" t="s">
        <v>883</v>
      </c>
      <c r="N27" s="1172">
        <f>S27/O27</f>
        <v>0.28450497361810312</v>
      </c>
      <c r="O27" s="3481">
        <f>SUM(S27:S31)</f>
        <v>63061235</v>
      </c>
      <c r="P27" s="3065" t="s">
        <v>884</v>
      </c>
      <c r="Q27" s="3065" t="s">
        <v>885</v>
      </c>
      <c r="R27" s="1173" t="s">
        <v>886</v>
      </c>
      <c r="S27" s="1174">
        <v>17941235</v>
      </c>
      <c r="T27" s="1151">
        <v>20</v>
      </c>
      <c r="U27" s="979" t="s">
        <v>72</v>
      </c>
      <c r="V27" s="3466">
        <v>40906</v>
      </c>
      <c r="W27" s="3466">
        <v>37728</v>
      </c>
      <c r="X27" s="3466">
        <v>16790</v>
      </c>
      <c r="Y27" s="3466">
        <v>8871</v>
      </c>
      <c r="Z27" s="3466">
        <v>46240</v>
      </c>
      <c r="AA27" s="3466">
        <v>10814</v>
      </c>
      <c r="AB27" s="3466"/>
      <c r="AC27" s="3466"/>
      <c r="AD27" s="3466"/>
      <c r="AE27" s="3466"/>
      <c r="AF27" s="3466"/>
      <c r="AG27" s="3466"/>
      <c r="AH27" s="3466"/>
      <c r="AI27" s="3466"/>
      <c r="AJ27" s="3466"/>
      <c r="AK27" s="3466">
        <f>V27+W27</f>
        <v>78634</v>
      </c>
      <c r="AL27" s="3449">
        <v>43466</v>
      </c>
      <c r="AM27" s="3449">
        <v>43830</v>
      </c>
      <c r="AN27" s="3252" t="s">
        <v>839</v>
      </c>
    </row>
    <row r="28" spans="1:40" ht="57" x14ac:dyDescent="0.25">
      <c r="A28" s="3427"/>
      <c r="B28" s="3427"/>
      <c r="C28" s="3430"/>
      <c r="D28" s="3431"/>
      <c r="E28" s="3454"/>
      <c r="F28" s="3455"/>
      <c r="G28" s="1036">
        <v>16</v>
      </c>
      <c r="H28" s="934" t="s">
        <v>887</v>
      </c>
      <c r="I28" s="934" t="s">
        <v>888</v>
      </c>
      <c r="J28" s="1175">
        <v>5</v>
      </c>
      <c r="K28" s="3233"/>
      <c r="L28" s="3233"/>
      <c r="M28" s="3480"/>
      <c r="N28" s="1172">
        <f>S28/O27</f>
        <v>0.15064722408306783</v>
      </c>
      <c r="O28" s="3482"/>
      <c r="P28" s="3244"/>
      <c r="Q28" s="3244"/>
      <c r="R28" s="1176" t="s">
        <v>889</v>
      </c>
      <c r="S28" s="1174">
        <v>9500000</v>
      </c>
      <c r="T28" s="1151">
        <v>20</v>
      </c>
      <c r="U28" s="979" t="s">
        <v>72</v>
      </c>
      <c r="V28" s="3467"/>
      <c r="W28" s="3467"/>
      <c r="X28" s="3467"/>
      <c r="Y28" s="3467"/>
      <c r="Z28" s="3467"/>
      <c r="AA28" s="3467"/>
      <c r="AB28" s="3467"/>
      <c r="AC28" s="3467"/>
      <c r="AD28" s="3467"/>
      <c r="AE28" s="3467"/>
      <c r="AF28" s="3467"/>
      <c r="AG28" s="3467"/>
      <c r="AH28" s="3467"/>
      <c r="AI28" s="3467"/>
      <c r="AJ28" s="3467"/>
      <c r="AK28" s="3467"/>
      <c r="AL28" s="3478"/>
      <c r="AM28" s="3478"/>
      <c r="AN28" s="3253"/>
    </row>
    <row r="29" spans="1:40" ht="42.75" x14ac:dyDescent="0.25">
      <c r="A29" s="3427"/>
      <c r="B29" s="3427"/>
      <c r="C29" s="3430"/>
      <c r="D29" s="3431"/>
      <c r="E29" s="3454"/>
      <c r="F29" s="3455"/>
      <c r="G29" s="1036">
        <v>18</v>
      </c>
      <c r="H29" s="934" t="s">
        <v>890</v>
      </c>
      <c r="I29" s="934" t="s">
        <v>891</v>
      </c>
      <c r="J29" s="1175">
        <v>10</v>
      </c>
      <c r="K29" s="3233"/>
      <c r="L29" s="3233"/>
      <c r="M29" s="3480"/>
      <c r="N29" s="1172">
        <f>S29/O27</f>
        <v>0.21598054652751408</v>
      </c>
      <c r="O29" s="3482"/>
      <c r="P29" s="3244"/>
      <c r="Q29" s="3244"/>
      <c r="R29" s="1176" t="s">
        <v>892</v>
      </c>
      <c r="S29" s="1174">
        <v>13620000</v>
      </c>
      <c r="T29" s="1151">
        <v>20</v>
      </c>
      <c r="U29" s="979" t="s">
        <v>72</v>
      </c>
      <c r="V29" s="3467"/>
      <c r="W29" s="3467"/>
      <c r="X29" s="3467"/>
      <c r="Y29" s="3467"/>
      <c r="Z29" s="3467"/>
      <c r="AA29" s="3467"/>
      <c r="AB29" s="3467"/>
      <c r="AC29" s="3467"/>
      <c r="AD29" s="3467"/>
      <c r="AE29" s="3467"/>
      <c r="AF29" s="3467"/>
      <c r="AG29" s="3467"/>
      <c r="AH29" s="3467"/>
      <c r="AI29" s="3467"/>
      <c r="AJ29" s="3467"/>
      <c r="AK29" s="3467"/>
      <c r="AL29" s="3478"/>
      <c r="AM29" s="3478"/>
      <c r="AN29" s="3253"/>
    </row>
    <row r="30" spans="1:40" ht="57" x14ac:dyDescent="0.25">
      <c r="A30" s="3427"/>
      <c r="B30" s="3427"/>
      <c r="C30" s="3430"/>
      <c r="D30" s="3431"/>
      <c r="E30" s="3454"/>
      <c r="F30" s="3455"/>
      <c r="G30" s="1036">
        <v>19</v>
      </c>
      <c r="H30" s="934" t="s">
        <v>893</v>
      </c>
      <c r="I30" s="934" t="s">
        <v>894</v>
      </c>
      <c r="J30" s="1175">
        <v>8</v>
      </c>
      <c r="K30" s="3233"/>
      <c r="L30" s="3233"/>
      <c r="M30" s="3480"/>
      <c r="N30" s="1172">
        <f>S30/O27</f>
        <v>0.1744336278856575</v>
      </c>
      <c r="O30" s="3482"/>
      <c r="P30" s="3244"/>
      <c r="Q30" s="3244"/>
      <c r="R30" s="1177" t="s">
        <v>895</v>
      </c>
      <c r="S30" s="1174">
        <v>11000000</v>
      </c>
      <c r="T30" s="1151">
        <v>20</v>
      </c>
      <c r="U30" s="979" t="s">
        <v>72</v>
      </c>
      <c r="V30" s="3467"/>
      <c r="W30" s="3467"/>
      <c r="X30" s="3467"/>
      <c r="Y30" s="3467"/>
      <c r="Z30" s="3467"/>
      <c r="AA30" s="3467"/>
      <c r="AB30" s="3467"/>
      <c r="AC30" s="3467"/>
      <c r="AD30" s="3467"/>
      <c r="AE30" s="3467"/>
      <c r="AF30" s="3467"/>
      <c r="AG30" s="3467"/>
      <c r="AH30" s="3467"/>
      <c r="AI30" s="3467"/>
      <c r="AJ30" s="3467"/>
      <c r="AK30" s="3467"/>
      <c r="AL30" s="3478"/>
      <c r="AM30" s="3478"/>
      <c r="AN30" s="3253"/>
    </row>
    <row r="31" spans="1:40" ht="60" x14ac:dyDescent="0.25">
      <c r="A31" s="3427"/>
      <c r="B31" s="3427"/>
      <c r="C31" s="3430"/>
      <c r="D31" s="3431"/>
      <c r="E31" s="3454"/>
      <c r="F31" s="3455"/>
      <c r="G31" s="1178">
        <v>20</v>
      </c>
      <c r="H31" s="1179" t="s">
        <v>896</v>
      </c>
      <c r="I31" s="930" t="s">
        <v>897</v>
      </c>
      <c r="J31" s="1175">
        <v>60</v>
      </c>
      <c r="K31" s="3233"/>
      <c r="L31" s="3233"/>
      <c r="M31" s="3281"/>
      <c r="N31" s="1180">
        <f>S31/O27</f>
        <v>0.1744336278856575</v>
      </c>
      <c r="O31" s="3482"/>
      <c r="P31" s="3244"/>
      <c r="Q31" s="3244"/>
      <c r="R31" s="930" t="s">
        <v>898</v>
      </c>
      <c r="S31" s="1181">
        <v>11000000</v>
      </c>
      <c r="T31" s="1182">
        <v>20</v>
      </c>
      <c r="U31" s="979" t="s">
        <v>72</v>
      </c>
      <c r="V31" s="3467"/>
      <c r="W31" s="3467"/>
      <c r="X31" s="3467"/>
      <c r="Y31" s="3467"/>
      <c r="Z31" s="3467"/>
      <c r="AA31" s="3467"/>
      <c r="AB31" s="3467"/>
      <c r="AC31" s="3467"/>
      <c r="AD31" s="3467"/>
      <c r="AE31" s="3467"/>
      <c r="AF31" s="3467"/>
      <c r="AG31" s="3467"/>
      <c r="AH31" s="3467"/>
      <c r="AI31" s="3467"/>
      <c r="AJ31" s="3467"/>
      <c r="AK31" s="3467"/>
      <c r="AL31" s="3478"/>
      <c r="AM31" s="3478"/>
      <c r="AN31" s="3253"/>
    </row>
    <row r="32" spans="1:40" ht="15" x14ac:dyDescent="0.25">
      <c r="A32" s="1183">
        <v>2</v>
      </c>
      <c r="B32" s="953" t="s">
        <v>525</v>
      </c>
      <c r="C32" s="1184"/>
      <c r="D32" s="1184"/>
      <c r="E32" s="1184"/>
      <c r="F32" s="1184"/>
      <c r="G32" s="1185"/>
      <c r="H32" s="1186"/>
      <c r="I32" s="1187"/>
      <c r="J32" s="1187"/>
      <c r="K32" s="1187"/>
      <c r="L32" s="1188"/>
      <c r="M32" s="1186"/>
      <c r="N32" s="1189"/>
      <c r="O32" s="1190"/>
      <c r="P32" s="1186"/>
      <c r="Q32" s="1186"/>
      <c r="R32" s="1186"/>
      <c r="S32" s="1191"/>
      <c r="T32" s="1192"/>
      <c r="U32" s="1188"/>
      <c r="V32" s="1187"/>
      <c r="W32" s="1187"/>
      <c r="X32" s="1187"/>
      <c r="Y32" s="1187"/>
      <c r="Z32" s="1187"/>
      <c r="AA32" s="1187"/>
      <c r="AB32" s="1187"/>
      <c r="AC32" s="1187"/>
      <c r="AD32" s="1187"/>
      <c r="AE32" s="1187"/>
      <c r="AF32" s="1187"/>
      <c r="AG32" s="1187"/>
      <c r="AH32" s="1187"/>
      <c r="AI32" s="1187"/>
      <c r="AJ32" s="1187"/>
      <c r="AK32" s="1187"/>
      <c r="AL32" s="1193"/>
      <c r="AM32" s="1194"/>
      <c r="AN32" s="1195"/>
    </row>
    <row r="33" spans="1:40" ht="15" x14ac:dyDescent="0.25">
      <c r="A33" s="3483"/>
      <c r="B33" s="3484"/>
      <c r="C33" s="1196">
        <v>2</v>
      </c>
      <c r="D33" s="1112" t="s">
        <v>526</v>
      </c>
      <c r="E33" s="1112"/>
      <c r="F33" s="1112"/>
      <c r="G33" s="1197"/>
      <c r="H33" s="1198"/>
      <c r="I33" s="1199"/>
      <c r="J33" s="1199"/>
      <c r="K33" s="1199"/>
      <c r="L33" s="1200"/>
      <c r="M33" s="1198"/>
      <c r="N33" s="1201"/>
      <c r="O33" s="1202"/>
      <c r="P33" s="1198"/>
      <c r="Q33" s="1198"/>
      <c r="R33" s="1198"/>
      <c r="S33" s="1203"/>
      <c r="T33" s="1204"/>
      <c r="U33" s="1200"/>
      <c r="V33" s="1199"/>
      <c r="W33" s="1199"/>
      <c r="X33" s="1199"/>
      <c r="Y33" s="1199"/>
      <c r="Z33" s="1199"/>
      <c r="AA33" s="1199"/>
      <c r="AB33" s="1199"/>
      <c r="AC33" s="1199"/>
      <c r="AD33" s="1199"/>
      <c r="AE33" s="1199"/>
      <c r="AF33" s="1199"/>
      <c r="AG33" s="1199"/>
      <c r="AH33" s="1199"/>
      <c r="AI33" s="1199"/>
      <c r="AJ33" s="1199"/>
      <c r="AK33" s="1199"/>
      <c r="AL33" s="1205"/>
      <c r="AM33" s="1206"/>
      <c r="AN33" s="1207"/>
    </row>
    <row r="34" spans="1:40" ht="15" x14ac:dyDescent="0.25">
      <c r="A34" s="3485"/>
      <c r="B34" s="3486"/>
      <c r="C34" s="3489"/>
      <c r="D34" s="3489"/>
      <c r="E34" s="973">
        <v>4</v>
      </c>
      <c r="F34" s="971" t="s">
        <v>899</v>
      </c>
      <c r="G34" s="971"/>
      <c r="H34" s="1208"/>
      <c r="I34" s="1121"/>
      <c r="J34" s="1121"/>
      <c r="K34" s="1121"/>
      <c r="L34" s="1121"/>
      <c r="M34" s="1209"/>
      <c r="N34" s="1210"/>
      <c r="O34" s="1211"/>
      <c r="P34" s="1209"/>
      <c r="Q34" s="1209"/>
      <c r="R34" s="1209"/>
      <c r="S34" s="1212"/>
      <c r="T34" s="1213"/>
      <c r="U34" s="1214"/>
      <c r="V34" s="1215"/>
      <c r="W34" s="1215"/>
      <c r="X34" s="1215"/>
      <c r="Y34" s="1215"/>
      <c r="Z34" s="1215"/>
      <c r="AA34" s="1215"/>
      <c r="AB34" s="1215"/>
      <c r="AC34" s="1215"/>
      <c r="AD34" s="1215"/>
      <c r="AE34" s="1215"/>
      <c r="AF34" s="1215"/>
      <c r="AG34" s="1215"/>
      <c r="AH34" s="1215"/>
      <c r="AI34" s="1215"/>
      <c r="AJ34" s="1215"/>
      <c r="AK34" s="1215"/>
      <c r="AL34" s="1216"/>
      <c r="AM34" s="1217"/>
      <c r="AN34" s="1218"/>
    </row>
    <row r="35" spans="1:40" ht="62.25" customHeight="1" x14ac:dyDescent="0.25">
      <c r="A35" s="3485"/>
      <c r="B35" s="3486"/>
      <c r="C35" s="3489"/>
      <c r="D35" s="3489"/>
      <c r="E35" s="3456"/>
      <c r="F35" s="3456"/>
      <c r="G35" s="3468">
        <v>21</v>
      </c>
      <c r="H35" s="3251" t="s">
        <v>900</v>
      </c>
      <c r="I35" s="2769" t="s">
        <v>901</v>
      </c>
      <c r="J35" s="3457">
        <v>100</v>
      </c>
      <c r="K35" s="3456" t="s">
        <v>902</v>
      </c>
      <c r="L35" s="3456" t="s">
        <v>903</v>
      </c>
      <c r="M35" s="3474" t="s">
        <v>904</v>
      </c>
      <c r="N35" s="3470">
        <f>+(S35+S36)/O35</f>
        <v>0.19129239751796687</v>
      </c>
      <c r="O35" s="3492">
        <v>364259118</v>
      </c>
      <c r="P35" s="2564" t="s">
        <v>905</v>
      </c>
      <c r="Q35" s="2564" t="s">
        <v>906</v>
      </c>
      <c r="R35" s="239" t="s">
        <v>907</v>
      </c>
      <c r="S35" s="1163">
        <v>54000000</v>
      </c>
      <c r="T35" s="1164">
        <v>20</v>
      </c>
      <c r="U35" s="979" t="s">
        <v>72</v>
      </c>
      <c r="V35" s="3456">
        <v>40</v>
      </c>
      <c r="W35" s="3456">
        <v>60</v>
      </c>
      <c r="X35" s="3456">
        <v>10</v>
      </c>
      <c r="Y35" s="3456">
        <v>20</v>
      </c>
      <c r="Z35" s="3456">
        <v>30</v>
      </c>
      <c r="AA35" s="3466">
        <v>40</v>
      </c>
      <c r="AB35" s="3466">
        <v>5</v>
      </c>
      <c r="AC35" s="3466"/>
      <c r="AD35" s="3466"/>
      <c r="AE35" s="3466"/>
      <c r="AF35" s="3466"/>
      <c r="AG35" s="3466"/>
      <c r="AH35" s="3466">
        <v>5</v>
      </c>
      <c r="AI35" s="3466"/>
      <c r="AJ35" s="3466"/>
      <c r="AK35" s="3466">
        <f>V35+W35</f>
        <v>100</v>
      </c>
      <c r="AL35" s="3083">
        <v>43466</v>
      </c>
      <c r="AM35" s="3083">
        <v>43465</v>
      </c>
      <c r="AN35" s="3460" t="s">
        <v>908</v>
      </c>
    </row>
    <row r="36" spans="1:40" ht="41.25" customHeight="1" x14ac:dyDescent="0.25">
      <c r="A36" s="3485"/>
      <c r="B36" s="3486"/>
      <c r="C36" s="3489"/>
      <c r="D36" s="3489"/>
      <c r="E36" s="3456"/>
      <c r="F36" s="3456"/>
      <c r="G36" s="3456"/>
      <c r="H36" s="3251"/>
      <c r="I36" s="2769"/>
      <c r="J36" s="3459"/>
      <c r="K36" s="3456"/>
      <c r="L36" s="3456"/>
      <c r="M36" s="3491"/>
      <c r="N36" s="3470"/>
      <c r="O36" s="3492"/>
      <c r="P36" s="2591"/>
      <c r="Q36" s="2591"/>
      <c r="R36" s="1219" t="s">
        <v>909</v>
      </c>
      <c r="S36" s="1150">
        <v>15680000</v>
      </c>
      <c r="T36" s="1151">
        <v>20</v>
      </c>
      <c r="U36" s="979" t="s">
        <v>72</v>
      </c>
      <c r="V36" s="3456"/>
      <c r="W36" s="3456"/>
      <c r="X36" s="3456"/>
      <c r="Y36" s="3456"/>
      <c r="Z36" s="3456"/>
      <c r="AA36" s="3467"/>
      <c r="AB36" s="3467"/>
      <c r="AC36" s="3467"/>
      <c r="AD36" s="3467"/>
      <c r="AE36" s="3467"/>
      <c r="AF36" s="3467"/>
      <c r="AG36" s="3467"/>
      <c r="AH36" s="3467"/>
      <c r="AI36" s="3467"/>
      <c r="AJ36" s="3467"/>
      <c r="AK36" s="3467"/>
      <c r="AL36" s="3084"/>
      <c r="AM36" s="3084"/>
      <c r="AN36" s="3461"/>
    </row>
    <row r="37" spans="1:40" ht="99" customHeight="1" x14ac:dyDescent="0.25">
      <c r="A37" s="3485"/>
      <c r="B37" s="3486"/>
      <c r="C37" s="3489"/>
      <c r="D37" s="3489"/>
      <c r="E37" s="3456"/>
      <c r="F37" s="3456"/>
      <c r="G37" s="3456">
        <v>22</v>
      </c>
      <c r="H37" s="3251" t="s">
        <v>910</v>
      </c>
      <c r="I37" s="2769" t="s">
        <v>911</v>
      </c>
      <c r="J37" s="3457">
        <v>3</v>
      </c>
      <c r="K37" s="3456"/>
      <c r="L37" s="3456"/>
      <c r="M37" s="3491"/>
      <c r="N37" s="3490">
        <f>+(S37+S38)/O35</f>
        <v>0.12161672230261096</v>
      </c>
      <c r="O37" s="3492"/>
      <c r="P37" s="2591"/>
      <c r="Q37" s="2591"/>
      <c r="R37" s="1219" t="s">
        <v>912</v>
      </c>
      <c r="S37" s="1150">
        <v>30000000</v>
      </c>
      <c r="T37" s="1151">
        <v>20</v>
      </c>
      <c r="U37" s="979" t="s">
        <v>72</v>
      </c>
      <c r="V37" s="3456"/>
      <c r="W37" s="3456"/>
      <c r="X37" s="3456"/>
      <c r="Y37" s="3456"/>
      <c r="Z37" s="3456"/>
      <c r="AA37" s="3467"/>
      <c r="AB37" s="3467"/>
      <c r="AC37" s="3467"/>
      <c r="AD37" s="3467"/>
      <c r="AE37" s="3467"/>
      <c r="AF37" s="3467"/>
      <c r="AG37" s="3467"/>
      <c r="AH37" s="3467"/>
      <c r="AI37" s="3467"/>
      <c r="AJ37" s="3467"/>
      <c r="AK37" s="3467"/>
      <c r="AL37" s="3084"/>
      <c r="AM37" s="3084"/>
      <c r="AN37" s="3461"/>
    </row>
    <row r="38" spans="1:40" ht="84" customHeight="1" x14ac:dyDescent="0.25">
      <c r="A38" s="3485"/>
      <c r="B38" s="3486"/>
      <c r="C38" s="3489"/>
      <c r="D38" s="3489"/>
      <c r="E38" s="3456"/>
      <c r="F38" s="3456"/>
      <c r="G38" s="3456"/>
      <c r="H38" s="3251"/>
      <c r="I38" s="2769"/>
      <c r="J38" s="3459"/>
      <c r="K38" s="3456"/>
      <c r="L38" s="3456"/>
      <c r="M38" s="3491"/>
      <c r="N38" s="3490"/>
      <c r="O38" s="3492"/>
      <c r="P38" s="2591"/>
      <c r="Q38" s="2555"/>
      <c r="R38" s="1219" t="s">
        <v>913</v>
      </c>
      <c r="S38" s="1150">
        <v>14300000</v>
      </c>
      <c r="T38" s="1151">
        <v>20</v>
      </c>
      <c r="U38" s="979" t="s">
        <v>72</v>
      </c>
      <c r="V38" s="3456"/>
      <c r="W38" s="3456"/>
      <c r="X38" s="3456"/>
      <c r="Y38" s="3456"/>
      <c r="Z38" s="3456"/>
      <c r="AA38" s="3467"/>
      <c r="AB38" s="3467"/>
      <c r="AC38" s="3467"/>
      <c r="AD38" s="3467"/>
      <c r="AE38" s="3467"/>
      <c r="AF38" s="3467"/>
      <c r="AG38" s="3467"/>
      <c r="AH38" s="3467"/>
      <c r="AI38" s="3467"/>
      <c r="AJ38" s="3467"/>
      <c r="AK38" s="3467"/>
      <c r="AL38" s="3084"/>
      <c r="AM38" s="3084"/>
      <c r="AN38" s="3461"/>
    </row>
    <row r="39" spans="1:40" ht="42.75" x14ac:dyDescent="0.25">
      <c r="A39" s="3485"/>
      <c r="B39" s="3486"/>
      <c r="C39" s="3489"/>
      <c r="D39" s="3489"/>
      <c r="E39" s="3456"/>
      <c r="F39" s="3456"/>
      <c r="G39" s="3456">
        <v>23</v>
      </c>
      <c r="H39" s="3251" t="s">
        <v>914</v>
      </c>
      <c r="I39" s="2769" t="s">
        <v>915</v>
      </c>
      <c r="J39" s="3457">
        <v>1</v>
      </c>
      <c r="K39" s="3456"/>
      <c r="L39" s="3456"/>
      <c r="M39" s="3491"/>
      <c r="N39" s="3490">
        <f>+(S39+S40+S41)/O35</f>
        <v>0.19129239751796687</v>
      </c>
      <c r="O39" s="3492"/>
      <c r="P39" s="2591"/>
      <c r="Q39" s="3493" t="s">
        <v>916</v>
      </c>
      <c r="R39" s="1219" t="s">
        <v>917</v>
      </c>
      <c r="S39" s="1150">
        <v>18000000</v>
      </c>
      <c r="T39" s="1151">
        <v>20</v>
      </c>
      <c r="U39" s="979" t="s">
        <v>72</v>
      </c>
      <c r="V39" s="3456"/>
      <c r="W39" s="3456"/>
      <c r="X39" s="3456"/>
      <c r="Y39" s="3456"/>
      <c r="Z39" s="3456"/>
      <c r="AA39" s="3467"/>
      <c r="AB39" s="3467"/>
      <c r="AC39" s="3467"/>
      <c r="AD39" s="3467"/>
      <c r="AE39" s="3467"/>
      <c r="AF39" s="3467"/>
      <c r="AG39" s="3467"/>
      <c r="AH39" s="3467"/>
      <c r="AI39" s="3467"/>
      <c r="AJ39" s="3467"/>
      <c r="AK39" s="3467"/>
      <c r="AL39" s="3084"/>
      <c r="AM39" s="3084"/>
      <c r="AN39" s="3461"/>
    </row>
    <row r="40" spans="1:40" ht="42.75" x14ac:dyDescent="0.25">
      <c r="A40" s="3485"/>
      <c r="B40" s="3486"/>
      <c r="C40" s="3489"/>
      <c r="D40" s="3489"/>
      <c r="E40" s="3456"/>
      <c r="F40" s="3456"/>
      <c r="G40" s="3456"/>
      <c r="H40" s="3251"/>
      <c r="I40" s="2769"/>
      <c r="J40" s="3458"/>
      <c r="K40" s="3456"/>
      <c r="L40" s="3456"/>
      <c r="M40" s="3491"/>
      <c r="N40" s="3490"/>
      <c r="O40" s="3492"/>
      <c r="P40" s="2591"/>
      <c r="Q40" s="3494"/>
      <c r="R40" s="1219" t="s">
        <v>918</v>
      </c>
      <c r="S40" s="1150">
        <v>5000000</v>
      </c>
      <c r="T40" s="1151">
        <v>20</v>
      </c>
      <c r="U40" s="979" t="s">
        <v>72</v>
      </c>
      <c r="V40" s="3456"/>
      <c r="W40" s="3456"/>
      <c r="X40" s="3456"/>
      <c r="Y40" s="3456"/>
      <c r="Z40" s="3456"/>
      <c r="AA40" s="3467"/>
      <c r="AB40" s="3467"/>
      <c r="AC40" s="3467"/>
      <c r="AD40" s="3467"/>
      <c r="AE40" s="3467"/>
      <c r="AF40" s="3467"/>
      <c r="AG40" s="3467"/>
      <c r="AH40" s="3467"/>
      <c r="AI40" s="3467"/>
      <c r="AJ40" s="3467"/>
      <c r="AK40" s="3467"/>
      <c r="AL40" s="3084"/>
      <c r="AM40" s="3084"/>
      <c r="AN40" s="3461"/>
    </row>
    <row r="41" spans="1:40" ht="48.75" customHeight="1" x14ac:dyDescent="0.25">
      <c r="A41" s="3485"/>
      <c r="B41" s="3486"/>
      <c r="C41" s="3489"/>
      <c r="D41" s="3489"/>
      <c r="E41" s="3456"/>
      <c r="F41" s="3456"/>
      <c r="G41" s="3456"/>
      <c r="H41" s="3251"/>
      <c r="I41" s="2769"/>
      <c r="J41" s="3459"/>
      <c r="K41" s="3456"/>
      <c r="L41" s="3456"/>
      <c r="M41" s="3491"/>
      <c r="N41" s="3490"/>
      <c r="O41" s="3492"/>
      <c r="P41" s="2591"/>
      <c r="Q41" s="3494"/>
      <c r="R41" s="1219" t="s">
        <v>919</v>
      </c>
      <c r="S41" s="1150">
        <v>46680000</v>
      </c>
      <c r="T41" s="1151">
        <v>20</v>
      </c>
      <c r="U41" s="979" t="s">
        <v>72</v>
      </c>
      <c r="V41" s="3456"/>
      <c r="W41" s="3456"/>
      <c r="X41" s="3456"/>
      <c r="Y41" s="3456"/>
      <c r="Z41" s="3456"/>
      <c r="AA41" s="3467"/>
      <c r="AB41" s="3467"/>
      <c r="AC41" s="3467"/>
      <c r="AD41" s="3467"/>
      <c r="AE41" s="3467"/>
      <c r="AF41" s="3467"/>
      <c r="AG41" s="3467"/>
      <c r="AH41" s="3467"/>
      <c r="AI41" s="3467"/>
      <c r="AJ41" s="3467"/>
      <c r="AK41" s="3467"/>
      <c r="AL41" s="3084"/>
      <c r="AM41" s="3084"/>
      <c r="AN41" s="3461"/>
    </row>
    <row r="42" spans="1:40" ht="57" x14ac:dyDescent="0.25">
      <c r="A42" s="3485"/>
      <c r="B42" s="3486"/>
      <c r="C42" s="3489"/>
      <c r="D42" s="3489"/>
      <c r="E42" s="3456"/>
      <c r="F42" s="3456"/>
      <c r="G42" s="1178">
        <v>24</v>
      </c>
      <c r="H42" s="934" t="s">
        <v>920</v>
      </c>
      <c r="I42" s="934" t="s">
        <v>921</v>
      </c>
      <c r="J42" s="1175">
        <v>1</v>
      </c>
      <c r="K42" s="3456"/>
      <c r="L42" s="3456"/>
      <c r="M42" s="3475"/>
      <c r="N42" s="1172">
        <f>S42/O35</f>
        <v>0.49579848266145532</v>
      </c>
      <c r="O42" s="3492"/>
      <c r="P42" s="2555"/>
      <c r="Q42" s="3495"/>
      <c r="R42" s="1219" t="s">
        <v>922</v>
      </c>
      <c r="S42" s="1150">
        <v>180599118</v>
      </c>
      <c r="T42" s="1151">
        <v>20</v>
      </c>
      <c r="U42" s="979" t="s">
        <v>72</v>
      </c>
      <c r="V42" s="3456"/>
      <c r="W42" s="3456"/>
      <c r="X42" s="3456"/>
      <c r="Y42" s="3456"/>
      <c r="Z42" s="3456"/>
      <c r="AA42" s="3468"/>
      <c r="AB42" s="3468"/>
      <c r="AC42" s="3468"/>
      <c r="AD42" s="3468"/>
      <c r="AE42" s="3468"/>
      <c r="AF42" s="3468"/>
      <c r="AG42" s="3468"/>
      <c r="AH42" s="3468"/>
      <c r="AI42" s="3468"/>
      <c r="AJ42" s="3468"/>
      <c r="AK42" s="3468"/>
      <c r="AL42" s="3085"/>
      <c r="AM42" s="3085"/>
      <c r="AN42" s="3469"/>
    </row>
    <row r="43" spans="1:40" ht="15" x14ac:dyDescent="0.25">
      <c r="A43" s="3485"/>
      <c r="B43" s="3486"/>
      <c r="C43" s="3489"/>
      <c r="D43" s="3489"/>
      <c r="E43" s="973">
        <v>5</v>
      </c>
      <c r="F43" s="971" t="s">
        <v>923</v>
      </c>
      <c r="G43" s="971"/>
      <c r="H43" s="1220"/>
      <c r="I43" s="1220"/>
      <c r="J43" s="1220"/>
      <c r="K43" s="1220"/>
      <c r="L43" s="1220"/>
      <c r="M43" s="1209"/>
      <c r="N43" s="1210"/>
      <c r="O43" s="1211"/>
      <c r="P43" s="1209"/>
      <c r="Q43" s="1209"/>
      <c r="R43" s="1209"/>
      <c r="S43" s="1221"/>
      <c r="T43" s="1213"/>
      <c r="U43" s="1214"/>
      <c r="V43" s="1215"/>
      <c r="W43" s="1215"/>
      <c r="X43" s="1215"/>
      <c r="Y43" s="1215"/>
      <c r="Z43" s="1215"/>
      <c r="AA43" s="1215"/>
      <c r="AB43" s="1215"/>
      <c r="AC43" s="1215"/>
      <c r="AD43" s="1215"/>
      <c r="AE43" s="1215"/>
      <c r="AF43" s="1215"/>
      <c r="AG43" s="1215"/>
      <c r="AH43" s="1215"/>
      <c r="AI43" s="1215"/>
      <c r="AJ43" s="1215"/>
      <c r="AK43" s="1215"/>
      <c r="AL43" s="1216"/>
      <c r="AM43" s="1217"/>
      <c r="AN43" s="1218"/>
    </row>
    <row r="44" spans="1:40" ht="43.5" customHeight="1" x14ac:dyDescent="0.25">
      <c r="A44" s="3485"/>
      <c r="B44" s="3486"/>
      <c r="C44" s="3489"/>
      <c r="D44" s="3489"/>
      <c r="E44" s="3456"/>
      <c r="F44" s="3456"/>
      <c r="G44" s="3466">
        <v>25</v>
      </c>
      <c r="H44" s="3065" t="s">
        <v>924</v>
      </c>
      <c r="I44" s="3232" t="s">
        <v>925</v>
      </c>
      <c r="J44" s="3496">
        <v>2</v>
      </c>
      <c r="K44" s="3232" t="s">
        <v>926</v>
      </c>
      <c r="L44" s="3496" t="s">
        <v>927</v>
      </c>
      <c r="M44" s="3065" t="s">
        <v>928</v>
      </c>
      <c r="N44" s="3499">
        <f>SUM(S44:S49)/O44</f>
        <v>0.21064074165230945</v>
      </c>
      <c r="O44" s="3171">
        <f>SUM(S44:S52)</f>
        <v>1365168000</v>
      </c>
      <c r="P44" s="3065" t="s">
        <v>929</v>
      </c>
      <c r="Q44" s="3065" t="s">
        <v>930</v>
      </c>
      <c r="R44" s="934" t="s">
        <v>931</v>
      </c>
      <c r="S44" s="1165">
        <f>118780000-54780000</f>
        <v>64000000</v>
      </c>
      <c r="T44" s="1151">
        <v>20</v>
      </c>
      <c r="U44" s="979" t="s">
        <v>72</v>
      </c>
      <c r="V44" s="3466">
        <v>600</v>
      </c>
      <c r="W44" s="3466">
        <v>600</v>
      </c>
      <c r="X44" s="3466">
        <v>125</v>
      </c>
      <c r="Y44" s="3466">
        <v>75</v>
      </c>
      <c r="Z44" s="3466">
        <v>300</v>
      </c>
      <c r="AA44" s="3466">
        <v>700</v>
      </c>
      <c r="AB44" s="3466">
        <v>50</v>
      </c>
      <c r="AC44" s="3466">
        <v>30</v>
      </c>
      <c r="AD44" s="3466"/>
      <c r="AE44" s="3466"/>
      <c r="AF44" s="3466"/>
      <c r="AG44" s="3466"/>
      <c r="AH44" s="3466"/>
      <c r="AI44" s="3466">
        <v>10</v>
      </c>
      <c r="AJ44" s="3466">
        <v>10</v>
      </c>
      <c r="AK44" s="3466">
        <f>V44+W44</f>
        <v>1200</v>
      </c>
      <c r="AL44" s="3083">
        <v>43466</v>
      </c>
      <c r="AM44" s="3083">
        <v>43830</v>
      </c>
      <c r="AN44" s="3460" t="s">
        <v>908</v>
      </c>
    </row>
    <row r="45" spans="1:40" ht="43.5" customHeight="1" x14ac:dyDescent="0.25">
      <c r="A45" s="3485"/>
      <c r="B45" s="3486"/>
      <c r="C45" s="3489"/>
      <c r="D45" s="3489"/>
      <c r="E45" s="3456"/>
      <c r="F45" s="3456"/>
      <c r="G45" s="3467"/>
      <c r="H45" s="3244"/>
      <c r="I45" s="3233"/>
      <c r="J45" s="3497"/>
      <c r="K45" s="3233"/>
      <c r="L45" s="3497"/>
      <c r="M45" s="3244"/>
      <c r="N45" s="3500"/>
      <c r="O45" s="3172"/>
      <c r="P45" s="3244"/>
      <c r="Q45" s="3244"/>
      <c r="R45" s="930" t="s">
        <v>932</v>
      </c>
      <c r="S45" s="1165">
        <f>0+54780000</f>
        <v>54780000</v>
      </c>
      <c r="T45" s="1151">
        <v>20</v>
      </c>
      <c r="U45" s="979" t="s">
        <v>72</v>
      </c>
      <c r="V45" s="3467"/>
      <c r="W45" s="3467"/>
      <c r="X45" s="3467"/>
      <c r="Y45" s="3467"/>
      <c r="Z45" s="3467"/>
      <c r="AA45" s="3467"/>
      <c r="AB45" s="3467"/>
      <c r="AC45" s="3467"/>
      <c r="AD45" s="3467"/>
      <c r="AE45" s="3467"/>
      <c r="AF45" s="3467"/>
      <c r="AG45" s="3467"/>
      <c r="AH45" s="3467"/>
      <c r="AI45" s="3467"/>
      <c r="AJ45" s="3467"/>
      <c r="AK45" s="3467"/>
      <c r="AL45" s="3084"/>
      <c r="AM45" s="3084"/>
      <c r="AN45" s="3461"/>
    </row>
    <row r="46" spans="1:40" ht="43.5" customHeight="1" x14ac:dyDescent="0.25">
      <c r="A46" s="3485"/>
      <c r="B46" s="3486"/>
      <c r="C46" s="3489"/>
      <c r="D46" s="3489"/>
      <c r="E46" s="3456"/>
      <c r="F46" s="3456"/>
      <c r="G46" s="3467"/>
      <c r="H46" s="3244"/>
      <c r="I46" s="3233"/>
      <c r="J46" s="3497"/>
      <c r="K46" s="3497"/>
      <c r="L46" s="3497"/>
      <c r="M46" s="3244"/>
      <c r="N46" s="3500"/>
      <c r="O46" s="3172"/>
      <c r="P46" s="3244"/>
      <c r="Q46" s="3244"/>
      <c r="R46" s="3280" t="s">
        <v>933</v>
      </c>
      <c r="S46" s="1165">
        <f>118780000-26739532</f>
        <v>92040468</v>
      </c>
      <c r="T46" s="1166">
        <v>20</v>
      </c>
      <c r="U46" s="979" t="s">
        <v>72</v>
      </c>
      <c r="V46" s="3467"/>
      <c r="W46" s="3467"/>
      <c r="X46" s="3467"/>
      <c r="Y46" s="3467"/>
      <c r="Z46" s="3467"/>
      <c r="AA46" s="3467"/>
      <c r="AB46" s="3467"/>
      <c r="AC46" s="3467"/>
      <c r="AD46" s="3467"/>
      <c r="AE46" s="3467"/>
      <c r="AF46" s="3467"/>
      <c r="AG46" s="3467"/>
      <c r="AH46" s="3467"/>
      <c r="AI46" s="3467"/>
      <c r="AJ46" s="3467"/>
      <c r="AK46" s="3467"/>
      <c r="AL46" s="3084"/>
      <c r="AM46" s="3084"/>
      <c r="AN46" s="3461"/>
    </row>
    <row r="47" spans="1:40" ht="43.5" customHeight="1" x14ac:dyDescent="0.25">
      <c r="A47" s="3485"/>
      <c r="B47" s="3486"/>
      <c r="C47" s="3489"/>
      <c r="D47" s="3489"/>
      <c r="E47" s="3456"/>
      <c r="F47" s="3456"/>
      <c r="G47" s="3467"/>
      <c r="H47" s="3244"/>
      <c r="I47" s="3233"/>
      <c r="J47" s="3497"/>
      <c r="K47" s="3497"/>
      <c r="L47" s="3497"/>
      <c r="M47" s="3244"/>
      <c r="N47" s="3500"/>
      <c r="O47" s="3172"/>
      <c r="P47" s="3244"/>
      <c r="Q47" s="3244"/>
      <c r="R47" s="3480"/>
      <c r="S47" s="1165">
        <f>50000000-50000000</f>
        <v>0</v>
      </c>
      <c r="T47" s="1166">
        <v>88</v>
      </c>
      <c r="U47" s="1167" t="s">
        <v>494</v>
      </c>
      <c r="V47" s="3467"/>
      <c r="W47" s="3467"/>
      <c r="X47" s="3467"/>
      <c r="Y47" s="3467"/>
      <c r="Z47" s="3467"/>
      <c r="AA47" s="3467"/>
      <c r="AB47" s="3467"/>
      <c r="AC47" s="3467"/>
      <c r="AD47" s="3467"/>
      <c r="AE47" s="3467"/>
      <c r="AF47" s="3467"/>
      <c r="AG47" s="3467"/>
      <c r="AH47" s="3467"/>
      <c r="AI47" s="3467"/>
      <c r="AJ47" s="3467"/>
      <c r="AK47" s="3467"/>
      <c r="AL47" s="3084"/>
      <c r="AM47" s="3084"/>
      <c r="AN47" s="3461"/>
    </row>
    <row r="48" spans="1:40" ht="43.5" customHeight="1" x14ac:dyDescent="0.25">
      <c r="A48" s="3485"/>
      <c r="B48" s="3486"/>
      <c r="C48" s="3489"/>
      <c r="D48" s="3489"/>
      <c r="E48" s="3456"/>
      <c r="F48" s="3456"/>
      <c r="G48" s="3467"/>
      <c r="H48" s="3244"/>
      <c r="I48" s="3233"/>
      <c r="J48" s="3497"/>
      <c r="K48" s="3497"/>
      <c r="L48" s="3497"/>
      <c r="M48" s="3244"/>
      <c r="N48" s="3500"/>
      <c r="O48" s="3172"/>
      <c r="P48" s="3244"/>
      <c r="Q48" s="3502"/>
      <c r="R48" s="3509" t="s">
        <v>934</v>
      </c>
      <c r="S48" s="1222">
        <f>0+26739532</f>
        <v>26739532</v>
      </c>
      <c r="T48" s="1166">
        <v>20</v>
      </c>
      <c r="U48" s="979" t="s">
        <v>72</v>
      </c>
      <c r="V48" s="3467"/>
      <c r="W48" s="3467"/>
      <c r="X48" s="3467"/>
      <c r="Y48" s="3467"/>
      <c r="Z48" s="3467"/>
      <c r="AA48" s="3467"/>
      <c r="AB48" s="3467"/>
      <c r="AC48" s="3467"/>
      <c r="AD48" s="3467"/>
      <c r="AE48" s="3467"/>
      <c r="AF48" s="3467"/>
      <c r="AG48" s="3467"/>
      <c r="AH48" s="3467"/>
      <c r="AI48" s="3467"/>
      <c r="AJ48" s="3467"/>
      <c r="AK48" s="3467"/>
      <c r="AL48" s="3084"/>
      <c r="AM48" s="3084"/>
      <c r="AN48" s="3461"/>
    </row>
    <row r="49" spans="1:40" ht="46.5" customHeight="1" x14ac:dyDescent="0.25">
      <c r="A49" s="3485"/>
      <c r="B49" s="3486"/>
      <c r="C49" s="3489"/>
      <c r="D49" s="3489"/>
      <c r="E49" s="3456"/>
      <c r="F49" s="3456"/>
      <c r="G49" s="3468"/>
      <c r="H49" s="3066"/>
      <c r="I49" s="3234"/>
      <c r="J49" s="3498"/>
      <c r="K49" s="3497"/>
      <c r="L49" s="3497"/>
      <c r="M49" s="3244"/>
      <c r="N49" s="3501"/>
      <c r="O49" s="3172"/>
      <c r="P49" s="3244"/>
      <c r="Q49" s="3502"/>
      <c r="R49" s="3509"/>
      <c r="S49" s="1223">
        <f>0+50000000</f>
        <v>50000000</v>
      </c>
      <c r="T49" s="1166">
        <v>88</v>
      </c>
      <c r="U49" s="1167" t="s">
        <v>494</v>
      </c>
      <c r="V49" s="3467"/>
      <c r="W49" s="3467"/>
      <c r="X49" s="3467"/>
      <c r="Y49" s="3467"/>
      <c r="Z49" s="3467"/>
      <c r="AA49" s="3467"/>
      <c r="AB49" s="3467"/>
      <c r="AC49" s="3467"/>
      <c r="AD49" s="3467"/>
      <c r="AE49" s="3467"/>
      <c r="AF49" s="3467"/>
      <c r="AG49" s="3467"/>
      <c r="AH49" s="3467"/>
      <c r="AI49" s="3467"/>
      <c r="AJ49" s="3467"/>
      <c r="AK49" s="3467"/>
      <c r="AL49" s="3084"/>
      <c r="AM49" s="3084"/>
      <c r="AN49" s="3461"/>
    </row>
    <row r="50" spans="1:40" ht="103.5" customHeight="1" x14ac:dyDescent="0.25">
      <c r="A50" s="3485"/>
      <c r="B50" s="3486"/>
      <c r="C50" s="3489"/>
      <c r="D50" s="3489"/>
      <c r="E50" s="3456"/>
      <c r="F50" s="3456"/>
      <c r="G50" s="1036">
        <v>26</v>
      </c>
      <c r="H50" s="934" t="s">
        <v>935</v>
      </c>
      <c r="I50" s="934" t="s">
        <v>936</v>
      </c>
      <c r="J50" s="1132">
        <v>2</v>
      </c>
      <c r="K50" s="3497"/>
      <c r="L50" s="3497"/>
      <c r="M50" s="3244"/>
      <c r="N50" s="1172">
        <f>S50/O44</f>
        <v>3.2486844110028952E-2</v>
      </c>
      <c r="O50" s="3172"/>
      <c r="P50" s="3244"/>
      <c r="Q50" s="3066"/>
      <c r="R50" s="931" t="s">
        <v>937</v>
      </c>
      <c r="S50" s="1165">
        <v>44350000</v>
      </c>
      <c r="T50" s="1151">
        <v>20</v>
      </c>
      <c r="U50" s="979" t="s">
        <v>72</v>
      </c>
      <c r="V50" s="3467"/>
      <c r="W50" s="3467"/>
      <c r="X50" s="3467"/>
      <c r="Y50" s="3467"/>
      <c r="Z50" s="3467"/>
      <c r="AA50" s="3467"/>
      <c r="AB50" s="3467"/>
      <c r="AC50" s="3467"/>
      <c r="AD50" s="3467"/>
      <c r="AE50" s="3467"/>
      <c r="AF50" s="3467"/>
      <c r="AG50" s="3467"/>
      <c r="AH50" s="3467"/>
      <c r="AI50" s="3467"/>
      <c r="AJ50" s="3467"/>
      <c r="AK50" s="3467"/>
      <c r="AL50" s="3084"/>
      <c r="AM50" s="3084"/>
      <c r="AN50" s="3461"/>
    </row>
    <row r="51" spans="1:40" ht="28.5" x14ac:dyDescent="0.25">
      <c r="A51" s="3485"/>
      <c r="B51" s="3486"/>
      <c r="C51" s="3489"/>
      <c r="D51" s="3489"/>
      <c r="E51" s="3456"/>
      <c r="F51" s="3456"/>
      <c r="G51" s="1036">
        <v>27</v>
      </c>
      <c r="H51" s="934" t="s">
        <v>938</v>
      </c>
      <c r="I51" s="934" t="s">
        <v>939</v>
      </c>
      <c r="J51" s="1224">
        <f>3+1.5</f>
        <v>4.5</v>
      </c>
      <c r="K51" s="3497"/>
      <c r="L51" s="3497"/>
      <c r="M51" s="3244"/>
      <c r="N51" s="1172">
        <f>S51/O44</f>
        <v>0.7325105774527384</v>
      </c>
      <c r="O51" s="3172"/>
      <c r="P51" s="3244"/>
      <c r="Q51" s="934" t="s">
        <v>940</v>
      </c>
      <c r="R51" s="934" t="s">
        <v>941</v>
      </c>
      <c r="S51" s="1150">
        <v>1000000000</v>
      </c>
      <c r="T51" s="1151">
        <v>46</v>
      </c>
      <c r="U51" s="934" t="s">
        <v>942</v>
      </c>
      <c r="V51" s="3467"/>
      <c r="W51" s="3467"/>
      <c r="X51" s="3467"/>
      <c r="Y51" s="3467"/>
      <c r="Z51" s="3467"/>
      <c r="AA51" s="3467"/>
      <c r="AB51" s="3467"/>
      <c r="AC51" s="3467"/>
      <c r="AD51" s="3467"/>
      <c r="AE51" s="3467"/>
      <c r="AF51" s="3467"/>
      <c r="AG51" s="3467"/>
      <c r="AH51" s="3467"/>
      <c r="AI51" s="3467"/>
      <c r="AJ51" s="3467"/>
      <c r="AK51" s="3467"/>
      <c r="AL51" s="3084"/>
      <c r="AM51" s="3084"/>
      <c r="AN51" s="3461"/>
    </row>
    <row r="52" spans="1:40" ht="42.75" x14ac:dyDescent="0.25">
      <c r="A52" s="3485"/>
      <c r="B52" s="3486"/>
      <c r="C52" s="3489"/>
      <c r="D52" s="3489"/>
      <c r="E52" s="3456"/>
      <c r="F52" s="3456"/>
      <c r="G52" s="1036">
        <v>28</v>
      </c>
      <c r="H52" s="934" t="s">
        <v>943</v>
      </c>
      <c r="I52" s="934" t="s">
        <v>944</v>
      </c>
      <c r="J52" s="1132">
        <v>2</v>
      </c>
      <c r="K52" s="3498"/>
      <c r="L52" s="3498"/>
      <c r="M52" s="3066"/>
      <c r="N52" s="1172">
        <f>S52/O44</f>
        <v>2.4361836784923173E-2</v>
      </c>
      <c r="O52" s="3173"/>
      <c r="P52" s="3066"/>
      <c r="Q52" s="934" t="s">
        <v>945</v>
      </c>
      <c r="R52" s="934" t="s">
        <v>946</v>
      </c>
      <c r="S52" s="1150">
        <v>33258000</v>
      </c>
      <c r="T52" s="1151">
        <v>20</v>
      </c>
      <c r="U52" s="979" t="s">
        <v>72</v>
      </c>
      <c r="V52" s="3468"/>
      <c r="W52" s="3468"/>
      <c r="X52" s="3468"/>
      <c r="Y52" s="3468"/>
      <c r="Z52" s="3468"/>
      <c r="AA52" s="3468"/>
      <c r="AB52" s="3468"/>
      <c r="AC52" s="3468"/>
      <c r="AD52" s="3468"/>
      <c r="AE52" s="3468"/>
      <c r="AF52" s="3468"/>
      <c r="AG52" s="3468"/>
      <c r="AH52" s="3468"/>
      <c r="AI52" s="3468"/>
      <c r="AJ52" s="3468"/>
      <c r="AK52" s="3468"/>
      <c r="AL52" s="3085"/>
      <c r="AM52" s="3085"/>
      <c r="AN52" s="3469"/>
    </row>
    <row r="53" spans="1:40" ht="70.5" customHeight="1" x14ac:dyDescent="0.25">
      <c r="A53" s="3485"/>
      <c r="B53" s="3486"/>
      <c r="C53" s="3489"/>
      <c r="D53" s="3489"/>
      <c r="E53" s="3456"/>
      <c r="F53" s="3456"/>
      <c r="G53" s="3466">
        <v>29</v>
      </c>
      <c r="H53" s="3065" t="s">
        <v>947</v>
      </c>
      <c r="I53" s="3065" t="s">
        <v>948</v>
      </c>
      <c r="J53" s="3496">
        <v>1</v>
      </c>
      <c r="K53" s="1225" t="s">
        <v>949</v>
      </c>
      <c r="L53" s="3496" t="s">
        <v>950</v>
      </c>
      <c r="M53" s="3232" t="s">
        <v>951</v>
      </c>
      <c r="N53" s="3499">
        <f>SUM(S53:S55)/O53</f>
        <v>1</v>
      </c>
      <c r="O53" s="3171">
        <f>SUM(S53:S55)</f>
        <v>122170000</v>
      </c>
      <c r="P53" s="3065" t="s">
        <v>952</v>
      </c>
      <c r="Q53" s="3503" t="s">
        <v>953</v>
      </c>
      <c r="R53" s="934" t="s">
        <v>954</v>
      </c>
      <c r="S53" s="1150">
        <v>15000000</v>
      </c>
      <c r="T53" s="1151">
        <v>20</v>
      </c>
      <c r="U53" s="979" t="s">
        <v>72</v>
      </c>
      <c r="V53" s="3506">
        <v>210</v>
      </c>
      <c r="W53" s="3506">
        <v>140</v>
      </c>
      <c r="X53" s="3506"/>
      <c r="Y53" s="3506"/>
      <c r="Z53" s="3506"/>
      <c r="AA53" s="3506"/>
      <c r="AB53" s="3506"/>
      <c r="AC53" s="3506"/>
      <c r="AD53" s="3506"/>
      <c r="AE53" s="3506"/>
      <c r="AF53" s="3506"/>
      <c r="AG53" s="3506"/>
      <c r="AH53" s="3506"/>
      <c r="AI53" s="3506"/>
      <c r="AJ53" s="3506"/>
      <c r="AK53" s="3506">
        <f>V53+W53</f>
        <v>350</v>
      </c>
      <c r="AL53" s="3083">
        <v>43466</v>
      </c>
      <c r="AM53" s="3083">
        <v>43830</v>
      </c>
      <c r="AN53" s="3460" t="s">
        <v>955</v>
      </c>
    </row>
    <row r="54" spans="1:40" ht="45.75" customHeight="1" x14ac:dyDescent="0.25">
      <c r="A54" s="3485"/>
      <c r="B54" s="3486"/>
      <c r="C54" s="3489"/>
      <c r="D54" s="3489"/>
      <c r="E54" s="3456"/>
      <c r="F54" s="3456"/>
      <c r="G54" s="3467"/>
      <c r="H54" s="3244"/>
      <c r="I54" s="3244"/>
      <c r="J54" s="3497"/>
      <c r="K54" s="1226" t="s">
        <v>956</v>
      </c>
      <c r="L54" s="3497"/>
      <c r="M54" s="3233"/>
      <c r="N54" s="3500"/>
      <c r="O54" s="3172"/>
      <c r="P54" s="3244"/>
      <c r="Q54" s="3504"/>
      <c r="R54" s="3232" t="s">
        <v>957</v>
      </c>
      <c r="S54" s="1150">
        <v>7170000</v>
      </c>
      <c r="T54" s="1151">
        <v>20</v>
      </c>
      <c r="U54" s="979" t="s">
        <v>72</v>
      </c>
      <c r="V54" s="3507"/>
      <c r="W54" s="3507"/>
      <c r="X54" s="3507"/>
      <c r="Y54" s="3508"/>
      <c r="Z54" s="3508"/>
      <c r="AA54" s="3508"/>
      <c r="AB54" s="3508"/>
      <c r="AC54" s="3508"/>
      <c r="AD54" s="3508"/>
      <c r="AE54" s="3508"/>
      <c r="AF54" s="3508"/>
      <c r="AG54" s="3508"/>
      <c r="AH54" s="3508"/>
      <c r="AI54" s="3508"/>
      <c r="AJ54" s="3508"/>
      <c r="AK54" s="3507"/>
      <c r="AL54" s="3084"/>
      <c r="AM54" s="3084"/>
      <c r="AN54" s="3461"/>
    </row>
    <row r="55" spans="1:40" ht="45.75" customHeight="1" x14ac:dyDescent="0.25">
      <c r="A55" s="3485"/>
      <c r="B55" s="3486"/>
      <c r="C55" s="3489"/>
      <c r="D55" s="3489"/>
      <c r="E55" s="3456"/>
      <c r="F55" s="3456"/>
      <c r="G55" s="3468"/>
      <c r="H55" s="3066"/>
      <c r="I55" s="3066"/>
      <c r="J55" s="3498"/>
      <c r="K55" s="1227"/>
      <c r="L55" s="3498"/>
      <c r="M55" s="3234"/>
      <c r="N55" s="3501"/>
      <c r="O55" s="3173"/>
      <c r="P55" s="3066"/>
      <c r="Q55" s="3505"/>
      <c r="R55" s="3234"/>
      <c r="S55" s="1228">
        <v>100000000</v>
      </c>
      <c r="T55" s="1229">
        <v>88</v>
      </c>
      <c r="U55" s="979" t="s">
        <v>72</v>
      </c>
      <c r="V55" s="3508"/>
      <c r="W55" s="3508"/>
      <c r="X55" s="3508"/>
      <c r="Y55" s="1230"/>
      <c r="Z55" s="1230"/>
      <c r="AA55" s="1230"/>
      <c r="AB55" s="1230"/>
      <c r="AC55" s="1230"/>
      <c r="AD55" s="1230"/>
      <c r="AE55" s="1230"/>
      <c r="AF55" s="1230"/>
      <c r="AG55" s="1230"/>
      <c r="AH55" s="1230"/>
      <c r="AI55" s="1230"/>
      <c r="AJ55" s="1230"/>
      <c r="AK55" s="3508"/>
      <c r="AL55" s="3085"/>
      <c r="AM55" s="3085"/>
      <c r="AN55" s="3469"/>
    </row>
    <row r="56" spans="1:40" ht="96.75" customHeight="1" x14ac:dyDescent="0.25">
      <c r="A56" s="3485"/>
      <c r="B56" s="3486"/>
      <c r="C56" s="3489"/>
      <c r="D56" s="3489"/>
      <c r="E56" s="3456"/>
      <c r="F56" s="3456"/>
      <c r="G56" s="3456">
        <v>30</v>
      </c>
      <c r="H56" s="3065" t="s">
        <v>958</v>
      </c>
      <c r="I56" s="3065" t="s">
        <v>959</v>
      </c>
      <c r="J56" s="3496">
        <v>1</v>
      </c>
      <c r="K56" s="3496" t="s">
        <v>960</v>
      </c>
      <c r="L56" s="3496" t="s">
        <v>961</v>
      </c>
      <c r="M56" s="3065" t="s">
        <v>962</v>
      </c>
      <c r="N56" s="3499">
        <f>S56/O56</f>
        <v>1</v>
      </c>
      <c r="O56" s="3171">
        <v>22169913</v>
      </c>
      <c r="P56" s="3065" t="s">
        <v>963</v>
      </c>
      <c r="Q56" s="930" t="s">
        <v>964</v>
      </c>
      <c r="R56" s="3307" t="s">
        <v>965</v>
      </c>
      <c r="S56" s="3512">
        <v>22169913</v>
      </c>
      <c r="T56" s="3514">
        <v>20</v>
      </c>
      <c r="U56" s="3232" t="s">
        <v>72</v>
      </c>
      <c r="V56" s="3510">
        <v>8</v>
      </c>
      <c r="W56" s="3510">
        <v>12</v>
      </c>
      <c r="X56" s="3510"/>
      <c r="Y56" s="3510"/>
      <c r="Z56" s="3510"/>
      <c r="AA56" s="3510"/>
      <c r="AB56" s="3510"/>
      <c r="AC56" s="3510"/>
      <c r="AD56" s="3510"/>
      <c r="AE56" s="3510"/>
      <c r="AF56" s="3510"/>
      <c r="AG56" s="3510"/>
      <c r="AH56" s="3510"/>
      <c r="AI56" s="3510"/>
      <c r="AJ56" s="3510"/>
      <c r="AK56" s="3510">
        <f>+V56+W56</f>
        <v>20</v>
      </c>
      <c r="AL56" s="3083">
        <v>43101</v>
      </c>
      <c r="AM56" s="3083">
        <v>43465</v>
      </c>
      <c r="AN56" s="3460" t="s">
        <v>908</v>
      </c>
    </row>
    <row r="57" spans="1:40" ht="80.25" customHeight="1" x14ac:dyDescent="0.25">
      <c r="A57" s="3485"/>
      <c r="B57" s="3486"/>
      <c r="C57" s="3489"/>
      <c r="D57" s="3489"/>
      <c r="E57" s="3456"/>
      <c r="F57" s="3456"/>
      <c r="G57" s="3466"/>
      <c r="H57" s="3244"/>
      <c r="I57" s="3244"/>
      <c r="J57" s="3497"/>
      <c r="K57" s="3497"/>
      <c r="L57" s="3497"/>
      <c r="M57" s="3244"/>
      <c r="N57" s="3500"/>
      <c r="O57" s="3172"/>
      <c r="P57" s="3244"/>
      <c r="Q57" s="930" t="s">
        <v>966</v>
      </c>
      <c r="R57" s="3308"/>
      <c r="S57" s="3513"/>
      <c r="T57" s="3515"/>
      <c r="U57" s="3234"/>
      <c r="V57" s="3511"/>
      <c r="W57" s="3511"/>
      <c r="X57" s="3511"/>
      <c r="Y57" s="3511"/>
      <c r="Z57" s="3511"/>
      <c r="AA57" s="3511"/>
      <c r="AB57" s="3511"/>
      <c r="AC57" s="3511"/>
      <c r="AD57" s="3511"/>
      <c r="AE57" s="3511"/>
      <c r="AF57" s="3511"/>
      <c r="AG57" s="3511"/>
      <c r="AH57" s="3511"/>
      <c r="AI57" s="3511"/>
      <c r="AJ57" s="3511"/>
      <c r="AK57" s="3511"/>
      <c r="AL57" s="3084"/>
      <c r="AM57" s="3084"/>
      <c r="AN57" s="3461"/>
    </row>
    <row r="58" spans="1:40" ht="15.75" thickBot="1" x14ac:dyDescent="0.3">
      <c r="A58" s="3485"/>
      <c r="B58" s="3486"/>
      <c r="C58" s="3489"/>
      <c r="D58" s="3489"/>
      <c r="E58" s="973">
        <v>6</v>
      </c>
      <c r="F58" s="1231" t="s">
        <v>967</v>
      </c>
      <c r="G58" s="1121"/>
      <c r="H58" s="1121"/>
      <c r="I58" s="1121"/>
      <c r="J58" s="1121"/>
      <c r="K58" s="1121"/>
      <c r="L58" s="1121"/>
      <c r="M58" s="1121"/>
      <c r="N58" s="1121"/>
      <c r="O58" s="1121"/>
      <c r="P58" s="1121"/>
      <c r="Q58" s="1121"/>
      <c r="R58" s="1121"/>
      <c r="S58" s="1121"/>
      <c r="T58" s="1121"/>
      <c r="U58" s="1121"/>
      <c r="V58" s="1121"/>
      <c r="W58" s="1121"/>
      <c r="X58" s="1121"/>
      <c r="Y58" s="1121"/>
      <c r="Z58" s="1121"/>
      <c r="AA58" s="1121"/>
      <c r="AB58" s="1121"/>
      <c r="AC58" s="1121"/>
      <c r="AD58" s="1121"/>
      <c r="AE58" s="1121"/>
      <c r="AF58" s="1121"/>
      <c r="AG58" s="1121"/>
      <c r="AH58" s="1121"/>
      <c r="AI58" s="1121"/>
      <c r="AJ58" s="1121"/>
      <c r="AK58" s="1121"/>
      <c r="AL58" s="1121"/>
      <c r="AM58" s="1121"/>
      <c r="AN58" s="1232"/>
    </row>
    <row r="59" spans="1:40" ht="85.5" x14ac:dyDescent="0.25">
      <c r="A59" s="3485"/>
      <c r="B59" s="3486"/>
      <c r="C59" s="3489"/>
      <c r="D59" s="3489"/>
      <c r="E59" s="3456"/>
      <c r="F59" s="3456"/>
      <c r="G59" s="1036">
        <v>31</v>
      </c>
      <c r="H59" s="934" t="s">
        <v>968</v>
      </c>
      <c r="I59" s="1048" t="s">
        <v>969</v>
      </c>
      <c r="J59" s="1233">
        <v>4</v>
      </c>
      <c r="K59" s="3496" t="s">
        <v>970</v>
      </c>
      <c r="L59" s="3496" t="s">
        <v>971</v>
      </c>
      <c r="M59" s="3065" t="s">
        <v>972</v>
      </c>
      <c r="N59" s="1172">
        <f>S59/O59</f>
        <v>0.34666567637771994</v>
      </c>
      <c r="O59" s="3171">
        <v>475120588</v>
      </c>
      <c r="P59" s="3280" t="s">
        <v>973</v>
      </c>
      <c r="Q59" s="934" t="s">
        <v>974</v>
      </c>
      <c r="R59" s="934" t="s">
        <v>975</v>
      </c>
      <c r="S59" s="1150">
        <v>164708000</v>
      </c>
      <c r="T59" s="1151">
        <v>20</v>
      </c>
      <c r="U59" s="979" t="s">
        <v>72</v>
      </c>
      <c r="V59" s="3466">
        <v>170</v>
      </c>
      <c r="W59" s="3466">
        <v>200</v>
      </c>
      <c r="X59" s="3466"/>
      <c r="Y59" s="3466"/>
      <c r="Z59" s="3466">
        <v>300</v>
      </c>
      <c r="AA59" s="3466">
        <v>10</v>
      </c>
      <c r="AB59" s="3466"/>
      <c r="AC59" s="3466"/>
      <c r="AD59" s="3466"/>
      <c r="AE59" s="3466"/>
      <c r="AF59" s="3466"/>
      <c r="AG59" s="3466"/>
      <c r="AH59" s="3466"/>
      <c r="AI59" s="3466"/>
      <c r="AJ59" s="3466"/>
      <c r="AK59" s="3466">
        <f>V59+W59</f>
        <v>370</v>
      </c>
      <c r="AL59" s="3083">
        <v>43466</v>
      </c>
      <c r="AM59" s="3083">
        <v>43830</v>
      </c>
      <c r="AN59" s="3460" t="s">
        <v>955</v>
      </c>
    </row>
    <row r="60" spans="1:40" ht="99.75" x14ac:dyDescent="0.25">
      <c r="A60" s="3485"/>
      <c r="B60" s="3486"/>
      <c r="C60" s="3489"/>
      <c r="D60" s="3489"/>
      <c r="E60" s="3456"/>
      <c r="F60" s="3456"/>
      <c r="G60" s="1036">
        <v>32</v>
      </c>
      <c r="H60" s="934" t="s">
        <v>976</v>
      </c>
      <c r="I60" s="1048" t="s">
        <v>977</v>
      </c>
      <c r="J60" s="1175">
        <v>25</v>
      </c>
      <c r="K60" s="3497"/>
      <c r="L60" s="3497"/>
      <c r="M60" s="3244"/>
      <c r="N60" s="1172">
        <f>S60/O59</f>
        <v>0.52705059373263785</v>
      </c>
      <c r="O60" s="3172"/>
      <c r="P60" s="3480"/>
      <c r="Q60" s="934" t="s">
        <v>978</v>
      </c>
      <c r="R60" s="934" t="s">
        <v>979</v>
      </c>
      <c r="S60" s="1150">
        <v>250412588</v>
      </c>
      <c r="T60" s="1151">
        <v>20</v>
      </c>
      <c r="U60" s="979" t="s">
        <v>72</v>
      </c>
      <c r="V60" s="3467"/>
      <c r="W60" s="3467"/>
      <c r="X60" s="3467"/>
      <c r="Y60" s="3467"/>
      <c r="Z60" s="3467"/>
      <c r="AA60" s="3467"/>
      <c r="AB60" s="3467"/>
      <c r="AC60" s="3467"/>
      <c r="AD60" s="3467"/>
      <c r="AE60" s="3467"/>
      <c r="AF60" s="3467"/>
      <c r="AG60" s="3467"/>
      <c r="AH60" s="3467"/>
      <c r="AI60" s="3467"/>
      <c r="AJ60" s="3467"/>
      <c r="AK60" s="3467"/>
      <c r="AL60" s="3084"/>
      <c r="AM60" s="3084"/>
      <c r="AN60" s="3461"/>
    </row>
    <row r="61" spans="1:40" ht="52.5" customHeight="1" x14ac:dyDescent="0.25">
      <c r="A61" s="3485"/>
      <c r="B61" s="3486"/>
      <c r="C61" s="3489"/>
      <c r="D61" s="3489"/>
      <c r="E61" s="3456"/>
      <c r="F61" s="3456"/>
      <c r="G61" s="1036">
        <v>33</v>
      </c>
      <c r="H61" s="934" t="s">
        <v>980</v>
      </c>
      <c r="I61" s="1048" t="s">
        <v>981</v>
      </c>
      <c r="J61" s="1175">
        <v>200</v>
      </c>
      <c r="K61" s="3497"/>
      <c r="L61" s="3497"/>
      <c r="M61" s="3244"/>
      <c r="N61" s="1172">
        <f>S61/O59</f>
        <v>6.314186494482113E-2</v>
      </c>
      <c r="O61" s="3172"/>
      <c r="P61" s="3480"/>
      <c r="Q61" s="3065" t="s">
        <v>982</v>
      </c>
      <c r="R61" s="934" t="s">
        <v>983</v>
      </c>
      <c r="S61" s="1150">
        <v>30000000</v>
      </c>
      <c r="T61" s="1151">
        <v>20</v>
      </c>
      <c r="U61" s="979" t="s">
        <v>72</v>
      </c>
      <c r="V61" s="3467"/>
      <c r="W61" s="3467"/>
      <c r="X61" s="3467"/>
      <c r="Y61" s="3467"/>
      <c r="Z61" s="3467"/>
      <c r="AA61" s="3467"/>
      <c r="AB61" s="3467"/>
      <c r="AC61" s="3467"/>
      <c r="AD61" s="3467"/>
      <c r="AE61" s="3467"/>
      <c r="AF61" s="3467"/>
      <c r="AG61" s="3467"/>
      <c r="AH61" s="3467"/>
      <c r="AI61" s="3467"/>
      <c r="AJ61" s="3467"/>
      <c r="AK61" s="3467"/>
      <c r="AL61" s="3084"/>
      <c r="AM61" s="3084"/>
      <c r="AN61" s="3461"/>
    </row>
    <row r="62" spans="1:40" ht="113.25" customHeight="1" x14ac:dyDescent="0.25">
      <c r="A62" s="3485"/>
      <c r="B62" s="3486"/>
      <c r="C62" s="3489"/>
      <c r="D62" s="3489"/>
      <c r="E62" s="3456"/>
      <c r="F62" s="3456"/>
      <c r="G62" s="1178">
        <v>34</v>
      </c>
      <c r="H62" s="930" t="s">
        <v>984</v>
      </c>
      <c r="I62" s="1069" t="s">
        <v>985</v>
      </c>
      <c r="J62" s="1175">
        <v>600</v>
      </c>
      <c r="K62" s="3497"/>
      <c r="L62" s="3497"/>
      <c r="M62" s="3066"/>
      <c r="N62" s="1180">
        <f>S62/O59</f>
        <v>6.314186494482113E-2</v>
      </c>
      <c r="O62" s="3172"/>
      <c r="P62" s="3281"/>
      <c r="Q62" s="3066"/>
      <c r="R62" s="930" t="s">
        <v>986</v>
      </c>
      <c r="S62" s="1234">
        <v>30000000</v>
      </c>
      <c r="T62" s="1182">
        <v>20</v>
      </c>
      <c r="U62" s="979" t="s">
        <v>72</v>
      </c>
      <c r="V62" s="3467"/>
      <c r="W62" s="3467"/>
      <c r="X62" s="3467"/>
      <c r="Y62" s="3467"/>
      <c r="Z62" s="3467"/>
      <c r="AA62" s="3467"/>
      <c r="AB62" s="3467"/>
      <c r="AC62" s="3467"/>
      <c r="AD62" s="3467"/>
      <c r="AE62" s="3467"/>
      <c r="AF62" s="3467"/>
      <c r="AG62" s="3467"/>
      <c r="AH62" s="3467"/>
      <c r="AI62" s="3467"/>
      <c r="AJ62" s="3467"/>
      <c r="AK62" s="3467"/>
      <c r="AL62" s="3084"/>
      <c r="AM62" s="3084"/>
      <c r="AN62" s="3469"/>
    </row>
    <row r="63" spans="1:40" ht="15" x14ac:dyDescent="0.25">
      <c r="A63" s="3485"/>
      <c r="B63" s="3486"/>
      <c r="C63" s="3489"/>
      <c r="D63" s="3489"/>
      <c r="E63" s="973">
        <v>7</v>
      </c>
      <c r="F63" s="971" t="s">
        <v>987</v>
      </c>
      <c r="G63" s="973"/>
      <c r="H63" s="1235"/>
      <c r="I63" s="1121"/>
      <c r="J63" s="1298"/>
      <c r="K63" s="1215"/>
      <c r="L63" s="1214"/>
      <c r="M63" s="641"/>
      <c r="N63" s="1210"/>
      <c r="O63" s="1211"/>
      <c r="P63" s="1209"/>
      <c r="Q63" s="1209"/>
      <c r="R63" s="1209"/>
      <c r="S63" s="1212"/>
      <c r="T63" s="1213"/>
      <c r="U63" s="1214"/>
      <c r="V63" s="1215"/>
      <c r="W63" s="1215"/>
      <c r="X63" s="1215"/>
      <c r="Y63" s="1215"/>
      <c r="Z63" s="1215"/>
      <c r="AA63" s="1215"/>
      <c r="AB63" s="1215"/>
      <c r="AC63" s="1215"/>
      <c r="AD63" s="1215"/>
      <c r="AE63" s="1215"/>
      <c r="AF63" s="1215"/>
      <c r="AG63" s="1215"/>
      <c r="AH63" s="1215"/>
      <c r="AI63" s="1215"/>
      <c r="AJ63" s="1215"/>
      <c r="AK63" s="1215"/>
      <c r="AL63" s="1216"/>
      <c r="AM63" s="1217"/>
      <c r="AN63" s="1218"/>
    </row>
    <row r="64" spans="1:40" ht="56.25" customHeight="1" x14ac:dyDescent="0.25">
      <c r="A64" s="3485"/>
      <c r="B64" s="3486"/>
      <c r="C64" s="3489"/>
      <c r="D64" s="3489"/>
      <c r="E64" s="3516"/>
      <c r="F64" s="3517"/>
      <c r="G64" s="1036">
        <v>35</v>
      </c>
      <c r="H64" s="934" t="s">
        <v>988</v>
      </c>
      <c r="I64" s="934" t="s">
        <v>936</v>
      </c>
      <c r="J64" s="1236">
        <v>5</v>
      </c>
      <c r="K64" s="3496" t="s">
        <v>989</v>
      </c>
      <c r="L64" s="3496" t="s">
        <v>990</v>
      </c>
      <c r="M64" s="3065" t="s">
        <v>991</v>
      </c>
      <c r="N64" s="1172">
        <f>S64/O64</f>
        <v>0.2509712330108983</v>
      </c>
      <c r="O64" s="3171">
        <v>197966912</v>
      </c>
      <c r="P64" s="3280" t="s">
        <v>992</v>
      </c>
      <c r="Q64" s="1237" t="s">
        <v>993</v>
      </c>
      <c r="R64" s="1237" t="s">
        <v>994</v>
      </c>
      <c r="S64" s="1238">
        <f>69684000-20000000</f>
        <v>49684000</v>
      </c>
      <c r="T64" s="1151">
        <v>20</v>
      </c>
      <c r="U64" s="979" t="s">
        <v>72</v>
      </c>
      <c r="V64" s="3520">
        <v>100</v>
      </c>
      <c r="W64" s="3520">
        <v>60</v>
      </c>
      <c r="X64" s="3520"/>
      <c r="Y64" s="3520"/>
      <c r="Z64" s="3520">
        <v>110</v>
      </c>
      <c r="AA64" s="3520">
        <v>50</v>
      </c>
      <c r="AB64" s="3520"/>
      <c r="AC64" s="3520"/>
      <c r="AD64" s="3520"/>
      <c r="AE64" s="3520"/>
      <c r="AF64" s="3520"/>
      <c r="AG64" s="3520"/>
      <c r="AH64" s="3520"/>
      <c r="AI64" s="3520"/>
      <c r="AJ64" s="3520"/>
      <c r="AK64" s="3520">
        <f>V64+W64</f>
        <v>160</v>
      </c>
      <c r="AL64" s="3083">
        <v>43466</v>
      </c>
      <c r="AM64" s="3083">
        <v>43830</v>
      </c>
      <c r="AN64" s="3460" t="s">
        <v>955</v>
      </c>
    </row>
    <row r="65" spans="1:40" ht="42.75" x14ac:dyDescent="0.25">
      <c r="A65" s="3487"/>
      <c r="B65" s="3488"/>
      <c r="C65" s="3489"/>
      <c r="D65" s="3489"/>
      <c r="E65" s="3518"/>
      <c r="F65" s="3519"/>
      <c r="G65" s="1036">
        <v>37</v>
      </c>
      <c r="H65" s="934" t="s">
        <v>995</v>
      </c>
      <c r="I65" s="934" t="s">
        <v>996</v>
      </c>
      <c r="J65" s="1239">
        <v>1</v>
      </c>
      <c r="K65" s="3498"/>
      <c r="L65" s="3498"/>
      <c r="M65" s="3066"/>
      <c r="N65" s="1172">
        <f>S65/O64</f>
        <v>0.7490287669891017</v>
      </c>
      <c r="O65" s="3173"/>
      <c r="P65" s="3281"/>
      <c r="Q65" s="934" t="s">
        <v>997</v>
      </c>
      <c r="R65" s="1237" t="s">
        <v>998</v>
      </c>
      <c r="S65" s="1238">
        <f>128282912+20000000</f>
        <v>148282912</v>
      </c>
      <c r="T65" s="1151">
        <v>20</v>
      </c>
      <c r="U65" s="979" t="s">
        <v>72</v>
      </c>
      <c r="V65" s="3521"/>
      <c r="W65" s="3521"/>
      <c r="X65" s="3521"/>
      <c r="Y65" s="3521"/>
      <c r="Z65" s="3521"/>
      <c r="AA65" s="3521"/>
      <c r="AB65" s="3521"/>
      <c r="AC65" s="3521"/>
      <c r="AD65" s="3521"/>
      <c r="AE65" s="3521"/>
      <c r="AF65" s="3521"/>
      <c r="AG65" s="3521"/>
      <c r="AH65" s="3521"/>
      <c r="AI65" s="3521"/>
      <c r="AJ65" s="3521"/>
      <c r="AK65" s="3521"/>
      <c r="AL65" s="3085"/>
      <c r="AM65" s="3085"/>
      <c r="AN65" s="3469"/>
    </row>
    <row r="66" spans="1:40" ht="15" x14ac:dyDescent="0.25">
      <c r="A66" s="1240">
        <v>3</v>
      </c>
      <c r="B66" s="953" t="s">
        <v>999</v>
      </c>
      <c r="C66" s="1241"/>
      <c r="D66" s="1241"/>
      <c r="E66" s="1242"/>
      <c r="F66" s="1243"/>
      <c r="G66" s="1244"/>
      <c r="H66" s="1245"/>
      <c r="I66" s="1243"/>
      <c r="J66" s="1243"/>
      <c r="K66" s="1243"/>
      <c r="L66" s="1244"/>
      <c r="M66" s="1245"/>
      <c r="N66" s="1246"/>
      <c r="O66" s="1247"/>
      <c r="P66" s="1245"/>
      <c r="Q66" s="1245"/>
      <c r="R66" s="1245"/>
      <c r="S66" s="1248"/>
      <c r="T66" s="1249"/>
      <c r="U66" s="1244"/>
      <c r="V66" s="1243"/>
      <c r="W66" s="1243"/>
      <c r="X66" s="1243"/>
      <c r="Y66" s="1243"/>
      <c r="Z66" s="1243"/>
      <c r="AA66" s="1243"/>
      <c r="AB66" s="1243"/>
      <c r="AC66" s="1243"/>
      <c r="AD66" s="1243"/>
      <c r="AE66" s="1243"/>
      <c r="AF66" s="1243"/>
      <c r="AG66" s="1243"/>
      <c r="AH66" s="1243"/>
      <c r="AI66" s="1243"/>
      <c r="AJ66" s="1243"/>
      <c r="AK66" s="1243"/>
      <c r="AL66" s="1250"/>
      <c r="AM66" s="1251"/>
      <c r="AN66" s="1252"/>
    </row>
    <row r="67" spans="1:40" ht="21" customHeight="1" x14ac:dyDescent="0.25">
      <c r="A67" s="3489"/>
      <c r="B67" s="3489"/>
      <c r="C67" s="1253">
        <v>11</v>
      </c>
      <c r="D67" s="1254" t="s">
        <v>1000</v>
      </c>
      <c r="E67" s="1255"/>
      <c r="F67" s="1254"/>
      <c r="G67" s="1256"/>
      <c r="H67" s="1257"/>
      <c r="I67" s="1258"/>
      <c r="J67" s="1258"/>
      <c r="K67" s="1258"/>
      <c r="L67" s="1256"/>
      <c r="M67" s="1257"/>
      <c r="N67" s="1259"/>
      <c r="O67" s="1260"/>
      <c r="P67" s="1257"/>
      <c r="Q67" s="1257"/>
      <c r="R67" s="1257"/>
      <c r="S67" s="1261"/>
      <c r="T67" s="1262"/>
      <c r="U67" s="1256"/>
      <c r="V67" s="1258"/>
      <c r="W67" s="1258"/>
      <c r="X67" s="1258"/>
      <c r="Y67" s="1258"/>
      <c r="Z67" s="1258"/>
      <c r="AA67" s="1258"/>
      <c r="AB67" s="1258"/>
      <c r="AC67" s="1258"/>
      <c r="AD67" s="1258"/>
      <c r="AE67" s="1258"/>
      <c r="AF67" s="1258"/>
      <c r="AG67" s="1258"/>
      <c r="AH67" s="1258"/>
      <c r="AI67" s="1258"/>
      <c r="AJ67" s="1258"/>
      <c r="AK67" s="1258"/>
      <c r="AL67" s="1263"/>
      <c r="AM67" s="1264"/>
      <c r="AN67" s="1265"/>
    </row>
    <row r="68" spans="1:40" ht="22.5" customHeight="1" x14ac:dyDescent="0.25">
      <c r="A68" s="3489"/>
      <c r="B68" s="3489"/>
      <c r="C68" s="3456"/>
      <c r="D68" s="3456"/>
      <c r="E68" s="1231">
        <v>34</v>
      </c>
      <c r="F68" s="1121" t="s">
        <v>1001</v>
      </c>
      <c r="G68" s="1214"/>
      <c r="H68" s="1209"/>
      <c r="I68" s="1215"/>
      <c r="J68" s="1215"/>
      <c r="K68" s="1215"/>
      <c r="L68" s="1214"/>
      <c r="M68" s="1209"/>
      <c r="N68" s="1210"/>
      <c r="O68" s="1211"/>
      <c r="P68" s="1209"/>
      <c r="Q68" s="1209"/>
      <c r="R68" s="1209"/>
      <c r="S68" s="1212"/>
      <c r="T68" s="1213"/>
      <c r="U68" s="1214"/>
      <c r="V68" s="1215"/>
      <c r="W68" s="1215"/>
      <c r="X68" s="1215"/>
      <c r="Y68" s="1215"/>
      <c r="Z68" s="1215"/>
      <c r="AA68" s="1215"/>
      <c r="AB68" s="1215"/>
      <c r="AC68" s="1215"/>
      <c r="AD68" s="1215"/>
      <c r="AE68" s="1215"/>
      <c r="AF68" s="1215"/>
      <c r="AG68" s="1215"/>
      <c r="AH68" s="1215"/>
      <c r="AI68" s="1215"/>
      <c r="AJ68" s="1215"/>
      <c r="AK68" s="1215"/>
      <c r="AL68" s="1216"/>
      <c r="AM68" s="1217"/>
      <c r="AN68" s="1218"/>
    </row>
    <row r="69" spans="1:40" ht="45" x14ac:dyDescent="0.25">
      <c r="A69" s="3489"/>
      <c r="B69" s="3489"/>
      <c r="C69" s="3456"/>
      <c r="D69" s="3456"/>
      <c r="E69" s="3456"/>
      <c r="F69" s="3456"/>
      <c r="G69" s="1036">
        <v>122</v>
      </c>
      <c r="H69" s="934" t="s">
        <v>1002</v>
      </c>
      <c r="I69" s="1069" t="s">
        <v>1003</v>
      </c>
      <c r="J69" s="1239">
        <v>1</v>
      </c>
      <c r="K69" s="3496" t="s">
        <v>1004</v>
      </c>
      <c r="L69" s="3496" t="s">
        <v>1005</v>
      </c>
      <c r="M69" s="3065" t="s">
        <v>1006</v>
      </c>
      <c r="N69" s="1172">
        <f>S69/O69</f>
        <v>0.24602162822149062</v>
      </c>
      <c r="O69" s="3171">
        <v>168373530</v>
      </c>
      <c r="P69" s="3280" t="s">
        <v>1007</v>
      </c>
      <c r="Q69" s="936" t="s">
        <v>1008</v>
      </c>
      <c r="R69" s="934" t="s">
        <v>1009</v>
      </c>
      <c r="S69" s="1150">
        <v>41423530</v>
      </c>
      <c r="T69" s="1151">
        <v>20</v>
      </c>
      <c r="U69" s="979" t="s">
        <v>72</v>
      </c>
      <c r="V69" s="3466">
        <v>4608</v>
      </c>
      <c r="W69" s="3466">
        <v>4992</v>
      </c>
      <c r="X69" s="3466">
        <v>2714</v>
      </c>
      <c r="Y69" s="3466">
        <v>765</v>
      </c>
      <c r="Z69" s="3466">
        <v>5500</v>
      </c>
      <c r="AA69" s="3466">
        <v>594</v>
      </c>
      <c r="AB69" s="3466">
        <v>40</v>
      </c>
      <c r="AC69" s="3466">
        <v>50</v>
      </c>
      <c r="AD69" s="3466"/>
      <c r="AE69" s="3466"/>
      <c r="AF69" s="3466"/>
      <c r="AG69" s="3466"/>
      <c r="AH69" s="3466">
        <v>100</v>
      </c>
      <c r="AI69" s="3466">
        <v>10</v>
      </c>
      <c r="AJ69" s="3466"/>
      <c r="AK69" s="3466">
        <f>V69+W69</f>
        <v>9600</v>
      </c>
      <c r="AL69" s="3083">
        <v>43466</v>
      </c>
      <c r="AM69" s="3083">
        <v>43830</v>
      </c>
      <c r="AN69" s="3460" t="s">
        <v>908</v>
      </c>
    </row>
    <row r="70" spans="1:40" ht="71.25" x14ac:dyDescent="0.25">
      <c r="A70" s="3489"/>
      <c r="B70" s="3489"/>
      <c r="C70" s="3456"/>
      <c r="D70" s="3456"/>
      <c r="E70" s="3456"/>
      <c r="F70" s="3456"/>
      <c r="G70" s="1036">
        <v>123</v>
      </c>
      <c r="H70" s="934" t="s">
        <v>1010</v>
      </c>
      <c r="I70" s="1048" t="s">
        <v>1011</v>
      </c>
      <c r="J70" s="1266">
        <v>4</v>
      </c>
      <c r="K70" s="3497"/>
      <c r="L70" s="3497"/>
      <c r="M70" s="3244"/>
      <c r="N70" s="1172">
        <f>S70/O69</f>
        <v>0.11284434079394784</v>
      </c>
      <c r="O70" s="3172"/>
      <c r="P70" s="3480"/>
      <c r="Q70" s="937" t="s">
        <v>1012</v>
      </c>
      <c r="R70" s="934" t="s">
        <v>1013</v>
      </c>
      <c r="S70" s="1150">
        <v>19000000</v>
      </c>
      <c r="T70" s="1151">
        <v>20</v>
      </c>
      <c r="U70" s="979" t="s">
        <v>72</v>
      </c>
      <c r="V70" s="3467"/>
      <c r="W70" s="3467"/>
      <c r="X70" s="3467"/>
      <c r="Y70" s="3467"/>
      <c r="Z70" s="3467"/>
      <c r="AA70" s="3467"/>
      <c r="AB70" s="3467"/>
      <c r="AC70" s="3467"/>
      <c r="AD70" s="3467"/>
      <c r="AE70" s="3467"/>
      <c r="AF70" s="3467"/>
      <c r="AG70" s="3467"/>
      <c r="AH70" s="3467"/>
      <c r="AI70" s="3467"/>
      <c r="AJ70" s="3467"/>
      <c r="AK70" s="3467"/>
      <c r="AL70" s="3084"/>
      <c r="AM70" s="3084"/>
      <c r="AN70" s="3461"/>
    </row>
    <row r="71" spans="1:40" ht="45" x14ac:dyDescent="0.25">
      <c r="A71" s="3489"/>
      <c r="B71" s="3489"/>
      <c r="C71" s="3456"/>
      <c r="D71" s="3456"/>
      <c r="E71" s="3456"/>
      <c r="F71" s="3456"/>
      <c r="G71" s="1036">
        <v>124</v>
      </c>
      <c r="H71" s="934" t="s">
        <v>1014</v>
      </c>
      <c r="I71" s="1069" t="s">
        <v>1015</v>
      </c>
      <c r="J71" s="1266">
        <v>150</v>
      </c>
      <c r="K71" s="3497"/>
      <c r="L71" s="3497"/>
      <c r="M71" s="3244"/>
      <c r="N71" s="1172">
        <f>S71/O69</f>
        <v>0.26340244811639929</v>
      </c>
      <c r="O71" s="3172"/>
      <c r="P71" s="3480"/>
      <c r="Q71" s="1069" t="s">
        <v>1012</v>
      </c>
      <c r="R71" s="934" t="s">
        <v>1016</v>
      </c>
      <c r="S71" s="1150">
        <v>44350000</v>
      </c>
      <c r="T71" s="1151">
        <v>20</v>
      </c>
      <c r="U71" s="979" t="s">
        <v>72</v>
      </c>
      <c r="V71" s="3467"/>
      <c r="W71" s="3467"/>
      <c r="X71" s="3467"/>
      <c r="Y71" s="3467"/>
      <c r="Z71" s="3467"/>
      <c r="AA71" s="3467"/>
      <c r="AB71" s="3467"/>
      <c r="AC71" s="3467"/>
      <c r="AD71" s="3467"/>
      <c r="AE71" s="3467"/>
      <c r="AF71" s="3467"/>
      <c r="AG71" s="3467"/>
      <c r="AH71" s="3467"/>
      <c r="AI71" s="3467"/>
      <c r="AJ71" s="3467"/>
      <c r="AK71" s="3467"/>
      <c r="AL71" s="3084"/>
      <c r="AM71" s="3084"/>
      <c r="AN71" s="3461"/>
    </row>
    <row r="72" spans="1:40" ht="57" x14ac:dyDescent="0.25">
      <c r="A72" s="3489"/>
      <c r="B72" s="3489"/>
      <c r="C72" s="3456"/>
      <c r="D72" s="3456"/>
      <c r="E72" s="3456"/>
      <c r="F72" s="3456"/>
      <c r="G72" s="1036">
        <v>125</v>
      </c>
      <c r="H72" s="934" t="s">
        <v>1017</v>
      </c>
      <c r="I72" s="1048" t="s">
        <v>1018</v>
      </c>
      <c r="J72" s="1267">
        <v>760</v>
      </c>
      <c r="K72" s="3497"/>
      <c r="L72" s="3497"/>
      <c r="M72" s="3244"/>
      <c r="N72" s="1172">
        <f>S72/O69</f>
        <v>0.2619176541585842</v>
      </c>
      <c r="O72" s="3172"/>
      <c r="P72" s="3480"/>
      <c r="Q72" s="1048" t="s">
        <v>1019</v>
      </c>
      <c r="R72" s="934" t="s">
        <v>1020</v>
      </c>
      <c r="S72" s="1150">
        <v>44100000</v>
      </c>
      <c r="T72" s="1151">
        <v>20</v>
      </c>
      <c r="U72" s="979" t="s">
        <v>72</v>
      </c>
      <c r="V72" s="3467"/>
      <c r="W72" s="3467"/>
      <c r="X72" s="3467"/>
      <c r="Y72" s="3467"/>
      <c r="Z72" s="3467"/>
      <c r="AA72" s="3467"/>
      <c r="AB72" s="3467"/>
      <c r="AC72" s="3467"/>
      <c r="AD72" s="3467"/>
      <c r="AE72" s="3467"/>
      <c r="AF72" s="3467"/>
      <c r="AG72" s="3467"/>
      <c r="AH72" s="3467"/>
      <c r="AI72" s="3467"/>
      <c r="AJ72" s="3467"/>
      <c r="AK72" s="3467"/>
      <c r="AL72" s="3084"/>
      <c r="AM72" s="3084"/>
      <c r="AN72" s="3461"/>
    </row>
    <row r="73" spans="1:40" ht="60" x14ac:dyDescent="0.25">
      <c r="A73" s="3489"/>
      <c r="B73" s="3489"/>
      <c r="C73" s="3456"/>
      <c r="D73" s="3456"/>
      <c r="E73" s="3456"/>
      <c r="F73" s="3456"/>
      <c r="G73" s="1036">
        <v>126</v>
      </c>
      <c r="H73" s="934" t="s">
        <v>1021</v>
      </c>
      <c r="I73" s="1048" t="s">
        <v>1022</v>
      </c>
      <c r="J73" s="1266">
        <v>3326</v>
      </c>
      <c r="K73" s="3498"/>
      <c r="L73" s="3498"/>
      <c r="M73" s="3066"/>
      <c r="N73" s="1172">
        <f>S73/O69</f>
        <v>0.11581392870957805</v>
      </c>
      <c r="O73" s="3173"/>
      <c r="P73" s="3281"/>
      <c r="Q73" s="1048" t="s">
        <v>1023</v>
      </c>
      <c r="R73" s="934" t="s">
        <v>1024</v>
      </c>
      <c r="S73" s="1150">
        <v>19500000</v>
      </c>
      <c r="T73" s="1151">
        <v>20</v>
      </c>
      <c r="U73" s="979" t="s">
        <v>72</v>
      </c>
      <c r="V73" s="3468"/>
      <c r="W73" s="3468"/>
      <c r="X73" s="3468"/>
      <c r="Y73" s="3468"/>
      <c r="Z73" s="3468"/>
      <c r="AA73" s="3468"/>
      <c r="AB73" s="3468"/>
      <c r="AC73" s="3468"/>
      <c r="AD73" s="3468"/>
      <c r="AE73" s="3468"/>
      <c r="AF73" s="3468"/>
      <c r="AG73" s="3468"/>
      <c r="AH73" s="3468"/>
      <c r="AI73" s="3468"/>
      <c r="AJ73" s="3468"/>
      <c r="AK73" s="3468"/>
      <c r="AL73" s="3085"/>
      <c r="AM73" s="3085"/>
      <c r="AN73" s="3469"/>
    </row>
    <row r="74" spans="1:40" ht="32.25" customHeight="1" x14ac:dyDescent="0.25">
      <c r="A74" s="1268" t="s">
        <v>88</v>
      </c>
      <c r="B74" s="723"/>
      <c r="C74" s="2988"/>
      <c r="D74" s="3523"/>
      <c r="E74" s="2988"/>
      <c r="F74" s="3523"/>
      <c r="G74" s="940"/>
      <c r="H74" s="1269"/>
      <c r="I74" s="1270"/>
      <c r="J74" s="1271"/>
      <c r="K74" s="1271"/>
      <c r="L74" s="1272"/>
      <c r="M74" s="1269"/>
      <c r="N74" s="1273"/>
      <c r="O74" s="1274">
        <f>SUM(O8:O73)</f>
        <v>4764794686</v>
      </c>
      <c r="P74" s="1275"/>
      <c r="Q74" s="1276"/>
      <c r="R74" s="1275"/>
      <c r="S74" s="1274">
        <f>SUM(S8:S73)</f>
        <v>4764794686</v>
      </c>
      <c r="T74" s="1277"/>
      <c r="U74" s="1272"/>
      <c r="V74" s="723"/>
      <c r="W74" s="723"/>
      <c r="X74" s="723"/>
      <c r="Y74" s="723"/>
      <c r="Z74" s="723"/>
      <c r="AA74" s="723"/>
      <c r="AB74" s="723"/>
      <c r="AC74" s="723"/>
      <c r="AD74" s="723"/>
      <c r="AE74" s="723"/>
      <c r="AF74" s="723"/>
      <c r="AG74" s="723"/>
      <c r="AH74" s="723"/>
      <c r="AI74" s="723"/>
      <c r="AJ74" s="723"/>
      <c r="AK74" s="723"/>
      <c r="AL74" s="1278"/>
      <c r="AM74" s="1279"/>
      <c r="AN74" s="1280"/>
    </row>
    <row r="75" spans="1:40" ht="15" x14ac:dyDescent="0.25">
      <c r="I75" s="1282"/>
      <c r="J75" s="1101"/>
      <c r="S75" s="1101"/>
    </row>
    <row r="76" spans="1:40" ht="15" x14ac:dyDescent="0.25">
      <c r="I76" s="1282"/>
    </row>
    <row r="77" spans="1:40" ht="36.75" customHeight="1" x14ac:dyDescent="0.25">
      <c r="H77" s="2527"/>
      <c r="I77" s="2527"/>
      <c r="J77" s="2527"/>
      <c r="K77" s="2527"/>
      <c r="L77" s="2527"/>
      <c r="M77" s="2527"/>
      <c r="N77" s="2527"/>
      <c r="W77" s="1285"/>
      <c r="X77" s="1285"/>
      <c r="Y77" s="1286"/>
      <c r="Z77" s="1287"/>
      <c r="AA77" s="1287"/>
      <c r="AB77" s="1287"/>
      <c r="AC77" s="1287"/>
      <c r="AD77" s="1287"/>
    </row>
    <row r="78" spans="1:40" ht="15" x14ac:dyDescent="0.25">
      <c r="I78" s="1038"/>
    </row>
    <row r="83" spans="8:10" ht="15" x14ac:dyDescent="0.25">
      <c r="H83" s="3522" t="s">
        <v>1025</v>
      </c>
      <c r="I83" s="3522"/>
      <c r="J83" s="3522"/>
    </row>
    <row r="84" spans="8:10" x14ac:dyDescent="0.25">
      <c r="H84" s="1100" t="s">
        <v>1026</v>
      </c>
    </row>
  </sheetData>
  <sheetProtection password="A60F" sheet="1" objects="1" scenarios="1"/>
  <mergeCells count="378">
    <mergeCell ref="H77:N77"/>
    <mergeCell ref="H83:J83"/>
    <mergeCell ref="AK69:AK73"/>
    <mergeCell ref="AL69:AL73"/>
    <mergeCell ref="AM69:AM73"/>
    <mergeCell ref="AN69:AN73"/>
    <mergeCell ref="C74:D74"/>
    <mergeCell ref="E74:F74"/>
    <mergeCell ref="AE69:AE73"/>
    <mergeCell ref="AF69:AF73"/>
    <mergeCell ref="AG69:AG73"/>
    <mergeCell ref="AH69:AH73"/>
    <mergeCell ref="AI69:AI73"/>
    <mergeCell ref="AJ69:AJ73"/>
    <mergeCell ref="Y69:Y73"/>
    <mergeCell ref="Z69:Z73"/>
    <mergeCell ref="AA69:AA73"/>
    <mergeCell ref="AB69:AB73"/>
    <mergeCell ref="AC69:AC73"/>
    <mergeCell ref="AD69:AD73"/>
    <mergeCell ref="M69:M73"/>
    <mergeCell ref="O69:O73"/>
    <mergeCell ref="P69:P73"/>
    <mergeCell ref="V69:V73"/>
    <mergeCell ref="W69:W73"/>
    <mergeCell ref="X69:X73"/>
    <mergeCell ref="AJ64:AJ65"/>
    <mergeCell ref="AK64:AK65"/>
    <mergeCell ref="AL64:AL65"/>
    <mergeCell ref="AM64:AM65"/>
    <mergeCell ref="AN64:AN65"/>
    <mergeCell ref="A67:B73"/>
    <mergeCell ref="C68:D73"/>
    <mergeCell ref="E69:F73"/>
    <mergeCell ref="K69:K73"/>
    <mergeCell ref="L69:L73"/>
    <mergeCell ref="AD64:AD65"/>
    <mergeCell ref="AE64:AE65"/>
    <mergeCell ref="AF64:AF65"/>
    <mergeCell ref="AG64:AG65"/>
    <mergeCell ref="AH64:AH65"/>
    <mergeCell ref="AI64:AI65"/>
    <mergeCell ref="X64:X65"/>
    <mergeCell ref="Y64:Y65"/>
    <mergeCell ref="Z64:Z65"/>
    <mergeCell ref="AA64:AA65"/>
    <mergeCell ref="AB64:AB65"/>
    <mergeCell ref="AC64:AC65"/>
    <mergeCell ref="AN59:AN62"/>
    <mergeCell ref="Q61:Q62"/>
    <mergeCell ref="E64:F65"/>
    <mergeCell ref="K64:K65"/>
    <mergeCell ref="L64:L65"/>
    <mergeCell ref="M64:M65"/>
    <mergeCell ref="O64:O65"/>
    <mergeCell ref="P64:P65"/>
    <mergeCell ref="V64:V65"/>
    <mergeCell ref="W64:W65"/>
    <mergeCell ref="AH59:AH62"/>
    <mergeCell ref="AI59:AI62"/>
    <mergeCell ref="AJ59:AJ62"/>
    <mergeCell ref="AK59:AK62"/>
    <mergeCell ref="AL59:AL62"/>
    <mergeCell ref="AM59:AM62"/>
    <mergeCell ref="AB59:AB62"/>
    <mergeCell ref="AC59:AC62"/>
    <mergeCell ref="AD59:AD62"/>
    <mergeCell ref="AE59:AE62"/>
    <mergeCell ref="AF59:AF62"/>
    <mergeCell ref="AG59:AG62"/>
    <mergeCell ref="V59:V62"/>
    <mergeCell ref="W59:W62"/>
    <mergeCell ref="X59:X62"/>
    <mergeCell ref="Y59:Y62"/>
    <mergeCell ref="Z59:Z62"/>
    <mergeCell ref="AA59:AA62"/>
    <mergeCell ref="AK56:AK57"/>
    <mergeCell ref="AL56:AL57"/>
    <mergeCell ref="AM56:AM57"/>
    <mergeCell ref="AN56:AN57"/>
    <mergeCell ref="E59:F62"/>
    <mergeCell ref="K59:K62"/>
    <mergeCell ref="L59:L62"/>
    <mergeCell ref="M59:M62"/>
    <mergeCell ref="O59:O62"/>
    <mergeCell ref="P59:P62"/>
    <mergeCell ref="AE56:AE57"/>
    <mergeCell ref="AF56:AF57"/>
    <mergeCell ref="AG56:AG57"/>
    <mergeCell ref="AH56:AH57"/>
    <mergeCell ref="AI56:AI57"/>
    <mergeCell ref="AJ56:AJ57"/>
    <mergeCell ref="Y56:Y57"/>
    <mergeCell ref="Z56:Z57"/>
    <mergeCell ref="AA56:AA57"/>
    <mergeCell ref="AB56:AB57"/>
    <mergeCell ref="AC56:AC57"/>
    <mergeCell ref="AD56:AD57"/>
    <mergeCell ref="S56:S57"/>
    <mergeCell ref="T56:T57"/>
    <mergeCell ref="U56:U57"/>
    <mergeCell ref="V56:V57"/>
    <mergeCell ref="W56:W57"/>
    <mergeCell ref="X56:X57"/>
    <mergeCell ref="L56:L57"/>
    <mergeCell ref="M56:M57"/>
    <mergeCell ref="N56:N57"/>
    <mergeCell ref="O56:O57"/>
    <mergeCell ref="P56:P57"/>
    <mergeCell ref="R56:R57"/>
    <mergeCell ref="AK53:AK55"/>
    <mergeCell ref="AL53:AL55"/>
    <mergeCell ref="AM53:AM55"/>
    <mergeCell ref="AN53:AN55"/>
    <mergeCell ref="R54:R55"/>
    <mergeCell ref="G56:G57"/>
    <mergeCell ref="H56:H57"/>
    <mergeCell ref="I56:I57"/>
    <mergeCell ref="J56:J57"/>
    <mergeCell ref="K56:K57"/>
    <mergeCell ref="AE53:AE54"/>
    <mergeCell ref="AF53:AF54"/>
    <mergeCell ref="AG53:AG54"/>
    <mergeCell ref="AH53:AH54"/>
    <mergeCell ref="AI53:AI54"/>
    <mergeCell ref="AJ53:AJ54"/>
    <mergeCell ref="Y53:Y54"/>
    <mergeCell ref="Z53:Z54"/>
    <mergeCell ref="AA53:AA54"/>
    <mergeCell ref="AB53:AB54"/>
    <mergeCell ref="AC53:AC54"/>
    <mergeCell ref="AD53:AD54"/>
    <mergeCell ref="O53:O55"/>
    <mergeCell ref="P53:P55"/>
    <mergeCell ref="Q53:Q55"/>
    <mergeCell ref="V53:V55"/>
    <mergeCell ref="W53:W55"/>
    <mergeCell ref="X53:X55"/>
    <mergeCell ref="AN44:AN52"/>
    <mergeCell ref="R46:R47"/>
    <mergeCell ref="R48:R49"/>
    <mergeCell ref="G53:G55"/>
    <mergeCell ref="H53:H55"/>
    <mergeCell ref="I53:I55"/>
    <mergeCell ref="J53:J55"/>
    <mergeCell ref="L53:L55"/>
    <mergeCell ref="M53:M55"/>
    <mergeCell ref="N53:N55"/>
    <mergeCell ref="AH44:AH52"/>
    <mergeCell ref="AI44:AI52"/>
    <mergeCell ref="AJ44:AJ52"/>
    <mergeCell ref="AK44:AK52"/>
    <mergeCell ref="AL44:AL52"/>
    <mergeCell ref="AM44:AM52"/>
    <mergeCell ref="AB44:AB52"/>
    <mergeCell ref="AC44:AC52"/>
    <mergeCell ref="AD44:AD52"/>
    <mergeCell ref="AE44:AE52"/>
    <mergeCell ref="AF44:AF52"/>
    <mergeCell ref="AG44:AG52"/>
    <mergeCell ref="V44:V52"/>
    <mergeCell ref="W44:W52"/>
    <mergeCell ref="X44:X52"/>
    <mergeCell ref="Y44:Y52"/>
    <mergeCell ref="Z44:Z52"/>
    <mergeCell ref="AA44:AA52"/>
    <mergeCell ref="L44:L52"/>
    <mergeCell ref="M44:M52"/>
    <mergeCell ref="N44:N49"/>
    <mergeCell ref="O44:O52"/>
    <mergeCell ref="P44:P52"/>
    <mergeCell ref="Q44:Q50"/>
    <mergeCell ref="E44:F57"/>
    <mergeCell ref="G44:G49"/>
    <mergeCell ref="H44:H49"/>
    <mergeCell ref="I44:I49"/>
    <mergeCell ref="J44:J49"/>
    <mergeCell ref="K44:K52"/>
    <mergeCell ref="G37:G38"/>
    <mergeCell ref="H37:H38"/>
    <mergeCell ref="I37:I38"/>
    <mergeCell ref="J37:J38"/>
    <mergeCell ref="N37:N38"/>
    <mergeCell ref="G39:G41"/>
    <mergeCell ref="H39:H41"/>
    <mergeCell ref="I39:I41"/>
    <mergeCell ref="J39:J41"/>
    <mergeCell ref="N39:N41"/>
    <mergeCell ref="AI35:AI42"/>
    <mergeCell ref="AJ35:AJ42"/>
    <mergeCell ref="AK35:AK42"/>
    <mergeCell ref="W35:W42"/>
    <mergeCell ref="X35:X42"/>
    <mergeCell ref="Y35:Y42"/>
    <mergeCell ref="Z35:Z42"/>
    <mergeCell ref="AA35:AA42"/>
    <mergeCell ref="AB35:AB42"/>
    <mergeCell ref="M35:M42"/>
    <mergeCell ref="N35:N36"/>
    <mergeCell ref="O35:O42"/>
    <mergeCell ref="P35:P42"/>
    <mergeCell ref="Q35:Q38"/>
    <mergeCell ref="V35:V42"/>
    <mergeCell ref="Q39:Q42"/>
    <mergeCell ref="AL35:AL42"/>
    <mergeCell ref="AM35:AM42"/>
    <mergeCell ref="AN35:AN42"/>
    <mergeCell ref="AC35:AC42"/>
    <mergeCell ref="AD35:AD42"/>
    <mergeCell ref="AE35:AE42"/>
    <mergeCell ref="AF35:AF42"/>
    <mergeCell ref="AG35:AG42"/>
    <mergeCell ref="AH35:AH42"/>
    <mergeCell ref="AN27:AN31"/>
    <mergeCell ref="A33:B65"/>
    <mergeCell ref="C34:D65"/>
    <mergeCell ref="E35:F42"/>
    <mergeCell ref="G35:G36"/>
    <mergeCell ref="H35:H36"/>
    <mergeCell ref="I35:I36"/>
    <mergeCell ref="J35:J36"/>
    <mergeCell ref="K35:K42"/>
    <mergeCell ref="L35:L42"/>
    <mergeCell ref="AH27:AH31"/>
    <mergeCell ref="AI27:AI31"/>
    <mergeCell ref="AJ27:AJ31"/>
    <mergeCell ref="AK27:AK31"/>
    <mergeCell ref="AL27:AL31"/>
    <mergeCell ref="AM27:AM31"/>
    <mergeCell ref="AB27:AB31"/>
    <mergeCell ref="AC27:AC31"/>
    <mergeCell ref="AD27:AD31"/>
    <mergeCell ref="AE27:AE31"/>
    <mergeCell ref="AF27:AF31"/>
    <mergeCell ref="AG27:AG31"/>
    <mergeCell ref="V27:V31"/>
    <mergeCell ref="W27:W31"/>
    <mergeCell ref="X27:X31"/>
    <mergeCell ref="Y27:Y31"/>
    <mergeCell ref="Z27:Z31"/>
    <mergeCell ref="AA27:AA31"/>
    <mergeCell ref="K27:K31"/>
    <mergeCell ref="L27:L31"/>
    <mergeCell ref="M27:M31"/>
    <mergeCell ref="O27:O31"/>
    <mergeCell ref="P27:P31"/>
    <mergeCell ref="Q27:Q31"/>
    <mergeCell ref="AN22:AN26"/>
    <mergeCell ref="G25:G26"/>
    <mergeCell ref="H25:H26"/>
    <mergeCell ref="I25:I26"/>
    <mergeCell ref="J25:J26"/>
    <mergeCell ref="N25:N26"/>
    <mergeCell ref="R25:R26"/>
    <mergeCell ref="AH22:AH25"/>
    <mergeCell ref="AI22:AI25"/>
    <mergeCell ref="AJ22:AJ25"/>
    <mergeCell ref="AK22:AK26"/>
    <mergeCell ref="AL22:AL26"/>
    <mergeCell ref="AM22:AM26"/>
    <mergeCell ref="AB22:AB26"/>
    <mergeCell ref="AC22:AC25"/>
    <mergeCell ref="AD22:AD25"/>
    <mergeCell ref="AE22:AE25"/>
    <mergeCell ref="AF22:AF25"/>
    <mergeCell ref="AG22:AG25"/>
    <mergeCell ref="V22:V26"/>
    <mergeCell ref="W22:W26"/>
    <mergeCell ref="X22:X26"/>
    <mergeCell ref="Y22:Y26"/>
    <mergeCell ref="Z22:Z26"/>
    <mergeCell ref="AA22:AA26"/>
    <mergeCell ref="M22:M26"/>
    <mergeCell ref="N22:N24"/>
    <mergeCell ref="O22:O26"/>
    <mergeCell ref="P22:P26"/>
    <mergeCell ref="Q22:Q26"/>
    <mergeCell ref="R22:R23"/>
    <mergeCell ref="AL19:AL20"/>
    <mergeCell ref="AM19:AM20"/>
    <mergeCell ref="X19:X20"/>
    <mergeCell ref="Y19:Y20"/>
    <mergeCell ref="AN19:AN20"/>
    <mergeCell ref="E22:F31"/>
    <mergeCell ref="G22:G24"/>
    <mergeCell ref="H22:H24"/>
    <mergeCell ref="I22:I24"/>
    <mergeCell ref="J22:J24"/>
    <mergeCell ref="K22:K24"/>
    <mergeCell ref="L22:L26"/>
    <mergeCell ref="AF19:AF20"/>
    <mergeCell ref="AG19:AG20"/>
    <mergeCell ref="AH19:AH20"/>
    <mergeCell ref="AI19:AI20"/>
    <mergeCell ref="AJ19:AJ20"/>
    <mergeCell ref="AK19:AK20"/>
    <mergeCell ref="Z19:Z20"/>
    <mergeCell ref="AA19:AA20"/>
    <mergeCell ref="AB19:AB20"/>
    <mergeCell ref="AC19:AC20"/>
    <mergeCell ref="AD19:AD20"/>
    <mergeCell ref="AE19:AE20"/>
    <mergeCell ref="P19:P20"/>
    <mergeCell ref="Q19:Q20"/>
    <mergeCell ref="V19:V20"/>
    <mergeCell ref="W19:W20"/>
    <mergeCell ref="AL12:AL17"/>
    <mergeCell ref="AM12:AM17"/>
    <mergeCell ref="AN12:AN17"/>
    <mergeCell ref="Q15:Q17"/>
    <mergeCell ref="F18:I18"/>
    <mergeCell ref="E19:F20"/>
    <mergeCell ref="K19:K20"/>
    <mergeCell ref="L19:L20"/>
    <mergeCell ref="M19:M20"/>
    <mergeCell ref="O19:O20"/>
    <mergeCell ref="AF12:AF17"/>
    <mergeCell ref="AG12:AG17"/>
    <mergeCell ref="AH12:AH17"/>
    <mergeCell ref="AI12:AI17"/>
    <mergeCell ref="AJ12:AJ17"/>
    <mergeCell ref="AK12:AK17"/>
    <mergeCell ref="Z12:Z17"/>
    <mergeCell ref="AA12:AA17"/>
    <mergeCell ref="AB12:AB17"/>
    <mergeCell ref="AC12:AC17"/>
    <mergeCell ref="AD12:AD17"/>
    <mergeCell ref="AE12:AE17"/>
    <mergeCell ref="P12:P17"/>
    <mergeCell ref="Q12:Q14"/>
    <mergeCell ref="V12:V17"/>
    <mergeCell ref="W12:W17"/>
    <mergeCell ref="X12:X17"/>
    <mergeCell ref="Y12:Y17"/>
    <mergeCell ref="J12:J13"/>
    <mergeCell ref="K12:K17"/>
    <mergeCell ref="L12:L17"/>
    <mergeCell ref="M12:M17"/>
    <mergeCell ref="N12:N13"/>
    <mergeCell ref="O12:O17"/>
    <mergeCell ref="B9:D9"/>
    <mergeCell ref="A10:B31"/>
    <mergeCell ref="C11:D31"/>
    <mergeCell ref="E12:F17"/>
    <mergeCell ref="G12:G13"/>
    <mergeCell ref="H12:H13"/>
    <mergeCell ref="I12:I13"/>
    <mergeCell ref="S7:S8"/>
    <mergeCell ref="U7:U8"/>
    <mergeCell ref="M7:M8"/>
    <mergeCell ref="N7:N8"/>
    <mergeCell ref="O7:O8"/>
    <mergeCell ref="P7:P8"/>
    <mergeCell ref="Q7:Q8"/>
    <mergeCell ref="R7:R8"/>
    <mergeCell ref="G7:G8"/>
    <mergeCell ref="H7:H8"/>
    <mergeCell ref="I7:I8"/>
    <mergeCell ref="J7:J8"/>
    <mergeCell ref="K7:K8"/>
    <mergeCell ref="L7:L8"/>
    <mergeCell ref="A1:AL4"/>
    <mergeCell ref="A5:J6"/>
    <mergeCell ref="K5:AN5"/>
    <mergeCell ref="V6:AJ6"/>
    <mergeCell ref="A7:A8"/>
    <mergeCell ref="B7:B8"/>
    <mergeCell ref="C7:C8"/>
    <mergeCell ref="D7:D8"/>
    <mergeCell ref="E7:E8"/>
    <mergeCell ref="F7:F8"/>
    <mergeCell ref="AL7:AL8"/>
    <mergeCell ref="AM7:AM8"/>
    <mergeCell ref="AN7:AN8"/>
    <mergeCell ref="V7:W7"/>
    <mergeCell ref="X7:AA7"/>
    <mergeCell ref="AB7:AG7"/>
    <mergeCell ref="AH7:AJ7"/>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60" zoomScaleNormal="60" workbookViewId="0">
      <selection sqref="A1:AM4"/>
    </sheetView>
  </sheetViews>
  <sheetFormatPr baseColWidth="10" defaultColWidth="11.42578125" defaultRowHeight="15" x14ac:dyDescent="0.2"/>
  <cols>
    <col min="1" max="1" width="18" style="2" customWidth="1"/>
    <col min="2" max="2" width="5.85546875" style="2" customWidth="1"/>
    <col min="3" max="3" width="14.85546875" style="2" customWidth="1"/>
    <col min="4" max="4" width="14" style="2" customWidth="1"/>
    <col min="5" max="5" width="20.28515625" style="2" customWidth="1"/>
    <col min="6" max="6" width="12.85546875" style="2" customWidth="1"/>
    <col min="7" max="7" width="28" style="2" customWidth="1"/>
    <col min="8" max="8" width="18.85546875" style="2" customWidth="1"/>
    <col min="9" max="9" width="32.42578125" style="2" customWidth="1"/>
    <col min="10" max="10" width="26.7109375" style="2" customWidth="1"/>
    <col min="11" max="11" width="26.85546875" style="2" customWidth="1"/>
    <col min="12" max="12" width="44.28515625" style="114" customWidth="1"/>
    <col min="13" max="13" width="23.42578125" style="2" customWidth="1"/>
    <col min="14" max="14" width="33.140625" style="2" customWidth="1"/>
    <col min="15" max="15" width="16.85546875" style="2" customWidth="1"/>
    <col min="16" max="16" width="27.140625" style="2" customWidth="1"/>
    <col min="17" max="17" width="34.42578125" style="2" customWidth="1"/>
    <col min="18" max="18" width="42.140625" style="2" customWidth="1"/>
    <col min="19" max="19" width="34.7109375" style="2" customWidth="1"/>
    <col min="20" max="20" width="27.85546875" style="116" customWidth="1"/>
    <col min="21" max="21" width="18.28515625" style="2" customWidth="1"/>
    <col min="22" max="22" width="28.140625" style="2" customWidth="1"/>
    <col min="23" max="38" width="15.7109375" style="2" customWidth="1"/>
    <col min="39" max="39" width="20.140625" style="2" customWidth="1"/>
    <col min="40" max="40" width="26.28515625" style="2" customWidth="1"/>
    <col min="41" max="41" width="22.140625" style="2" customWidth="1"/>
    <col min="42" max="54" width="14.85546875" style="2" customWidth="1"/>
    <col min="55" max="16384" width="11.42578125" style="2"/>
  </cols>
  <sheetData>
    <row r="1" spans="1:42" ht="15" customHeight="1" x14ac:dyDescent="0.2">
      <c r="A1" s="2778" t="s">
        <v>504</v>
      </c>
      <c r="B1" s="2778"/>
      <c r="C1" s="2778"/>
      <c r="D1" s="2778"/>
      <c r="E1" s="2778"/>
      <c r="F1" s="2778"/>
      <c r="G1" s="2778"/>
      <c r="H1" s="2778"/>
      <c r="I1" s="2778"/>
      <c r="J1" s="2778"/>
      <c r="K1" s="2778"/>
      <c r="L1" s="2778"/>
      <c r="M1" s="2778"/>
      <c r="N1" s="2778"/>
      <c r="O1" s="2778"/>
      <c r="P1" s="2778"/>
      <c r="Q1" s="2778"/>
      <c r="R1" s="2778"/>
      <c r="S1" s="2778"/>
      <c r="T1" s="2778"/>
      <c r="U1" s="2778"/>
      <c r="V1" s="2778"/>
      <c r="W1" s="2778"/>
      <c r="X1" s="2778"/>
      <c r="Y1" s="2778"/>
      <c r="Z1" s="2778"/>
      <c r="AA1" s="2778"/>
      <c r="AB1" s="2778"/>
      <c r="AC1" s="2778"/>
      <c r="AD1" s="2778"/>
      <c r="AE1" s="2778"/>
      <c r="AF1" s="2778"/>
      <c r="AG1" s="2778"/>
      <c r="AH1" s="2778"/>
      <c r="AI1" s="2778"/>
      <c r="AJ1" s="2778"/>
      <c r="AK1" s="2778"/>
      <c r="AL1" s="2778"/>
      <c r="AM1" s="2778"/>
      <c r="AN1" s="1" t="s">
        <v>0</v>
      </c>
      <c r="AO1" s="1" t="s">
        <v>1</v>
      </c>
    </row>
    <row r="2" spans="1:42" ht="12.75" customHeight="1" x14ac:dyDescent="0.2">
      <c r="A2" s="2778"/>
      <c r="B2" s="2778"/>
      <c r="C2" s="2778"/>
      <c r="D2" s="2778"/>
      <c r="E2" s="2778"/>
      <c r="F2" s="2778"/>
      <c r="G2" s="2778"/>
      <c r="H2" s="2778"/>
      <c r="I2" s="2778"/>
      <c r="J2" s="2778"/>
      <c r="K2" s="2778"/>
      <c r="L2" s="2778"/>
      <c r="M2" s="2778"/>
      <c r="N2" s="2778"/>
      <c r="O2" s="2778"/>
      <c r="P2" s="2778"/>
      <c r="Q2" s="2778"/>
      <c r="R2" s="2778"/>
      <c r="S2" s="2778"/>
      <c r="T2" s="2778"/>
      <c r="U2" s="2778"/>
      <c r="V2" s="2778"/>
      <c r="W2" s="2778"/>
      <c r="X2" s="2778"/>
      <c r="Y2" s="2778"/>
      <c r="Z2" s="2778"/>
      <c r="AA2" s="2778"/>
      <c r="AB2" s="2778"/>
      <c r="AC2" s="2778"/>
      <c r="AD2" s="2778"/>
      <c r="AE2" s="2778"/>
      <c r="AF2" s="2778"/>
      <c r="AG2" s="2778"/>
      <c r="AH2" s="2778"/>
      <c r="AI2" s="2778"/>
      <c r="AJ2" s="2778"/>
      <c r="AK2" s="2778"/>
      <c r="AL2" s="2778"/>
      <c r="AM2" s="2778"/>
      <c r="AN2" s="3" t="s">
        <v>2</v>
      </c>
      <c r="AO2" s="4">
        <v>6</v>
      </c>
    </row>
    <row r="3" spans="1:42" ht="15.75" customHeight="1" x14ac:dyDescent="0.2">
      <c r="A3" s="2778"/>
      <c r="B3" s="2778"/>
      <c r="C3" s="2778"/>
      <c r="D3" s="2778"/>
      <c r="E3" s="2778"/>
      <c r="F3" s="2778"/>
      <c r="G3" s="2778"/>
      <c r="H3" s="2778"/>
      <c r="I3" s="2778"/>
      <c r="J3" s="2778"/>
      <c r="K3" s="2778"/>
      <c r="L3" s="2778"/>
      <c r="M3" s="2778"/>
      <c r="N3" s="2778"/>
      <c r="O3" s="2778"/>
      <c r="P3" s="2778"/>
      <c r="Q3" s="2778"/>
      <c r="R3" s="2778"/>
      <c r="S3" s="2778"/>
      <c r="T3" s="2778"/>
      <c r="U3" s="2778"/>
      <c r="V3" s="2778"/>
      <c r="W3" s="2778"/>
      <c r="X3" s="2778"/>
      <c r="Y3" s="2778"/>
      <c r="Z3" s="2778"/>
      <c r="AA3" s="2778"/>
      <c r="AB3" s="2778"/>
      <c r="AC3" s="2778"/>
      <c r="AD3" s="2778"/>
      <c r="AE3" s="2778"/>
      <c r="AF3" s="2778"/>
      <c r="AG3" s="2778"/>
      <c r="AH3" s="2778"/>
      <c r="AI3" s="2778"/>
      <c r="AJ3" s="2778"/>
      <c r="AK3" s="2778"/>
      <c r="AL3" s="2778"/>
      <c r="AM3" s="2778"/>
      <c r="AN3" s="1" t="s">
        <v>3</v>
      </c>
      <c r="AO3" s="5" t="s">
        <v>4</v>
      </c>
    </row>
    <row r="4" spans="1:42" s="8" customFormat="1" ht="22.5" customHeight="1" x14ac:dyDescent="0.2">
      <c r="A4" s="2779"/>
      <c r="B4" s="2779"/>
      <c r="C4" s="2779"/>
      <c r="D4" s="2779"/>
      <c r="E4" s="2779"/>
      <c r="F4" s="2779"/>
      <c r="G4" s="2779"/>
      <c r="H4" s="2779"/>
      <c r="I4" s="2779"/>
      <c r="J4" s="2779"/>
      <c r="K4" s="2779"/>
      <c r="L4" s="2779"/>
      <c r="M4" s="2779"/>
      <c r="N4" s="2779"/>
      <c r="O4" s="2779"/>
      <c r="P4" s="2779"/>
      <c r="Q4" s="2779"/>
      <c r="R4" s="2779"/>
      <c r="S4" s="2779"/>
      <c r="T4" s="2779"/>
      <c r="U4" s="2779"/>
      <c r="V4" s="2779"/>
      <c r="W4" s="2779"/>
      <c r="X4" s="2779"/>
      <c r="Y4" s="2779"/>
      <c r="Z4" s="2779"/>
      <c r="AA4" s="2779"/>
      <c r="AB4" s="2779"/>
      <c r="AC4" s="2779"/>
      <c r="AD4" s="2779"/>
      <c r="AE4" s="2779"/>
      <c r="AF4" s="2779"/>
      <c r="AG4" s="2779"/>
      <c r="AH4" s="2779"/>
      <c r="AI4" s="2779"/>
      <c r="AJ4" s="2779"/>
      <c r="AK4" s="2779"/>
      <c r="AL4" s="2779"/>
      <c r="AM4" s="2779"/>
      <c r="AN4" s="6" t="s">
        <v>5</v>
      </c>
      <c r="AO4" s="7" t="s">
        <v>6</v>
      </c>
    </row>
    <row r="5" spans="1:42" ht="19.5" customHeight="1" x14ac:dyDescent="0.2">
      <c r="A5" s="3524" t="s">
        <v>7</v>
      </c>
      <c r="B5" s="2780"/>
      <c r="C5" s="2780"/>
      <c r="D5" s="2780"/>
      <c r="E5" s="2780"/>
      <c r="F5" s="2780"/>
      <c r="G5" s="2780"/>
      <c r="H5" s="2780"/>
      <c r="I5" s="2780"/>
      <c r="J5" s="2780"/>
      <c r="K5" s="2780"/>
      <c r="L5" s="9"/>
      <c r="M5" s="9"/>
      <c r="N5" s="2858" t="s">
        <v>8</v>
      </c>
      <c r="O5" s="2858"/>
      <c r="P5" s="2858"/>
      <c r="Q5" s="2858"/>
      <c r="R5" s="2858"/>
      <c r="S5" s="2858"/>
      <c r="T5" s="2858"/>
      <c r="U5" s="2858"/>
      <c r="V5" s="2858"/>
      <c r="W5" s="2858"/>
      <c r="X5" s="2858"/>
      <c r="Y5" s="2858"/>
      <c r="Z5" s="2858"/>
      <c r="AA5" s="2858"/>
      <c r="AB5" s="2858"/>
      <c r="AC5" s="2858"/>
      <c r="AD5" s="2858"/>
      <c r="AE5" s="2858"/>
      <c r="AF5" s="2858"/>
      <c r="AG5" s="2858"/>
      <c r="AH5" s="2858"/>
      <c r="AI5" s="2858"/>
      <c r="AJ5" s="2858"/>
      <c r="AK5" s="2858"/>
      <c r="AL5" s="2858"/>
      <c r="AM5" s="2858"/>
      <c r="AN5" s="2858"/>
      <c r="AO5" s="2858"/>
    </row>
    <row r="6" spans="1:42" ht="30" customHeight="1" x14ac:dyDescent="0.2">
      <c r="A6" s="2990"/>
      <c r="B6" s="2857"/>
      <c r="C6" s="2857"/>
      <c r="D6" s="2857"/>
      <c r="E6" s="2857"/>
      <c r="F6" s="2857"/>
      <c r="G6" s="2857"/>
      <c r="H6" s="2857"/>
      <c r="I6" s="2857"/>
      <c r="J6" s="2857"/>
      <c r="K6" s="2857"/>
      <c r="L6" s="9"/>
      <c r="M6" s="10"/>
      <c r="N6" s="2762"/>
      <c r="O6" s="2763"/>
      <c r="P6" s="2763"/>
      <c r="Q6" s="2763"/>
      <c r="R6" s="2763"/>
      <c r="S6" s="2763"/>
      <c r="T6" s="2763"/>
      <c r="U6" s="2763"/>
      <c r="V6" s="2764"/>
      <c r="W6" s="11"/>
      <c r="X6" s="11"/>
      <c r="Y6" s="11"/>
      <c r="Z6" s="11"/>
      <c r="AA6" s="11"/>
      <c r="AB6" s="11"/>
      <c r="AC6" s="11"/>
      <c r="AD6" s="11"/>
      <c r="AE6" s="11"/>
      <c r="AF6" s="11"/>
      <c r="AG6" s="11"/>
      <c r="AH6" s="11"/>
      <c r="AI6" s="11"/>
      <c r="AJ6" s="11"/>
      <c r="AK6" s="11"/>
      <c r="AL6" s="11"/>
      <c r="AM6" s="2762"/>
      <c r="AN6" s="2763"/>
      <c r="AO6" s="2764"/>
    </row>
    <row r="7" spans="1:42" ht="15.75" x14ac:dyDescent="0.2">
      <c r="A7" s="2993" t="s">
        <v>9</v>
      </c>
      <c r="B7" s="2993" t="s">
        <v>10</v>
      </c>
      <c r="C7" s="2993"/>
      <c r="D7" s="2993" t="s">
        <v>9</v>
      </c>
      <c r="E7" s="2993" t="s">
        <v>11</v>
      </c>
      <c r="F7" s="2993" t="s">
        <v>9</v>
      </c>
      <c r="G7" s="2993" t="s">
        <v>12</v>
      </c>
      <c r="H7" s="2993" t="s">
        <v>9</v>
      </c>
      <c r="I7" s="2993" t="s">
        <v>13</v>
      </c>
      <c r="J7" s="2993" t="s">
        <v>14</v>
      </c>
      <c r="K7" s="2781" t="s">
        <v>15</v>
      </c>
      <c r="L7" s="2993" t="s">
        <v>16</v>
      </c>
      <c r="M7" s="2772" t="s">
        <v>17</v>
      </c>
      <c r="N7" s="2993" t="s">
        <v>8</v>
      </c>
      <c r="O7" s="2993" t="s">
        <v>18</v>
      </c>
      <c r="P7" s="2993" t="s">
        <v>19</v>
      </c>
      <c r="Q7" s="2993" t="s">
        <v>20</v>
      </c>
      <c r="R7" s="2993" t="s">
        <v>21</v>
      </c>
      <c r="S7" s="2993" t="s">
        <v>22</v>
      </c>
      <c r="T7" s="2781" t="s">
        <v>19</v>
      </c>
      <c r="U7" s="2772" t="s">
        <v>9</v>
      </c>
      <c r="V7" s="2993" t="s">
        <v>23</v>
      </c>
      <c r="W7" s="2774" t="s">
        <v>24</v>
      </c>
      <c r="X7" s="2775"/>
      <c r="Y7" s="2792" t="s">
        <v>25</v>
      </c>
      <c r="Z7" s="2793"/>
      <c r="AA7" s="2793"/>
      <c r="AB7" s="2793"/>
      <c r="AC7" s="2794" t="s">
        <v>26</v>
      </c>
      <c r="AD7" s="2795"/>
      <c r="AE7" s="2795"/>
      <c r="AF7" s="2795"/>
      <c r="AG7" s="2795"/>
      <c r="AH7" s="2795"/>
      <c r="AI7" s="2792" t="s">
        <v>27</v>
      </c>
      <c r="AJ7" s="2793"/>
      <c r="AK7" s="2793"/>
      <c r="AL7" s="3225" t="s">
        <v>28</v>
      </c>
      <c r="AM7" s="3227" t="s">
        <v>29</v>
      </c>
      <c r="AN7" s="3227" t="s">
        <v>30</v>
      </c>
      <c r="AO7" s="3525" t="s">
        <v>31</v>
      </c>
    </row>
    <row r="8" spans="1:42" ht="126" customHeight="1" x14ac:dyDescent="0.2">
      <c r="A8" s="2993"/>
      <c r="B8" s="2993"/>
      <c r="C8" s="2993"/>
      <c r="D8" s="2993"/>
      <c r="E8" s="2993"/>
      <c r="F8" s="2993"/>
      <c r="G8" s="2993"/>
      <c r="H8" s="2993"/>
      <c r="I8" s="2993"/>
      <c r="J8" s="2993"/>
      <c r="K8" s="2791"/>
      <c r="L8" s="2993"/>
      <c r="M8" s="2773"/>
      <c r="N8" s="2993"/>
      <c r="O8" s="2993"/>
      <c r="P8" s="2993"/>
      <c r="Q8" s="2993"/>
      <c r="R8" s="2993"/>
      <c r="S8" s="2993"/>
      <c r="T8" s="2783"/>
      <c r="U8" s="2773"/>
      <c r="V8" s="2993"/>
      <c r="W8" s="12" t="s">
        <v>32</v>
      </c>
      <c r="X8" s="13" t="s">
        <v>33</v>
      </c>
      <c r="Y8" s="12" t="s">
        <v>34</v>
      </c>
      <c r="Z8" s="12" t="s">
        <v>35</v>
      </c>
      <c r="AA8" s="12" t="s">
        <v>36</v>
      </c>
      <c r="AB8" s="12" t="s">
        <v>37</v>
      </c>
      <c r="AC8" s="12" t="s">
        <v>38</v>
      </c>
      <c r="AD8" s="12" t="s">
        <v>39</v>
      </c>
      <c r="AE8" s="12" t="s">
        <v>40</v>
      </c>
      <c r="AF8" s="12" t="s">
        <v>41</v>
      </c>
      <c r="AG8" s="12" t="s">
        <v>42</v>
      </c>
      <c r="AH8" s="12" t="s">
        <v>43</v>
      </c>
      <c r="AI8" s="12" t="s">
        <v>44</v>
      </c>
      <c r="AJ8" s="12" t="s">
        <v>45</v>
      </c>
      <c r="AK8" s="12" t="s">
        <v>46</v>
      </c>
      <c r="AL8" s="3226"/>
      <c r="AM8" s="3228"/>
      <c r="AN8" s="3228"/>
      <c r="AO8" s="3525"/>
    </row>
    <row r="9" spans="1:42" ht="15.75" customHeight="1" x14ac:dyDescent="0.2">
      <c r="A9" s="14">
        <v>5</v>
      </c>
      <c r="B9" s="15" t="s">
        <v>47</v>
      </c>
      <c r="C9" s="15"/>
      <c r="D9" s="15"/>
      <c r="E9" s="15"/>
      <c r="F9" s="15"/>
      <c r="G9" s="15"/>
      <c r="H9" s="15"/>
      <c r="I9" s="16"/>
      <c r="J9" s="16"/>
      <c r="K9" s="15"/>
      <c r="L9" s="17"/>
      <c r="M9" s="16"/>
      <c r="N9" s="18"/>
      <c r="O9" s="19"/>
      <c r="P9" s="16"/>
      <c r="Q9" s="16"/>
      <c r="R9" s="16"/>
      <c r="S9" s="20"/>
      <c r="T9" s="21"/>
      <c r="U9" s="15"/>
      <c r="V9" s="15"/>
      <c r="W9" s="15"/>
      <c r="X9" s="22"/>
      <c r="Y9" s="22"/>
      <c r="Z9" s="22"/>
      <c r="AA9" s="22"/>
      <c r="AB9" s="22"/>
      <c r="AC9" s="22"/>
      <c r="AD9" s="22"/>
      <c r="AE9" s="22"/>
      <c r="AF9" s="22"/>
      <c r="AG9" s="22"/>
      <c r="AH9" s="22"/>
      <c r="AI9" s="22"/>
      <c r="AJ9" s="22"/>
      <c r="AK9" s="22"/>
      <c r="AL9" s="22"/>
      <c r="AM9" s="22"/>
      <c r="AN9" s="22"/>
      <c r="AO9" s="23"/>
    </row>
    <row r="10" spans="1:42" s="38" customFormat="1" ht="15.75" customHeight="1" x14ac:dyDescent="0.2">
      <c r="A10" s="24"/>
      <c r="B10" s="3526"/>
      <c r="C10" s="3527"/>
      <c r="D10" s="25">
        <v>26</v>
      </c>
      <c r="E10" s="26" t="s">
        <v>48</v>
      </c>
      <c r="F10" s="27"/>
      <c r="G10" s="27"/>
      <c r="H10" s="27"/>
      <c r="I10" s="28"/>
      <c r="J10" s="28"/>
      <c r="K10" s="27"/>
      <c r="L10" s="29"/>
      <c r="M10" s="28"/>
      <c r="N10" s="30"/>
      <c r="O10" s="31"/>
      <c r="P10" s="28"/>
      <c r="Q10" s="28"/>
      <c r="R10" s="28"/>
      <c r="S10" s="32"/>
      <c r="T10" s="33"/>
      <c r="U10" s="27"/>
      <c r="V10" s="27"/>
      <c r="W10" s="27"/>
      <c r="X10" s="34"/>
      <c r="Y10" s="34"/>
      <c r="Z10" s="34"/>
      <c r="AA10" s="34"/>
      <c r="AB10" s="34"/>
      <c r="AC10" s="35"/>
      <c r="AD10" s="36"/>
      <c r="AE10" s="35"/>
      <c r="AF10" s="35"/>
      <c r="AG10" s="36"/>
      <c r="AH10" s="37"/>
      <c r="AI10" s="35"/>
      <c r="AJ10" s="35"/>
      <c r="AK10" s="36"/>
      <c r="AL10" s="35"/>
      <c r="AM10" s="36"/>
      <c r="AN10" s="36"/>
      <c r="AO10" s="36"/>
    </row>
    <row r="11" spans="1:42" s="38" customFormat="1" ht="15.75" customHeight="1" x14ac:dyDescent="0.2">
      <c r="A11" s="39"/>
      <c r="B11" s="3526"/>
      <c r="C11" s="3527"/>
      <c r="D11" s="3530"/>
      <c r="E11" s="3301"/>
      <c r="F11" s="40">
        <v>83</v>
      </c>
      <c r="G11" s="41" t="s">
        <v>49</v>
      </c>
      <c r="H11" s="42"/>
      <c r="I11" s="43"/>
      <c r="J11" s="43"/>
      <c r="K11" s="44"/>
      <c r="L11" s="45"/>
      <c r="M11" s="43"/>
      <c r="N11" s="46"/>
      <c r="O11" s="47"/>
      <c r="P11" s="43"/>
      <c r="Q11" s="43"/>
      <c r="R11" s="43"/>
      <c r="S11" s="48"/>
      <c r="T11" s="49"/>
      <c r="U11" s="50"/>
      <c r="V11" s="50"/>
      <c r="W11" s="44"/>
      <c r="X11" s="44"/>
      <c r="Y11" s="44"/>
      <c r="Z11" s="44"/>
      <c r="AA11" s="44"/>
      <c r="AB11" s="44"/>
      <c r="AC11" s="44"/>
      <c r="AD11" s="51"/>
      <c r="AE11" s="44"/>
      <c r="AF11" s="51"/>
      <c r="AG11" s="43"/>
      <c r="AH11" s="44"/>
      <c r="AI11" s="51"/>
      <c r="AJ11" s="44"/>
      <c r="AK11" s="51"/>
      <c r="AL11" s="43"/>
      <c r="AM11" s="51"/>
      <c r="AN11" s="43"/>
      <c r="AO11" s="43"/>
    </row>
    <row r="12" spans="1:42" s="38" customFormat="1" ht="42.75" customHeight="1" x14ac:dyDescent="0.2">
      <c r="A12" s="39"/>
      <c r="B12" s="3526"/>
      <c r="C12" s="3527"/>
      <c r="D12" s="3531"/>
      <c r="E12" s="3302"/>
      <c r="F12" s="3533"/>
      <c r="G12" s="3534"/>
      <c r="H12" s="2936">
        <v>244</v>
      </c>
      <c r="I12" s="2937" t="s">
        <v>50</v>
      </c>
      <c r="J12" s="2937" t="s">
        <v>51</v>
      </c>
      <c r="K12" s="2936">
        <v>12</v>
      </c>
      <c r="L12" s="2936" t="s">
        <v>52</v>
      </c>
      <c r="M12" s="2936" t="s">
        <v>53</v>
      </c>
      <c r="N12" s="2937" t="s">
        <v>54</v>
      </c>
      <c r="O12" s="3545">
        <f>SUM(T12:T15)/P12</f>
        <v>1</v>
      </c>
      <c r="P12" s="3546">
        <f>SUM(T12:T15)</f>
        <v>450000000</v>
      </c>
      <c r="Q12" s="2937" t="s">
        <v>55</v>
      </c>
      <c r="R12" s="3384" t="s">
        <v>56</v>
      </c>
      <c r="S12" s="3354" t="s">
        <v>57</v>
      </c>
      <c r="T12" s="52">
        <v>328040000</v>
      </c>
      <c r="U12" s="53" t="s">
        <v>58</v>
      </c>
      <c r="V12" s="54" t="s">
        <v>59</v>
      </c>
      <c r="W12" s="3551">
        <v>294321</v>
      </c>
      <c r="X12" s="3544">
        <v>283947</v>
      </c>
      <c r="Y12" s="3544">
        <v>135754</v>
      </c>
      <c r="Z12" s="3544">
        <v>44640</v>
      </c>
      <c r="AA12" s="3544">
        <v>308178</v>
      </c>
      <c r="AB12" s="3544">
        <v>89696</v>
      </c>
      <c r="AC12" s="3544">
        <v>2145</v>
      </c>
      <c r="AD12" s="3544">
        <v>12718</v>
      </c>
      <c r="AE12" s="3552">
        <v>26</v>
      </c>
      <c r="AF12" s="3552">
        <v>37</v>
      </c>
      <c r="AG12" s="3553">
        <v>0</v>
      </c>
      <c r="AH12" s="3553">
        <v>0</v>
      </c>
      <c r="AI12" s="3544">
        <v>52505</v>
      </c>
      <c r="AJ12" s="3544">
        <v>16897</v>
      </c>
      <c r="AK12" s="3544">
        <v>61646</v>
      </c>
      <c r="AL12" s="2821">
        <f>+Y12+Z12+AA12+AB12</f>
        <v>578268</v>
      </c>
      <c r="AM12" s="3550">
        <v>43101</v>
      </c>
      <c r="AN12" s="3550">
        <v>43465</v>
      </c>
      <c r="AO12" s="3384" t="s">
        <v>60</v>
      </c>
      <c r="AP12" s="3549"/>
    </row>
    <row r="13" spans="1:42" s="38" customFormat="1" ht="42.75" customHeight="1" x14ac:dyDescent="0.2">
      <c r="A13" s="39"/>
      <c r="B13" s="3526"/>
      <c r="C13" s="3527"/>
      <c r="D13" s="3531"/>
      <c r="E13" s="3302"/>
      <c r="F13" s="3533"/>
      <c r="G13" s="3534"/>
      <c r="H13" s="2936"/>
      <c r="I13" s="2937"/>
      <c r="J13" s="2937"/>
      <c r="K13" s="2936"/>
      <c r="L13" s="2936"/>
      <c r="M13" s="2936"/>
      <c r="N13" s="2937"/>
      <c r="O13" s="3545"/>
      <c r="P13" s="3546"/>
      <c r="Q13" s="2937"/>
      <c r="R13" s="3384"/>
      <c r="S13" s="3356"/>
      <c r="T13" s="55">
        <f>0+7645567</f>
        <v>7645567</v>
      </c>
      <c r="U13" s="56">
        <v>88</v>
      </c>
      <c r="V13" s="54" t="s">
        <v>61</v>
      </c>
      <c r="W13" s="3551"/>
      <c r="X13" s="3544"/>
      <c r="Y13" s="3544">
        <v>135912</v>
      </c>
      <c r="Z13" s="3544">
        <v>45122</v>
      </c>
      <c r="AA13" s="3544">
        <v>307101</v>
      </c>
      <c r="AB13" s="3544">
        <v>86875</v>
      </c>
      <c r="AC13" s="3544">
        <v>2145</v>
      </c>
      <c r="AD13" s="3544">
        <v>12718</v>
      </c>
      <c r="AE13" s="3552">
        <v>26</v>
      </c>
      <c r="AF13" s="3552">
        <v>37</v>
      </c>
      <c r="AG13" s="3553"/>
      <c r="AH13" s="3553"/>
      <c r="AI13" s="3544">
        <v>53164</v>
      </c>
      <c r="AJ13" s="3544">
        <v>16982</v>
      </c>
      <c r="AK13" s="3544">
        <v>6013</v>
      </c>
      <c r="AL13" s="2821"/>
      <c r="AM13" s="3550"/>
      <c r="AN13" s="3550"/>
      <c r="AO13" s="3384"/>
      <c r="AP13" s="3549"/>
    </row>
    <row r="14" spans="1:42" s="38" customFormat="1" ht="42.75" customHeight="1" x14ac:dyDescent="0.2">
      <c r="A14" s="39"/>
      <c r="B14" s="3526"/>
      <c r="C14" s="3527"/>
      <c r="D14" s="3531"/>
      <c r="E14" s="3302"/>
      <c r="F14" s="3533"/>
      <c r="G14" s="3534"/>
      <c r="H14" s="2936"/>
      <c r="I14" s="2937"/>
      <c r="J14" s="2937"/>
      <c r="K14" s="2936"/>
      <c r="L14" s="2936"/>
      <c r="M14" s="2936"/>
      <c r="N14" s="2937"/>
      <c r="O14" s="3545"/>
      <c r="P14" s="3546"/>
      <c r="Q14" s="2937"/>
      <c r="R14" s="2937" t="s">
        <v>62</v>
      </c>
      <c r="S14" s="3354" t="s">
        <v>63</v>
      </c>
      <c r="T14" s="57">
        <v>71960000</v>
      </c>
      <c r="U14" s="58" t="s">
        <v>58</v>
      </c>
      <c r="V14" s="59" t="s">
        <v>59</v>
      </c>
      <c r="W14" s="3551"/>
      <c r="X14" s="3544"/>
      <c r="Y14" s="3544">
        <v>135912</v>
      </c>
      <c r="Z14" s="3544">
        <v>45122</v>
      </c>
      <c r="AA14" s="3544">
        <v>307101</v>
      </c>
      <c r="AB14" s="3544">
        <v>86875</v>
      </c>
      <c r="AC14" s="3544">
        <v>2145</v>
      </c>
      <c r="AD14" s="3544">
        <v>12718</v>
      </c>
      <c r="AE14" s="3552">
        <v>26</v>
      </c>
      <c r="AF14" s="3552">
        <v>37</v>
      </c>
      <c r="AG14" s="3553"/>
      <c r="AH14" s="3553"/>
      <c r="AI14" s="3544">
        <v>53164</v>
      </c>
      <c r="AJ14" s="3544">
        <v>16982</v>
      </c>
      <c r="AK14" s="3544">
        <v>6013</v>
      </c>
      <c r="AL14" s="2821"/>
      <c r="AM14" s="3550"/>
      <c r="AN14" s="3550"/>
      <c r="AO14" s="3384"/>
      <c r="AP14" s="60"/>
    </row>
    <row r="15" spans="1:42" s="38" customFormat="1" ht="42.75" customHeight="1" x14ac:dyDescent="0.2">
      <c r="A15" s="39"/>
      <c r="B15" s="3526"/>
      <c r="C15" s="3527"/>
      <c r="D15" s="3531"/>
      <c r="E15" s="3302"/>
      <c r="F15" s="3533"/>
      <c r="G15" s="3534"/>
      <c r="H15" s="2936"/>
      <c r="I15" s="2937"/>
      <c r="J15" s="2937"/>
      <c r="K15" s="2936"/>
      <c r="L15" s="2936"/>
      <c r="M15" s="2936"/>
      <c r="N15" s="2937"/>
      <c r="O15" s="3545"/>
      <c r="P15" s="3546"/>
      <c r="Q15" s="2937"/>
      <c r="R15" s="2937"/>
      <c r="S15" s="3356"/>
      <c r="T15" s="57">
        <f>0+42354433</f>
        <v>42354433</v>
      </c>
      <c r="U15" s="58">
        <v>88</v>
      </c>
      <c r="V15" s="59" t="s">
        <v>61</v>
      </c>
      <c r="W15" s="3551"/>
      <c r="X15" s="3544"/>
      <c r="Y15" s="3544">
        <v>135912</v>
      </c>
      <c r="Z15" s="3544">
        <v>45122</v>
      </c>
      <c r="AA15" s="3544">
        <v>307101</v>
      </c>
      <c r="AB15" s="3544">
        <v>86875</v>
      </c>
      <c r="AC15" s="3544">
        <v>2145</v>
      </c>
      <c r="AD15" s="3544">
        <v>12718</v>
      </c>
      <c r="AE15" s="3552">
        <v>26</v>
      </c>
      <c r="AF15" s="3552">
        <v>37</v>
      </c>
      <c r="AG15" s="3553"/>
      <c r="AH15" s="3553"/>
      <c r="AI15" s="3544">
        <v>53164</v>
      </c>
      <c r="AJ15" s="3544">
        <v>16982</v>
      </c>
      <c r="AK15" s="3544">
        <v>6013</v>
      </c>
      <c r="AL15" s="2822"/>
      <c r="AM15" s="3550"/>
      <c r="AN15" s="3550"/>
      <c r="AO15" s="3384"/>
    </row>
    <row r="16" spans="1:42" s="38" customFormat="1" ht="150" x14ac:dyDescent="0.2">
      <c r="A16" s="39"/>
      <c r="B16" s="3526"/>
      <c r="C16" s="3527"/>
      <c r="D16" s="3532"/>
      <c r="E16" s="3304"/>
      <c r="F16" s="3533"/>
      <c r="G16" s="3534"/>
      <c r="H16" s="61">
        <v>245</v>
      </c>
      <c r="I16" s="62" t="s">
        <v>64</v>
      </c>
      <c r="J16" s="62" t="s">
        <v>65</v>
      </c>
      <c r="K16" s="61">
        <v>1</v>
      </c>
      <c r="L16" s="61" t="s">
        <v>66</v>
      </c>
      <c r="M16" s="61" t="s">
        <v>67</v>
      </c>
      <c r="N16" s="62" t="s">
        <v>68</v>
      </c>
      <c r="O16" s="63">
        <f>SUM(T16)/P16</f>
        <v>1</v>
      </c>
      <c r="P16" s="64">
        <f>T16</f>
        <v>40000000</v>
      </c>
      <c r="Q16" s="62" t="s">
        <v>69</v>
      </c>
      <c r="R16" s="62" t="s">
        <v>70</v>
      </c>
      <c r="S16" s="62" t="s">
        <v>71</v>
      </c>
      <c r="T16" s="65">
        <v>40000000</v>
      </c>
      <c r="U16" s="66">
        <v>20</v>
      </c>
      <c r="V16" s="67" t="s">
        <v>72</v>
      </c>
      <c r="W16" s="68">
        <v>294321</v>
      </c>
      <c r="X16" s="68">
        <v>283947</v>
      </c>
      <c r="Y16" s="69">
        <v>13754</v>
      </c>
      <c r="Z16" s="69">
        <v>44640</v>
      </c>
      <c r="AA16" s="69">
        <v>308178</v>
      </c>
      <c r="AB16" s="69">
        <v>89696</v>
      </c>
      <c r="AC16" s="69">
        <v>2145</v>
      </c>
      <c r="AD16" s="69">
        <v>12718</v>
      </c>
      <c r="AE16" s="69">
        <v>26</v>
      </c>
      <c r="AF16" s="69">
        <v>37</v>
      </c>
      <c r="AG16" s="69">
        <v>0</v>
      </c>
      <c r="AH16" s="69">
        <v>0</v>
      </c>
      <c r="AI16" s="69">
        <v>52505</v>
      </c>
      <c r="AJ16" s="69">
        <v>16897</v>
      </c>
      <c r="AK16" s="69">
        <v>61646</v>
      </c>
      <c r="AL16" s="69">
        <f>+W16+X16</f>
        <v>578268</v>
      </c>
      <c r="AM16" s="70">
        <v>43101</v>
      </c>
      <c r="AN16" s="70">
        <v>43465</v>
      </c>
      <c r="AO16" s="62" t="s">
        <v>60</v>
      </c>
      <c r="AP16" s="71"/>
    </row>
    <row r="17" spans="1:41" ht="15.75" x14ac:dyDescent="0.2">
      <c r="A17" s="39"/>
      <c r="B17" s="3526"/>
      <c r="C17" s="3527"/>
      <c r="D17" s="72">
        <v>28</v>
      </c>
      <c r="E17" s="26" t="s">
        <v>73</v>
      </c>
      <c r="F17" s="73"/>
      <c r="G17" s="73"/>
      <c r="H17" s="74"/>
      <c r="I17" s="37"/>
      <c r="J17" s="37"/>
      <c r="K17" s="35"/>
      <c r="L17" s="75"/>
      <c r="M17" s="37"/>
      <c r="N17" s="76"/>
      <c r="O17" s="77"/>
      <c r="P17" s="37"/>
      <c r="Q17" s="37"/>
      <c r="R17" s="37"/>
      <c r="S17" s="78"/>
      <c r="T17" s="79"/>
      <c r="U17" s="75"/>
      <c r="V17" s="75"/>
      <c r="W17" s="75"/>
      <c r="X17" s="75"/>
      <c r="Y17" s="75"/>
      <c r="Z17" s="75"/>
      <c r="AA17" s="75"/>
      <c r="AB17" s="75"/>
      <c r="AC17" s="75"/>
      <c r="AD17" s="75"/>
      <c r="AE17" s="75"/>
      <c r="AF17" s="75"/>
      <c r="AG17" s="75"/>
      <c r="AH17" s="75"/>
      <c r="AI17" s="75"/>
      <c r="AJ17" s="75"/>
      <c r="AK17" s="75"/>
      <c r="AL17" s="75"/>
      <c r="AM17" s="75"/>
      <c r="AN17" s="75"/>
      <c r="AO17" s="37"/>
    </row>
    <row r="18" spans="1:41" ht="15.75" x14ac:dyDescent="0.2">
      <c r="A18" s="39"/>
      <c r="B18" s="3526"/>
      <c r="C18" s="3527"/>
      <c r="D18" s="3535"/>
      <c r="E18" s="3538"/>
      <c r="F18" s="80">
        <v>89</v>
      </c>
      <c r="G18" s="3541" t="s">
        <v>74</v>
      </c>
      <c r="H18" s="3541"/>
      <c r="I18" s="3541"/>
      <c r="J18" s="3541"/>
      <c r="K18" s="3541"/>
      <c r="L18" s="81"/>
      <c r="M18" s="3542"/>
      <c r="N18" s="3542"/>
      <c r="O18" s="3542"/>
      <c r="P18" s="3542"/>
      <c r="Q18" s="3542"/>
      <c r="R18" s="3542"/>
      <c r="S18" s="3542"/>
      <c r="T18" s="82"/>
      <c r="U18" s="3543"/>
      <c r="V18" s="3542"/>
      <c r="W18" s="3542"/>
      <c r="X18" s="3542"/>
      <c r="Y18" s="3542"/>
      <c r="Z18" s="3542"/>
      <c r="AA18" s="3542"/>
      <c r="AB18" s="3542"/>
      <c r="AC18" s="3542"/>
      <c r="AD18" s="3542"/>
      <c r="AE18" s="3542"/>
      <c r="AF18" s="3542"/>
      <c r="AG18" s="3542"/>
      <c r="AH18" s="3542"/>
      <c r="AI18" s="3542"/>
      <c r="AJ18" s="3542"/>
      <c r="AK18" s="3542"/>
      <c r="AL18" s="3542"/>
      <c r="AM18" s="3542"/>
      <c r="AN18" s="3542"/>
      <c r="AO18" s="3542"/>
    </row>
    <row r="19" spans="1:41" s="88" customFormat="1" ht="37.5" customHeight="1" x14ac:dyDescent="0.2">
      <c r="A19" s="83"/>
      <c r="B19" s="3526"/>
      <c r="C19" s="3527"/>
      <c r="D19" s="3536"/>
      <c r="E19" s="3539"/>
      <c r="F19" s="3559"/>
      <c r="G19" s="3559"/>
      <c r="H19" s="3385">
        <v>288</v>
      </c>
      <c r="I19" s="2559" t="s">
        <v>75</v>
      </c>
      <c r="J19" s="2559" t="s">
        <v>76</v>
      </c>
      <c r="K19" s="3385">
        <v>1</v>
      </c>
      <c r="L19" s="3385" t="s">
        <v>77</v>
      </c>
      <c r="M19" s="3385" t="s">
        <v>78</v>
      </c>
      <c r="N19" s="2559" t="s">
        <v>79</v>
      </c>
      <c r="O19" s="3577">
        <f>SUM(T19:T24)/P19</f>
        <v>1</v>
      </c>
      <c r="P19" s="3579">
        <f>SUM(T19:T24)</f>
        <v>1463092662</v>
      </c>
      <c r="Q19" s="2628" t="s">
        <v>80</v>
      </c>
      <c r="R19" s="3582" t="s">
        <v>81</v>
      </c>
      <c r="S19" s="3547" t="s">
        <v>82</v>
      </c>
      <c r="T19" s="85">
        <v>262242662</v>
      </c>
      <c r="U19" s="86" t="s">
        <v>2541</v>
      </c>
      <c r="V19" s="87" t="s">
        <v>83</v>
      </c>
      <c r="W19" s="3564">
        <v>294321</v>
      </c>
      <c r="X19" s="3564">
        <v>283947</v>
      </c>
      <c r="Y19" s="3564">
        <v>13754</v>
      </c>
      <c r="Z19" s="3564">
        <v>44640</v>
      </c>
      <c r="AA19" s="3564">
        <v>308178</v>
      </c>
      <c r="AB19" s="3564">
        <v>89696</v>
      </c>
      <c r="AC19" s="3564">
        <v>2145</v>
      </c>
      <c r="AD19" s="3564">
        <v>12718</v>
      </c>
      <c r="AE19" s="3571">
        <v>26</v>
      </c>
      <c r="AF19" s="3571">
        <v>37</v>
      </c>
      <c r="AG19" s="3573">
        <v>0</v>
      </c>
      <c r="AH19" s="3573">
        <v>0</v>
      </c>
      <c r="AI19" s="3564">
        <v>52505</v>
      </c>
      <c r="AJ19" s="3564">
        <v>16897</v>
      </c>
      <c r="AK19" s="3564">
        <v>61646</v>
      </c>
      <c r="AL19" s="3564">
        <f>+W19+X19</f>
        <v>578268</v>
      </c>
      <c r="AM19" s="3566">
        <v>43101</v>
      </c>
      <c r="AN19" s="3569">
        <v>43465</v>
      </c>
      <c r="AO19" s="2692" t="s">
        <v>60</v>
      </c>
    </row>
    <row r="20" spans="1:41" s="88" customFormat="1" ht="37.5" customHeight="1" x14ac:dyDescent="0.2">
      <c r="A20" s="83"/>
      <c r="B20" s="3526"/>
      <c r="C20" s="3527"/>
      <c r="D20" s="3536"/>
      <c r="E20" s="3539"/>
      <c r="F20" s="3559"/>
      <c r="G20" s="3559"/>
      <c r="H20" s="3385"/>
      <c r="I20" s="2559"/>
      <c r="J20" s="2559"/>
      <c r="K20" s="3385"/>
      <c r="L20" s="3385"/>
      <c r="M20" s="3385"/>
      <c r="N20" s="2559"/>
      <c r="O20" s="3578"/>
      <c r="P20" s="3579"/>
      <c r="Q20" s="2628"/>
      <c r="R20" s="3582"/>
      <c r="S20" s="3548"/>
      <c r="T20" s="89">
        <f>0+694757338</f>
        <v>694757338</v>
      </c>
      <c r="U20" s="90">
        <v>88</v>
      </c>
      <c r="V20" s="87" t="s">
        <v>61</v>
      </c>
      <c r="W20" s="3564"/>
      <c r="X20" s="3564"/>
      <c r="Y20" s="3564"/>
      <c r="Z20" s="3564"/>
      <c r="AA20" s="3564"/>
      <c r="AB20" s="3564"/>
      <c r="AC20" s="3564"/>
      <c r="AD20" s="3564"/>
      <c r="AE20" s="3571"/>
      <c r="AF20" s="3571"/>
      <c r="AG20" s="3574"/>
      <c r="AH20" s="3574"/>
      <c r="AI20" s="3564"/>
      <c r="AJ20" s="3564"/>
      <c r="AK20" s="3564"/>
      <c r="AL20" s="3564"/>
      <c r="AM20" s="3566"/>
      <c r="AN20" s="3570"/>
      <c r="AO20" s="2692"/>
    </row>
    <row r="21" spans="1:41" s="88" customFormat="1" ht="37.5" customHeight="1" x14ac:dyDescent="0.2">
      <c r="A21" s="83"/>
      <c r="B21" s="3526"/>
      <c r="C21" s="3527"/>
      <c r="D21" s="3536"/>
      <c r="E21" s="3539"/>
      <c r="F21" s="3559"/>
      <c r="G21" s="3559"/>
      <c r="H21" s="3385"/>
      <c r="I21" s="2559"/>
      <c r="J21" s="2559"/>
      <c r="K21" s="3385"/>
      <c r="L21" s="3385"/>
      <c r="M21" s="3385"/>
      <c r="N21" s="2559"/>
      <c r="O21" s="3578"/>
      <c r="P21" s="3579"/>
      <c r="Q21" s="2628"/>
      <c r="R21" s="3582"/>
      <c r="S21" s="3555" t="s">
        <v>84</v>
      </c>
      <c r="T21" s="91">
        <v>30000000</v>
      </c>
      <c r="U21" s="92">
        <v>20</v>
      </c>
      <c r="V21" s="93" t="s">
        <v>83</v>
      </c>
      <c r="W21" s="3575"/>
      <c r="X21" s="3564"/>
      <c r="Y21" s="3564"/>
      <c r="Z21" s="3564"/>
      <c r="AA21" s="3564"/>
      <c r="AB21" s="3564"/>
      <c r="AC21" s="3564"/>
      <c r="AD21" s="3564"/>
      <c r="AE21" s="3571"/>
      <c r="AF21" s="3571"/>
      <c r="AG21" s="3574"/>
      <c r="AH21" s="3574"/>
      <c r="AI21" s="3564"/>
      <c r="AJ21" s="3564"/>
      <c r="AK21" s="3564"/>
      <c r="AL21" s="3564"/>
      <c r="AM21" s="3566"/>
      <c r="AN21" s="3570"/>
      <c r="AO21" s="2692"/>
    </row>
    <row r="22" spans="1:41" s="88" customFormat="1" ht="37.5" customHeight="1" x14ac:dyDescent="0.2">
      <c r="A22" s="83"/>
      <c r="B22" s="3526"/>
      <c r="C22" s="3527"/>
      <c r="D22" s="3536"/>
      <c r="E22" s="3539"/>
      <c r="F22" s="3559"/>
      <c r="G22" s="3559"/>
      <c r="H22" s="3385"/>
      <c r="I22" s="2559"/>
      <c r="J22" s="2559"/>
      <c r="K22" s="3385"/>
      <c r="L22" s="3385"/>
      <c r="M22" s="3385"/>
      <c r="N22" s="2559"/>
      <c r="O22" s="3578"/>
      <c r="P22" s="3580"/>
      <c r="Q22" s="2559"/>
      <c r="R22" s="3582"/>
      <c r="S22" s="3556"/>
      <c r="T22" s="94">
        <f>0+8565900</f>
        <v>8565900</v>
      </c>
      <c r="U22" s="92">
        <v>88</v>
      </c>
      <c r="V22" s="93" t="s">
        <v>61</v>
      </c>
      <c r="W22" s="3575"/>
      <c r="X22" s="3564"/>
      <c r="Y22" s="3564"/>
      <c r="Z22" s="3564"/>
      <c r="AA22" s="3564"/>
      <c r="AB22" s="3564"/>
      <c r="AC22" s="3564"/>
      <c r="AD22" s="3564"/>
      <c r="AE22" s="3571"/>
      <c r="AF22" s="3571"/>
      <c r="AG22" s="3574"/>
      <c r="AH22" s="3574"/>
      <c r="AI22" s="3564"/>
      <c r="AJ22" s="3564"/>
      <c r="AK22" s="3564"/>
      <c r="AL22" s="3564"/>
      <c r="AM22" s="3567"/>
      <c r="AN22" s="3570"/>
      <c r="AO22" s="3554"/>
    </row>
    <row r="23" spans="1:41" s="88" customFormat="1" ht="37.5" customHeight="1" x14ac:dyDescent="0.2">
      <c r="A23" s="83"/>
      <c r="B23" s="3300"/>
      <c r="C23" s="3301"/>
      <c r="D23" s="3536"/>
      <c r="E23" s="3539"/>
      <c r="F23" s="3560"/>
      <c r="G23" s="3560"/>
      <c r="H23" s="2745"/>
      <c r="I23" s="2560"/>
      <c r="J23" s="2560"/>
      <c r="K23" s="2745"/>
      <c r="L23" s="2745"/>
      <c r="M23" s="2745"/>
      <c r="N23" s="2560"/>
      <c r="O23" s="3578"/>
      <c r="P23" s="3581"/>
      <c r="Q23" s="2560"/>
      <c r="R23" s="3547" t="s">
        <v>85</v>
      </c>
      <c r="S23" s="3555" t="s">
        <v>86</v>
      </c>
      <c r="T23" s="96">
        <v>320850000</v>
      </c>
      <c r="U23" s="92">
        <v>20</v>
      </c>
      <c r="V23" s="93" t="s">
        <v>87</v>
      </c>
      <c r="W23" s="3576"/>
      <c r="X23" s="3565"/>
      <c r="Y23" s="3565"/>
      <c r="Z23" s="3565"/>
      <c r="AA23" s="3565"/>
      <c r="AB23" s="3565"/>
      <c r="AC23" s="3565"/>
      <c r="AD23" s="3565"/>
      <c r="AE23" s="3572"/>
      <c r="AF23" s="3572"/>
      <c r="AG23" s="3574"/>
      <c r="AH23" s="3574"/>
      <c r="AI23" s="3565"/>
      <c r="AJ23" s="3565"/>
      <c r="AK23" s="3565"/>
      <c r="AL23" s="3565"/>
      <c r="AM23" s="3568"/>
      <c r="AN23" s="3570"/>
      <c r="AO23" s="2690"/>
    </row>
    <row r="24" spans="1:41" s="88" customFormat="1" ht="37.5" customHeight="1" thickBot="1" x14ac:dyDescent="0.25">
      <c r="A24" s="97"/>
      <c r="B24" s="3528"/>
      <c r="C24" s="3529"/>
      <c r="D24" s="3537"/>
      <c r="E24" s="3540"/>
      <c r="F24" s="3560"/>
      <c r="G24" s="3560"/>
      <c r="H24" s="2745"/>
      <c r="I24" s="2560"/>
      <c r="J24" s="2560"/>
      <c r="K24" s="2745"/>
      <c r="L24" s="2745"/>
      <c r="M24" s="2745"/>
      <c r="N24" s="2560"/>
      <c r="O24" s="3578"/>
      <c r="P24" s="3581"/>
      <c r="Q24" s="2560"/>
      <c r="R24" s="3557"/>
      <c r="S24" s="3558"/>
      <c r="T24" s="98">
        <f>0+155242662-8565900</f>
        <v>146676762</v>
      </c>
      <c r="U24" s="99">
        <v>88</v>
      </c>
      <c r="V24" s="100" t="s">
        <v>61</v>
      </c>
      <c r="W24" s="3576"/>
      <c r="X24" s="3565"/>
      <c r="Y24" s="3565"/>
      <c r="Z24" s="3565"/>
      <c r="AA24" s="3565"/>
      <c r="AB24" s="3565"/>
      <c r="AC24" s="3565"/>
      <c r="AD24" s="3565"/>
      <c r="AE24" s="3572"/>
      <c r="AF24" s="3572"/>
      <c r="AG24" s="3574"/>
      <c r="AH24" s="3574"/>
      <c r="AI24" s="3565"/>
      <c r="AJ24" s="3565"/>
      <c r="AK24" s="3565"/>
      <c r="AL24" s="3565"/>
      <c r="AM24" s="3568"/>
      <c r="AN24" s="3570"/>
      <c r="AO24" s="2690"/>
    </row>
    <row r="25" spans="1:41" s="113" customFormat="1" ht="16.5" thickBot="1" x14ac:dyDescent="0.3">
      <c r="A25" s="101"/>
      <c r="B25" s="102"/>
      <c r="C25" s="102"/>
      <c r="D25" s="102"/>
      <c r="E25" s="103"/>
      <c r="F25" s="3561" t="s">
        <v>88</v>
      </c>
      <c r="G25" s="3562"/>
      <c r="H25" s="3562"/>
      <c r="I25" s="3562"/>
      <c r="J25" s="3562"/>
      <c r="K25" s="3562"/>
      <c r="L25" s="3562"/>
      <c r="M25" s="3562"/>
      <c r="N25" s="3562"/>
      <c r="O25" s="3563"/>
      <c r="P25" s="104">
        <f>+P12+P16+P19</f>
        <v>1953092662</v>
      </c>
      <c r="Q25" s="101"/>
      <c r="R25" s="102"/>
      <c r="S25" s="105"/>
      <c r="T25" s="106">
        <f>SUM(T12:T24)</f>
        <v>1953092662</v>
      </c>
      <c r="U25" s="107"/>
      <c r="V25" s="108"/>
      <c r="W25" s="109"/>
      <c r="X25" s="109"/>
      <c r="Y25" s="109"/>
      <c r="Z25" s="109"/>
      <c r="AA25" s="109"/>
      <c r="AB25" s="109"/>
      <c r="AC25" s="109"/>
      <c r="AD25" s="109"/>
      <c r="AE25" s="109"/>
      <c r="AF25" s="109"/>
      <c r="AG25" s="109"/>
      <c r="AH25" s="109"/>
      <c r="AI25" s="109"/>
      <c r="AJ25" s="109"/>
      <c r="AK25" s="109"/>
      <c r="AL25" s="109"/>
      <c r="AM25" s="110"/>
      <c r="AN25" s="111"/>
      <c r="AO25" s="112"/>
    </row>
    <row r="26" spans="1:41" x14ac:dyDescent="0.2">
      <c r="P26" s="115"/>
    </row>
    <row r="27" spans="1:41" x14ac:dyDescent="0.2">
      <c r="P27" s="117"/>
    </row>
    <row r="31" spans="1:41" ht="15.75" x14ac:dyDescent="0.25">
      <c r="K31" s="118" t="s">
        <v>89</v>
      </c>
      <c r="L31" s="119"/>
      <c r="M31" s="120"/>
    </row>
    <row r="32" spans="1:41" ht="15.75" x14ac:dyDescent="0.25">
      <c r="K32" s="121" t="s">
        <v>90</v>
      </c>
      <c r="L32" s="122"/>
    </row>
    <row r="35" spans="8:14" ht="15.75" x14ac:dyDescent="0.2">
      <c r="H35" s="2527" t="s">
        <v>91</v>
      </c>
      <c r="I35" s="2527"/>
      <c r="J35" s="2527"/>
      <c r="K35" s="2527"/>
      <c r="L35" s="2527"/>
      <c r="M35" s="2527"/>
      <c r="N35" s="2527"/>
    </row>
  </sheetData>
  <sheetProtection password="A60F" sheet="1" objects="1" scenarios="1"/>
  <mergeCells count="120">
    <mergeCell ref="F25:O25"/>
    <mergeCell ref="H35:N35"/>
    <mergeCell ref="AI19:AI24"/>
    <mergeCell ref="AJ19:AJ24"/>
    <mergeCell ref="AK19:AK24"/>
    <mergeCell ref="AL19:AL24"/>
    <mergeCell ref="AM19:AM24"/>
    <mergeCell ref="AN19:AN24"/>
    <mergeCell ref="AC19:AC24"/>
    <mergeCell ref="AD19:AD24"/>
    <mergeCell ref="AE19:AE24"/>
    <mergeCell ref="AF19:AF24"/>
    <mergeCell ref="AG19:AG24"/>
    <mergeCell ref="AH19:AH24"/>
    <mergeCell ref="W19:W24"/>
    <mergeCell ref="X19:X24"/>
    <mergeCell ref="Y19:Y24"/>
    <mergeCell ref="Z19:Z24"/>
    <mergeCell ref="AA19:AA24"/>
    <mergeCell ref="AB19:AB24"/>
    <mergeCell ref="O19:O24"/>
    <mergeCell ref="P19:P24"/>
    <mergeCell ref="Q19:Q24"/>
    <mergeCell ref="R19:R22"/>
    <mergeCell ref="AG18:AJ18"/>
    <mergeCell ref="AK18:AL18"/>
    <mergeCell ref="AM18:AO18"/>
    <mergeCell ref="AO19:AO24"/>
    <mergeCell ref="S21:S22"/>
    <mergeCell ref="R23:R24"/>
    <mergeCell ref="S23:S24"/>
    <mergeCell ref="F19:G24"/>
    <mergeCell ref="H19:H24"/>
    <mergeCell ref="I19:I24"/>
    <mergeCell ref="J19:J24"/>
    <mergeCell ref="K19:K24"/>
    <mergeCell ref="L19:L24"/>
    <mergeCell ref="M19:M24"/>
    <mergeCell ref="Y18:AB18"/>
    <mergeCell ref="AC18:AF18"/>
    <mergeCell ref="AP12:AP13"/>
    <mergeCell ref="R14:R15"/>
    <mergeCell ref="S14:S15"/>
    <mergeCell ref="AL12:AL15"/>
    <mergeCell ref="AM12:AM15"/>
    <mergeCell ref="AN12:AN15"/>
    <mergeCell ref="AO12:AO15"/>
    <mergeCell ref="R12:R13"/>
    <mergeCell ref="S12:S13"/>
    <mergeCell ref="W12:W15"/>
    <mergeCell ref="AJ12:AJ15"/>
    <mergeCell ref="AK12:AK15"/>
    <mergeCell ref="AD12:AD15"/>
    <mergeCell ref="AE12:AE15"/>
    <mergeCell ref="AF12:AF15"/>
    <mergeCell ref="AG12:AG15"/>
    <mergeCell ref="AH12:AH15"/>
    <mergeCell ref="AI12:AI15"/>
    <mergeCell ref="Y12:Y15"/>
    <mergeCell ref="Z12:Z15"/>
    <mergeCell ref="AA12:AA15"/>
    <mergeCell ref="AB12:AB15"/>
    <mergeCell ref="AC12:AC15"/>
    <mergeCell ref="I12:I15"/>
    <mergeCell ref="J12:J15"/>
    <mergeCell ref="K12:K15"/>
    <mergeCell ref="L12:L15"/>
    <mergeCell ref="M12:M15"/>
    <mergeCell ref="N12:N15"/>
    <mergeCell ref="N19:N24"/>
    <mergeCell ref="M18:S18"/>
    <mergeCell ref="U18:X18"/>
    <mergeCell ref="X12:X15"/>
    <mergeCell ref="O12:O15"/>
    <mergeCell ref="P12:P15"/>
    <mergeCell ref="Q12:Q15"/>
    <mergeCell ref="S19:S20"/>
    <mergeCell ref="B10:C24"/>
    <mergeCell ref="D11:D16"/>
    <mergeCell ref="E11:E16"/>
    <mergeCell ref="F12:F16"/>
    <mergeCell ref="G12:G16"/>
    <mergeCell ref="H12:H15"/>
    <mergeCell ref="AC7:AH7"/>
    <mergeCell ref="AI7:AK7"/>
    <mergeCell ref="AL7:AL8"/>
    <mergeCell ref="M7:M8"/>
    <mergeCell ref="N7:N8"/>
    <mergeCell ref="O7:O8"/>
    <mergeCell ref="P7:P8"/>
    <mergeCell ref="Q7:Q8"/>
    <mergeCell ref="R7:R8"/>
    <mergeCell ref="G7:G8"/>
    <mergeCell ref="H7:H8"/>
    <mergeCell ref="I7:I8"/>
    <mergeCell ref="J7:J8"/>
    <mergeCell ref="K7:K8"/>
    <mergeCell ref="L7:L8"/>
    <mergeCell ref="D18:D24"/>
    <mergeCell ref="E18:E24"/>
    <mergeCell ref="G18:K18"/>
    <mergeCell ref="A1:AM4"/>
    <mergeCell ref="A5:K6"/>
    <mergeCell ref="N5:AO5"/>
    <mergeCell ref="N6:V6"/>
    <mergeCell ref="AM6:AO6"/>
    <mergeCell ref="A7:A8"/>
    <mergeCell ref="B7:C8"/>
    <mergeCell ref="D7:D8"/>
    <mergeCell ref="E7:E8"/>
    <mergeCell ref="F7:F8"/>
    <mergeCell ref="AM7:AM8"/>
    <mergeCell ref="AN7:AN8"/>
    <mergeCell ref="AO7:AO8"/>
    <mergeCell ref="S7:S8"/>
    <mergeCell ref="T7:T8"/>
    <mergeCell ref="U7:U8"/>
    <mergeCell ref="V7:V8"/>
    <mergeCell ref="W7:X7"/>
    <mergeCell ref="Y7:A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PA ADMINIST</vt:lpstr>
      <vt:lpstr>PA PLANEACION</vt:lpstr>
      <vt:lpstr>PA HACIENDA</vt:lpstr>
      <vt:lpstr>PA INFRAESTRUCTURA</vt:lpstr>
      <vt:lpstr>PA INTERIOR</vt:lpstr>
      <vt:lpstr>PA CULTURA</vt:lpstr>
      <vt:lpstr>PA TURISMO</vt:lpstr>
      <vt:lpstr>PA AGRICULTURA</vt:lpstr>
      <vt:lpstr>PA PRIVADA</vt:lpstr>
      <vt:lpstr>PA EDUCACION</vt:lpstr>
      <vt:lpstr>PA FAMILIA</vt:lpstr>
      <vt:lpstr>PA REPRESENTACION JUDICIAL</vt:lpstr>
      <vt:lpstr>PA SALUD</vt:lpstr>
      <vt:lpstr>PA TIC</vt:lpstr>
      <vt:lpstr>PA INDEPORTES</vt:lpstr>
      <vt:lpstr>PA PROMOTORA</vt:lpstr>
      <vt:lpstr>PA IDTQ</vt:lpstr>
      <vt:lpstr>'PA PLANEACION'!Área_de_impresión</vt:lpstr>
      <vt:lpstr>'PA PROMOTORA'!Área_de_impresión</vt:lpstr>
      <vt:lpstr>'PA PLANEACION'!Títulos_a_imprimir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2019-10-09T19:32:48Z</dcterms:created>
  <dcterms:modified xsi:type="dcterms:W3CDTF">2019-11-15T15:43:49Z</dcterms:modified>
</cp:coreProperties>
</file>